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omments6.xml" ContentType="application/vnd.openxmlformats-officedocument.spreadsheetml.comments+xml"/>
  <Override PartName="/xl/drawings/drawing10.xml" ContentType="application/vnd.openxmlformats-officedocument.drawing+xml"/>
  <Override PartName="/xl/comments7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8.xml" ContentType="application/vnd.openxmlformats-officedocument.spreadsheetml.comment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epenergy.sharepoint.com/sites/RegulatoryServices/Formula Rates/Transmission Formula Rates/West OpCos - SPP OATT Attach H-4/Rate Year 2024/True Up (ATRR)/As Filed/"/>
    </mc:Choice>
  </mc:AlternateContent>
  <xr:revisionPtr revIDLastSave="3" documentId="8_{7FD67807-ECDA-4C41-9032-5B0A1DE09B89}" xr6:coauthVersionLast="47" xr6:coauthVersionMax="47" xr10:uidLastSave="{293813B3-87AE-4933-8E11-90A818BE3FBC}"/>
  <bookViews>
    <workbookView xWindow="28680" yWindow="-120" windowWidth="24240" windowHeight="13020" tabRatio="887" xr2:uid="{00000000-000D-0000-FFFF-FFFF00000000}"/>
  </bookViews>
  <sheets>
    <sheet name="PSO.Sch.11.Rates" sheetId="17" r:id="rId1"/>
    <sheet name="PSO.WS.F.BPU.ATRR.Projected" sheetId="1" r:id="rId2"/>
    <sheet name="PSO.WS.G.BPU.ATRR.True-up" sheetId="2" r:id="rId3"/>
    <sheet name="P.001" sheetId="3" r:id="rId4"/>
    <sheet name="P.002" sheetId="4" r:id="rId5"/>
    <sheet name="P.003" sheetId="5" r:id="rId6"/>
    <sheet name="P.004" sheetId="6" r:id="rId7"/>
    <sheet name="P.005" sheetId="7" r:id="rId8"/>
    <sheet name="P.006" sheetId="8" r:id="rId9"/>
    <sheet name="P.007" sheetId="9" r:id="rId10"/>
    <sheet name="P.008" sheetId="10" r:id="rId11"/>
    <sheet name="P.009" sheetId="11" r:id="rId12"/>
    <sheet name="P.010" sheetId="22" r:id="rId13"/>
    <sheet name="P.011" sheetId="23" r:id="rId14"/>
    <sheet name="P.012" sheetId="24" r:id="rId15"/>
    <sheet name="P.013" sheetId="25" r:id="rId16"/>
    <sheet name="P.014" sheetId="27" r:id="rId17"/>
    <sheet name="P.015" sheetId="28" r:id="rId18"/>
    <sheet name="P.016" sheetId="29" r:id="rId19"/>
    <sheet name="P.017" sheetId="30" r:id="rId20"/>
    <sheet name="P.018" sheetId="31" r:id="rId21"/>
    <sheet name="P.019" sheetId="37" r:id="rId22"/>
    <sheet name="P.020" sheetId="38" r:id="rId23"/>
    <sheet name="P.021" sheetId="39" r:id="rId24"/>
    <sheet name="P.022" sheetId="40" r:id="rId25"/>
    <sheet name="P.023" sheetId="41" r:id="rId26"/>
    <sheet name="P.024" sheetId="42" r:id="rId27"/>
    <sheet name="P.025" sheetId="43" r:id="rId28"/>
    <sheet name="P.026" sheetId="44" r:id="rId29"/>
    <sheet name="P.027" sheetId="45" r:id="rId30"/>
    <sheet name="P.028" sheetId="46" r:id="rId31"/>
    <sheet name="P.029" sheetId="47" r:id="rId32"/>
    <sheet name="P.030" sheetId="48" r:id="rId33"/>
    <sheet name="P.031" sheetId="49" r:id="rId34"/>
    <sheet name="P.032" sheetId="50" r:id="rId35"/>
    <sheet name="P.033" sheetId="51" r:id="rId36"/>
    <sheet name="P.034" sheetId="52" r:id="rId37"/>
    <sheet name="P.035" sheetId="56" r:id="rId38"/>
    <sheet name="P.xyz - blank" sheetId="13" r:id="rId39"/>
  </sheets>
  <definedNames>
    <definedName name="_NPh1">#REF!</definedName>
    <definedName name="ActExcessAmt">#REF!</definedName>
    <definedName name="ActGrTaxAmt">#REF!</definedName>
    <definedName name="ActKWHExcess">#REF!</definedName>
    <definedName name="ActKWHNotUsed">#REF!</definedName>
    <definedName name="ActKWHRes">#REF!</definedName>
    <definedName name="ActKWHSubTot">#REF!</definedName>
    <definedName name="ActKWHTot">#REF!</definedName>
    <definedName name="ActNotUsedAmt">#REF!</definedName>
    <definedName name="ActResAmt">#REF!</definedName>
    <definedName name="ActSubTotAmt">#REF!</definedName>
    <definedName name="ActTotAmt">#REF!</definedName>
    <definedName name="AdminChg">#REF!</definedName>
    <definedName name="AEP">#REF!</definedName>
    <definedName name="allocator">#REF!</definedName>
    <definedName name="allocators">#REF!</definedName>
    <definedName name="allocatorsSWP">#REF!</definedName>
    <definedName name="allocatorSWP1">#REF!</definedName>
    <definedName name="APCO">#REF!</definedName>
    <definedName name="AVRGPWRFCTR">#REF!</definedName>
    <definedName name="B1HRSCRMO">#REF!</definedName>
    <definedName name="B2HRSCRMO">#REF!</definedName>
    <definedName name="BASERATECHG">#REF!</definedName>
    <definedName name="BILLKWH">#REF!</definedName>
    <definedName name="BIRPCCHG">#REF!</definedName>
    <definedName name="BIRPDCHG1">#REF!</definedName>
    <definedName name="BIRPDCHG2">#REF!</definedName>
    <definedName name="BIRPECHG1">#REF!</definedName>
    <definedName name="BIRPECHGB1">#REF!</definedName>
    <definedName name="BIRPECHGB2">#REF!</definedName>
    <definedName name="BIRPECHGB3">#REF!</definedName>
    <definedName name="BIRPECHGW">#REF!</definedName>
    <definedName name="BIRPKWH1">#REF!</definedName>
    <definedName name="BIRPKWHB1">#REF!</definedName>
    <definedName name="BIRPKWHB2">#REF!</definedName>
    <definedName name="BIRPKWHB3">#REF!</definedName>
    <definedName name="BIRPKWHWH">#REF!</definedName>
    <definedName name="BIRPMECHG1">#REF!</definedName>
    <definedName name="BIRPOFKWH">#REF!</definedName>
    <definedName name="BIRPOPKWH">#REF!</definedName>
    <definedName name="BIRPP1EC">#REF!</definedName>
    <definedName name="BIRPP2EC">#REF!</definedName>
    <definedName name="BIRPP3EC">#REF!</definedName>
    <definedName name="BIRPP4EC">#REF!</definedName>
    <definedName name="BIRPP5EC">#REF!</definedName>
    <definedName name="BIRPPDMDCHG">#REF!</definedName>
    <definedName name="BIRPRCHG">#REF!</definedName>
    <definedName name="BIRPXKVA">#REF!</definedName>
    <definedName name="BIRPXKVAPCT">#REF!</definedName>
    <definedName name="BIRPXOFKW">#REF!</definedName>
    <definedName name="BKUPKWH">#REF!</definedName>
    <definedName name="BLDAMNT">#REF!</definedName>
    <definedName name="BLDDMND">#REF!</definedName>
    <definedName name="BLDKWH">#REF!</definedName>
    <definedName name="BLDOPDMND">#REF!</definedName>
    <definedName name="BLNGKWB4EDR">#REF!</definedName>
    <definedName name="BLNGKWH">#REF!</definedName>
    <definedName name="BLNGKWHTTL">#REF!</definedName>
    <definedName name="BndBlkKwh1">#REF!</definedName>
    <definedName name="BndBlkKwh2">#REF!</definedName>
    <definedName name="BndBlkKwh3">#REF!</definedName>
    <definedName name="BndBlkKwhChg1">#REF!</definedName>
    <definedName name="BndBlkKwhChg2">#REF!</definedName>
    <definedName name="BndBlkKwhChg3">#REF!</definedName>
    <definedName name="BndBlkKwhChgT">#REF!</definedName>
    <definedName name="BndBlkKwhChgW">#REF!</definedName>
    <definedName name="BndBlkKwhT">#REF!</definedName>
    <definedName name="BndBlkKwhW">#REF!</definedName>
    <definedName name="BndCustChg">#REF!</definedName>
    <definedName name="BndDmdChg1">#REF!</definedName>
    <definedName name="BndDmdChg2">#REF!</definedName>
    <definedName name="BndExcsKvaPct">#REF!</definedName>
    <definedName name="BndMEChg">#REF!</definedName>
    <definedName name="BndOffPkKwh">#REF!</definedName>
    <definedName name="BndOnPkKwh">#REF!</definedName>
    <definedName name="BndPL1Chg">#REF!</definedName>
    <definedName name="BndPL2Chg">#REF!</definedName>
    <definedName name="BndPL3Chg">#REF!</definedName>
    <definedName name="BndPL4Chg">#REF!</definedName>
    <definedName name="BndPL5Chg">#REF!</definedName>
    <definedName name="BndReactiveChg">#REF!</definedName>
    <definedName name="BndXOfpKvaChg">#REF!</definedName>
    <definedName name="BndXOfpKwChg">#REF!</definedName>
    <definedName name="BTTrueUp">#REF!</definedName>
    <definedName name="BUNCCHG">#REF!</definedName>
    <definedName name="BUNDCHG1">#REF!</definedName>
    <definedName name="BUNDCHG2">#REF!</definedName>
    <definedName name="BUNECHG1">#REF!</definedName>
    <definedName name="BUNECHGB1">#REF!</definedName>
    <definedName name="BUNECHGB2">#REF!</definedName>
    <definedName name="BUNECHGB3">#REF!</definedName>
    <definedName name="BUNECHGW">#REF!</definedName>
    <definedName name="BUNKWH1">#REF!</definedName>
    <definedName name="BUNKWHB1">#REF!</definedName>
    <definedName name="BUNKWHB2">#REF!</definedName>
    <definedName name="BUNKWHB3">#REF!</definedName>
    <definedName name="BUNKWHWH">#REF!</definedName>
    <definedName name="BUNMECHG1">#REF!</definedName>
    <definedName name="BUNOFKWH">#REF!</definedName>
    <definedName name="BUNOPKWH">#REF!</definedName>
    <definedName name="BUNP1EC">#REF!</definedName>
    <definedName name="BUNP2EC">#REF!</definedName>
    <definedName name="BUNP3EC">#REF!</definedName>
    <definedName name="BUNP4EC">#REF!</definedName>
    <definedName name="BUNP5EC">#REF!</definedName>
    <definedName name="BUNPDMDCHG">#REF!</definedName>
    <definedName name="BUNRCHG">#REF!</definedName>
    <definedName name="BUNXKVA">#REF!</definedName>
    <definedName name="BUNXKVAPCT">#REF!</definedName>
    <definedName name="BUNXOFKW">#REF!</definedName>
    <definedName name="CALCPFCC">#REF!</definedName>
    <definedName name="CAPDEFA">#REF!</definedName>
    <definedName name="CBLKWH">#REF!</definedName>
    <definedName name="City">#REF!</definedName>
    <definedName name="CNTRCTDMND">#REF!</definedName>
    <definedName name="CoPhoneLine">#REF!</definedName>
    <definedName name="CRMOINTRPTHRS">#REF!</definedName>
    <definedName name="CRNTMOBTKWH">#REF!</definedName>
    <definedName name="CRNTMOFPKHRS">#REF!</definedName>
    <definedName name="CRNTMONPKHRS">#REF!</definedName>
    <definedName name="CRTLBLONPKHRS">#REF!</definedName>
    <definedName name="CRTLBLONPKKWH">#REF!</definedName>
    <definedName name="CSTMRCHG">#REF!</definedName>
    <definedName name="CurMoAddr1">#REF!</definedName>
    <definedName name="CurMoAddr2">#REF!</definedName>
    <definedName name="CurMoBTDetail">#REF!</definedName>
    <definedName name="CurMoBuyThrgh_Sheet">#REF!</definedName>
    <definedName name="CurMoCityStZip">#REF!</definedName>
    <definedName name="CurMoCustName">#REF!</definedName>
    <definedName name="CurMoExcessAmt">#REF!</definedName>
    <definedName name="CurMoGrTaxAmt">#REF!</definedName>
    <definedName name="CurMoKWHExcess">#REF!</definedName>
    <definedName name="CurMoKWHNotUsed">#REF!</definedName>
    <definedName name="CurMoKWHRes">#REF!</definedName>
    <definedName name="CurMoKWHSubTot">#REF!</definedName>
    <definedName name="CurMoKWHTot">#REF!</definedName>
    <definedName name="CurMoMtrMult">#REF!</definedName>
    <definedName name="CurMoNotUsedAmt">#REF!</definedName>
    <definedName name="CurMoResAmt">#REF!</definedName>
    <definedName name="CurMoSubTotAmt">#REF!</definedName>
    <definedName name="CurMoTotAmt">#REF!</definedName>
    <definedName name="CurrYear">#REF!</definedName>
    <definedName name="CustAddr1">#REF!</definedName>
    <definedName name="CustAddr2">#REF!</definedName>
    <definedName name="CustCityStZip">#REF!</definedName>
    <definedName name="CustName2">#REF!</definedName>
    <definedName name="CustTable">#REF!</definedName>
    <definedName name="DetailTotCbl">#REF!</definedName>
    <definedName name="DetailTotChg">#REF!</definedName>
    <definedName name="DetailTotKw">#REF!</definedName>
    <definedName name="DetailTotMargin">#REF!</definedName>
    <definedName name="DIRPCCHG">#REF!</definedName>
    <definedName name="DIRPDCHG1">#REF!</definedName>
    <definedName name="DIRPDCHG2">#REF!</definedName>
    <definedName name="DIRPECHG1">#REF!</definedName>
    <definedName name="DIRPECHGB1">#REF!</definedName>
    <definedName name="DIRPECHGB2">#REF!</definedName>
    <definedName name="DIRPECHGB3">#REF!</definedName>
    <definedName name="DIRPMECHG1">#REF!</definedName>
    <definedName name="DIRPMINDC">#REF!</definedName>
    <definedName name="DIRPMINEC">#REF!</definedName>
    <definedName name="DIRPOFKVA">#REF!</definedName>
    <definedName name="DIRPOFKW">#REF!</definedName>
    <definedName name="DIRPOFKWH">#REF!</definedName>
    <definedName name="DIRPOPKWH">#REF!</definedName>
    <definedName name="DIRPP1EC">#REF!</definedName>
    <definedName name="DIRPP2EC">#REF!</definedName>
    <definedName name="DIRPP3EC">#REF!</definedName>
    <definedName name="DIRPP4EC">#REF!</definedName>
    <definedName name="DIRPP5EC">#REF!</definedName>
    <definedName name="DIRPRCHG">#REF!</definedName>
    <definedName name="DisBlkKwhChg1">#REF!</definedName>
    <definedName name="DisBlkKwhChg2">#REF!</definedName>
    <definedName name="DisBlkKwhChg3">#REF!</definedName>
    <definedName name="DisBlkKwhChgT">#REF!</definedName>
    <definedName name="DisCustChg">#REF!</definedName>
    <definedName name="DisDmdChg1">#REF!</definedName>
    <definedName name="DisDmdChg2">#REF!</definedName>
    <definedName name="DisMEChg">#REF!</definedName>
    <definedName name="DisMinDChg">#REF!</definedName>
    <definedName name="DisMinEChg">#REF!</definedName>
    <definedName name="DisOffPkKwh">#REF!</definedName>
    <definedName name="DisOnPkKwh">#REF!</definedName>
    <definedName name="DisPL1Chg">#REF!</definedName>
    <definedName name="DisPL2Chg">#REF!</definedName>
    <definedName name="DisPL3Chg">#REF!</definedName>
    <definedName name="DisPL4Chg">#REF!</definedName>
    <definedName name="DisPL5Chg">#REF!</definedName>
    <definedName name="DisReactiveChg">#REF!</definedName>
    <definedName name="DisXOfpKvaChg">#REF!</definedName>
    <definedName name="DisXOfpKwChg">#REF!</definedName>
    <definedName name="DSTCCHG">#REF!</definedName>
    <definedName name="DSTDCHG1">#REF!</definedName>
    <definedName name="DSTDCHG2">#REF!</definedName>
    <definedName name="DSTECHG1">#REF!</definedName>
    <definedName name="DSTECHGB1">#REF!</definedName>
    <definedName name="DSTECHGB2">#REF!</definedName>
    <definedName name="DSTECHGB3">#REF!</definedName>
    <definedName name="DSTMECHG1">#REF!</definedName>
    <definedName name="DSTMINDC">#REF!</definedName>
    <definedName name="DSTMINEC">#REF!</definedName>
    <definedName name="DSTOFKWH">#REF!</definedName>
    <definedName name="DSTOPKWH">#REF!</definedName>
    <definedName name="DSTP1EC">#REF!</definedName>
    <definedName name="DSTP2EC">#REF!</definedName>
    <definedName name="DSTP3EC">#REF!</definedName>
    <definedName name="DSTP4EC">#REF!</definedName>
    <definedName name="DSTP5EC">#REF!</definedName>
    <definedName name="DSTRCHG">#REF!</definedName>
    <definedName name="DSTXOFKVA">#REF!</definedName>
    <definedName name="DSTXOFKW">#REF!</definedName>
    <definedName name="EDRBASE">#REF!</definedName>
    <definedName name="EDRDATE">#REF!</definedName>
    <definedName name="EDRDSCNT">#REF!</definedName>
    <definedName name="EDRLVLPCT">#REF!</definedName>
    <definedName name="EDRTYPE">#REF!</definedName>
    <definedName name="EffDate">#REF!</definedName>
    <definedName name="ELKMCGN1">#REF!</definedName>
    <definedName name="ELKMCGN2">#REF!</definedName>
    <definedName name="ENDDTM">#REF!</definedName>
    <definedName name="ENDTIME">#REF!</definedName>
    <definedName name="EstExcessAmt">#REF!</definedName>
    <definedName name="EstGrTaxAmt">#REF!</definedName>
    <definedName name="EstKWHExcess">#REF!</definedName>
    <definedName name="EstKWHNotUsed">#REF!</definedName>
    <definedName name="EstKWHRes">#REF!</definedName>
    <definedName name="EstKWHSubTot">#REF!</definedName>
    <definedName name="EstKWHTot">#REF!</definedName>
    <definedName name="EstNotUsedAmt">#REF!</definedName>
    <definedName name="EstResAmt">#REF!</definedName>
    <definedName name="EstSubTotAmt">#REF!</definedName>
    <definedName name="EstTotAmt">#REF!</definedName>
    <definedName name="EXCSKVACHG">#REF!</definedName>
    <definedName name="EXCSKVADMND">#REF!</definedName>
    <definedName name="EXCSKVAR">#REF!</definedName>
    <definedName name="FIRMKWH">#REF!</definedName>
    <definedName name="FIRSTDAY">#REF!</definedName>
    <definedName name="FRMCPCT">#REF!</definedName>
    <definedName name="FUELCHG">#REF!</definedName>
    <definedName name="FUELRATE">#REF!</definedName>
    <definedName name="GenBlkKwhChg1">#REF!</definedName>
    <definedName name="GenBlkKwhChg2">#REF!</definedName>
    <definedName name="GenBlkKwhChg3">#REF!</definedName>
    <definedName name="GenBlkKwhChgT">#REF!</definedName>
    <definedName name="GENCCHG">#REF!</definedName>
    <definedName name="GenCustChg">#REF!</definedName>
    <definedName name="GENDCHG1">#REF!</definedName>
    <definedName name="GENDCHG2">#REF!</definedName>
    <definedName name="GenDmdChg1">#REF!</definedName>
    <definedName name="GenDmdChg2">#REF!</definedName>
    <definedName name="GENECHG1">#REF!</definedName>
    <definedName name="GENECHGB1">#REF!</definedName>
    <definedName name="GENECHGB2">#REF!</definedName>
    <definedName name="GENECHGB3">#REF!</definedName>
    <definedName name="GenMEChg">#REF!</definedName>
    <definedName name="GENMECHG1">#REF!</definedName>
    <definedName name="GENMINDC">#REF!</definedName>
    <definedName name="GenMinDChg">#REF!</definedName>
    <definedName name="GENMINEC">#REF!</definedName>
    <definedName name="GenMinEChg">#REF!</definedName>
    <definedName name="GenOffPkKwh">#REF!</definedName>
    <definedName name="GENOFKWH">#REF!</definedName>
    <definedName name="GenOnPkKwh">#REF!</definedName>
    <definedName name="GENOPKWH">#REF!</definedName>
    <definedName name="GENP1EC">#REF!</definedName>
    <definedName name="GENP2EC">#REF!</definedName>
    <definedName name="GENP3EC">#REF!</definedName>
    <definedName name="GENP4EC">#REF!</definedName>
    <definedName name="GENP5EC">#REF!</definedName>
    <definedName name="GenPL1Chg">#REF!</definedName>
    <definedName name="GenPL2Chg">#REF!</definedName>
    <definedName name="GenPL3Chg">#REF!</definedName>
    <definedName name="GenPL4Chg">#REF!</definedName>
    <definedName name="GenPL5Chg">#REF!</definedName>
    <definedName name="GENRCHG">#REF!</definedName>
    <definedName name="GenReactiveChg">#REF!</definedName>
    <definedName name="GENXOFKVA">#REF!</definedName>
    <definedName name="GENXOFKW">#REF!</definedName>
    <definedName name="GenXOfpKvaChg">#REF!</definedName>
    <definedName name="GenXOfpKwChg">#REF!</definedName>
    <definedName name="GIRPCCHG">#REF!</definedName>
    <definedName name="GIRPDCHG1">#REF!</definedName>
    <definedName name="GIRPDCHG2">#REF!</definedName>
    <definedName name="GIRPECHG1">#REF!</definedName>
    <definedName name="GIRPECHGB1">#REF!</definedName>
    <definedName name="GIRPECHGB2">#REF!</definedName>
    <definedName name="GIRPECHGB3">#REF!</definedName>
    <definedName name="GIRPMECHG1">#REF!</definedName>
    <definedName name="GIRPMINDC">#REF!</definedName>
    <definedName name="GIRPMINEC">#REF!</definedName>
    <definedName name="GIRPOFKVA">#REF!</definedName>
    <definedName name="GIRPOFKW">#REF!</definedName>
    <definedName name="GIRPOFKWH">#REF!</definedName>
    <definedName name="GIRPOPKWH">#REF!</definedName>
    <definedName name="GIRPP1EC">#REF!</definedName>
    <definedName name="GIRPP2EC">#REF!</definedName>
    <definedName name="GIRPP3EC">#REF!</definedName>
    <definedName name="GIRPP4EC">#REF!</definedName>
    <definedName name="GIRPP5EC">#REF!</definedName>
    <definedName name="GIRPRCHG">#REF!</definedName>
    <definedName name="HIPREKW">#REF!</definedName>
    <definedName name="HRCRDKW">#REF!</definedName>
    <definedName name="HRCRDKWDT">#REF!</definedName>
    <definedName name="HRCRDKWTM">#REF!</definedName>
    <definedName name="HROFPKDT">#REF!</definedName>
    <definedName name="HROFPKKW">#REF!</definedName>
    <definedName name="HROFPKTM">#REF!</definedName>
    <definedName name="HRONPKDT">#REF!</definedName>
    <definedName name="HRONPKKW">#REF!</definedName>
    <definedName name="HRONPKTM">#REF!</definedName>
    <definedName name="IMCO">#REF!</definedName>
    <definedName name="InterruptCapacity">#REF!</definedName>
    <definedName name="InterruptOfpCapacity">#REF!</definedName>
    <definedName name="InterruptType">#REF!</definedName>
    <definedName name="INTRPBLCAP">#REF!</definedName>
    <definedName name="Invdetails">#REF!</definedName>
    <definedName name="KWCHG">#REF!</definedName>
    <definedName name="KWH1NOCMM">#REF!</definedName>
    <definedName name="KWH3NOCMM">#REF!</definedName>
    <definedName name="KWHCHG">#REF!</definedName>
    <definedName name="LASTDAY">#REF!</definedName>
    <definedName name="LASTFUEL">#REF!</definedName>
    <definedName name="LASTMSRR">#REF!</definedName>
    <definedName name="LASTPFCC">#REF!</definedName>
    <definedName name="LDFCTR">#REF!</definedName>
    <definedName name="LRCREDIT">#REF!</definedName>
    <definedName name="MACC1">#REF!</definedName>
    <definedName name="MACC2">#REF!</definedName>
    <definedName name="MAINTHRSCRMO">#REF!</definedName>
    <definedName name="MAINTKWH">#REF!</definedName>
    <definedName name="MinBillDem">#REF!</definedName>
    <definedName name="MinBillDem2">#REF!</definedName>
    <definedName name="MinBillDmd">#REF!</definedName>
    <definedName name="MSRRBLD">#REF!</definedName>
    <definedName name="MSRRCHG">#REF!</definedName>
    <definedName name="MTRMLTPLR1">#REF!</definedName>
    <definedName name="MTRMLTPLR2">#REF!</definedName>
    <definedName name="NETMRGCHG">#REF!</definedName>
    <definedName name="NODAYSINPRD">#REF!</definedName>
    <definedName name="NODELPOINTS">#REF!</definedName>
    <definedName name="NP_h1">#REF!</definedName>
    <definedName name="NvsASD">"V2006-12-31"</definedName>
    <definedName name="NvsAutoDrillOk">"VN"</definedName>
    <definedName name="NvsElapsedTime">0.000231481484661344</definedName>
    <definedName name="NvsEndTime">39091.5909490741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"%,X,RZF..,CNF.."</definedName>
    <definedName name="NvsPanelBusUnit">"V100"</definedName>
    <definedName name="NvsPanelEffdt">"V2004-06-30"</definedName>
    <definedName name="NvsPanelSetid">"VAEP"</definedName>
    <definedName name="NvsReqBU">"VX999"</definedName>
    <definedName name="NvsReqBUOnly">"VN"</definedName>
    <definedName name="NvsTransLed">"VN"</definedName>
    <definedName name="NvsTreeASD">"V2099-01-01"</definedName>
    <definedName name="NvsValTbl.ACCOUNT">"GL_ACCOUNT_TBL"</definedName>
    <definedName name="NvsValTbl.AEP_STATE_JURIS">"AEP_ST_JD_TBL"</definedName>
    <definedName name="NvsValTbl.CURRENCY_CD">"CURRENCY_CD_TBL"</definedName>
    <definedName name="OFPCBLKW">#REF!</definedName>
    <definedName name="OFPKBILLKWH">#REF!</definedName>
    <definedName name="OFPKCGNKWH">#REF!</definedName>
    <definedName name="OFPKCNTRCTCPCT">#REF!</definedName>
    <definedName name="OFPKDMPKWH">#REF!</definedName>
    <definedName name="OFPKDSCRKWH">#REF!</definedName>
    <definedName name="OFPKDT">#REF!</definedName>
    <definedName name="OFPKEXCSKW">#REF!</definedName>
    <definedName name="OFPKINCRKWH">#REF!</definedName>
    <definedName name="OFPKKVADT">#REF!</definedName>
    <definedName name="OFPKKVATM">#REF!</definedName>
    <definedName name="OFPKKVW">#REF!</definedName>
    <definedName name="OFPKKW">#REF!</definedName>
    <definedName name="OFPKKWH1NOCMM">#REF!</definedName>
    <definedName name="OFPKKWH3NOCMM">#REF!</definedName>
    <definedName name="OFPKRCRDKWH">#REF!</definedName>
    <definedName name="OFPKTM">#REF!</definedName>
    <definedName name="OFPXCSKW">#REF!</definedName>
    <definedName name="OFPXCSKWDT">#REF!</definedName>
    <definedName name="OFPXCSKWH">#REF!</definedName>
    <definedName name="OFPXCSKWTM">#REF!</definedName>
    <definedName name="ONPKBILLKWH">#REF!</definedName>
    <definedName name="ONPKCAPB">#REF!</definedName>
    <definedName name="ONPKCGNKWH">#REF!</definedName>
    <definedName name="ONPKCNTRCTCPCT">#REF!</definedName>
    <definedName name="ONPKDMPKWH">#REF!</definedName>
    <definedName name="ONPKDSCRKWH">#REF!</definedName>
    <definedName name="ONPKDT">#REF!</definedName>
    <definedName name="ONPKINCRKWH">#REF!</definedName>
    <definedName name="ONPKKVA">#REF!</definedName>
    <definedName name="ONPKKVADT">#REF!</definedName>
    <definedName name="ONPKKVATM">#REF!</definedName>
    <definedName name="ONPKKW">#REF!</definedName>
    <definedName name="ONPKKWH1NOCMM">#REF!</definedName>
    <definedName name="ONPKKWH3NOCMM">#REF!</definedName>
    <definedName name="ONPKRCRDKWH">#REF!</definedName>
    <definedName name="ONPKTM">#REF!</definedName>
    <definedName name="OPCBLKW">#REF!</definedName>
    <definedName name="OPCO">#REF!</definedName>
    <definedName name="OPXCSKW">#REF!</definedName>
    <definedName name="OPXCSKWDT">#REF!</definedName>
    <definedName name="OPXCSKWH">#REF!</definedName>
    <definedName name="OPXCSKWTM">#REF!</definedName>
    <definedName name="OTHRTRNSKWH">#REF!</definedName>
    <definedName name="P1PENPERC">#REF!</definedName>
    <definedName name="P2PENPERC">#REF!</definedName>
    <definedName name="PeakDemandChg">#REF!</definedName>
    <definedName name="PenaltyDays">#REF!</definedName>
    <definedName name="PenaltyPct">#REF!</definedName>
    <definedName name="PENDAYS">#REF!</definedName>
    <definedName name="PENDAYS2">#REF!</definedName>
    <definedName name="PFCC">#REF!</definedName>
    <definedName name="PKKVAR">#REF!</definedName>
    <definedName name="PKKVARDATE">#REF!</definedName>
    <definedName name="PKKVARTIME">#REF!</definedName>
    <definedName name="PLVLKWH1">#REF!</definedName>
    <definedName name="PLVLKWH1A">#REF!</definedName>
    <definedName name="PLVLKWH2">#REF!</definedName>
    <definedName name="PLVLKWH23A">#REF!</definedName>
    <definedName name="PLVLKWH25">#REF!</definedName>
    <definedName name="PLVLKWH2A">#REF!</definedName>
    <definedName name="PLVLKWH3">#REF!</definedName>
    <definedName name="PLVLKWH3A">#REF!</definedName>
    <definedName name="PLVLKWH4">#REF!</definedName>
    <definedName name="PLVLKWH4A">#REF!</definedName>
    <definedName name="PRICEDESIG">#REF!</definedName>
    <definedName name="PriMoAddr1">#REF!</definedName>
    <definedName name="PriMoAddr2">#REF!</definedName>
    <definedName name="PriMoBTDetail">#REF!</definedName>
    <definedName name="PriMoBuyThrgh_Sheet">#REF!</definedName>
    <definedName name="PriMoCityStZip">#REF!</definedName>
    <definedName name="PriMoCustName">#REF!</definedName>
    <definedName name="PriMoMtrMult">#REF!</definedName>
    <definedName name="_xlnm.Print_Area" localSheetId="3">P.001!$A$1:$P$165</definedName>
    <definedName name="_xlnm.Print_Area" localSheetId="4">P.002!$A$1:$P$165</definedName>
    <definedName name="_xlnm.Print_Area" localSheetId="5">P.003!$A$1:$P$165</definedName>
    <definedName name="_xlnm.Print_Area" localSheetId="6">P.004!$A$1:$P$165</definedName>
    <definedName name="_xlnm.Print_Area" localSheetId="7">P.005!$A$1:$P$165</definedName>
    <definedName name="_xlnm.Print_Area" localSheetId="8">P.006!$A$1:$P$165</definedName>
    <definedName name="_xlnm.Print_Area" localSheetId="9">P.007!$A$1:$P$165</definedName>
    <definedName name="_xlnm.Print_Area" localSheetId="10">P.008!$A$1:$P$165</definedName>
    <definedName name="_xlnm.Print_Area" localSheetId="11">P.009!$A$1:$P$165</definedName>
    <definedName name="_xlnm.Print_Area" localSheetId="12">P.010!$A$1:$P$165</definedName>
    <definedName name="_xlnm.Print_Area" localSheetId="13">P.011!$A$1:$P$165</definedName>
    <definedName name="_xlnm.Print_Area" localSheetId="14">P.012!$A$1:$P$165</definedName>
    <definedName name="_xlnm.Print_Area" localSheetId="15">P.013!$A$1:$P$165</definedName>
    <definedName name="_xlnm.Print_Area" localSheetId="16">P.014!$A$1:$P$165</definedName>
    <definedName name="_xlnm.Print_Area" localSheetId="17">P.015!$A$1:$P$165</definedName>
    <definedName name="_xlnm.Print_Area" localSheetId="18">P.016!$A$1:$P$165</definedName>
    <definedName name="_xlnm.Print_Area" localSheetId="19">P.017!$A$1:$P$165</definedName>
    <definedName name="_xlnm.Print_Area" localSheetId="20">P.018!$A$1:$P$165</definedName>
    <definedName name="_xlnm.Print_Area" localSheetId="21">P.019!$A$1:$P$165</definedName>
    <definedName name="_xlnm.Print_Area" localSheetId="22">P.020!$A$1:$P$165</definedName>
    <definedName name="_xlnm.Print_Area" localSheetId="23">P.021!$A$1:$P$165</definedName>
    <definedName name="_xlnm.Print_Area" localSheetId="24">P.022!$A$1:$P$165</definedName>
    <definedName name="_xlnm.Print_Area" localSheetId="34">P.032!$A$1:$P$165</definedName>
    <definedName name="_xlnm.Print_Area" localSheetId="35">P.033!$A$1:$P$165</definedName>
    <definedName name="_xlnm.Print_Area" localSheetId="36">P.034!$A$1:$P$165</definedName>
    <definedName name="_xlnm.Print_Area" localSheetId="37">P.035!$A$1:$P$165</definedName>
    <definedName name="_xlnm.Print_Area" localSheetId="38">'P.xyz - blank'!$A$1:$P$165</definedName>
    <definedName name="_xlnm.Print_Area" localSheetId="0">'PSO.Sch.11.Rates'!$A$1:$V$56</definedName>
    <definedName name="_xlnm.Print_Area" localSheetId="1">'PSO.WS.F.BPU.ATRR.Projected'!$A$1:$O$93</definedName>
    <definedName name="_xlnm.Print_Area" localSheetId="2">'PSO.WS.G.BPU.ATRR.True-up'!$A$1:$P$96</definedName>
    <definedName name="_xlnm.Print_Titles" localSheetId="5">P.003!#REF!</definedName>
    <definedName name="_xlnm.Print_Titles" localSheetId="6">P.004!#REF!</definedName>
    <definedName name="_xlnm.Print_Titles" localSheetId="7">P.005!#REF!</definedName>
    <definedName name="_xlnm.Print_Titles" localSheetId="8">P.006!#REF!</definedName>
    <definedName name="_xlnm.Print_Titles" localSheetId="9">P.007!#REF!</definedName>
    <definedName name="_xlnm.Print_Titles" localSheetId="10">P.008!#REF!</definedName>
    <definedName name="_xlnm.Print_Titles" localSheetId="11">P.009!#REF!</definedName>
    <definedName name="_xlnm.Print_Titles" localSheetId="12">P.010!#REF!</definedName>
    <definedName name="_xlnm.Print_Titles" localSheetId="13">P.011!#REF!</definedName>
    <definedName name="_xlnm.Print_Titles" localSheetId="14">P.012!#REF!</definedName>
    <definedName name="_xlnm.Print_Titles" localSheetId="15">P.013!#REF!</definedName>
    <definedName name="_xlnm.Print_Titles" localSheetId="16">P.014!#REF!</definedName>
    <definedName name="_xlnm.Print_Titles" localSheetId="17">P.015!#REF!</definedName>
    <definedName name="_xlnm.Print_Titles" localSheetId="18">P.016!#REF!</definedName>
    <definedName name="_xlnm.Print_Titles" localSheetId="19">P.017!#REF!</definedName>
    <definedName name="_xlnm.Print_Titles" localSheetId="20">P.018!#REF!</definedName>
    <definedName name="_xlnm.Print_Titles" localSheetId="21">P.019!#REF!</definedName>
    <definedName name="_xlnm.Print_Titles" localSheetId="22">P.020!#REF!</definedName>
    <definedName name="_xlnm.Print_Titles" localSheetId="23">P.021!#REF!</definedName>
    <definedName name="_xlnm.Print_Titles" localSheetId="24">P.022!#REF!</definedName>
    <definedName name="_xlnm.Print_Titles" localSheetId="34">P.032!#REF!</definedName>
    <definedName name="_xlnm.Print_Titles" localSheetId="35">P.033!#REF!</definedName>
    <definedName name="_xlnm.Print_Titles" localSheetId="36">P.034!#REF!</definedName>
    <definedName name="_xlnm.Print_Titles" localSheetId="37">P.035!#REF!</definedName>
    <definedName name="_xlnm.Print_Titles" localSheetId="38">'P.xyz - blank'!#REF!</definedName>
    <definedName name="_xlnm.Print_Titles" localSheetId="1">'PSO.WS.F.BPU.ATRR.Projected'!$1:$6</definedName>
    <definedName name="_xlnm.Print_Titles" localSheetId="2">'PSO.WS.G.BPU.ATRR.True-up'!$1:$5</definedName>
    <definedName name="PRVCNT">#REF!</definedName>
    <definedName name="PRVDATE">#REF!</definedName>
    <definedName name="PRVFUEL">#REF!</definedName>
    <definedName name="PRVKW">#REF!</definedName>
    <definedName name="PRVKWH">#REF!</definedName>
    <definedName name="PRVMSRR">#REF!</definedName>
    <definedName name="PRVPFCC">#REF!</definedName>
    <definedName name="PSOallocatorsP">#REF!</definedName>
    <definedName name="PVHIOFPCBL">#REF!</definedName>
    <definedName name="PVHIOPCBL">#REF!</definedName>
    <definedName name="RatchetFactor">#REF!</definedName>
    <definedName name="RCRDRID">#REF!</definedName>
    <definedName name="RCTVHRS">#REF!</definedName>
    <definedName name="RDRBLK1C">#REF!</definedName>
    <definedName name="RDRBLK1Q">#REF!</definedName>
    <definedName name="RDRBLK2C">#REF!</definedName>
    <definedName name="RDRBLK2Q">#REF!</definedName>
    <definedName name="RDRBLK3C">#REF!</definedName>
    <definedName name="RDRBLK3Q">#REF!</definedName>
    <definedName name="RDRBLKTC">#REF!</definedName>
    <definedName name="RDRBLKTC1">#REF!</definedName>
    <definedName name="RDRBLKTC10">#REF!</definedName>
    <definedName name="RDRBLKTC11">#REF!</definedName>
    <definedName name="RDRBLKTC12">#REF!</definedName>
    <definedName name="RDRBLKTC13">#REF!</definedName>
    <definedName name="RDRBLKTC14">#REF!</definedName>
    <definedName name="RDRBLKTC15">#REF!</definedName>
    <definedName name="RDRBLKTC16">#REF!</definedName>
    <definedName name="RDRBLKTC17">#REF!</definedName>
    <definedName name="RDRBLKTC18">#REF!</definedName>
    <definedName name="RDRBLKTC19">#REF!</definedName>
    <definedName name="RDRBLKTC2">#REF!</definedName>
    <definedName name="RDRBLKTC20">#REF!</definedName>
    <definedName name="RDRBLKTC3">#REF!</definedName>
    <definedName name="RDRBLKTC4">#REF!</definedName>
    <definedName name="RDRBLKTC5">#REF!</definedName>
    <definedName name="RDRBLKTC6">#REF!</definedName>
    <definedName name="RDRBLKTC7">#REF!</definedName>
    <definedName name="RDRBLKTC8">#REF!</definedName>
    <definedName name="RDRBLKTC9">#REF!</definedName>
    <definedName name="RDRBLKTQ">#REF!</definedName>
    <definedName name="RDRCODE">#REF!</definedName>
    <definedName name="RDRCYCLE">#REF!</definedName>
    <definedName name="RDRDATE">#REF!</definedName>
    <definedName name="RDRNAME">#REF!</definedName>
    <definedName name="RDRRATEB">#REF!</definedName>
    <definedName name="RDRRATEB1">#REF!</definedName>
    <definedName name="RDRRATEB10">#REF!</definedName>
    <definedName name="RDRRATEB11">#REF!</definedName>
    <definedName name="RDRRATEB12">#REF!</definedName>
    <definedName name="RDRRATEB13">#REF!</definedName>
    <definedName name="RDRRATEB14">#REF!</definedName>
    <definedName name="RDRRATEB15">#REF!</definedName>
    <definedName name="RDRRATEB16">#REF!</definedName>
    <definedName name="RDRRATEB17">#REF!</definedName>
    <definedName name="RDRRATEB18">#REF!</definedName>
    <definedName name="RDRRATEB19">#REF!</definedName>
    <definedName name="RDRRATEB2">#REF!</definedName>
    <definedName name="RDRRATEB20">#REF!</definedName>
    <definedName name="RDRRATEB3">#REF!</definedName>
    <definedName name="RDRRATEB4">#REF!</definedName>
    <definedName name="RDRRATEB5">#REF!</definedName>
    <definedName name="RDRRATEB6">#REF!</definedName>
    <definedName name="RDRRATEB7">#REF!</definedName>
    <definedName name="RDRRATEB8">#REF!</definedName>
    <definedName name="RDRRATEB9">#REF!</definedName>
    <definedName name="RDRRATED">#REF!</definedName>
    <definedName name="RDRRATED1">#REF!</definedName>
    <definedName name="RDRRATED10">#REF!</definedName>
    <definedName name="RDRRATED11">#REF!</definedName>
    <definedName name="RDRRATED12">#REF!</definedName>
    <definedName name="RDRRATED13">#REF!</definedName>
    <definedName name="RDRRATED14">#REF!</definedName>
    <definedName name="RDRRATED15">#REF!</definedName>
    <definedName name="RDRRATED16">#REF!</definedName>
    <definedName name="RDRRATED17">#REF!</definedName>
    <definedName name="RDRRATED18">#REF!</definedName>
    <definedName name="RDRRATED19">#REF!</definedName>
    <definedName name="RDRRATED2">#REF!</definedName>
    <definedName name="RDRRATED20">#REF!</definedName>
    <definedName name="RDRRATED3">#REF!</definedName>
    <definedName name="RDRRATED4">#REF!</definedName>
    <definedName name="RDRRATED5">#REF!</definedName>
    <definedName name="RDRRATED6">#REF!</definedName>
    <definedName name="RDRRATED7">#REF!</definedName>
    <definedName name="RDRRATED8">#REF!</definedName>
    <definedName name="RDRRATED9">#REF!</definedName>
    <definedName name="RDRRATEG">#REF!</definedName>
    <definedName name="RDRRATEG1">#REF!</definedName>
    <definedName name="RDRRATEG10">#REF!</definedName>
    <definedName name="RDRRATEG11">#REF!</definedName>
    <definedName name="RDRRATEG12">#REF!</definedName>
    <definedName name="RDRRATEG13">#REF!</definedName>
    <definedName name="RDRRATEG14">#REF!</definedName>
    <definedName name="RDRRATEG15">#REF!</definedName>
    <definedName name="RDRRATEG16">#REF!</definedName>
    <definedName name="RDRRATEG17">#REF!</definedName>
    <definedName name="RDRRATEG18">#REF!</definedName>
    <definedName name="RDRRATEG19">#REF!</definedName>
    <definedName name="RDRRATEG2">#REF!</definedName>
    <definedName name="RDRRATEG20">#REF!</definedName>
    <definedName name="RDRRATEG3">#REF!</definedName>
    <definedName name="RDRRATEG4">#REF!</definedName>
    <definedName name="RDRRATEG5">#REF!</definedName>
    <definedName name="RDRRATEG6">#REF!</definedName>
    <definedName name="RDRRATEG7">#REF!</definedName>
    <definedName name="RDRRATEG8">#REF!</definedName>
    <definedName name="RDRRATEG9">#REF!</definedName>
    <definedName name="RDRRATET">#REF!</definedName>
    <definedName name="RDRRATET1">#REF!</definedName>
    <definedName name="RDRRATET10">#REF!</definedName>
    <definedName name="RDRRATET11">#REF!</definedName>
    <definedName name="RDRRATET12">#REF!</definedName>
    <definedName name="RDRRATET13">#REF!</definedName>
    <definedName name="RDRRATET14">#REF!</definedName>
    <definedName name="RDRRATET15">#REF!</definedName>
    <definedName name="RDRRATET16">#REF!</definedName>
    <definedName name="RDRRATET17">#REF!</definedName>
    <definedName name="RDRRATET18">#REF!</definedName>
    <definedName name="RDRRATET19">#REF!</definedName>
    <definedName name="RDRRATET2">#REF!</definedName>
    <definedName name="RDRRATET20">#REF!</definedName>
    <definedName name="RDRRATET3">#REF!</definedName>
    <definedName name="RDRRATET4">#REF!</definedName>
    <definedName name="RDRRATET5">#REF!</definedName>
    <definedName name="RDRRATET6">#REF!</definedName>
    <definedName name="RDRRATET7">#REF!</definedName>
    <definedName name="RDRRATET8">#REF!</definedName>
    <definedName name="RDRRATET9">#REF!</definedName>
    <definedName name="RDRTYPE">#REF!</definedName>
    <definedName name="RDRUNITS">#REF!</definedName>
    <definedName name="_xlnm.Recorder">#REF!</definedName>
    <definedName name="Reserved_Section">#REF!</definedName>
    <definedName name="RIDERS">#REF!</definedName>
    <definedName name="RKVAHRDNG">#REF!</definedName>
    <definedName name="RTCHTCNTRCTCPCT">#REF!</definedName>
    <definedName name="RTCHTFCTR">#REF!</definedName>
    <definedName name="RTCHTFCTR2">#REF!</definedName>
    <definedName name="RTCHTHIPREVKW">#REF!</definedName>
    <definedName name="RTP_Detail">#REF!</definedName>
    <definedName name="RTPLRKW">#REF!</definedName>
    <definedName name="SDI">#REF!</definedName>
    <definedName name="SHLDRPKKW">#REF!</definedName>
    <definedName name="SHLDRPKKWDT">#REF!</definedName>
    <definedName name="SHLDRPKKWTM">#REF!</definedName>
    <definedName name="SHRDTRNSKWH">#REF!</definedName>
    <definedName name="SRPLSKWH">#REF!</definedName>
    <definedName name="STARTDTM">#REF!</definedName>
    <definedName name="State">#REF!</definedName>
    <definedName name="STDKW">#REF!</definedName>
    <definedName name="STDKWDT">#REF!</definedName>
    <definedName name="STDKWTM">#REF!</definedName>
    <definedName name="STRTTIME">#REF!</definedName>
    <definedName name="SWPallocatorsH">#REF!</definedName>
    <definedName name="SWPallocatorsP">#REF!</definedName>
    <definedName name="SYSPKKW">#REF!</definedName>
    <definedName name="SYSPKKWDT">#REF!</definedName>
    <definedName name="SYSPKKWTM">#REF!</definedName>
    <definedName name="TARIFF1">#REF!</definedName>
    <definedName name="TARIFF2">#REF!</definedName>
    <definedName name="TariffCode">#REF!</definedName>
    <definedName name="TariffLongName">#REF!</definedName>
    <definedName name="TariffShortName">#REF!</definedName>
    <definedName name="TAXDATE">#REF!</definedName>
    <definedName name="TAXES">#REF!</definedName>
    <definedName name="TAXNAME">#REF!</definedName>
    <definedName name="TAXRATE">#REF!</definedName>
    <definedName name="TAXTYPE">#REF!</definedName>
    <definedName name="TCst">#REF!</definedName>
    <definedName name="TCst1">#REF!</definedName>
    <definedName name="TIRPCCHG">#REF!</definedName>
    <definedName name="TIRPDCHG1">#REF!</definedName>
    <definedName name="TIRPDCHG2">#REF!</definedName>
    <definedName name="TIRPECHG1">#REF!</definedName>
    <definedName name="TIRPECHGB1">#REF!</definedName>
    <definedName name="TIRPECHGB2">#REF!</definedName>
    <definedName name="TIRPECHGB3">#REF!</definedName>
    <definedName name="TIRPMECHG1">#REF!</definedName>
    <definedName name="TIRPMINDC">#REF!</definedName>
    <definedName name="TIRPMINEC">#REF!</definedName>
    <definedName name="TIRPOFKVA">#REF!</definedName>
    <definedName name="TIRPOFKW">#REF!</definedName>
    <definedName name="TIRPOFKWH">#REF!</definedName>
    <definedName name="TIRPOPKWH">#REF!</definedName>
    <definedName name="TIRPP1EC">#REF!</definedName>
    <definedName name="TIRPP2EC">#REF!</definedName>
    <definedName name="TIRPP3EC">#REF!</definedName>
    <definedName name="TIRPP4EC">#REF!</definedName>
    <definedName name="TIRPP5EC">#REF!</definedName>
    <definedName name="TIRPRCHG">#REF!</definedName>
    <definedName name="TLsFctr">#REF!</definedName>
    <definedName name="TRCRDKWH">#REF!</definedName>
    <definedName name="TRCRDKWH2P">#REF!</definedName>
    <definedName name="TRFDATE1">#REF!</definedName>
    <definedName name="TRFDATE2">#REF!</definedName>
    <definedName name="TRFNAME1">#REF!</definedName>
    <definedName name="TRFNAME2">#REF!</definedName>
    <definedName name="TRFSHORTNM1">#REF!</definedName>
    <definedName name="TRFSHORTNM2">#REF!</definedName>
    <definedName name="TrnBlkKwhChg1">#REF!</definedName>
    <definedName name="TrnBlkKwhChg2">#REF!</definedName>
    <definedName name="TrnBlkKwhChg3">#REF!</definedName>
    <definedName name="TrnBlkKwhChgT">#REF!</definedName>
    <definedName name="TRNCCHG">#REF!</definedName>
    <definedName name="TrnCustChg">#REF!</definedName>
    <definedName name="TRNDCHG1">#REF!</definedName>
    <definedName name="TRNDCHG2">#REF!</definedName>
    <definedName name="TrnDmdChg1">#REF!</definedName>
    <definedName name="TrnDmdChg2">#REF!</definedName>
    <definedName name="TRNECHG1">#REF!</definedName>
    <definedName name="TRNECHGB1">#REF!</definedName>
    <definedName name="TRNECHGB2">#REF!</definedName>
    <definedName name="TRNECHGB3">#REF!</definedName>
    <definedName name="TrnMEChg">#REF!</definedName>
    <definedName name="TRNMECHG1">#REF!</definedName>
    <definedName name="TRNMINDC">#REF!</definedName>
    <definedName name="TrnMinDChg">#REF!</definedName>
    <definedName name="TRNMINEC">#REF!</definedName>
    <definedName name="TrnMinEChg">#REF!</definedName>
    <definedName name="TrnOffPkKwh">#REF!</definedName>
    <definedName name="TRNOFKWH">#REF!</definedName>
    <definedName name="TrnOnPkKwh">#REF!</definedName>
    <definedName name="TRNOPKWH">#REF!</definedName>
    <definedName name="TRNP1EC">#REF!</definedName>
    <definedName name="TRNP2EC">#REF!</definedName>
    <definedName name="TRNP3EC">#REF!</definedName>
    <definedName name="TRNP4EC">#REF!</definedName>
    <definedName name="TRNP5EC">#REF!</definedName>
    <definedName name="TrnPL1Chg">#REF!</definedName>
    <definedName name="TrnPL2Chg">#REF!</definedName>
    <definedName name="TrnPL3Chg">#REF!</definedName>
    <definedName name="TrnPL4Chg">#REF!</definedName>
    <definedName name="TrnPL5Chg">#REF!</definedName>
    <definedName name="TRNRCHG">#REF!</definedName>
    <definedName name="TrnReactiveChg">#REF!</definedName>
    <definedName name="TRNSKWTOFPK">#REF!</definedName>
    <definedName name="TRNSKWTONPK">#REF!</definedName>
    <definedName name="TRNXOFKVA">#REF!</definedName>
    <definedName name="TRNXOFKW">#REF!</definedName>
    <definedName name="TrnXOfpKvaChg">#REF!</definedName>
    <definedName name="TrnXOfpKwChg">#REF!</definedName>
    <definedName name="TTLBSRATETTL">#REF!</definedName>
    <definedName name="TTLCOGENKWH">#REF!</definedName>
    <definedName name="UNBUNDIND">#REF!</definedName>
    <definedName name="Zip">#REF!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91" i="56" l="1"/>
  <c r="E91" i="52"/>
  <c r="E91" i="51"/>
  <c r="E91" i="50"/>
  <c r="D91" i="49"/>
  <c r="E91" i="49"/>
  <c r="E91" i="48"/>
  <c r="E91" i="47"/>
  <c r="D91" i="47"/>
  <c r="D91" i="46"/>
  <c r="E91" i="46"/>
  <c r="E91" i="45"/>
  <c r="E91" i="44"/>
  <c r="E91" i="43"/>
  <c r="E91" i="42"/>
  <c r="E91" i="41"/>
  <c r="E91" i="40"/>
  <c r="E91" i="39"/>
  <c r="E91" i="38"/>
  <c r="E91" i="37"/>
  <c r="E91" i="27"/>
  <c r="E91" i="25"/>
  <c r="E91" i="24"/>
  <c r="F91" i="23"/>
  <c r="E91" i="23"/>
  <c r="F91" i="22"/>
  <c r="E91" i="22"/>
  <c r="F91" i="11"/>
  <c r="E91" i="11"/>
  <c r="F91" i="10"/>
  <c r="E91" i="10"/>
  <c r="F91" i="9" l="1"/>
  <c r="E91" i="9"/>
  <c r="F91" i="8"/>
  <c r="E91" i="8"/>
  <c r="F91" i="7"/>
  <c r="E91" i="7"/>
  <c r="F91" i="6"/>
  <c r="F91" i="5"/>
  <c r="E91" i="5"/>
  <c r="F91" i="4"/>
  <c r="F91" i="3"/>
  <c r="E91" i="3"/>
  <c r="D93" i="56" l="1"/>
  <c r="D94" i="56"/>
  <c r="O99" i="56"/>
  <c r="M99" i="56"/>
  <c r="M17" i="56"/>
  <c r="N17" i="56" s="1"/>
  <c r="K17" i="56"/>
  <c r="L17" i="56" s="1"/>
  <c r="P154" i="56"/>
  <c r="O154" i="56"/>
  <c r="M154" i="56"/>
  <c r="J154" i="56"/>
  <c r="P153" i="56"/>
  <c r="O153" i="56"/>
  <c r="M153" i="56"/>
  <c r="J153" i="56"/>
  <c r="P152" i="56"/>
  <c r="O152" i="56"/>
  <c r="M152" i="56"/>
  <c r="J152" i="56"/>
  <c r="P151" i="56"/>
  <c r="O151" i="56"/>
  <c r="M151" i="56"/>
  <c r="J151" i="56"/>
  <c r="P150" i="56"/>
  <c r="O150" i="56"/>
  <c r="M150" i="56"/>
  <c r="J150" i="56"/>
  <c r="P149" i="56"/>
  <c r="O149" i="56"/>
  <c r="M149" i="56"/>
  <c r="J149" i="56"/>
  <c r="P148" i="56"/>
  <c r="O148" i="56"/>
  <c r="M148" i="56"/>
  <c r="J148" i="56"/>
  <c r="P147" i="56"/>
  <c r="O147" i="56"/>
  <c r="M147" i="56"/>
  <c r="J147" i="56"/>
  <c r="P146" i="56"/>
  <c r="O146" i="56"/>
  <c r="M146" i="56"/>
  <c r="J146" i="56"/>
  <c r="P145" i="56"/>
  <c r="O145" i="56"/>
  <c r="M145" i="56"/>
  <c r="J145" i="56"/>
  <c r="P144" i="56"/>
  <c r="O144" i="56"/>
  <c r="M144" i="56"/>
  <c r="J144" i="56"/>
  <c r="P143" i="56"/>
  <c r="O143" i="56"/>
  <c r="M143" i="56"/>
  <c r="J143" i="56"/>
  <c r="P142" i="56"/>
  <c r="O142" i="56"/>
  <c r="M142" i="56"/>
  <c r="J142" i="56"/>
  <c r="P141" i="56"/>
  <c r="O141" i="56"/>
  <c r="M141" i="56"/>
  <c r="J141" i="56"/>
  <c r="P140" i="56"/>
  <c r="O140" i="56"/>
  <c r="M140" i="56"/>
  <c r="J140" i="56"/>
  <c r="P139" i="56"/>
  <c r="O139" i="56"/>
  <c r="M139" i="56"/>
  <c r="J139" i="56"/>
  <c r="P138" i="56"/>
  <c r="O138" i="56"/>
  <c r="M138" i="56"/>
  <c r="J138" i="56"/>
  <c r="P137" i="56"/>
  <c r="O137" i="56"/>
  <c r="M137" i="56"/>
  <c r="J137" i="56"/>
  <c r="P136" i="56"/>
  <c r="O136" i="56"/>
  <c r="M136" i="56"/>
  <c r="J136" i="56"/>
  <c r="P135" i="56"/>
  <c r="O135" i="56"/>
  <c r="M135" i="56"/>
  <c r="J135" i="56"/>
  <c r="P134" i="56"/>
  <c r="O134" i="56"/>
  <c r="M134" i="56"/>
  <c r="J134" i="56"/>
  <c r="P133" i="56"/>
  <c r="O133" i="56"/>
  <c r="M133" i="56"/>
  <c r="J133" i="56"/>
  <c r="P132" i="56"/>
  <c r="O132" i="56"/>
  <c r="M132" i="56"/>
  <c r="J132" i="56"/>
  <c r="P131" i="56"/>
  <c r="O131" i="56"/>
  <c r="M131" i="56"/>
  <c r="J131" i="56"/>
  <c r="O130" i="56"/>
  <c r="M130" i="56"/>
  <c r="O129" i="56"/>
  <c r="M129" i="56"/>
  <c r="O128" i="56"/>
  <c r="M128" i="56"/>
  <c r="O127" i="56"/>
  <c r="M127" i="56"/>
  <c r="O126" i="56"/>
  <c r="M126" i="56"/>
  <c r="O125" i="56"/>
  <c r="M125" i="56"/>
  <c r="O124" i="56"/>
  <c r="M124" i="56"/>
  <c r="O123" i="56"/>
  <c r="M123" i="56"/>
  <c r="O122" i="56"/>
  <c r="M122" i="56"/>
  <c r="O121" i="56"/>
  <c r="M121" i="56"/>
  <c r="O120" i="56"/>
  <c r="M120" i="56"/>
  <c r="O119" i="56"/>
  <c r="M119" i="56"/>
  <c r="O118" i="56"/>
  <c r="M118" i="56"/>
  <c r="O117" i="56"/>
  <c r="M117" i="56"/>
  <c r="O116" i="56"/>
  <c r="M116" i="56"/>
  <c r="O115" i="56"/>
  <c r="M115" i="56"/>
  <c r="O114" i="56"/>
  <c r="M114" i="56"/>
  <c r="O113" i="56"/>
  <c r="M113" i="56"/>
  <c r="O112" i="56"/>
  <c r="M112" i="56"/>
  <c r="O111" i="56"/>
  <c r="M111" i="56"/>
  <c r="O110" i="56"/>
  <c r="M110" i="56"/>
  <c r="O109" i="56"/>
  <c r="M109" i="56"/>
  <c r="O108" i="56"/>
  <c r="M108" i="56"/>
  <c r="O107" i="56"/>
  <c r="M107" i="56"/>
  <c r="O106" i="56"/>
  <c r="M106" i="56"/>
  <c r="O105" i="56"/>
  <c r="M105" i="56"/>
  <c r="O104" i="56"/>
  <c r="M104" i="56"/>
  <c r="O103" i="56"/>
  <c r="M103" i="56"/>
  <c r="O102" i="56"/>
  <c r="M102" i="56"/>
  <c r="O101" i="56"/>
  <c r="M101" i="56"/>
  <c r="O100" i="56"/>
  <c r="M100" i="56"/>
  <c r="C99" i="56"/>
  <c r="C100" i="56" s="1"/>
  <c r="C101" i="56" s="1"/>
  <c r="C102" i="56" s="1"/>
  <c r="C103" i="56" s="1"/>
  <c r="C104" i="56" s="1"/>
  <c r="C105" i="56" s="1"/>
  <c r="C106" i="56" s="1"/>
  <c r="C107" i="56" s="1"/>
  <c r="C108" i="56" s="1"/>
  <c r="C109" i="56" s="1"/>
  <c r="C110" i="56" s="1"/>
  <c r="C111" i="56" s="1"/>
  <c r="C112" i="56" s="1"/>
  <c r="C113" i="56" s="1"/>
  <c r="C114" i="56" s="1"/>
  <c r="C115" i="56" s="1"/>
  <c r="C116" i="56" s="1"/>
  <c r="C117" i="56" s="1"/>
  <c r="C118" i="56" s="1"/>
  <c r="C119" i="56" s="1"/>
  <c r="C120" i="56" s="1"/>
  <c r="C121" i="56" s="1"/>
  <c r="C122" i="56" s="1"/>
  <c r="C123" i="56" s="1"/>
  <c r="C124" i="56" s="1"/>
  <c r="C125" i="56" s="1"/>
  <c r="C126" i="56" s="1"/>
  <c r="D96" i="56"/>
  <c r="L93" i="56"/>
  <c r="J93" i="56"/>
  <c r="D91" i="56"/>
  <c r="D89" i="56"/>
  <c r="N72" i="56"/>
  <c r="L72" i="56"/>
  <c r="N71" i="56"/>
  <c r="L71" i="56"/>
  <c r="N70" i="56"/>
  <c r="L70" i="56"/>
  <c r="N69" i="56"/>
  <c r="L69" i="56"/>
  <c r="N68" i="56"/>
  <c r="L68" i="56"/>
  <c r="N67" i="56"/>
  <c r="L67" i="56"/>
  <c r="N66" i="56"/>
  <c r="L66" i="56"/>
  <c r="N65" i="56"/>
  <c r="L65" i="56"/>
  <c r="N64" i="56"/>
  <c r="L64" i="56"/>
  <c r="N63" i="56"/>
  <c r="L63" i="56"/>
  <c r="N62" i="56"/>
  <c r="L62" i="56"/>
  <c r="N61" i="56"/>
  <c r="L61" i="56"/>
  <c r="N60" i="56"/>
  <c r="L60" i="56"/>
  <c r="N59" i="56"/>
  <c r="L59" i="56"/>
  <c r="N58" i="56"/>
  <c r="L58" i="56"/>
  <c r="N57" i="56"/>
  <c r="L57" i="56"/>
  <c r="N56" i="56"/>
  <c r="L56" i="56"/>
  <c r="N55" i="56"/>
  <c r="L55" i="56"/>
  <c r="N54" i="56"/>
  <c r="L54" i="56"/>
  <c r="N53" i="56"/>
  <c r="L53" i="56"/>
  <c r="N52" i="56"/>
  <c r="L52" i="56"/>
  <c r="N51" i="56"/>
  <c r="L51" i="56"/>
  <c r="N50" i="56"/>
  <c r="L50" i="56"/>
  <c r="N49" i="56"/>
  <c r="L49" i="56"/>
  <c r="N48" i="56"/>
  <c r="L48" i="56"/>
  <c r="N47" i="56"/>
  <c r="L47" i="56"/>
  <c r="N46" i="56"/>
  <c r="L46" i="56"/>
  <c r="N45" i="56"/>
  <c r="L45" i="56"/>
  <c r="N44" i="56"/>
  <c r="L44" i="56"/>
  <c r="N43" i="56"/>
  <c r="L43" i="56"/>
  <c r="N42" i="56"/>
  <c r="L42" i="56"/>
  <c r="N41" i="56"/>
  <c r="L41" i="56"/>
  <c r="N40" i="56"/>
  <c r="L40" i="56"/>
  <c r="N39" i="56"/>
  <c r="L39" i="56"/>
  <c r="N38" i="56"/>
  <c r="L38" i="56"/>
  <c r="N37" i="56"/>
  <c r="L37" i="56"/>
  <c r="N36" i="56"/>
  <c r="L36" i="56"/>
  <c r="N35" i="56"/>
  <c r="L35" i="56"/>
  <c r="N34" i="56"/>
  <c r="L34" i="56"/>
  <c r="N33" i="56"/>
  <c r="L33" i="56"/>
  <c r="N32" i="56"/>
  <c r="L32" i="56"/>
  <c r="N31" i="56"/>
  <c r="L31" i="56"/>
  <c r="N30" i="56"/>
  <c r="L30" i="56"/>
  <c r="N29" i="56"/>
  <c r="L29" i="56"/>
  <c r="N28" i="56"/>
  <c r="L28" i="56"/>
  <c r="N27" i="56"/>
  <c r="L27" i="56"/>
  <c r="N26" i="56"/>
  <c r="L26" i="56"/>
  <c r="N25" i="56"/>
  <c r="L25" i="56"/>
  <c r="N24" i="56"/>
  <c r="L24" i="56"/>
  <c r="N23" i="56"/>
  <c r="L23" i="56"/>
  <c r="N22" i="56"/>
  <c r="L22" i="56"/>
  <c r="N21" i="56"/>
  <c r="L21" i="56"/>
  <c r="N20" i="56"/>
  <c r="L20" i="56"/>
  <c r="N19" i="56"/>
  <c r="L19" i="56"/>
  <c r="N18" i="56"/>
  <c r="L18" i="56"/>
  <c r="C17" i="56"/>
  <c r="K11" i="56"/>
  <c r="I11" i="56"/>
  <c r="P1" i="56"/>
  <c r="P83" i="56" s="1"/>
  <c r="P1" i="52"/>
  <c r="P1" i="51"/>
  <c r="P1" i="50"/>
  <c r="P83" i="49"/>
  <c r="P1" i="49"/>
  <c r="P1" i="48"/>
  <c r="P83" i="48"/>
  <c r="P1" i="47"/>
  <c r="P113" i="56" l="1"/>
  <c r="O35" i="56"/>
  <c r="O39" i="56"/>
  <c r="P103" i="56"/>
  <c r="P115" i="56"/>
  <c r="P119" i="56"/>
  <c r="P121" i="56"/>
  <c r="P117" i="56"/>
  <c r="P111" i="56"/>
  <c r="P105" i="56"/>
  <c r="P109" i="56"/>
  <c r="O71" i="56"/>
  <c r="O40" i="56"/>
  <c r="O48" i="56"/>
  <c r="O52" i="56"/>
  <c r="O56" i="56"/>
  <c r="O64" i="56"/>
  <c r="O72" i="56"/>
  <c r="O22" i="56"/>
  <c r="O26" i="56"/>
  <c r="O38" i="56"/>
  <c r="P118" i="56"/>
  <c r="P107" i="56"/>
  <c r="O59" i="56"/>
  <c r="O20" i="56"/>
  <c r="O28" i="56"/>
  <c r="O32" i="56"/>
  <c r="P101" i="56"/>
  <c r="O43" i="56"/>
  <c r="P108" i="56"/>
  <c r="O41" i="56"/>
  <c r="O61" i="56"/>
  <c r="O69" i="56"/>
  <c r="P125" i="56"/>
  <c r="P129" i="56"/>
  <c r="P99" i="56"/>
  <c r="O17" i="56"/>
  <c r="O45" i="56"/>
  <c r="O49" i="56"/>
  <c r="O57" i="56"/>
  <c r="O65" i="56"/>
  <c r="O25" i="56"/>
  <c r="O50" i="56"/>
  <c r="O54" i="56"/>
  <c r="O66" i="56"/>
  <c r="O33" i="56"/>
  <c r="O63" i="56"/>
  <c r="O24" i="56"/>
  <c r="O36" i="56"/>
  <c r="O30" i="56"/>
  <c r="O37" i="56"/>
  <c r="O44" i="56"/>
  <c r="O51" i="56"/>
  <c r="O55" i="56"/>
  <c r="O62" i="56"/>
  <c r="O27" i="56"/>
  <c r="O70" i="56"/>
  <c r="O21" i="56"/>
  <c r="P102" i="56"/>
  <c r="O42" i="56"/>
  <c r="O46" i="56"/>
  <c r="O53" i="56"/>
  <c r="O60" i="56"/>
  <c r="O19" i="56"/>
  <c r="O29" i="56"/>
  <c r="P123" i="56"/>
  <c r="P127" i="56"/>
  <c r="C127" i="56"/>
  <c r="C128" i="56" s="1"/>
  <c r="C129" i="56" s="1"/>
  <c r="C130" i="56" s="1"/>
  <c r="C131" i="56" s="1"/>
  <c r="C132" i="56" s="1"/>
  <c r="C133" i="56" s="1"/>
  <c r="C134" i="56" s="1"/>
  <c r="C135" i="56" s="1"/>
  <c r="C136" i="56" s="1"/>
  <c r="C137" i="56" s="1"/>
  <c r="C138" i="56" s="1"/>
  <c r="C139" i="56" s="1"/>
  <c r="C140" i="56" s="1"/>
  <c r="C141" i="56" s="1"/>
  <c r="C142" i="56" s="1"/>
  <c r="C143" i="56" s="1"/>
  <c r="C144" i="56" s="1"/>
  <c r="C145" i="56" s="1"/>
  <c r="C146" i="56" s="1"/>
  <c r="C147" i="56" s="1"/>
  <c r="C148" i="56" s="1"/>
  <c r="C149" i="56" s="1"/>
  <c r="C150" i="56" s="1"/>
  <c r="C151" i="56" s="1"/>
  <c r="C152" i="56" s="1"/>
  <c r="C153" i="56" s="1"/>
  <c r="C154" i="56" s="1"/>
  <c r="O34" i="56"/>
  <c r="O47" i="56"/>
  <c r="O58" i="56"/>
  <c r="C18" i="56"/>
  <c r="C19" i="56" s="1"/>
  <c r="C20" i="56" s="1"/>
  <c r="C21" i="56" s="1"/>
  <c r="C22" i="56" s="1"/>
  <c r="C23" i="56" s="1"/>
  <c r="C24" i="56" s="1"/>
  <c r="C25" i="56" s="1"/>
  <c r="C26" i="56" s="1"/>
  <c r="C27" i="56" s="1"/>
  <c r="C28" i="56" s="1"/>
  <c r="C29" i="56" s="1"/>
  <c r="C30" i="56" s="1"/>
  <c r="C31" i="56" s="1"/>
  <c r="C32" i="56" s="1"/>
  <c r="C33" i="56" s="1"/>
  <c r="C34" i="56" s="1"/>
  <c r="C35" i="56" s="1"/>
  <c r="C36" i="56" s="1"/>
  <c r="C37" i="56" s="1"/>
  <c r="C38" i="56" s="1"/>
  <c r="C39" i="56" s="1"/>
  <c r="C40" i="56" s="1"/>
  <c r="C41" i="56" s="1"/>
  <c r="C42" i="56" s="1"/>
  <c r="C43" i="56" s="1"/>
  <c r="C44" i="56" s="1"/>
  <c r="O18" i="56"/>
  <c r="O31" i="56"/>
  <c r="O23" i="56"/>
  <c r="O68" i="56"/>
  <c r="P112" i="56"/>
  <c r="P110" i="56"/>
  <c r="O67" i="56"/>
  <c r="P114" i="56"/>
  <c r="P100" i="56"/>
  <c r="P116" i="56"/>
  <c r="P104" i="56"/>
  <c r="P120" i="56"/>
  <c r="P106" i="56"/>
  <c r="P122" i="56"/>
  <c r="P124" i="56"/>
  <c r="P126" i="56"/>
  <c r="P128" i="56"/>
  <c r="P130" i="56"/>
  <c r="C45" i="56" l="1"/>
  <c r="C46" i="56" s="1"/>
  <c r="C47" i="56" s="1"/>
  <c r="C48" i="56" s="1"/>
  <c r="C49" i="56" s="1"/>
  <c r="C50" i="56" s="1"/>
  <c r="C51" i="56" s="1"/>
  <c r="C52" i="56" s="1"/>
  <c r="C53" i="56" s="1"/>
  <c r="C54" i="56" s="1"/>
  <c r="C55" i="56" s="1"/>
  <c r="C56" i="56" s="1"/>
  <c r="C57" i="56" s="1"/>
  <c r="C58" i="56" s="1"/>
  <c r="C59" i="56" s="1"/>
  <c r="C60" i="56" s="1"/>
  <c r="C61" i="56" s="1"/>
  <c r="C62" i="56" s="1"/>
  <c r="C63" i="56" s="1"/>
  <c r="C64" i="56" s="1"/>
  <c r="C65" i="56" s="1"/>
  <c r="C66" i="56" s="1"/>
  <c r="C67" i="56" s="1"/>
  <c r="C68" i="56" s="1"/>
  <c r="C69" i="56" s="1"/>
  <c r="C70" i="56" s="1"/>
  <c r="C71" i="56" s="1"/>
  <c r="C72" i="56" s="1"/>
  <c r="I17" i="56" l="1"/>
  <c r="H3" i="17" l="1"/>
  <c r="L52" i="17" l="1"/>
  <c r="W52" i="17"/>
  <c r="L51" i="17"/>
  <c r="W51" i="17"/>
  <c r="W50" i="17"/>
  <c r="W49" i="17"/>
  <c r="P154" i="52" l="1"/>
  <c r="O154" i="52"/>
  <c r="M154" i="52"/>
  <c r="J154" i="52"/>
  <c r="P153" i="52"/>
  <c r="O153" i="52"/>
  <c r="M153" i="52"/>
  <c r="J153" i="52"/>
  <c r="P152" i="52"/>
  <c r="O152" i="52"/>
  <c r="M152" i="52"/>
  <c r="J152" i="52"/>
  <c r="P151" i="52"/>
  <c r="O151" i="52"/>
  <c r="M151" i="52"/>
  <c r="J151" i="52"/>
  <c r="P150" i="52"/>
  <c r="O150" i="52"/>
  <c r="M150" i="52"/>
  <c r="J150" i="52"/>
  <c r="P149" i="52"/>
  <c r="O149" i="52"/>
  <c r="M149" i="52"/>
  <c r="J149" i="52"/>
  <c r="P148" i="52"/>
  <c r="O148" i="52"/>
  <c r="M148" i="52"/>
  <c r="J148" i="52"/>
  <c r="P147" i="52"/>
  <c r="O147" i="52"/>
  <c r="M147" i="52"/>
  <c r="J147" i="52"/>
  <c r="P146" i="52"/>
  <c r="O146" i="52"/>
  <c r="M146" i="52"/>
  <c r="J146" i="52"/>
  <c r="P145" i="52"/>
  <c r="O145" i="52"/>
  <c r="M145" i="52"/>
  <c r="J145" i="52"/>
  <c r="P144" i="52"/>
  <c r="O144" i="52"/>
  <c r="M144" i="52"/>
  <c r="J144" i="52"/>
  <c r="P143" i="52"/>
  <c r="O143" i="52"/>
  <c r="M143" i="52"/>
  <c r="J143" i="52"/>
  <c r="P142" i="52"/>
  <c r="O142" i="52"/>
  <c r="M142" i="52"/>
  <c r="J142" i="52"/>
  <c r="P141" i="52"/>
  <c r="O141" i="52"/>
  <c r="M141" i="52"/>
  <c r="J141" i="52"/>
  <c r="P140" i="52"/>
  <c r="O140" i="52"/>
  <c r="M140" i="52"/>
  <c r="J140" i="52"/>
  <c r="P139" i="52"/>
  <c r="O139" i="52"/>
  <c r="M139" i="52"/>
  <c r="J139" i="52"/>
  <c r="P138" i="52"/>
  <c r="O138" i="52"/>
  <c r="M138" i="52"/>
  <c r="J138" i="52"/>
  <c r="P137" i="52"/>
  <c r="O137" i="52"/>
  <c r="M137" i="52"/>
  <c r="J137" i="52"/>
  <c r="P136" i="52"/>
  <c r="O136" i="52"/>
  <c r="M136" i="52"/>
  <c r="J136" i="52"/>
  <c r="P135" i="52"/>
  <c r="O135" i="52"/>
  <c r="M135" i="52"/>
  <c r="J135" i="52"/>
  <c r="P134" i="52"/>
  <c r="O134" i="52"/>
  <c r="M134" i="52"/>
  <c r="J134" i="52"/>
  <c r="P133" i="52"/>
  <c r="O133" i="52"/>
  <c r="M133" i="52"/>
  <c r="J133" i="52"/>
  <c r="P132" i="52"/>
  <c r="O132" i="52"/>
  <c r="M132" i="52"/>
  <c r="J132" i="52"/>
  <c r="P131" i="52"/>
  <c r="O131" i="52"/>
  <c r="M131" i="52"/>
  <c r="J131" i="52"/>
  <c r="O130" i="52"/>
  <c r="M130" i="52"/>
  <c r="O129" i="52"/>
  <c r="M129" i="52"/>
  <c r="O128" i="52"/>
  <c r="M128" i="52"/>
  <c r="O127" i="52"/>
  <c r="M127" i="52"/>
  <c r="O126" i="52"/>
  <c r="M126" i="52"/>
  <c r="O125" i="52"/>
  <c r="M125" i="52"/>
  <c r="O124" i="52"/>
  <c r="M124" i="52"/>
  <c r="O123" i="52"/>
  <c r="M123" i="52"/>
  <c r="O122" i="52"/>
  <c r="M122" i="52"/>
  <c r="O121" i="52"/>
  <c r="M121" i="52"/>
  <c r="O120" i="52"/>
  <c r="M120" i="52"/>
  <c r="O119" i="52"/>
  <c r="M119" i="52"/>
  <c r="O118" i="52"/>
  <c r="M118" i="52"/>
  <c r="O117" i="52"/>
  <c r="M117" i="52"/>
  <c r="O116" i="52"/>
  <c r="M116" i="52"/>
  <c r="O115" i="52"/>
  <c r="M115" i="52"/>
  <c r="O114" i="52"/>
  <c r="M114" i="52"/>
  <c r="O113" i="52"/>
  <c r="M113" i="52"/>
  <c r="O112" i="52"/>
  <c r="M112" i="52"/>
  <c r="O111" i="52"/>
  <c r="M111" i="52"/>
  <c r="O110" i="52"/>
  <c r="M110" i="52"/>
  <c r="O109" i="52"/>
  <c r="M109" i="52"/>
  <c r="O108" i="52"/>
  <c r="M108" i="52"/>
  <c r="O107" i="52"/>
  <c r="M107" i="52"/>
  <c r="O106" i="52"/>
  <c r="M106" i="52"/>
  <c r="O105" i="52"/>
  <c r="M105" i="52"/>
  <c r="O104" i="52"/>
  <c r="M104" i="52"/>
  <c r="O103" i="52"/>
  <c r="M103" i="52"/>
  <c r="O102" i="52"/>
  <c r="M102" i="52"/>
  <c r="O101" i="52"/>
  <c r="M101" i="52"/>
  <c r="O100" i="52"/>
  <c r="M100" i="52"/>
  <c r="O99" i="52"/>
  <c r="M99" i="52"/>
  <c r="C99" i="52"/>
  <c r="C100" i="52" s="1"/>
  <c r="C101" i="52" s="1"/>
  <c r="C102" i="52" s="1"/>
  <c r="C103" i="52" s="1"/>
  <c r="C104" i="52" s="1"/>
  <c r="C105" i="52" s="1"/>
  <c r="C106" i="52" s="1"/>
  <c r="C107" i="52" s="1"/>
  <c r="C108" i="52" s="1"/>
  <c r="C109" i="52" s="1"/>
  <c r="C110" i="52" s="1"/>
  <c r="C111" i="52" s="1"/>
  <c r="C112" i="52" s="1"/>
  <c r="C113" i="52" s="1"/>
  <c r="C114" i="52" s="1"/>
  <c r="C115" i="52" s="1"/>
  <c r="C116" i="52" s="1"/>
  <c r="C117" i="52" s="1"/>
  <c r="C118" i="52" s="1"/>
  <c r="C119" i="52" s="1"/>
  <c r="C120" i="52" s="1"/>
  <c r="C121" i="52" s="1"/>
  <c r="C122" i="52" s="1"/>
  <c r="C123" i="52" s="1"/>
  <c r="C124" i="52" s="1"/>
  <c r="C125" i="52" s="1"/>
  <c r="C126" i="52" s="1"/>
  <c r="C127" i="52" s="1"/>
  <c r="C128" i="52" s="1"/>
  <c r="C129" i="52" s="1"/>
  <c r="C130" i="52" s="1"/>
  <c r="C131" i="52" s="1"/>
  <c r="C132" i="52" s="1"/>
  <c r="C133" i="52" s="1"/>
  <c r="C134" i="52" s="1"/>
  <c r="C135" i="52" s="1"/>
  <c r="C136" i="52" s="1"/>
  <c r="C137" i="52" s="1"/>
  <c r="C138" i="52" s="1"/>
  <c r="C139" i="52" s="1"/>
  <c r="C140" i="52" s="1"/>
  <c r="C141" i="52" s="1"/>
  <c r="C142" i="52" s="1"/>
  <c r="C143" i="52" s="1"/>
  <c r="C144" i="52" s="1"/>
  <c r="C145" i="52" s="1"/>
  <c r="C146" i="52" s="1"/>
  <c r="C147" i="52" s="1"/>
  <c r="C148" i="52" s="1"/>
  <c r="C149" i="52" s="1"/>
  <c r="C150" i="52" s="1"/>
  <c r="C151" i="52" s="1"/>
  <c r="C152" i="52" s="1"/>
  <c r="C153" i="52" s="1"/>
  <c r="C154" i="52" s="1"/>
  <c r="D96" i="52"/>
  <c r="L93" i="52"/>
  <c r="J93" i="52"/>
  <c r="D92" i="52"/>
  <c r="D91" i="52"/>
  <c r="D89" i="52"/>
  <c r="N72" i="52"/>
  <c r="L72" i="52"/>
  <c r="N71" i="52"/>
  <c r="L71" i="52"/>
  <c r="N70" i="52"/>
  <c r="L70" i="52"/>
  <c r="N69" i="52"/>
  <c r="L69" i="52"/>
  <c r="N68" i="52"/>
  <c r="L68" i="52"/>
  <c r="N67" i="52"/>
  <c r="L67" i="52"/>
  <c r="N66" i="52"/>
  <c r="L66" i="52"/>
  <c r="N65" i="52"/>
  <c r="L65" i="52"/>
  <c r="N64" i="52"/>
  <c r="L64" i="52"/>
  <c r="N63" i="52"/>
  <c r="L63" i="52"/>
  <c r="N62" i="52"/>
  <c r="L62" i="52"/>
  <c r="N61" i="52"/>
  <c r="L61" i="52"/>
  <c r="N60" i="52"/>
  <c r="L60" i="52"/>
  <c r="N59" i="52"/>
  <c r="L59" i="52"/>
  <c r="N58" i="52"/>
  <c r="L58" i="52"/>
  <c r="N57" i="52"/>
  <c r="L57" i="52"/>
  <c r="N56" i="52"/>
  <c r="L56" i="52"/>
  <c r="N55" i="52"/>
  <c r="L55" i="52"/>
  <c r="N54" i="52"/>
  <c r="L54" i="52"/>
  <c r="N53" i="52"/>
  <c r="L53" i="52"/>
  <c r="N52" i="52"/>
  <c r="L52" i="52"/>
  <c r="N51" i="52"/>
  <c r="L51" i="52"/>
  <c r="N50" i="52"/>
  <c r="L50" i="52"/>
  <c r="N49" i="52"/>
  <c r="L49" i="52"/>
  <c r="N48" i="52"/>
  <c r="L48" i="52"/>
  <c r="N47" i="52"/>
  <c r="L47" i="52"/>
  <c r="N46" i="52"/>
  <c r="L46" i="52"/>
  <c r="N45" i="52"/>
  <c r="L45" i="52"/>
  <c r="N44" i="52"/>
  <c r="L44" i="52"/>
  <c r="N43" i="52"/>
  <c r="L43" i="52"/>
  <c r="N42" i="52"/>
  <c r="L42" i="52"/>
  <c r="N41" i="52"/>
  <c r="L41" i="52"/>
  <c r="N40" i="52"/>
  <c r="L40" i="52"/>
  <c r="N39" i="52"/>
  <c r="L39" i="52"/>
  <c r="N38" i="52"/>
  <c r="L38" i="52"/>
  <c r="N37" i="52"/>
  <c r="L37" i="52"/>
  <c r="N36" i="52"/>
  <c r="L36" i="52"/>
  <c r="N35" i="52"/>
  <c r="L35" i="52"/>
  <c r="N34" i="52"/>
  <c r="L34" i="52"/>
  <c r="N33" i="52"/>
  <c r="L33" i="52"/>
  <c r="N32" i="52"/>
  <c r="L32" i="52"/>
  <c r="N31" i="52"/>
  <c r="L31" i="52"/>
  <c r="N30" i="52"/>
  <c r="L30" i="52"/>
  <c r="N29" i="52"/>
  <c r="L29" i="52"/>
  <c r="N28" i="52"/>
  <c r="L28" i="52"/>
  <c r="N27" i="52"/>
  <c r="L27" i="52"/>
  <c r="N26" i="52"/>
  <c r="L26" i="52"/>
  <c r="N25" i="52"/>
  <c r="L25" i="52"/>
  <c r="O25" i="52" s="1"/>
  <c r="N24" i="52"/>
  <c r="L24" i="52"/>
  <c r="N23" i="52"/>
  <c r="L23" i="52"/>
  <c r="N22" i="52"/>
  <c r="L22" i="52"/>
  <c r="N21" i="52"/>
  <c r="L21" i="52"/>
  <c r="N20" i="52"/>
  <c r="L20" i="52"/>
  <c r="N19" i="52"/>
  <c r="L19" i="52"/>
  <c r="N18" i="52"/>
  <c r="L18" i="52"/>
  <c r="N17" i="52"/>
  <c r="L17" i="52"/>
  <c r="E17" i="52"/>
  <c r="C17" i="52"/>
  <c r="C18" i="52" s="1"/>
  <c r="C19" i="52" s="1"/>
  <c r="C20" i="52" s="1"/>
  <c r="C21" i="52" s="1"/>
  <c r="C22" i="52" s="1"/>
  <c r="C23" i="52" s="1"/>
  <c r="C24" i="52" s="1"/>
  <c r="C25" i="52" s="1"/>
  <c r="C26" i="52" s="1"/>
  <c r="C27" i="52" s="1"/>
  <c r="C28" i="52" s="1"/>
  <c r="C29" i="52" s="1"/>
  <c r="C30" i="52" s="1"/>
  <c r="C31" i="52" s="1"/>
  <c r="C32" i="52" s="1"/>
  <c r="C33" i="52" s="1"/>
  <c r="C34" i="52" s="1"/>
  <c r="C35" i="52" s="1"/>
  <c r="C36" i="52" s="1"/>
  <c r="C37" i="52" s="1"/>
  <c r="C38" i="52" s="1"/>
  <c r="C39" i="52" s="1"/>
  <c r="C40" i="52" s="1"/>
  <c r="C41" i="52" s="1"/>
  <c r="C42" i="52" s="1"/>
  <c r="C43" i="52" s="1"/>
  <c r="C44" i="52" s="1"/>
  <c r="C45" i="52" s="1"/>
  <c r="C46" i="52" s="1"/>
  <c r="C47" i="52" s="1"/>
  <c r="C48" i="52" s="1"/>
  <c r="C49" i="52" s="1"/>
  <c r="C50" i="52" s="1"/>
  <c r="C51" i="52" s="1"/>
  <c r="C52" i="52" s="1"/>
  <c r="C53" i="52" s="1"/>
  <c r="C54" i="52" s="1"/>
  <c r="C55" i="52" s="1"/>
  <c r="C56" i="52" s="1"/>
  <c r="C57" i="52" s="1"/>
  <c r="C58" i="52" s="1"/>
  <c r="C59" i="52" s="1"/>
  <c r="C60" i="52" s="1"/>
  <c r="C61" i="52" s="1"/>
  <c r="C62" i="52" s="1"/>
  <c r="C63" i="52" s="1"/>
  <c r="C64" i="52" s="1"/>
  <c r="C65" i="52" s="1"/>
  <c r="C66" i="52" s="1"/>
  <c r="C67" i="52" s="1"/>
  <c r="C68" i="52" s="1"/>
  <c r="C69" i="52" s="1"/>
  <c r="C70" i="52" s="1"/>
  <c r="C71" i="52" s="1"/>
  <c r="C72" i="52" s="1"/>
  <c r="K11" i="52"/>
  <c r="I11" i="52"/>
  <c r="D8" i="52"/>
  <c r="D90" i="52" s="1"/>
  <c r="P83" i="52"/>
  <c r="P154" i="51"/>
  <c r="O154" i="51"/>
  <c r="M154" i="51"/>
  <c r="J154" i="51"/>
  <c r="P153" i="51"/>
  <c r="O153" i="51"/>
  <c r="M153" i="51"/>
  <c r="J153" i="51"/>
  <c r="P152" i="51"/>
  <c r="O152" i="51"/>
  <c r="M152" i="51"/>
  <c r="J152" i="51"/>
  <c r="P151" i="51"/>
  <c r="O151" i="51"/>
  <c r="M151" i="51"/>
  <c r="J151" i="51"/>
  <c r="P150" i="51"/>
  <c r="O150" i="51"/>
  <c r="M150" i="51"/>
  <c r="J150" i="51"/>
  <c r="P149" i="51"/>
  <c r="O149" i="51"/>
  <c r="M149" i="51"/>
  <c r="J149" i="51"/>
  <c r="P148" i="51"/>
  <c r="O148" i="51"/>
  <c r="M148" i="51"/>
  <c r="J148" i="51"/>
  <c r="P147" i="51"/>
  <c r="O147" i="51"/>
  <c r="M147" i="51"/>
  <c r="J147" i="51"/>
  <c r="P146" i="51"/>
  <c r="O146" i="51"/>
  <c r="M146" i="51"/>
  <c r="J146" i="51"/>
  <c r="P145" i="51"/>
  <c r="O145" i="51"/>
  <c r="M145" i="51"/>
  <c r="J145" i="51"/>
  <c r="P144" i="51"/>
  <c r="O144" i="51"/>
  <c r="M144" i="51"/>
  <c r="J144" i="51"/>
  <c r="P143" i="51"/>
  <c r="O143" i="51"/>
  <c r="M143" i="51"/>
  <c r="J143" i="51"/>
  <c r="P142" i="51"/>
  <c r="O142" i="51"/>
  <c r="M142" i="51"/>
  <c r="J142" i="51"/>
  <c r="P141" i="51"/>
  <c r="O141" i="51"/>
  <c r="M141" i="51"/>
  <c r="J141" i="51"/>
  <c r="P140" i="51"/>
  <c r="O140" i="51"/>
  <c r="M140" i="51"/>
  <c r="J140" i="51"/>
  <c r="P139" i="51"/>
  <c r="O139" i="51"/>
  <c r="M139" i="51"/>
  <c r="J139" i="51"/>
  <c r="P138" i="51"/>
  <c r="O138" i="51"/>
  <c r="M138" i="51"/>
  <c r="J138" i="51"/>
  <c r="P137" i="51"/>
  <c r="O137" i="51"/>
  <c r="M137" i="51"/>
  <c r="J137" i="51"/>
  <c r="P136" i="51"/>
  <c r="O136" i="51"/>
  <c r="M136" i="51"/>
  <c r="J136" i="51"/>
  <c r="P135" i="51"/>
  <c r="O135" i="51"/>
  <c r="M135" i="51"/>
  <c r="J135" i="51"/>
  <c r="P134" i="51"/>
  <c r="O134" i="51"/>
  <c r="M134" i="51"/>
  <c r="J134" i="51"/>
  <c r="P133" i="51"/>
  <c r="O133" i="51"/>
  <c r="M133" i="51"/>
  <c r="J133" i="51"/>
  <c r="P132" i="51"/>
  <c r="O132" i="51"/>
  <c r="M132" i="51"/>
  <c r="J132" i="51"/>
  <c r="P131" i="51"/>
  <c r="O131" i="51"/>
  <c r="M131" i="51"/>
  <c r="J131" i="51"/>
  <c r="O130" i="51"/>
  <c r="M130" i="51"/>
  <c r="O129" i="51"/>
  <c r="M129" i="51"/>
  <c r="O128" i="51"/>
  <c r="M128" i="51"/>
  <c r="O127" i="51"/>
  <c r="M127" i="51"/>
  <c r="O126" i="51"/>
  <c r="M126" i="51"/>
  <c r="O125" i="51"/>
  <c r="M125" i="51"/>
  <c r="O124" i="51"/>
  <c r="M124" i="51"/>
  <c r="O123" i="51"/>
  <c r="M123" i="51"/>
  <c r="O122" i="51"/>
  <c r="M122" i="51"/>
  <c r="O121" i="51"/>
  <c r="M121" i="51"/>
  <c r="O120" i="51"/>
  <c r="M120" i="51"/>
  <c r="O119" i="51"/>
  <c r="M119" i="51"/>
  <c r="O118" i="51"/>
  <c r="M118" i="51"/>
  <c r="O117" i="51"/>
  <c r="M117" i="51"/>
  <c r="O116" i="51"/>
  <c r="M116" i="51"/>
  <c r="O115" i="51"/>
  <c r="M115" i="51"/>
  <c r="O114" i="51"/>
  <c r="M114" i="51"/>
  <c r="O113" i="51"/>
  <c r="M113" i="51"/>
  <c r="O112" i="51"/>
  <c r="M112" i="51"/>
  <c r="O111" i="51"/>
  <c r="M111" i="51"/>
  <c r="O110" i="51"/>
  <c r="M110" i="51"/>
  <c r="O109" i="51"/>
  <c r="M109" i="51"/>
  <c r="O108" i="51"/>
  <c r="M108" i="51"/>
  <c r="O107" i="51"/>
  <c r="M107" i="51"/>
  <c r="O106" i="51"/>
  <c r="M106" i="51"/>
  <c r="O105" i="51"/>
  <c r="M105" i="51"/>
  <c r="O104" i="51"/>
  <c r="M104" i="51"/>
  <c r="O103" i="51"/>
  <c r="M103" i="51"/>
  <c r="O102" i="51"/>
  <c r="M102" i="51"/>
  <c r="O101" i="51"/>
  <c r="M101" i="51"/>
  <c r="O100" i="51"/>
  <c r="M100" i="51"/>
  <c r="O99" i="51"/>
  <c r="M99" i="51"/>
  <c r="C99" i="51"/>
  <c r="C100" i="51" s="1"/>
  <c r="C101" i="51" s="1"/>
  <c r="C102" i="51" s="1"/>
  <c r="C103" i="51" s="1"/>
  <c r="C104" i="51" s="1"/>
  <c r="C105" i="51" s="1"/>
  <c r="C106" i="51" s="1"/>
  <c r="C107" i="51" s="1"/>
  <c r="C108" i="51" s="1"/>
  <c r="C109" i="51" s="1"/>
  <c r="C110" i="51" s="1"/>
  <c r="C111" i="51" s="1"/>
  <c r="C112" i="51" s="1"/>
  <c r="C113" i="51" s="1"/>
  <c r="C114" i="51" s="1"/>
  <c r="C115" i="51" s="1"/>
  <c r="C116" i="51" s="1"/>
  <c r="C117" i="51" s="1"/>
  <c r="C118" i="51" s="1"/>
  <c r="C119" i="51" s="1"/>
  <c r="C120" i="51" s="1"/>
  <c r="C121" i="51" s="1"/>
  <c r="C122" i="51" s="1"/>
  <c r="C123" i="51" s="1"/>
  <c r="C124" i="51" s="1"/>
  <c r="C125" i="51" s="1"/>
  <c r="C126" i="51" s="1"/>
  <c r="C127" i="51" s="1"/>
  <c r="C128" i="51" s="1"/>
  <c r="C129" i="51" s="1"/>
  <c r="C130" i="51" s="1"/>
  <c r="C131" i="51" s="1"/>
  <c r="C132" i="51" s="1"/>
  <c r="C133" i="51" s="1"/>
  <c r="C134" i="51" s="1"/>
  <c r="C135" i="51" s="1"/>
  <c r="C136" i="51" s="1"/>
  <c r="C137" i="51" s="1"/>
  <c r="C138" i="51" s="1"/>
  <c r="C139" i="51" s="1"/>
  <c r="C140" i="51" s="1"/>
  <c r="C141" i="51" s="1"/>
  <c r="C142" i="51" s="1"/>
  <c r="C143" i="51" s="1"/>
  <c r="C144" i="51" s="1"/>
  <c r="C145" i="51" s="1"/>
  <c r="C146" i="51" s="1"/>
  <c r="C147" i="51" s="1"/>
  <c r="C148" i="51" s="1"/>
  <c r="C149" i="51" s="1"/>
  <c r="C150" i="51" s="1"/>
  <c r="C151" i="51" s="1"/>
  <c r="C152" i="51" s="1"/>
  <c r="C153" i="51" s="1"/>
  <c r="C154" i="51" s="1"/>
  <c r="D96" i="51"/>
  <c r="L93" i="51"/>
  <c r="J93" i="51"/>
  <c r="D92" i="51"/>
  <c r="J96" i="51" s="1"/>
  <c r="D91" i="51"/>
  <c r="D89" i="51"/>
  <c r="N72" i="51"/>
  <c r="L72" i="51"/>
  <c r="N71" i="51"/>
  <c r="L71" i="51"/>
  <c r="N70" i="51"/>
  <c r="L70" i="51"/>
  <c r="N69" i="51"/>
  <c r="L69" i="51"/>
  <c r="N68" i="51"/>
  <c r="L68" i="51"/>
  <c r="N67" i="51"/>
  <c r="L67" i="51"/>
  <c r="N66" i="51"/>
  <c r="L66" i="51"/>
  <c r="N65" i="51"/>
  <c r="L65" i="51"/>
  <c r="N64" i="51"/>
  <c r="L64" i="51"/>
  <c r="N63" i="51"/>
  <c r="L63" i="51"/>
  <c r="N62" i="51"/>
  <c r="L62" i="51"/>
  <c r="N61" i="51"/>
  <c r="L61" i="51"/>
  <c r="N60" i="51"/>
  <c r="L60" i="51"/>
  <c r="N59" i="51"/>
  <c r="L59" i="51"/>
  <c r="N58" i="51"/>
  <c r="L58" i="51"/>
  <c r="N57" i="51"/>
  <c r="L57" i="51"/>
  <c r="N56" i="51"/>
  <c r="L56" i="51"/>
  <c r="N55" i="51"/>
  <c r="L55" i="51"/>
  <c r="N54" i="51"/>
  <c r="L54" i="51"/>
  <c r="N53" i="51"/>
  <c r="L53" i="51"/>
  <c r="N52" i="51"/>
  <c r="L52" i="51"/>
  <c r="N51" i="51"/>
  <c r="L51" i="51"/>
  <c r="N50" i="51"/>
  <c r="L50" i="51"/>
  <c r="N49" i="51"/>
  <c r="L49" i="51"/>
  <c r="N48" i="51"/>
  <c r="L48" i="51"/>
  <c r="N47" i="51"/>
  <c r="L47" i="51"/>
  <c r="N46" i="51"/>
  <c r="L46" i="51"/>
  <c r="N45" i="51"/>
  <c r="L45" i="51"/>
  <c r="N44" i="51"/>
  <c r="L44" i="51"/>
  <c r="N43" i="51"/>
  <c r="L43" i="51"/>
  <c r="N42" i="51"/>
  <c r="L42" i="51"/>
  <c r="N41" i="51"/>
  <c r="L41" i="51"/>
  <c r="N40" i="51"/>
  <c r="L40" i="51"/>
  <c r="N39" i="51"/>
  <c r="L39" i="51"/>
  <c r="N38" i="51"/>
  <c r="L38" i="51"/>
  <c r="N37" i="51"/>
  <c r="L37" i="51"/>
  <c r="N36" i="51"/>
  <c r="L36" i="51"/>
  <c r="N35" i="51"/>
  <c r="L35" i="51"/>
  <c r="N34" i="51"/>
  <c r="L34" i="51"/>
  <c r="N33" i="51"/>
  <c r="L33" i="51"/>
  <c r="N32" i="51"/>
  <c r="L32" i="51"/>
  <c r="N31" i="51"/>
  <c r="L31" i="51"/>
  <c r="N30" i="51"/>
  <c r="L30" i="51"/>
  <c r="N29" i="51"/>
  <c r="L29" i="51"/>
  <c r="N28" i="51"/>
  <c r="L28" i="51"/>
  <c r="N27" i="51"/>
  <c r="L27" i="51"/>
  <c r="N26" i="51"/>
  <c r="L26" i="51"/>
  <c r="N25" i="51"/>
  <c r="L25" i="51"/>
  <c r="N24" i="51"/>
  <c r="L24" i="51"/>
  <c r="N23" i="51"/>
  <c r="L23" i="51"/>
  <c r="N22" i="51"/>
  <c r="L22" i="51"/>
  <c r="N21" i="51"/>
  <c r="L21" i="51"/>
  <c r="N20" i="51"/>
  <c r="L20" i="51"/>
  <c r="N19" i="51"/>
  <c r="L19" i="51"/>
  <c r="N18" i="51"/>
  <c r="L18" i="51"/>
  <c r="N17" i="51"/>
  <c r="L17" i="51"/>
  <c r="O17" i="51" s="1"/>
  <c r="E17" i="51"/>
  <c r="C17" i="51"/>
  <c r="C18" i="51" s="1"/>
  <c r="C19" i="51" s="1"/>
  <c r="C20" i="51" s="1"/>
  <c r="C21" i="51" s="1"/>
  <c r="C22" i="51" s="1"/>
  <c r="C23" i="51" s="1"/>
  <c r="C24" i="51" s="1"/>
  <c r="C25" i="51" s="1"/>
  <c r="C26" i="51" s="1"/>
  <c r="C27" i="51" s="1"/>
  <c r="C28" i="51" s="1"/>
  <c r="C29" i="51" s="1"/>
  <c r="C30" i="51" s="1"/>
  <c r="C31" i="51" s="1"/>
  <c r="C32" i="51" s="1"/>
  <c r="C33" i="51" s="1"/>
  <c r="C34" i="51" s="1"/>
  <c r="C35" i="51" s="1"/>
  <c r="C36" i="51" s="1"/>
  <c r="C37" i="51" s="1"/>
  <c r="C38" i="51" s="1"/>
  <c r="C39" i="51" s="1"/>
  <c r="C40" i="51" s="1"/>
  <c r="C41" i="51" s="1"/>
  <c r="C42" i="51" s="1"/>
  <c r="C43" i="51" s="1"/>
  <c r="C44" i="51" s="1"/>
  <c r="I14" i="51"/>
  <c r="K11" i="51"/>
  <c r="I11" i="51"/>
  <c r="D8" i="51"/>
  <c r="D90" i="51" s="1"/>
  <c r="P83" i="51"/>
  <c r="D92" i="50"/>
  <c r="P154" i="50"/>
  <c r="O154" i="50"/>
  <c r="M154" i="50"/>
  <c r="J154" i="50"/>
  <c r="P153" i="50"/>
  <c r="O153" i="50"/>
  <c r="M153" i="50"/>
  <c r="J153" i="50"/>
  <c r="P152" i="50"/>
  <c r="O152" i="50"/>
  <c r="M152" i="50"/>
  <c r="J152" i="50"/>
  <c r="P151" i="50"/>
  <c r="O151" i="50"/>
  <c r="M151" i="50"/>
  <c r="J151" i="50"/>
  <c r="P150" i="50"/>
  <c r="O150" i="50"/>
  <c r="M150" i="50"/>
  <c r="J150" i="50"/>
  <c r="P149" i="50"/>
  <c r="O149" i="50"/>
  <c r="M149" i="50"/>
  <c r="J149" i="50"/>
  <c r="P148" i="50"/>
  <c r="O148" i="50"/>
  <c r="M148" i="50"/>
  <c r="J148" i="50"/>
  <c r="P147" i="50"/>
  <c r="O147" i="50"/>
  <c r="M147" i="50"/>
  <c r="J147" i="50"/>
  <c r="P146" i="50"/>
  <c r="O146" i="50"/>
  <c r="M146" i="50"/>
  <c r="J146" i="50"/>
  <c r="P145" i="50"/>
  <c r="O145" i="50"/>
  <c r="M145" i="50"/>
  <c r="J145" i="50"/>
  <c r="P144" i="50"/>
  <c r="O144" i="50"/>
  <c r="M144" i="50"/>
  <c r="J144" i="50"/>
  <c r="P143" i="50"/>
  <c r="O143" i="50"/>
  <c r="M143" i="50"/>
  <c r="J143" i="50"/>
  <c r="P142" i="50"/>
  <c r="O142" i="50"/>
  <c r="M142" i="50"/>
  <c r="J142" i="50"/>
  <c r="P141" i="50"/>
  <c r="O141" i="50"/>
  <c r="M141" i="50"/>
  <c r="J141" i="50"/>
  <c r="P140" i="50"/>
  <c r="O140" i="50"/>
  <c r="M140" i="50"/>
  <c r="J140" i="50"/>
  <c r="P139" i="50"/>
  <c r="O139" i="50"/>
  <c r="M139" i="50"/>
  <c r="J139" i="50"/>
  <c r="P138" i="50"/>
  <c r="O138" i="50"/>
  <c r="M138" i="50"/>
  <c r="J138" i="50"/>
  <c r="P137" i="50"/>
  <c r="O137" i="50"/>
  <c r="M137" i="50"/>
  <c r="J137" i="50"/>
  <c r="P136" i="50"/>
  <c r="O136" i="50"/>
  <c r="M136" i="50"/>
  <c r="J136" i="50"/>
  <c r="P135" i="50"/>
  <c r="O135" i="50"/>
  <c r="M135" i="50"/>
  <c r="J135" i="50"/>
  <c r="P134" i="50"/>
  <c r="O134" i="50"/>
  <c r="M134" i="50"/>
  <c r="J134" i="50"/>
  <c r="P133" i="50"/>
  <c r="O133" i="50"/>
  <c r="M133" i="50"/>
  <c r="J133" i="50"/>
  <c r="P132" i="50"/>
  <c r="O132" i="50"/>
  <c r="M132" i="50"/>
  <c r="J132" i="50"/>
  <c r="P131" i="50"/>
  <c r="O131" i="50"/>
  <c r="M131" i="50"/>
  <c r="J131" i="50"/>
  <c r="O130" i="50"/>
  <c r="M130" i="50"/>
  <c r="O129" i="50"/>
  <c r="M129" i="50"/>
  <c r="O128" i="50"/>
  <c r="M128" i="50"/>
  <c r="O127" i="50"/>
  <c r="M127" i="50"/>
  <c r="O126" i="50"/>
  <c r="M126" i="50"/>
  <c r="O125" i="50"/>
  <c r="M125" i="50"/>
  <c r="O124" i="50"/>
  <c r="M124" i="50"/>
  <c r="O123" i="50"/>
  <c r="M123" i="50"/>
  <c r="O122" i="50"/>
  <c r="M122" i="50"/>
  <c r="O121" i="50"/>
  <c r="M121" i="50"/>
  <c r="O120" i="50"/>
  <c r="M120" i="50"/>
  <c r="O119" i="50"/>
  <c r="M119" i="50"/>
  <c r="O118" i="50"/>
  <c r="M118" i="50"/>
  <c r="O117" i="50"/>
  <c r="M117" i="50"/>
  <c r="O116" i="50"/>
  <c r="M116" i="50"/>
  <c r="O115" i="50"/>
  <c r="M115" i="50"/>
  <c r="O114" i="50"/>
  <c r="M114" i="50"/>
  <c r="O113" i="50"/>
  <c r="M113" i="50"/>
  <c r="O112" i="50"/>
  <c r="M112" i="50"/>
  <c r="O111" i="50"/>
  <c r="M111" i="50"/>
  <c r="O110" i="50"/>
  <c r="M110" i="50"/>
  <c r="O109" i="50"/>
  <c r="M109" i="50"/>
  <c r="O108" i="50"/>
  <c r="M108" i="50"/>
  <c r="O107" i="50"/>
  <c r="M107" i="50"/>
  <c r="O106" i="50"/>
  <c r="M106" i="50"/>
  <c r="O105" i="50"/>
  <c r="M105" i="50"/>
  <c r="O104" i="50"/>
  <c r="M104" i="50"/>
  <c r="O103" i="50"/>
  <c r="M103" i="50"/>
  <c r="O102" i="50"/>
  <c r="M102" i="50"/>
  <c r="O101" i="50"/>
  <c r="M101" i="50"/>
  <c r="O100" i="50"/>
  <c r="M100" i="50"/>
  <c r="O99" i="50"/>
  <c r="M99" i="50"/>
  <c r="C99" i="50"/>
  <c r="C100" i="50" s="1"/>
  <c r="C101" i="50" s="1"/>
  <c r="C102" i="50" s="1"/>
  <c r="C103" i="50" s="1"/>
  <c r="C104" i="50" s="1"/>
  <c r="C105" i="50" s="1"/>
  <c r="C106" i="50" s="1"/>
  <c r="C107" i="50" s="1"/>
  <c r="C108" i="50" s="1"/>
  <c r="C109" i="50" s="1"/>
  <c r="C110" i="50" s="1"/>
  <c r="C111" i="50" s="1"/>
  <c r="C112" i="50" s="1"/>
  <c r="C113" i="50" s="1"/>
  <c r="C114" i="50" s="1"/>
  <c r="C115" i="50" s="1"/>
  <c r="C116" i="50" s="1"/>
  <c r="C117" i="50" s="1"/>
  <c r="C118" i="50" s="1"/>
  <c r="C119" i="50" s="1"/>
  <c r="C120" i="50" s="1"/>
  <c r="C121" i="50" s="1"/>
  <c r="C122" i="50" s="1"/>
  <c r="C123" i="50" s="1"/>
  <c r="C124" i="50" s="1"/>
  <c r="C125" i="50" s="1"/>
  <c r="C126" i="50" s="1"/>
  <c r="C127" i="50" s="1"/>
  <c r="C128" i="50" s="1"/>
  <c r="C129" i="50" s="1"/>
  <c r="C130" i="50" s="1"/>
  <c r="C131" i="50" s="1"/>
  <c r="C132" i="50" s="1"/>
  <c r="C133" i="50" s="1"/>
  <c r="C134" i="50" s="1"/>
  <c r="C135" i="50" s="1"/>
  <c r="C136" i="50" s="1"/>
  <c r="C137" i="50" s="1"/>
  <c r="C138" i="50" s="1"/>
  <c r="C139" i="50" s="1"/>
  <c r="C140" i="50" s="1"/>
  <c r="C141" i="50" s="1"/>
  <c r="C142" i="50" s="1"/>
  <c r="C143" i="50" s="1"/>
  <c r="C144" i="50" s="1"/>
  <c r="C145" i="50" s="1"/>
  <c r="C146" i="50" s="1"/>
  <c r="C147" i="50" s="1"/>
  <c r="C148" i="50" s="1"/>
  <c r="C149" i="50" s="1"/>
  <c r="C150" i="50" s="1"/>
  <c r="C151" i="50" s="1"/>
  <c r="C152" i="50" s="1"/>
  <c r="C153" i="50" s="1"/>
  <c r="C154" i="50" s="1"/>
  <c r="D96" i="50"/>
  <c r="L93" i="50"/>
  <c r="J93" i="50"/>
  <c r="D91" i="50"/>
  <c r="D89" i="50"/>
  <c r="N72" i="50"/>
  <c r="L72" i="50"/>
  <c r="N71" i="50"/>
  <c r="L71" i="50"/>
  <c r="N70" i="50"/>
  <c r="L70" i="50"/>
  <c r="N69" i="50"/>
  <c r="L69" i="50"/>
  <c r="N68" i="50"/>
  <c r="L68" i="50"/>
  <c r="N67" i="50"/>
  <c r="L67" i="50"/>
  <c r="N66" i="50"/>
  <c r="L66" i="50"/>
  <c r="N65" i="50"/>
  <c r="L65" i="50"/>
  <c r="N64" i="50"/>
  <c r="L64" i="50"/>
  <c r="N63" i="50"/>
  <c r="L63" i="50"/>
  <c r="N62" i="50"/>
  <c r="L62" i="50"/>
  <c r="N61" i="50"/>
  <c r="L61" i="50"/>
  <c r="N60" i="50"/>
  <c r="L60" i="50"/>
  <c r="N59" i="50"/>
  <c r="L59" i="50"/>
  <c r="N58" i="50"/>
  <c r="L58" i="50"/>
  <c r="N57" i="50"/>
  <c r="L57" i="50"/>
  <c r="N56" i="50"/>
  <c r="L56" i="50"/>
  <c r="N55" i="50"/>
  <c r="L55" i="50"/>
  <c r="N54" i="50"/>
  <c r="O54" i="50" s="1"/>
  <c r="L54" i="50"/>
  <c r="N53" i="50"/>
  <c r="L53" i="50"/>
  <c r="N52" i="50"/>
  <c r="L52" i="50"/>
  <c r="N51" i="50"/>
  <c r="L51" i="50"/>
  <c r="N50" i="50"/>
  <c r="O50" i="50" s="1"/>
  <c r="L50" i="50"/>
  <c r="N49" i="50"/>
  <c r="L49" i="50"/>
  <c r="N48" i="50"/>
  <c r="L48" i="50"/>
  <c r="N47" i="50"/>
  <c r="L47" i="50"/>
  <c r="N46" i="50"/>
  <c r="L46" i="50"/>
  <c r="N45" i="50"/>
  <c r="L45" i="50"/>
  <c r="N44" i="50"/>
  <c r="L44" i="50"/>
  <c r="N43" i="50"/>
  <c r="L43" i="50"/>
  <c r="N42" i="50"/>
  <c r="L42" i="50"/>
  <c r="N41" i="50"/>
  <c r="L41" i="50"/>
  <c r="N40" i="50"/>
  <c r="L40" i="50"/>
  <c r="N39" i="50"/>
  <c r="L39" i="50"/>
  <c r="N38" i="50"/>
  <c r="L38" i="50"/>
  <c r="N37" i="50"/>
  <c r="L37" i="50"/>
  <c r="N36" i="50"/>
  <c r="L36" i="50"/>
  <c r="N35" i="50"/>
  <c r="L35" i="50"/>
  <c r="N34" i="50"/>
  <c r="L34" i="50"/>
  <c r="N33" i="50"/>
  <c r="L33" i="50"/>
  <c r="N32" i="50"/>
  <c r="L32" i="50"/>
  <c r="N31" i="50"/>
  <c r="L31" i="50"/>
  <c r="N30" i="50"/>
  <c r="L30" i="50"/>
  <c r="N29" i="50"/>
  <c r="L29" i="50"/>
  <c r="N28" i="50"/>
  <c r="L28" i="50"/>
  <c r="N27" i="50"/>
  <c r="L27" i="50"/>
  <c r="N26" i="50"/>
  <c r="L26" i="50"/>
  <c r="N25" i="50"/>
  <c r="L25" i="50"/>
  <c r="N24" i="50"/>
  <c r="L24" i="50"/>
  <c r="N23" i="50"/>
  <c r="L23" i="50"/>
  <c r="N22" i="50"/>
  <c r="L22" i="50"/>
  <c r="N21" i="50"/>
  <c r="L21" i="50"/>
  <c r="N20" i="50"/>
  <c r="L20" i="50"/>
  <c r="N19" i="50"/>
  <c r="L19" i="50"/>
  <c r="N18" i="50"/>
  <c r="L18" i="50"/>
  <c r="C17" i="50"/>
  <c r="C18" i="50" s="1"/>
  <c r="C19" i="50" s="1"/>
  <c r="C20" i="50" s="1"/>
  <c r="C21" i="50" s="1"/>
  <c r="C22" i="50" s="1"/>
  <c r="C23" i="50" s="1"/>
  <c r="C24" i="50" s="1"/>
  <c r="C25" i="50" s="1"/>
  <c r="C26" i="50" s="1"/>
  <c r="C27" i="50" s="1"/>
  <c r="C28" i="50" s="1"/>
  <c r="C29" i="50" s="1"/>
  <c r="C30" i="50" s="1"/>
  <c r="C31" i="50" s="1"/>
  <c r="C32" i="50" s="1"/>
  <c r="C33" i="50" s="1"/>
  <c r="C34" i="50" s="1"/>
  <c r="C35" i="50" s="1"/>
  <c r="C36" i="50" s="1"/>
  <c r="C37" i="50" s="1"/>
  <c r="C38" i="50" s="1"/>
  <c r="C39" i="50" s="1"/>
  <c r="C40" i="50" s="1"/>
  <c r="C41" i="50" s="1"/>
  <c r="C42" i="50" s="1"/>
  <c r="C43" i="50" s="1"/>
  <c r="C44" i="50" s="1"/>
  <c r="K11" i="50"/>
  <c r="I11" i="50"/>
  <c r="D8" i="50"/>
  <c r="D90" i="50" s="1"/>
  <c r="P83" i="50"/>
  <c r="O26" i="50" l="1"/>
  <c r="O51" i="50"/>
  <c r="O27" i="52"/>
  <c r="O40" i="52"/>
  <c r="O66" i="52"/>
  <c r="O70" i="52"/>
  <c r="O29" i="52"/>
  <c r="O37" i="52"/>
  <c r="O45" i="52"/>
  <c r="O65" i="50"/>
  <c r="O43" i="50"/>
  <c r="O56" i="52"/>
  <c r="O72" i="51"/>
  <c r="O31" i="52"/>
  <c r="O35" i="52"/>
  <c r="O51" i="52"/>
  <c r="O59" i="52"/>
  <c r="O63" i="52"/>
  <c r="P108" i="52"/>
  <c r="P112" i="52"/>
  <c r="P120" i="52"/>
  <c r="P124" i="52"/>
  <c r="P128" i="52"/>
  <c r="O72" i="50"/>
  <c r="P117" i="50"/>
  <c r="O37" i="51"/>
  <c r="O45" i="51"/>
  <c r="O53" i="51"/>
  <c r="O61" i="51"/>
  <c r="O72" i="52"/>
  <c r="O58" i="52"/>
  <c r="O28" i="51"/>
  <c r="O68" i="51"/>
  <c r="O38" i="51"/>
  <c r="O54" i="51"/>
  <c r="O70" i="51"/>
  <c r="O59" i="50"/>
  <c r="O20" i="51"/>
  <c r="O34" i="50"/>
  <c r="O63" i="51"/>
  <c r="P101" i="52"/>
  <c r="O61" i="52"/>
  <c r="O42" i="52"/>
  <c r="O22" i="52"/>
  <c r="O53" i="52"/>
  <c r="O57" i="52"/>
  <c r="O19" i="52"/>
  <c r="O54" i="52"/>
  <c r="O65" i="52"/>
  <c r="O24" i="52"/>
  <c r="O44" i="52"/>
  <c r="O48" i="52"/>
  <c r="O21" i="52"/>
  <c r="O41" i="52"/>
  <c r="O49" i="52"/>
  <c r="O28" i="52"/>
  <c r="O43" i="52"/>
  <c r="O50" i="52"/>
  <c r="O60" i="52"/>
  <c r="O33" i="52"/>
  <c r="O68" i="52"/>
  <c r="P99" i="52"/>
  <c r="O26" i="52"/>
  <c r="O55" i="52"/>
  <c r="O69" i="52"/>
  <c r="P103" i="52"/>
  <c r="P107" i="52"/>
  <c r="O23" i="52"/>
  <c r="O30" i="52"/>
  <c r="O34" i="52"/>
  <c r="O52" i="52"/>
  <c r="O62" i="52"/>
  <c r="P111" i="52"/>
  <c r="P115" i="52"/>
  <c r="P119" i="52"/>
  <c r="P123" i="52"/>
  <c r="P127" i="52"/>
  <c r="O17" i="52"/>
  <c r="O20" i="52"/>
  <c r="J96" i="52"/>
  <c r="P104" i="52"/>
  <c r="O39" i="52"/>
  <c r="O67" i="52"/>
  <c r="P105" i="52"/>
  <c r="O18" i="52"/>
  <c r="O32" i="52"/>
  <c r="O36" i="52"/>
  <c r="O47" i="52"/>
  <c r="O64" i="52"/>
  <c r="P109" i="52"/>
  <c r="P113" i="52"/>
  <c r="P117" i="52"/>
  <c r="P121" i="52"/>
  <c r="P125" i="52"/>
  <c r="P129" i="52"/>
  <c r="P128" i="51"/>
  <c r="P101" i="51"/>
  <c r="P105" i="51"/>
  <c r="P109" i="51"/>
  <c r="P113" i="51"/>
  <c r="P117" i="51"/>
  <c r="P121" i="51"/>
  <c r="P129" i="51"/>
  <c r="O18" i="51"/>
  <c r="O26" i="51"/>
  <c r="O34" i="51"/>
  <c r="O31" i="51"/>
  <c r="O35" i="51"/>
  <c r="O71" i="51"/>
  <c r="O23" i="51"/>
  <c r="O33" i="51"/>
  <c r="P106" i="51"/>
  <c r="P114" i="51"/>
  <c r="P122" i="51"/>
  <c r="O51" i="51"/>
  <c r="O59" i="51"/>
  <c r="O21" i="51"/>
  <c r="O36" i="51"/>
  <c r="O40" i="51"/>
  <c r="O44" i="51"/>
  <c r="O52" i="51"/>
  <c r="O60" i="51"/>
  <c r="O64" i="51"/>
  <c r="P99" i="51"/>
  <c r="O47" i="51"/>
  <c r="O29" i="51"/>
  <c r="O41" i="51"/>
  <c r="O49" i="51"/>
  <c r="O57" i="51"/>
  <c r="P127" i="51"/>
  <c r="O43" i="51"/>
  <c r="O19" i="51"/>
  <c r="O27" i="51"/>
  <c r="O30" i="51"/>
  <c r="O50" i="51"/>
  <c r="O58" i="51"/>
  <c r="O69" i="51"/>
  <c r="O55" i="51"/>
  <c r="O25" i="51"/>
  <c r="O42" i="51"/>
  <c r="O48" i="51"/>
  <c r="O65" i="51"/>
  <c r="O32" i="51"/>
  <c r="O62" i="51"/>
  <c r="P103" i="51"/>
  <c r="P107" i="51"/>
  <c r="P111" i="51"/>
  <c r="P115" i="51"/>
  <c r="P119" i="51"/>
  <c r="P123" i="51"/>
  <c r="O22" i="51"/>
  <c r="O39" i="51"/>
  <c r="O56" i="51"/>
  <c r="O46" i="51"/>
  <c r="O67" i="51"/>
  <c r="P100" i="51"/>
  <c r="P108" i="51"/>
  <c r="P116" i="51"/>
  <c r="P124" i="51"/>
  <c r="P125" i="51"/>
  <c r="O24" i="51"/>
  <c r="O46" i="52"/>
  <c r="P100" i="52"/>
  <c r="P110" i="52"/>
  <c r="F17" i="52"/>
  <c r="O38" i="52"/>
  <c r="P116" i="52"/>
  <c r="P126" i="52"/>
  <c r="P106" i="52"/>
  <c r="P122" i="52"/>
  <c r="O71" i="52"/>
  <c r="P102" i="52"/>
  <c r="P118" i="52"/>
  <c r="P114" i="52"/>
  <c r="P130" i="52"/>
  <c r="C45" i="51"/>
  <c r="C46" i="51" s="1"/>
  <c r="C47" i="51" s="1"/>
  <c r="C48" i="51" s="1"/>
  <c r="C49" i="51" s="1"/>
  <c r="C50" i="51" s="1"/>
  <c r="C51" i="51" s="1"/>
  <c r="C52" i="51" s="1"/>
  <c r="C53" i="51" s="1"/>
  <c r="C54" i="51" s="1"/>
  <c r="C55" i="51" s="1"/>
  <c r="C56" i="51" s="1"/>
  <c r="C57" i="51" s="1"/>
  <c r="C58" i="51" s="1"/>
  <c r="C59" i="51" s="1"/>
  <c r="C60" i="51" s="1"/>
  <c r="C61" i="51" s="1"/>
  <c r="C62" i="51" s="1"/>
  <c r="C63" i="51" s="1"/>
  <c r="C64" i="51" s="1"/>
  <c r="C65" i="51" s="1"/>
  <c r="C66" i="51" s="1"/>
  <c r="C67" i="51" s="1"/>
  <c r="C68" i="51" s="1"/>
  <c r="C69" i="51" s="1"/>
  <c r="C70" i="51" s="1"/>
  <c r="C71" i="51" s="1"/>
  <c r="C72" i="51" s="1"/>
  <c r="P102" i="51"/>
  <c r="P110" i="51"/>
  <c r="P118" i="51"/>
  <c r="P126" i="51"/>
  <c r="F17" i="51"/>
  <c r="O66" i="51"/>
  <c r="P104" i="51"/>
  <c r="P112" i="51"/>
  <c r="P120" i="51"/>
  <c r="P130" i="51"/>
  <c r="P105" i="50"/>
  <c r="P109" i="50"/>
  <c r="P125" i="50"/>
  <c r="P101" i="50"/>
  <c r="P113" i="50"/>
  <c r="P121" i="50"/>
  <c r="O27" i="50"/>
  <c r="P103" i="50"/>
  <c r="P107" i="50"/>
  <c r="P111" i="50"/>
  <c r="P115" i="50"/>
  <c r="P119" i="50"/>
  <c r="P123" i="50"/>
  <c r="P127" i="50"/>
  <c r="O35" i="50"/>
  <c r="O28" i="50"/>
  <c r="O48" i="50"/>
  <c r="O63" i="50"/>
  <c r="O31" i="50"/>
  <c r="P129" i="50"/>
  <c r="O19" i="50"/>
  <c r="O62" i="50"/>
  <c r="O36" i="50"/>
  <c r="O55" i="50"/>
  <c r="O66" i="50"/>
  <c r="O45" i="50"/>
  <c r="O64" i="50"/>
  <c r="O23" i="50"/>
  <c r="O37" i="50"/>
  <c r="O49" i="50"/>
  <c r="O42" i="50"/>
  <c r="O67" i="50"/>
  <c r="O30" i="50"/>
  <c r="O41" i="50"/>
  <c r="O58" i="50"/>
  <c r="P102" i="50"/>
  <c r="O47" i="50"/>
  <c r="O18" i="50"/>
  <c r="O21" i="50"/>
  <c r="O38" i="50"/>
  <c r="O46" i="50"/>
  <c r="O53" i="50"/>
  <c r="O60" i="50"/>
  <c r="O70" i="50"/>
  <c r="P99" i="50"/>
  <c r="O29" i="50"/>
  <c r="O44" i="50"/>
  <c r="O61" i="50"/>
  <c r="P100" i="50"/>
  <c r="O20" i="50"/>
  <c r="O68" i="50"/>
  <c r="O22" i="50"/>
  <c r="O39" i="50"/>
  <c r="O52" i="50"/>
  <c r="O69" i="50"/>
  <c r="C45" i="50"/>
  <c r="C46" i="50" s="1"/>
  <c r="C47" i="50" s="1"/>
  <c r="C48" i="50" s="1"/>
  <c r="C49" i="50" s="1"/>
  <c r="C50" i="50" s="1"/>
  <c r="C51" i="50" s="1"/>
  <c r="C52" i="50" s="1"/>
  <c r="C53" i="50" s="1"/>
  <c r="C54" i="50" s="1"/>
  <c r="C55" i="50" s="1"/>
  <c r="C56" i="50" s="1"/>
  <c r="C57" i="50" s="1"/>
  <c r="C58" i="50" s="1"/>
  <c r="C59" i="50" s="1"/>
  <c r="C60" i="50" s="1"/>
  <c r="C61" i="50" s="1"/>
  <c r="C62" i="50" s="1"/>
  <c r="C63" i="50" s="1"/>
  <c r="C64" i="50" s="1"/>
  <c r="C65" i="50" s="1"/>
  <c r="C66" i="50" s="1"/>
  <c r="C67" i="50" s="1"/>
  <c r="C68" i="50" s="1"/>
  <c r="C69" i="50" s="1"/>
  <c r="C70" i="50" s="1"/>
  <c r="C71" i="50" s="1"/>
  <c r="C72" i="50" s="1"/>
  <c r="O33" i="50"/>
  <c r="O32" i="50"/>
  <c r="O57" i="50"/>
  <c r="O25" i="50"/>
  <c r="O56" i="50"/>
  <c r="O24" i="50"/>
  <c r="O40" i="50"/>
  <c r="O71" i="50"/>
  <c r="P104" i="50"/>
  <c r="P106" i="50"/>
  <c r="P108" i="50"/>
  <c r="P110" i="50"/>
  <c r="P112" i="50"/>
  <c r="P114" i="50"/>
  <c r="P116" i="50"/>
  <c r="P118" i="50"/>
  <c r="P120" i="50"/>
  <c r="P122" i="50"/>
  <c r="P124" i="50"/>
  <c r="P126" i="50"/>
  <c r="P128" i="50"/>
  <c r="P130" i="50"/>
  <c r="D10" i="23"/>
  <c r="D18" i="52" l="1"/>
  <c r="D18" i="51"/>
  <c r="E18" i="51" s="1"/>
  <c r="B18" i="52" l="1"/>
  <c r="F18" i="51"/>
  <c r="B18" i="51"/>
  <c r="N7" i="52" l="1"/>
  <c r="N7" i="51"/>
  <c r="D19" i="51"/>
  <c r="E19" i="51" s="1"/>
  <c r="B19" i="51" l="1"/>
  <c r="F19" i="51"/>
  <c r="D20" i="51" l="1"/>
  <c r="E20" i="51" s="1"/>
  <c r="F20" i="51" l="1"/>
  <c r="B20" i="51"/>
  <c r="D21" i="51" l="1"/>
  <c r="E21" i="51" s="1"/>
  <c r="B21" i="51" l="1"/>
  <c r="F21" i="51"/>
  <c r="D22" i="51" l="1"/>
  <c r="E22" i="51" s="1"/>
  <c r="B22" i="51" l="1"/>
  <c r="F22" i="51"/>
  <c r="D23" i="51" l="1"/>
  <c r="E23" i="51" s="1"/>
  <c r="F23" i="51" l="1"/>
  <c r="B23" i="51"/>
  <c r="D24" i="51" l="1"/>
  <c r="E24" i="51" s="1"/>
  <c r="B24" i="51" l="1"/>
  <c r="F24" i="51"/>
  <c r="D25" i="51" l="1"/>
  <c r="E25" i="51" s="1"/>
  <c r="F25" i="51" l="1"/>
  <c r="B25" i="51"/>
  <c r="D26" i="51" l="1"/>
  <c r="E26" i="51" s="1"/>
  <c r="F26" i="51" l="1"/>
  <c r="B26" i="51"/>
  <c r="D27" i="51" l="1"/>
  <c r="E27" i="51" s="1"/>
  <c r="B27" i="51" l="1"/>
  <c r="F27" i="51"/>
  <c r="D28" i="51" l="1"/>
  <c r="E28" i="51" s="1"/>
  <c r="F28" i="51" l="1"/>
  <c r="B28" i="51"/>
  <c r="D29" i="51" l="1"/>
  <c r="E29" i="51" s="1"/>
  <c r="B29" i="51" l="1"/>
  <c r="F29" i="51"/>
  <c r="D30" i="51" l="1"/>
  <c r="E30" i="51" s="1"/>
  <c r="B30" i="51" l="1"/>
  <c r="F30" i="51"/>
  <c r="D31" i="51" l="1"/>
  <c r="E31" i="51" s="1"/>
  <c r="F31" i="51" l="1"/>
  <c r="B31" i="51"/>
  <c r="D32" i="51" l="1"/>
  <c r="E32" i="51" s="1"/>
  <c r="B32" i="51" l="1"/>
  <c r="F32" i="51"/>
  <c r="D33" i="51" l="1"/>
  <c r="E33" i="51" s="1"/>
  <c r="F33" i="51" l="1"/>
  <c r="B33" i="51"/>
  <c r="D34" i="51" l="1"/>
  <c r="E34" i="51" s="1"/>
  <c r="F34" i="51" l="1"/>
  <c r="B34" i="51"/>
  <c r="D35" i="51" l="1"/>
  <c r="E35" i="51" s="1"/>
  <c r="B35" i="51" l="1"/>
  <c r="F35" i="51"/>
  <c r="D36" i="51" l="1"/>
  <c r="E36" i="51" s="1"/>
  <c r="F36" i="51" l="1"/>
  <c r="B36" i="51"/>
  <c r="D37" i="51" l="1"/>
  <c r="E37" i="51" s="1"/>
  <c r="B37" i="51" l="1"/>
  <c r="F37" i="51"/>
  <c r="D38" i="51" l="1"/>
  <c r="E38" i="51" s="1"/>
  <c r="B38" i="51" l="1"/>
  <c r="F38" i="51"/>
  <c r="D39" i="51" l="1"/>
  <c r="E39" i="51" s="1"/>
  <c r="F39" i="51" l="1"/>
  <c r="B39" i="51"/>
  <c r="D40" i="51" l="1"/>
  <c r="E40" i="51" s="1"/>
  <c r="B40" i="51" l="1"/>
  <c r="F40" i="51"/>
  <c r="D41" i="51" l="1"/>
  <c r="E41" i="51" s="1"/>
  <c r="F41" i="51" l="1"/>
  <c r="B41" i="51"/>
  <c r="D42" i="51" l="1"/>
  <c r="E42" i="51" s="1"/>
  <c r="F42" i="51" l="1"/>
  <c r="B42" i="51"/>
  <c r="D43" i="51" l="1"/>
  <c r="E43" i="51" s="1"/>
  <c r="B43" i="51" l="1"/>
  <c r="F43" i="51"/>
  <c r="D44" i="51" l="1"/>
  <c r="E44" i="51" s="1"/>
  <c r="F44" i="51" l="1"/>
  <c r="B44" i="51"/>
  <c r="D45" i="51" l="1"/>
  <c r="E45" i="51" s="1"/>
  <c r="B45" i="51" l="1"/>
  <c r="F45" i="51"/>
  <c r="D46" i="51" l="1"/>
  <c r="E46" i="51" s="1"/>
  <c r="B46" i="51" l="1"/>
  <c r="F46" i="51"/>
  <c r="D47" i="51" l="1"/>
  <c r="E47" i="51" s="1"/>
  <c r="F47" i="51" l="1"/>
  <c r="B47" i="51"/>
  <c r="D48" i="51" l="1"/>
  <c r="E48" i="51" s="1"/>
  <c r="B48" i="51" l="1"/>
  <c r="F48" i="51"/>
  <c r="M19" i="49"/>
  <c r="N19" i="49" s="1"/>
  <c r="K19" i="49"/>
  <c r="L19" i="49" s="1"/>
  <c r="N101" i="48"/>
  <c r="O101" i="48" s="1"/>
  <c r="L101" i="48"/>
  <c r="M101" i="48" s="1"/>
  <c r="M20" i="48"/>
  <c r="N20" i="48" s="1"/>
  <c r="K20" i="48"/>
  <c r="L20" i="48" s="1"/>
  <c r="N100" i="47"/>
  <c r="O100" i="47" s="1"/>
  <c r="L100" i="47"/>
  <c r="M100" i="47" s="1"/>
  <c r="M19" i="47"/>
  <c r="N19" i="47" s="1"/>
  <c r="K19" i="47"/>
  <c r="L19" i="47" s="1"/>
  <c r="M18" i="47"/>
  <c r="N18" i="47" s="1"/>
  <c r="K18" i="47"/>
  <c r="L18" i="47" s="1"/>
  <c r="N102" i="46"/>
  <c r="O102" i="46" s="1"/>
  <c r="L102" i="46"/>
  <c r="M102" i="46" s="1"/>
  <c r="M21" i="46"/>
  <c r="N21" i="46" s="1"/>
  <c r="K21" i="46"/>
  <c r="L21" i="46" s="1"/>
  <c r="N103" i="45"/>
  <c r="O103" i="45" s="1"/>
  <c r="L103" i="45"/>
  <c r="M103" i="45" s="1"/>
  <c r="M22" i="45"/>
  <c r="N22" i="45" s="1"/>
  <c r="K22" i="45"/>
  <c r="L22" i="45" s="1"/>
  <c r="N103" i="44"/>
  <c r="O103" i="44" s="1"/>
  <c r="L103" i="44"/>
  <c r="M103" i="44" s="1"/>
  <c r="M22" i="44"/>
  <c r="N22" i="44" s="1"/>
  <c r="K22" i="44"/>
  <c r="L22" i="44" s="1"/>
  <c r="N104" i="43"/>
  <c r="O104" i="43" s="1"/>
  <c r="L104" i="43"/>
  <c r="M104" i="43" s="1"/>
  <c r="N103" i="43"/>
  <c r="O103" i="43" s="1"/>
  <c r="L103" i="43"/>
  <c r="M103" i="43" s="1"/>
  <c r="M23" i="43"/>
  <c r="N23" i="43" s="1"/>
  <c r="K23" i="43"/>
  <c r="L23" i="43" s="1"/>
  <c r="O19" i="49" l="1"/>
  <c r="O22" i="45"/>
  <c r="O21" i="46"/>
  <c r="O22" i="44"/>
  <c r="P100" i="47"/>
  <c r="P101" i="48"/>
  <c r="D49" i="51"/>
  <c r="E49" i="51" s="1"/>
  <c r="O20" i="48"/>
  <c r="O18" i="47"/>
  <c r="O19" i="47"/>
  <c r="P103" i="44"/>
  <c r="P103" i="43"/>
  <c r="P104" i="43"/>
  <c r="O23" i="43"/>
  <c r="N104" i="42"/>
  <c r="O104" i="42" s="1"/>
  <c r="L104" i="42"/>
  <c r="M104" i="42" s="1"/>
  <c r="N103" i="42"/>
  <c r="O103" i="42" s="1"/>
  <c r="L103" i="42"/>
  <c r="M103" i="42" s="1"/>
  <c r="M23" i="42"/>
  <c r="N23" i="42" s="1"/>
  <c r="K23" i="42"/>
  <c r="L23" i="42" s="1"/>
  <c r="N104" i="41"/>
  <c r="O104" i="41" s="1"/>
  <c r="L104" i="41"/>
  <c r="M104" i="41" s="1"/>
  <c r="M23" i="41"/>
  <c r="N23" i="41" s="1"/>
  <c r="K23" i="41"/>
  <c r="L23" i="41" s="1"/>
  <c r="N104" i="40"/>
  <c r="O104" i="40" s="1"/>
  <c r="L104" i="40"/>
  <c r="M104" i="40" s="1"/>
  <c r="M23" i="40"/>
  <c r="N23" i="40" s="1"/>
  <c r="K23" i="40"/>
  <c r="L23" i="40" s="1"/>
  <c r="N105" i="39"/>
  <c r="O105" i="39" s="1"/>
  <c r="L105" i="39"/>
  <c r="M105" i="39" s="1"/>
  <c r="M24" i="39"/>
  <c r="N24" i="39" s="1"/>
  <c r="K24" i="39"/>
  <c r="L24" i="39" s="1"/>
  <c r="N104" i="38"/>
  <c r="O104" i="38" s="1"/>
  <c r="L104" i="38"/>
  <c r="M104" i="38" s="1"/>
  <c r="M24" i="38"/>
  <c r="N24" i="38" s="1"/>
  <c r="K24" i="38"/>
  <c r="L24" i="38" s="1"/>
  <c r="N105" i="37"/>
  <c r="O105" i="37" s="1"/>
  <c r="L105" i="37"/>
  <c r="M105" i="37" s="1"/>
  <c r="M24" i="37"/>
  <c r="N24" i="37" s="1"/>
  <c r="K24" i="37"/>
  <c r="L24" i="37" s="1"/>
  <c r="N108" i="31"/>
  <c r="O108" i="31" s="1"/>
  <c r="L108" i="31"/>
  <c r="M108" i="31" s="1"/>
  <c r="M27" i="31"/>
  <c r="N27" i="31" s="1"/>
  <c r="K27" i="31"/>
  <c r="L27" i="31" s="1"/>
  <c r="N107" i="30"/>
  <c r="O107" i="30" s="1"/>
  <c r="L107" i="30"/>
  <c r="M107" i="30" s="1"/>
  <c r="M26" i="30"/>
  <c r="N26" i="30" s="1"/>
  <c r="K26" i="30"/>
  <c r="L26" i="30" s="1"/>
  <c r="N108" i="29"/>
  <c r="O108" i="29" s="1"/>
  <c r="L108" i="29"/>
  <c r="M108" i="29" s="1"/>
  <c r="M27" i="29"/>
  <c r="N27" i="29" s="1"/>
  <c r="K27" i="29"/>
  <c r="L27" i="29" s="1"/>
  <c r="N108" i="28"/>
  <c r="O108" i="28" s="1"/>
  <c r="L108" i="28"/>
  <c r="M108" i="28" s="1"/>
  <c r="M27" i="28"/>
  <c r="N27" i="28" s="1"/>
  <c r="K27" i="28"/>
  <c r="L27" i="28" s="1"/>
  <c r="N109" i="27"/>
  <c r="O109" i="27" s="1"/>
  <c r="L109" i="27"/>
  <c r="M109" i="27" s="1"/>
  <c r="M28" i="27"/>
  <c r="N28" i="27" s="1"/>
  <c r="K28" i="27"/>
  <c r="L28" i="27" s="1"/>
  <c r="N112" i="25"/>
  <c r="O112" i="25" s="1"/>
  <c r="L112" i="25"/>
  <c r="M112" i="25" s="1"/>
  <c r="M31" i="25"/>
  <c r="N31" i="25" s="1"/>
  <c r="K31" i="25"/>
  <c r="L31" i="25" s="1"/>
  <c r="N110" i="24"/>
  <c r="O110" i="24" s="1"/>
  <c r="L110" i="24"/>
  <c r="M110" i="24" s="1"/>
  <c r="M29" i="24"/>
  <c r="N29" i="24" s="1"/>
  <c r="K29" i="24"/>
  <c r="L29" i="24" s="1"/>
  <c r="N111" i="23"/>
  <c r="O111" i="23" s="1"/>
  <c r="L111" i="23"/>
  <c r="M111" i="23" s="1"/>
  <c r="M30" i="23"/>
  <c r="N30" i="23" s="1"/>
  <c r="K30" i="23"/>
  <c r="L30" i="23" s="1"/>
  <c r="N112" i="22"/>
  <c r="O112" i="22" s="1"/>
  <c r="L112" i="22"/>
  <c r="M112" i="22" s="1"/>
  <c r="M31" i="22"/>
  <c r="N31" i="22" s="1"/>
  <c r="K31" i="22"/>
  <c r="L31" i="22" s="1"/>
  <c r="N115" i="11"/>
  <c r="O115" i="11" s="1"/>
  <c r="L115" i="11"/>
  <c r="M115" i="11" s="1"/>
  <c r="M34" i="11"/>
  <c r="N34" i="11" s="1"/>
  <c r="K34" i="11"/>
  <c r="L34" i="11" s="1"/>
  <c r="N116" i="10"/>
  <c r="O116" i="10" s="1"/>
  <c r="L116" i="10"/>
  <c r="M116" i="10" s="1"/>
  <c r="M35" i="10"/>
  <c r="N35" i="10" s="1"/>
  <c r="K35" i="10"/>
  <c r="L35" i="10" s="1"/>
  <c r="N115" i="9"/>
  <c r="O115" i="9" s="1"/>
  <c r="L115" i="9"/>
  <c r="M115" i="9" s="1"/>
  <c r="M34" i="9"/>
  <c r="N34" i="9" s="1"/>
  <c r="K34" i="9"/>
  <c r="L34" i="9" s="1"/>
  <c r="N114" i="8"/>
  <c r="O114" i="8" s="1"/>
  <c r="L114" i="8"/>
  <c r="M114" i="8" s="1"/>
  <c r="M33" i="8"/>
  <c r="N33" i="8" s="1"/>
  <c r="K33" i="8"/>
  <c r="L33" i="8" s="1"/>
  <c r="N116" i="7"/>
  <c r="O116" i="7" s="1"/>
  <c r="L116" i="7"/>
  <c r="M116" i="7" s="1"/>
  <c r="M35" i="7"/>
  <c r="N35" i="7" s="1"/>
  <c r="K35" i="7"/>
  <c r="L35" i="7" s="1"/>
  <c r="M33" i="6"/>
  <c r="N33" i="6" s="1"/>
  <c r="K33" i="6"/>
  <c r="L33" i="6" s="1"/>
  <c r="N114" i="6"/>
  <c r="O114" i="6" s="1"/>
  <c r="L114" i="6"/>
  <c r="M114" i="6" s="1"/>
  <c r="N113" i="5"/>
  <c r="O113" i="5" s="1"/>
  <c r="L113" i="5"/>
  <c r="M113" i="5" s="1"/>
  <c r="N112" i="5"/>
  <c r="O112" i="5" s="1"/>
  <c r="L112" i="5"/>
  <c r="M112" i="5" s="1"/>
  <c r="M32" i="5"/>
  <c r="N32" i="5" s="1"/>
  <c r="K32" i="5"/>
  <c r="L32" i="5" s="1"/>
  <c r="N113" i="4"/>
  <c r="O113" i="4" s="1"/>
  <c r="L113" i="4"/>
  <c r="M113" i="4" s="1"/>
  <c r="M32" i="4"/>
  <c r="N32" i="4" s="1"/>
  <c r="K32" i="4"/>
  <c r="L32" i="4" s="1"/>
  <c r="N113" i="3"/>
  <c r="O113" i="3" s="1"/>
  <c r="L113" i="3"/>
  <c r="M113" i="3" s="1"/>
  <c r="M32" i="3"/>
  <c r="N32" i="3" s="1"/>
  <c r="K32" i="3"/>
  <c r="L32" i="3" s="1"/>
  <c r="D94" i="46"/>
  <c r="D93" i="46"/>
  <c r="D94" i="45"/>
  <c r="D93" i="45"/>
  <c r="D94" i="44"/>
  <c r="D93" i="44"/>
  <c r="D94" i="43"/>
  <c r="D93" i="43"/>
  <c r="D94" i="42"/>
  <c r="D93" i="42"/>
  <c r="D94" i="41"/>
  <c r="D93" i="41"/>
  <c r="D94" i="40"/>
  <c r="D93" i="40"/>
  <c r="D94" i="38"/>
  <c r="D93" i="38"/>
  <c r="D93" i="29"/>
  <c r="D94" i="28"/>
  <c r="D93" i="28"/>
  <c r="D93" i="27"/>
  <c r="O32" i="4" l="1"/>
  <c r="P115" i="9"/>
  <c r="P112" i="25"/>
  <c r="P111" i="23"/>
  <c r="P115" i="11"/>
  <c r="O26" i="30"/>
  <c r="O31" i="22"/>
  <c r="P112" i="5"/>
  <c r="P107" i="30"/>
  <c r="O30" i="23"/>
  <c r="O31" i="25"/>
  <c r="P116" i="10"/>
  <c r="P109" i="27"/>
  <c r="P104" i="40"/>
  <c r="O33" i="8"/>
  <c r="P108" i="31"/>
  <c r="P113" i="4"/>
  <c r="O28" i="27"/>
  <c r="O32" i="3"/>
  <c r="P114" i="6"/>
  <c r="O27" i="29"/>
  <c r="O24" i="37"/>
  <c r="P104" i="38"/>
  <c r="P104" i="41"/>
  <c r="P113" i="5"/>
  <c r="P105" i="39"/>
  <c r="O23" i="40"/>
  <c r="P116" i="7"/>
  <c r="O29" i="24"/>
  <c r="P113" i="3"/>
  <c r="O27" i="28"/>
  <c r="P108" i="29"/>
  <c r="P105" i="37"/>
  <c r="O24" i="39"/>
  <c r="F49" i="51"/>
  <c r="B49" i="51"/>
  <c r="P103" i="42"/>
  <c r="P104" i="42"/>
  <c r="O23" i="42"/>
  <c r="O23" i="41"/>
  <c r="O24" i="38"/>
  <c r="O27" i="31"/>
  <c r="P108" i="28"/>
  <c r="P110" i="24"/>
  <c r="P112" i="22"/>
  <c r="O34" i="11"/>
  <c r="O35" i="10"/>
  <c r="O34" i="9"/>
  <c r="P114" i="8"/>
  <c r="O35" i="7"/>
  <c r="O33" i="6"/>
  <c r="O32" i="5"/>
  <c r="D93" i="24"/>
  <c r="D50" i="51" l="1"/>
  <c r="E50" i="51" s="1"/>
  <c r="U54" i="17"/>
  <c r="F50" i="51" l="1"/>
  <c r="B50" i="51"/>
  <c r="M19" i="48"/>
  <c r="K19" i="48"/>
  <c r="L19" i="48" s="1"/>
  <c r="D51" i="51" l="1"/>
  <c r="E51" i="51" s="1"/>
  <c r="D92" i="45"/>
  <c r="D92" i="44"/>
  <c r="D92" i="43"/>
  <c r="D92" i="42"/>
  <c r="D92" i="41"/>
  <c r="D92" i="40"/>
  <c r="D92" i="39"/>
  <c r="D92" i="38"/>
  <c r="D92" i="31"/>
  <c r="D92" i="30"/>
  <c r="D92" i="29"/>
  <c r="D92" i="25"/>
  <c r="D92" i="22"/>
  <c r="D92" i="11"/>
  <c r="D92" i="10"/>
  <c r="D92" i="9"/>
  <c r="D92" i="8"/>
  <c r="D92" i="7"/>
  <c r="D92" i="5"/>
  <c r="D92" i="4"/>
  <c r="B51" i="51" l="1"/>
  <c r="F51" i="51"/>
  <c r="M18" i="49"/>
  <c r="K18" i="49"/>
  <c r="L18" i="49" s="1"/>
  <c r="M18" i="48"/>
  <c r="K18" i="48"/>
  <c r="L18" i="48" s="1"/>
  <c r="M20" i="46"/>
  <c r="K20" i="46"/>
  <c r="L20" i="46" s="1"/>
  <c r="M21" i="45"/>
  <c r="K21" i="45"/>
  <c r="L21" i="45" s="1"/>
  <c r="M21" i="44"/>
  <c r="K21" i="44"/>
  <c r="L21" i="44" s="1"/>
  <c r="M22" i="41"/>
  <c r="K22" i="41"/>
  <c r="L22" i="41" s="1"/>
  <c r="M22" i="40"/>
  <c r="K22" i="40"/>
  <c r="L22" i="40" s="1"/>
  <c r="M23" i="39"/>
  <c r="K23" i="39"/>
  <c r="L23" i="39" s="1"/>
  <c r="M23" i="38"/>
  <c r="K23" i="38"/>
  <c r="L23" i="38" s="1"/>
  <c r="M23" i="37"/>
  <c r="K23" i="37"/>
  <c r="L23" i="37" s="1"/>
  <c r="M26" i="31"/>
  <c r="K26" i="31"/>
  <c r="L26" i="31" s="1"/>
  <c r="M25" i="30"/>
  <c r="K25" i="30"/>
  <c r="L25" i="30" s="1"/>
  <c r="M26" i="29"/>
  <c r="K26" i="29"/>
  <c r="L26" i="29" s="1"/>
  <c r="M26" i="28"/>
  <c r="K26" i="28"/>
  <c r="L26" i="28" s="1"/>
  <c r="M27" i="27"/>
  <c r="K27" i="27"/>
  <c r="L27" i="27" s="1"/>
  <c r="M30" i="25"/>
  <c r="K30" i="25"/>
  <c r="L30" i="25" s="1"/>
  <c r="M28" i="24"/>
  <c r="K28" i="24"/>
  <c r="L28" i="24" s="1"/>
  <c r="M29" i="23"/>
  <c r="K29" i="23"/>
  <c r="L29" i="23" s="1"/>
  <c r="M30" i="22"/>
  <c r="K30" i="22"/>
  <c r="L30" i="22" s="1"/>
  <c r="M33" i="11"/>
  <c r="K33" i="11"/>
  <c r="L33" i="11" s="1"/>
  <c r="M34" i="10"/>
  <c r="K34" i="10"/>
  <c r="L34" i="10" s="1"/>
  <c r="M33" i="9"/>
  <c r="K33" i="9"/>
  <c r="L33" i="9" s="1"/>
  <c r="M32" i="8"/>
  <c r="K32" i="8"/>
  <c r="L32" i="8" s="1"/>
  <c r="M34" i="7"/>
  <c r="K34" i="7"/>
  <c r="L34" i="7" s="1"/>
  <c r="M32" i="6"/>
  <c r="K32" i="6"/>
  <c r="L32" i="6" s="1"/>
  <c r="M31" i="5"/>
  <c r="K31" i="5"/>
  <c r="L31" i="5" s="1"/>
  <c r="M31" i="4"/>
  <c r="K31" i="4"/>
  <c r="L31" i="4" s="1"/>
  <c r="M31" i="3"/>
  <c r="K31" i="3"/>
  <c r="L31" i="3" s="1"/>
  <c r="D52" i="51" l="1"/>
  <c r="E52" i="51" s="1"/>
  <c r="N101" i="46"/>
  <c r="O101" i="46" s="1"/>
  <c r="L101" i="46"/>
  <c r="M101" i="46" s="1"/>
  <c r="N20" i="46"/>
  <c r="N102" i="45"/>
  <c r="O102" i="45" s="1"/>
  <c r="L102" i="45"/>
  <c r="M102" i="45" s="1"/>
  <c r="N21" i="45"/>
  <c r="N102" i="44"/>
  <c r="O102" i="44" s="1"/>
  <c r="L102" i="44"/>
  <c r="M102" i="44" s="1"/>
  <c r="M22" i="43"/>
  <c r="N22" i="43" s="1"/>
  <c r="K22" i="43"/>
  <c r="L22" i="43" s="1"/>
  <c r="M22" i="42"/>
  <c r="N22" i="42" s="1"/>
  <c r="K22" i="42"/>
  <c r="L22" i="42" s="1"/>
  <c r="N103" i="41"/>
  <c r="O103" i="41" s="1"/>
  <c r="L103" i="41"/>
  <c r="M103" i="41" s="1"/>
  <c r="N103" i="40"/>
  <c r="O103" i="40" s="1"/>
  <c r="L103" i="40"/>
  <c r="M103" i="40" s="1"/>
  <c r="N104" i="39"/>
  <c r="O104" i="39" s="1"/>
  <c r="L104" i="39"/>
  <c r="M104" i="39" s="1"/>
  <c r="N103" i="38"/>
  <c r="O103" i="38" s="1"/>
  <c r="L103" i="38"/>
  <c r="M103" i="38" s="1"/>
  <c r="N104" i="37"/>
  <c r="O104" i="37" s="1"/>
  <c r="L104" i="37"/>
  <c r="M104" i="37" s="1"/>
  <c r="N107" i="31"/>
  <c r="O107" i="31" s="1"/>
  <c r="L107" i="31"/>
  <c r="M107" i="31" s="1"/>
  <c r="N106" i="30"/>
  <c r="O106" i="30" s="1"/>
  <c r="L106" i="30"/>
  <c r="M106" i="30" s="1"/>
  <c r="N107" i="29"/>
  <c r="O107" i="29" s="1"/>
  <c r="L107" i="29"/>
  <c r="M107" i="29" s="1"/>
  <c r="N107" i="28"/>
  <c r="O107" i="28" s="1"/>
  <c r="L107" i="28"/>
  <c r="M107" i="28" s="1"/>
  <c r="N108" i="27"/>
  <c r="O108" i="27" s="1"/>
  <c r="L108" i="27"/>
  <c r="M108" i="27" s="1"/>
  <c r="N111" i="25"/>
  <c r="O111" i="25" s="1"/>
  <c r="L111" i="25"/>
  <c r="M111" i="25" s="1"/>
  <c r="N110" i="25"/>
  <c r="O110" i="25" s="1"/>
  <c r="L110" i="25"/>
  <c r="M110" i="25" s="1"/>
  <c r="N109" i="24"/>
  <c r="O109" i="24" s="1"/>
  <c r="L109" i="24"/>
  <c r="M109" i="24" s="1"/>
  <c r="N110" i="23"/>
  <c r="O110" i="23" s="1"/>
  <c r="L110" i="23"/>
  <c r="M110" i="23" s="1"/>
  <c r="N111" i="22"/>
  <c r="O111" i="22" s="1"/>
  <c r="L111" i="22"/>
  <c r="M111" i="22" s="1"/>
  <c r="N114" i="11"/>
  <c r="O114" i="11" s="1"/>
  <c r="L114" i="11"/>
  <c r="M114" i="11" s="1"/>
  <c r="N115" i="10"/>
  <c r="O115" i="10" s="1"/>
  <c r="L115" i="10"/>
  <c r="M115" i="10" s="1"/>
  <c r="N114" i="9"/>
  <c r="O114" i="9" s="1"/>
  <c r="L114" i="9"/>
  <c r="M114" i="9" s="1"/>
  <c r="N113" i="8"/>
  <c r="O113" i="8" s="1"/>
  <c r="L113" i="8"/>
  <c r="M113" i="8" s="1"/>
  <c r="N115" i="7"/>
  <c r="O115" i="7" s="1"/>
  <c r="L115" i="7"/>
  <c r="M115" i="7" s="1"/>
  <c r="N113" i="6"/>
  <c r="O113" i="6" s="1"/>
  <c r="L113" i="6"/>
  <c r="M113" i="6" s="1"/>
  <c r="N112" i="4"/>
  <c r="O112" i="4" s="1"/>
  <c r="L112" i="4"/>
  <c r="M112" i="4" s="1"/>
  <c r="N112" i="3"/>
  <c r="O112" i="3" s="1"/>
  <c r="L112" i="3"/>
  <c r="M112" i="3" s="1"/>
  <c r="F52" i="51" l="1"/>
  <c r="B52" i="51"/>
  <c r="O20" i="46"/>
  <c r="P103" i="38"/>
  <c r="P107" i="28"/>
  <c r="P107" i="31"/>
  <c r="O21" i="45"/>
  <c r="P115" i="10"/>
  <c r="P114" i="11"/>
  <c r="P110" i="25"/>
  <c r="P102" i="44"/>
  <c r="P110" i="23"/>
  <c r="P113" i="6"/>
  <c r="P106" i="30"/>
  <c r="P109" i="24"/>
  <c r="P108" i="27"/>
  <c r="P104" i="39"/>
  <c r="P115" i="7"/>
  <c r="P112" i="4"/>
  <c r="P113" i="8"/>
  <c r="P107" i="29"/>
  <c r="O22" i="43"/>
  <c r="O22" i="42"/>
  <c r="P103" i="41"/>
  <c r="P103" i="40"/>
  <c r="P104" i="37"/>
  <c r="P111" i="25"/>
  <c r="P111" i="22"/>
  <c r="P114" i="9"/>
  <c r="P112" i="3"/>
  <c r="D53" i="51" l="1"/>
  <c r="E53" i="51" s="1"/>
  <c r="W48" i="17"/>
  <c r="W47" i="17"/>
  <c r="P154" i="47"/>
  <c r="O154" i="47"/>
  <c r="M154" i="47"/>
  <c r="J154" i="47"/>
  <c r="P153" i="47"/>
  <c r="O153" i="47"/>
  <c r="M153" i="47"/>
  <c r="J153" i="47"/>
  <c r="P152" i="47"/>
  <c r="O152" i="47"/>
  <c r="M152" i="47"/>
  <c r="J152" i="47"/>
  <c r="P151" i="47"/>
  <c r="O151" i="47"/>
  <c r="M151" i="47"/>
  <c r="J151" i="47"/>
  <c r="P150" i="47"/>
  <c r="O150" i="47"/>
  <c r="M150" i="47"/>
  <c r="J150" i="47"/>
  <c r="P149" i="47"/>
  <c r="O149" i="47"/>
  <c r="M149" i="47"/>
  <c r="J149" i="47"/>
  <c r="P148" i="47"/>
  <c r="O148" i="47"/>
  <c r="M148" i="47"/>
  <c r="J148" i="47"/>
  <c r="P147" i="47"/>
  <c r="O147" i="47"/>
  <c r="M147" i="47"/>
  <c r="J147" i="47"/>
  <c r="P146" i="47"/>
  <c r="O146" i="47"/>
  <c r="M146" i="47"/>
  <c r="J146" i="47"/>
  <c r="P145" i="47"/>
  <c r="O145" i="47"/>
  <c r="M145" i="47"/>
  <c r="J145" i="47"/>
  <c r="P144" i="47"/>
  <c r="O144" i="47"/>
  <c r="M144" i="47"/>
  <c r="J144" i="47"/>
  <c r="P143" i="47"/>
  <c r="O143" i="47"/>
  <c r="M143" i="47"/>
  <c r="J143" i="47"/>
  <c r="P142" i="47"/>
  <c r="O142" i="47"/>
  <c r="M142" i="47"/>
  <c r="J142" i="47"/>
  <c r="P141" i="47"/>
  <c r="O141" i="47"/>
  <c r="M141" i="47"/>
  <c r="J141" i="47"/>
  <c r="P140" i="47"/>
  <c r="O140" i="47"/>
  <c r="M140" i="47"/>
  <c r="J140" i="47"/>
  <c r="P139" i="47"/>
  <c r="O139" i="47"/>
  <c r="M139" i="47"/>
  <c r="J139" i="47"/>
  <c r="P138" i="47"/>
  <c r="O138" i="47"/>
  <c r="M138" i="47"/>
  <c r="J138" i="47"/>
  <c r="P137" i="47"/>
  <c r="O137" i="47"/>
  <c r="M137" i="47"/>
  <c r="J137" i="47"/>
  <c r="P136" i="47"/>
  <c r="O136" i="47"/>
  <c r="M136" i="47"/>
  <c r="J136" i="47"/>
  <c r="P135" i="47"/>
  <c r="O135" i="47"/>
  <c r="M135" i="47"/>
  <c r="J135" i="47"/>
  <c r="P134" i="47"/>
  <c r="O134" i="47"/>
  <c r="M134" i="47"/>
  <c r="J134" i="47"/>
  <c r="P133" i="47"/>
  <c r="O133" i="47"/>
  <c r="M133" i="47"/>
  <c r="J133" i="47"/>
  <c r="P132" i="47"/>
  <c r="O132" i="47"/>
  <c r="M132" i="47"/>
  <c r="J132" i="47"/>
  <c r="P131" i="47"/>
  <c r="O131" i="47"/>
  <c r="M131" i="47"/>
  <c r="J131" i="47"/>
  <c r="O130" i="47"/>
  <c r="M130" i="47"/>
  <c r="O129" i="47"/>
  <c r="M129" i="47"/>
  <c r="O128" i="47"/>
  <c r="M128" i="47"/>
  <c r="O127" i="47"/>
  <c r="M127" i="47"/>
  <c r="O126" i="47"/>
  <c r="M126" i="47"/>
  <c r="O125" i="47"/>
  <c r="M125" i="47"/>
  <c r="O124" i="47"/>
  <c r="M124" i="47"/>
  <c r="O123" i="47"/>
  <c r="M123" i="47"/>
  <c r="O122" i="47"/>
  <c r="M122" i="47"/>
  <c r="O121" i="47"/>
  <c r="M121" i="47"/>
  <c r="O120" i="47"/>
  <c r="M120" i="47"/>
  <c r="O119" i="47"/>
  <c r="M119" i="47"/>
  <c r="O118" i="47"/>
  <c r="M118" i="47"/>
  <c r="O117" i="47"/>
  <c r="M117" i="47"/>
  <c r="O116" i="47"/>
  <c r="M116" i="47"/>
  <c r="O115" i="47"/>
  <c r="M115" i="47"/>
  <c r="O114" i="47"/>
  <c r="M114" i="47"/>
  <c r="O113" i="47"/>
  <c r="M113" i="47"/>
  <c r="O112" i="47"/>
  <c r="M112" i="47"/>
  <c r="O111" i="47"/>
  <c r="M111" i="47"/>
  <c r="O110" i="47"/>
  <c r="M110" i="47"/>
  <c r="O109" i="47"/>
  <c r="M109" i="47"/>
  <c r="O108" i="47"/>
  <c r="M108" i="47"/>
  <c r="O107" i="47"/>
  <c r="M107" i="47"/>
  <c r="O106" i="47"/>
  <c r="M106" i="47"/>
  <c r="O105" i="47"/>
  <c r="M105" i="47"/>
  <c r="O104" i="47"/>
  <c r="M104" i="47"/>
  <c r="O103" i="47"/>
  <c r="M103" i="47"/>
  <c r="O102" i="47"/>
  <c r="M102" i="47"/>
  <c r="O101" i="47"/>
  <c r="M101" i="47"/>
  <c r="D96" i="47"/>
  <c r="D94" i="47"/>
  <c r="L93" i="47"/>
  <c r="D93" i="47"/>
  <c r="D90" i="47"/>
  <c r="N72" i="47"/>
  <c r="L72" i="47"/>
  <c r="N71" i="47"/>
  <c r="L71" i="47"/>
  <c r="N70" i="47"/>
  <c r="L70" i="47"/>
  <c r="N69" i="47"/>
  <c r="L69" i="47"/>
  <c r="N68" i="47"/>
  <c r="L68" i="47"/>
  <c r="N67" i="47"/>
  <c r="L67" i="47"/>
  <c r="N66" i="47"/>
  <c r="L66" i="47"/>
  <c r="N65" i="47"/>
  <c r="L65" i="47"/>
  <c r="N64" i="47"/>
  <c r="L64" i="47"/>
  <c r="N63" i="47"/>
  <c r="L63" i="47"/>
  <c r="N62" i="47"/>
  <c r="L62" i="47"/>
  <c r="N61" i="47"/>
  <c r="L61" i="47"/>
  <c r="N60" i="47"/>
  <c r="L60" i="47"/>
  <c r="N59" i="47"/>
  <c r="L59" i="47"/>
  <c r="N58" i="47"/>
  <c r="L58" i="47"/>
  <c r="N57" i="47"/>
  <c r="L57" i="47"/>
  <c r="N56" i="47"/>
  <c r="L56" i="47"/>
  <c r="N55" i="47"/>
  <c r="L55" i="47"/>
  <c r="N54" i="47"/>
  <c r="L54" i="47"/>
  <c r="N53" i="47"/>
  <c r="L53" i="47"/>
  <c r="N52" i="47"/>
  <c r="L52" i="47"/>
  <c r="N51" i="47"/>
  <c r="L51" i="47"/>
  <c r="N50" i="47"/>
  <c r="L50" i="47"/>
  <c r="N49" i="47"/>
  <c r="L49" i="47"/>
  <c r="N48" i="47"/>
  <c r="L48" i="47"/>
  <c r="N47" i="47"/>
  <c r="L47" i="47"/>
  <c r="N46" i="47"/>
  <c r="L46" i="47"/>
  <c r="N45" i="47"/>
  <c r="L45" i="47"/>
  <c r="N44" i="47"/>
  <c r="L44" i="47"/>
  <c r="N43" i="47"/>
  <c r="L43" i="47"/>
  <c r="N42" i="47"/>
  <c r="L42" i="47"/>
  <c r="N41" i="47"/>
  <c r="L41" i="47"/>
  <c r="N40" i="47"/>
  <c r="L40" i="47"/>
  <c r="N39" i="47"/>
  <c r="L39" i="47"/>
  <c r="N38" i="47"/>
  <c r="L38" i="47"/>
  <c r="N37" i="47"/>
  <c r="L37" i="47"/>
  <c r="N36" i="47"/>
  <c r="L36" i="47"/>
  <c r="N35" i="47"/>
  <c r="L35" i="47"/>
  <c r="N34" i="47"/>
  <c r="L34" i="47"/>
  <c r="N33" i="47"/>
  <c r="L33" i="47"/>
  <c r="N32" i="47"/>
  <c r="L32" i="47"/>
  <c r="N31" i="47"/>
  <c r="L31" i="47"/>
  <c r="N30" i="47"/>
  <c r="L30" i="47"/>
  <c r="N29" i="47"/>
  <c r="L29" i="47"/>
  <c r="N28" i="47"/>
  <c r="L28" i="47"/>
  <c r="N27" i="47"/>
  <c r="L27" i="47"/>
  <c r="N26" i="47"/>
  <c r="L26" i="47"/>
  <c r="N25" i="47"/>
  <c r="L25" i="47"/>
  <c r="N24" i="47"/>
  <c r="L24" i="47"/>
  <c r="N23" i="47"/>
  <c r="L23" i="47"/>
  <c r="N22" i="47"/>
  <c r="L22" i="47"/>
  <c r="N21" i="47"/>
  <c r="L21" i="47"/>
  <c r="N20" i="47"/>
  <c r="L20" i="47"/>
  <c r="C17" i="47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C32" i="47" s="1"/>
  <c r="C33" i="47" s="1"/>
  <c r="C34" i="47" s="1"/>
  <c r="C35" i="47" s="1"/>
  <c r="C36" i="47" s="1"/>
  <c r="C37" i="47" s="1"/>
  <c r="C38" i="47" s="1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C65" i="47" s="1"/>
  <c r="C66" i="47" s="1"/>
  <c r="C67" i="47" s="1"/>
  <c r="C68" i="47" s="1"/>
  <c r="C69" i="47" s="1"/>
  <c r="C70" i="47" s="1"/>
  <c r="C71" i="47" s="1"/>
  <c r="C72" i="47" s="1"/>
  <c r="K11" i="47"/>
  <c r="P83" i="47"/>
  <c r="P154" i="49"/>
  <c r="O154" i="49"/>
  <c r="M154" i="49"/>
  <c r="J154" i="49"/>
  <c r="P153" i="49"/>
  <c r="O153" i="49"/>
  <c r="M153" i="49"/>
  <c r="J153" i="49"/>
  <c r="P152" i="49"/>
  <c r="O152" i="49"/>
  <c r="M152" i="49"/>
  <c r="J152" i="49"/>
  <c r="P151" i="49"/>
  <c r="O151" i="49"/>
  <c r="M151" i="49"/>
  <c r="J151" i="49"/>
  <c r="P150" i="49"/>
  <c r="O150" i="49"/>
  <c r="M150" i="49"/>
  <c r="J150" i="49"/>
  <c r="P149" i="49"/>
  <c r="O149" i="49"/>
  <c r="M149" i="49"/>
  <c r="J149" i="49"/>
  <c r="P148" i="49"/>
  <c r="O148" i="49"/>
  <c r="M148" i="49"/>
  <c r="J148" i="49"/>
  <c r="P147" i="49"/>
  <c r="O147" i="49"/>
  <c r="M147" i="49"/>
  <c r="J147" i="49"/>
  <c r="P146" i="49"/>
  <c r="O146" i="49"/>
  <c r="M146" i="49"/>
  <c r="J146" i="49"/>
  <c r="P145" i="49"/>
  <c r="O145" i="49"/>
  <c r="M145" i="49"/>
  <c r="J145" i="49"/>
  <c r="P144" i="49"/>
  <c r="O144" i="49"/>
  <c r="M144" i="49"/>
  <c r="J144" i="49"/>
  <c r="P143" i="49"/>
  <c r="O143" i="49"/>
  <c r="M143" i="49"/>
  <c r="J143" i="49"/>
  <c r="P142" i="49"/>
  <c r="O142" i="49"/>
  <c r="M142" i="49"/>
  <c r="J142" i="49"/>
  <c r="P141" i="49"/>
  <c r="O141" i="49"/>
  <c r="M141" i="49"/>
  <c r="J141" i="49"/>
  <c r="P140" i="49"/>
  <c r="O140" i="49"/>
  <c r="M140" i="49"/>
  <c r="J140" i="49"/>
  <c r="P139" i="49"/>
  <c r="O139" i="49"/>
  <c r="M139" i="49"/>
  <c r="J139" i="49"/>
  <c r="P138" i="49"/>
  <c r="O138" i="49"/>
  <c r="M138" i="49"/>
  <c r="J138" i="49"/>
  <c r="P137" i="49"/>
  <c r="O137" i="49"/>
  <c r="M137" i="49"/>
  <c r="J137" i="49"/>
  <c r="P136" i="49"/>
  <c r="O136" i="49"/>
  <c r="M136" i="49"/>
  <c r="J136" i="49"/>
  <c r="P135" i="49"/>
  <c r="O135" i="49"/>
  <c r="M135" i="49"/>
  <c r="J135" i="49"/>
  <c r="P134" i="49"/>
  <c r="O134" i="49"/>
  <c r="M134" i="49"/>
  <c r="J134" i="49"/>
  <c r="P133" i="49"/>
  <c r="O133" i="49"/>
  <c r="M133" i="49"/>
  <c r="J133" i="49"/>
  <c r="P132" i="49"/>
  <c r="O132" i="49"/>
  <c r="M132" i="49"/>
  <c r="J132" i="49"/>
  <c r="P131" i="49"/>
  <c r="O131" i="49"/>
  <c r="M131" i="49"/>
  <c r="J131" i="49"/>
  <c r="O130" i="49"/>
  <c r="M130" i="49"/>
  <c r="O129" i="49"/>
  <c r="M129" i="49"/>
  <c r="O128" i="49"/>
  <c r="M128" i="49"/>
  <c r="O127" i="49"/>
  <c r="M127" i="49"/>
  <c r="O126" i="49"/>
  <c r="M126" i="49"/>
  <c r="O125" i="49"/>
  <c r="M125" i="49"/>
  <c r="O124" i="49"/>
  <c r="M124" i="49"/>
  <c r="O123" i="49"/>
  <c r="M123" i="49"/>
  <c r="O122" i="49"/>
  <c r="M122" i="49"/>
  <c r="O121" i="49"/>
  <c r="M121" i="49"/>
  <c r="O120" i="49"/>
  <c r="M120" i="49"/>
  <c r="O119" i="49"/>
  <c r="M119" i="49"/>
  <c r="O118" i="49"/>
  <c r="M118" i="49"/>
  <c r="O117" i="49"/>
  <c r="M117" i="49"/>
  <c r="O116" i="49"/>
  <c r="M116" i="49"/>
  <c r="O115" i="49"/>
  <c r="M115" i="49"/>
  <c r="O114" i="49"/>
  <c r="M114" i="49"/>
  <c r="O113" i="49"/>
  <c r="M113" i="49"/>
  <c r="O112" i="49"/>
  <c r="M112" i="49"/>
  <c r="O111" i="49"/>
  <c r="M111" i="49"/>
  <c r="O110" i="49"/>
  <c r="M110" i="49"/>
  <c r="O109" i="49"/>
  <c r="M109" i="49"/>
  <c r="O108" i="49"/>
  <c r="M108" i="49"/>
  <c r="O107" i="49"/>
  <c r="M107" i="49"/>
  <c r="O106" i="49"/>
  <c r="M106" i="49"/>
  <c r="O105" i="49"/>
  <c r="M105" i="49"/>
  <c r="O104" i="49"/>
  <c r="M104" i="49"/>
  <c r="O103" i="49"/>
  <c r="M103" i="49"/>
  <c r="O102" i="49"/>
  <c r="M102" i="49"/>
  <c r="O101" i="49"/>
  <c r="M101" i="49"/>
  <c r="D96" i="49"/>
  <c r="D94" i="49"/>
  <c r="L93" i="49"/>
  <c r="D93" i="49"/>
  <c r="D89" i="49"/>
  <c r="N72" i="49"/>
  <c r="L72" i="49"/>
  <c r="N71" i="49"/>
  <c r="L71" i="49"/>
  <c r="N70" i="49"/>
  <c r="L70" i="49"/>
  <c r="N69" i="49"/>
  <c r="L69" i="49"/>
  <c r="N68" i="49"/>
  <c r="L68" i="49"/>
  <c r="N67" i="49"/>
  <c r="L67" i="49"/>
  <c r="N66" i="49"/>
  <c r="L66" i="49"/>
  <c r="N65" i="49"/>
  <c r="L65" i="49"/>
  <c r="N64" i="49"/>
  <c r="L64" i="49"/>
  <c r="N63" i="49"/>
  <c r="L63" i="49"/>
  <c r="N62" i="49"/>
  <c r="L62" i="49"/>
  <c r="N61" i="49"/>
  <c r="L61" i="49"/>
  <c r="N60" i="49"/>
  <c r="L60" i="49"/>
  <c r="N59" i="49"/>
  <c r="L59" i="49"/>
  <c r="N58" i="49"/>
  <c r="L58" i="49"/>
  <c r="N57" i="49"/>
  <c r="L57" i="49"/>
  <c r="N56" i="49"/>
  <c r="L56" i="49"/>
  <c r="N55" i="49"/>
  <c r="L55" i="49"/>
  <c r="N54" i="49"/>
  <c r="L54" i="49"/>
  <c r="N53" i="49"/>
  <c r="L53" i="49"/>
  <c r="N52" i="49"/>
  <c r="L52" i="49"/>
  <c r="N51" i="49"/>
  <c r="L51" i="49"/>
  <c r="N50" i="49"/>
  <c r="L50" i="49"/>
  <c r="N49" i="49"/>
  <c r="L49" i="49"/>
  <c r="N48" i="49"/>
  <c r="L48" i="49"/>
  <c r="N47" i="49"/>
  <c r="L47" i="49"/>
  <c r="N46" i="49"/>
  <c r="L46" i="49"/>
  <c r="N45" i="49"/>
  <c r="L45" i="49"/>
  <c r="N44" i="49"/>
  <c r="L44" i="49"/>
  <c r="N43" i="49"/>
  <c r="L43" i="49"/>
  <c r="N42" i="49"/>
  <c r="L42" i="49"/>
  <c r="N41" i="49"/>
  <c r="L41" i="49"/>
  <c r="N40" i="49"/>
  <c r="L40" i="49"/>
  <c r="N39" i="49"/>
  <c r="L39" i="49"/>
  <c r="N38" i="49"/>
  <c r="L38" i="49"/>
  <c r="N37" i="49"/>
  <c r="L37" i="49"/>
  <c r="N36" i="49"/>
  <c r="L36" i="49"/>
  <c r="N35" i="49"/>
  <c r="L35" i="49"/>
  <c r="N34" i="49"/>
  <c r="L34" i="49"/>
  <c r="N33" i="49"/>
  <c r="L33" i="49"/>
  <c r="N32" i="49"/>
  <c r="L32" i="49"/>
  <c r="N31" i="49"/>
  <c r="L31" i="49"/>
  <c r="N30" i="49"/>
  <c r="L30" i="49"/>
  <c r="N29" i="49"/>
  <c r="L29" i="49"/>
  <c r="N28" i="49"/>
  <c r="L28" i="49"/>
  <c r="N27" i="49"/>
  <c r="L27" i="49"/>
  <c r="N26" i="49"/>
  <c r="L26" i="49"/>
  <c r="N25" i="49"/>
  <c r="L25" i="49"/>
  <c r="N24" i="49"/>
  <c r="L24" i="49"/>
  <c r="N23" i="49"/>
  <c r="L23" i="49"/>
  <c r="N22" i="49"/>
  <c r="L22" i="49"/>
  <c r="N21" i="49"/>
  <c r="L21" i="49"/>
  <c r="N20" i="49"/>
  <c r="L20" i="49"/>
  <c r="N18" i="49"/>
  <c r="C17" i="49"/>
  <c r="K11" i="49"/>
  <c r="P154" i="48"/>
  <c r="O154" i="48"/>
  <c r="M154" i="48"/>
  <c r="J154" i="48"/>
  <c r="P153" i="48"/>
  <c r="O153" i="48"/>
  <c r="M153" i="48"/>
  <c r="J153" i="48"/>
  <c r="P152" i="48"/>
  <c r="O152" i="48"/>
  <c r="M152" i="48"/>
  <c r="J152" i="48"/>
  <c r="P151" i="48"/>
  <c r="O151" i="48"/>
  <c r="M151" i="48"/>
  <c r="J151" i="48"/>
  <c r="P150" i="48"/>
  <c r="O150" i="48"/>
  <c r="M150" i="48"/>
  <c r="J150" i="48"/>
  <c r="P149" i="48"/>
  <c r="O149" i="48"/>
  <c r="M149" i="48"/>
  <c r="J149" i="48"/>
  <c r="P148" i="48"/>
  <c r="O148" i="48"/>
  <c r="M148" i="48"/>
  <c r="J148" i="48"/>
  <c r="P147" i="48"/>
  <c r="O147" i="48"/>
  <c r="M147" i="48"/>
  <c r="J147" i="48"/>
  <c r="P146" i="48"/>
  <c r="O146" i="48"/>
  <c r="M146" i="48"/>
  <c r="J146" i="48"/>
  <c r="P145" i="48"/>
  <c r="O145" i="48"/>
  <c r="M145" i="48"/>
  <c r="J145" i="48"/>
  <c r="P144" i="48"/>
  <c r="O144" i="48"/>
  <c r="M144" i="48"/>
  <c r="J144" i="48"/>
  <c r="P143" i="48"/>
  <c r="O143" i="48"/>
  <c r="M143" i="48"/>
  <c r="J143" i="48"/>
  <c r="P142" i="48"/>
  <c r="O142" i="48"/>
  <c r="M142" i="48"/>
  <c r="J142" i="48"/>
  <c r="P141" i="48"/>
  <c r="O141" i="48"/>
  <c r="M141" i="48"/>
  <c r="J141" i="48"/>
  <c r="P140" i="48"/>
  <c r="O140" i="48"/>
  <c r="M140" i="48"/>
  <c r="J140" i="48"/>
  <c r="P139" i="48"/>
  <c r="O139" i="48"/>
  <c r="M139" i="48"/>
  <c r="J139" i="48"/>
  <c r="P138" i="48"/>
  <c r="O138" i="48"/>
  <c r="M138" i="48"/>
  <c r="J138" i="48"/>
  <c r="P137" i="48"/>
  <c r="O137" i="48"/>
  <c r="M137" i="48"/>
  <c r="J137" i="48"/>
  <c r="P136" i="48"/>
  <c r="O136" i="48"/>
  <c r="M136" i="48"/>
  <c r="J136" i="48"/>
  <c r="P135" i="48"/>
  <c r="O135" i="48"/>
  <c r="M135" i="48"/>
  <c r="J135" i="48"/>
  <c r="P134" i="48"/>
  <c r="O134" i="48"/>
  <c r="M134" i="48"/>
  <c r="J134" i="48"/>
  <c r="P133" i="48"/>
  <c r="O133" i="48"/>
  <c r="M133" i="48"/>
  <c r="J133" i="48"/>
  <c r="P132" i="48"/>
  <c r="O132" i="48"/>
  <c r="M132" i="48"/>
  <c r="J132" i="48"/>
  <c r="P131" i="48"/>
  <c r="O131" i="48"/>
  <c r="M131" i="48"/>
  <c r="J131" i="48"/>
  <c r="O130" i="48"/>
  <c r="M130" i="48"/>
  <c r="O129" i="48"/>
  <c r="M129" i="48"/>
  <c r="O128" i="48"/>
  <c r="M128" i="48"/>
  <c r="O127" i="48"/>
  <c r="M127" i="48"/>
  <c r="O126" i="48"/>
  <c r="M126" i="48"/>
  <c r="O125" i="48"/>
  <c r="M125" i="48"/>
  <c r="O124" i="48"/>
  <c r="M124" i="48"/>
  <c r="O123" i="48"/>
  <c r="M123" i="48"/>
  <c r="O122" i="48"/>
  <c r="M122" i="48"/>
  <c r="O121" i="48"/>
  <c r="M121" i="48"/>
  <c r="O120" i="48"/>
  <c r="M120" i="48"/>
  <c r="O119" i="48"/>
  <c r="M119" i="48"/>
  <c r="O118" i="48"/>
  <c r="M118" i="48"/>
  <c r="O117" i="48"/>
  <c r="M117" i="48"/>
  <c r="O116" i="48"/>
  <c r="M116" i="48"/>
  <c r="O115" i="48"/>
  <c r="M115" i="48"/>
  <c r="O114" i="48"/>
  <c r="M114" i="48"/>
  <c r="O113" i="48"/>
  <c r="M113" i="48"/>
  <c r="O112" i="48"/>
  <c r="M112" i="48"/>
  <c r="O111" i="48"/>
  <c r="M111" i="48"/>
  <c r="O110" i="48"/>
  <c r="M110" i="48"/>
  <c r="O109" i="48"/>
  <c r="M109" i="48"/>
  <c r="O108" i="48"/>
  <c r="M108" i="48"/>
  <c r="O107" i="48"/>
  <c r="M107" i="48"/>
  <c r="O106" i="48"/>
  <c r="M106" i="48"/>
  <c r="O105" i="48"/>
  <c r="M105" i="48"/>
  <c r="O104" i="48"/>
  <c r="M104" i="48"/>
  <c r="O103" i="48"/>
  <c r="M103" i="48"/>
  <c r="O102" i="48"/>
  <c r="M102" i="48"/>
  <c r="D96" i="48"/>
  <c r="D94" i="48"/>
  <c r="L93" i="48"/>
  <c r="D93" i="48"/>
  <c r="D91" i="48"/>
  <c r="D89" i="48"/>
  <c r="N72" i="48"/>
  <c r="L72" i="48"/>
  <c r="N71" i="48"/>
  <c r="L71" i="48"/>
  <c r="N70" i="48"/>
  <c r="L70" i="48"/>
  <c r="N69" i="48"/>
  <c r="L69" i="48"/>
  <c r="N68" i="48"/>
  <c r="L68" i="48"/>
  <c r="N67" i="48"/>
  <c r="L67" i="48"/>
  <c r="N66" i="48"/>
  <c r="L66" i="48"/>
  <c r="N65" i="48"/>
  <c r="L65" i="48"/>
  <c r="N64" i="48"/>
  <c r="L64" i="48"/>
  <c r="N63" i="48"/>
  <c r="L63" i="48"/>
  <c r="N62" i="48"/>
  <c r="L62" i="48"/>
  <c r="N61" i="48"/>
  <c r="L61" i="48"/>
  <c r="N60" i="48"/>
  <c r="L60" i="48"/>
  <c r="N59" i="48"/>
  <c r="L59" i="48"/>
  <c r="N58" i="48"/>
  <c r="L58" i="48"/>
  <c r="N57" i="48"/>
  <c r="L57" i="48"/>
  <c r="N56" i="48"/>
  <c r="L56" i="48"/>
  <c r="N55" i="48"/>
  <c r="L55" i="48"/>
  <c r="N54" i="48"/>
  <c r="L54" i="48"/>
  <c r="N53" i="48"/>
  <c r="L53" i="48"/>
  <c r="N52" i="48"/>
  <c r="L52" i="48"/>
  <c r="N51" i="48"/>
  <c r="L51" i="48"/>
  <c r="N50" i="48"/>
  <c r="L50" i="48"/>
  <c r="N49" i="48"/>
  <c r="L49" i="48"/>
  <c r="N48" i="48"/>
  <c r="L48" i="48"/>
  <c r="N47" i="48"/>
  <c r="L47" i="48"/>
  <c r="N46" i="48"/>
  <c r="L46" i="48"/>
  <c r="N45" i="48"/>
  <c r="L45" i="48"/>
  <c r="N44" i="48"/>
  <c r="L44" i="48"/>
  <c r="N43" i="48"/>
  <c r="L43" i="48"/>
  <c r="N42" i="48"/>
  <c r="L42" i="48"/>
  <c r="N41" i="48"/>
  <c r="L41" i="48"/>
  <c r="N40" i="48"/>
  <c r="L40" i="48"/>
  <c r="N39" i="48"/>
  <c r="L39" i="48"/>
  <c r="N38" i="48"/>
  <c r="L38" i="48"/>
  <c r="N37" i="48"/>
  <c r="L37" i="48"/>
  <c r="N36" i="48"/>
  <c r="L36" i="48"/>
  <c r="N35" i="48"/>
  <c r="L35" i="48"/>
  <c r="N34" i="48"/>
  <c r="L34" i="48"/>
  <c r="N33" i="48"/>
  <c r="L33" i="48"/>
  <c r="N32" i="48"/>
  <c r="L32" i="48"/>
  <c r="N31" i="48"/>
  <c r="L31" i="48"/>
  <c r="N30" i="48"/>
  <c r="L30" i="48"/>
  <c r="N29" i="48"/>
  <c r="L29" i="48"/>
  <c r="N28" i="48"/>
  <c r="L28" i="48"/>
  <c r="N27" i="48"/>
  <c r="L27" i="48"/>
  <c r="N26" i="48"/>
  <c r="L26" i="48"/>
  <c r="N25" i="48"/>
  <c r="L25" i="48"/>
  <c r="N24" i="48"/>
  <c r="L24" i="48"/>
  <c r="N23" i="48"/>
  <c r="L23" i="48"/>
  <c r="N22" i="48"/>
  <c r="L22" i="48"/>
  <c r="N21" i="48"/>
  <c r="L21" i="48"/>
  <c r="N19" i="48"/>
  <c r="N18" i="48"/>
  <c r="C17" i="48"/>
  <c r="K11" i="48"/>
  <c r="N100" i="46"/>
  <c r="L100" i="46"/>
  <c r="M100" i="46" s="1"/>
  <c r="M19" i="46"/>
  <c r="K19" i="46"/>
  <c r="L19" i="46" s="1"/>
  <c r="N101" i="45"/>
  <c r="L101" i="45"/>
  <c r="M101" i="45" s="1"/>
  <c r="M20" i="45"/>
  <c r="K20" i="45"/>
  <c r="L20" i="45" s="1"/>
  <c r="N101" i="44"/>
  <c r="L101" i="44"/>
  <c r="M101" i="44" s="1"/>
  <c r="M20" i="44"/>
  <c r="K20" i="44"/>
  <c r="L20" i="44" s="1"/>
  <c r="N102" i="43"/>
  <c r="L102" i="43"/>
  <c r="M102" i="43" s="1"/>
  <c r="M21" i="43"/>
  <c r="K21" i="43"/>
  <c r="L21" i="43" s="1"/>
  <c r="N102" i="42"/>
  <c r="L102" i="42"/>
  <c r="M102" i="42" s="1"/>
  <c r="M21" i="42"/>
  <c r="K21" i="42"/>
  <c r="L21" i="42" s="1"/>
  <c r="N102" i="41"/>
  <c r="L102" i="41"/>
  <c r="M102" i="41" s="1"/>
  <c r="M21" i="41"/>
  <c r="K21" i="41"/>
  <c r="L21" i="41" s="1"/>
  <c r="N102" i="40"/>
  <c r="L102" i="40"/>
  <c r="M102" i="40" s="1"/>
  <c r="M21" i="40"/>
  <c r="K21" i="40"/>
  <c r="L21" i="40" s="1"/>
  <c r="N103" i="39"/>
  <c r="L103" i="39"/>
  <c r="M103" i="39" s="1"/>
  <c r="M22" i="39"/>
  <c r="K22" i="39"/>
  <c r="L22" i="39" s="1"/>
  <c r="N102" i="38"/>
  <c r="L102" i="38"/>
  <c r="M102" i="38" s="1"/>
  <c r="M22" i="38"/>
  <c r="K22" i="38"/>
  <c r="L22" i="38" s="1"/>
  <c r="N103" i="37"/>
  <c r="L103" i="37"/>
  <c r="M103" i="37" s="1"/>
  <c r="M22" i="37"/>
  <c r="K22" i="37"/>
  <c r="L22" i="37" s="1"/>
  <c r="N106" i="31"/>
  <c r="L106" i="31"/>
  <c r="M106" i="31" s="1"/>
  <c r="M25" i="31"/>
  <c r="K25" i="31"/>
  <c r="L25" i="31" s="1"/>
  <c r="N105" i="30"/>
  <c r="L105" i="30"/>
  <c r="M105" i="30" s="1"/>
  <c r="M24" i="30"/>
  <c r="K24" i="30"/>
  <c r="L24" i="30" s="1"/>
  <c r="N106" i="29"/>
  <c r="L106" i="29"/>
  <c r="M106" i="29" s="1"/>
  <c r="M25" i="29"/>
  <c r="K25" i="29"/>
  <c r="L25" i="29" s="1"/>
  <c r="N106" i="28"/>
  <c r="L106" i="28"/>
  <c r="M106" i="28" s="1"/>
  <c r="M25" i="28"/>
  <c r="K25" i="28"/>
  <c r="L25" i="28" s="1"/>
  <c r="N107" i="27"/>
  <c r="L107" i="27"/>
  <c r="M107" i="27" s="1"/>
  <c r="M26" i="27"/>
  <c r="K26" i="27"/>
  <c r="L26" i="27" s="1"/>
  <c r="M29" i="25"/>
  <c r="K29" i="25"/>
  <c r="L29" i="25" s="1"/>
  <c r="N108" i="24"/>
  <c r="L108" i="24"/>
  <c r="M108" i="24" s="1"/>
  <c r="M27" i="24"/>
  <c r="K27" i="24"/>
  <c r="L27" i="24" s="1"/>
  <c r="N109" i="23"/>
  <c r="L109" i="23"/>
  <c r="M109" i="23" s="1"/>
  <c r="M28" i="23"/>
  <c r="K28" i="23"/>
  <c r="L28" i="23" s="1"/>
  <c r="N110" i="22"/>
  <c r="L110" i="22"/>
  <c r="M110" i="22" s="1"/>
  <c r="M29" i="22"/>
  <c r="K29" i="22"/>
  <c r="L29" i="22" s="1"/>
  <c r="N113" i="11"/>
  <c r="L113" i="11"/>
  <c r="M113" i="11" s="1"/>
  <c r="M32" i="11"/>
  <c r="K32" i="11"/>
  <c r="L32" i="11" s="1"/>
  <c r="N114" i="10"/>
  <c r="L114" i="10"/>
  <c r="M114" i="10" s="1"/>
  <c r="M33" i="10"/>
  <c r="K33" i="10"/>
  <c r="L33" i="10" s="1"/>
  <c r="N113" i="9"/>
  <c r="L113" i="9"/>
  <c r="M113" i="9" s="1"/>
  <c r="M32" i="9"/>
  <c r="K32" i="9"/>
  <c r="L32" i="9" s="1"/>
  <c r="N112" i="8"/>
  <c r="L112" i="8"/>
  <c r="M112" i="8" s="1"/>
  <c r="M31" i="8"/>
  <c r="K31" i="8"/>
  <c r="L31" i="8" s="1"/>
  <c r="N114" i="7"/>
  <c r="L114" i="7"/>
  <c r="M114" i="7" s="1"/>
  <c r="M33" i="7"/>
  <c r="K33" i="7"/>
  <c r="L33" i="7" s="1"/>
  <c r="N112" i="6"/>
  <c r="L112" i="6"/>
  <c r="M112" i="6" s="1"/>
  <c r="M31" i="6"/>
  <c r="K31" i="6"/>
  <c r="L31" i="6" s="1"/>
  <c r="N111" i="5"/>
  <c r="L111" i="5"/>
  <c r="M111" i="5" s="1"/>
  <c r="M30" i="5"/>
  <c r="K30" i="5"/>
  <c r="L30" i="5" s="1"/>
  <c r="N111" i="4"/>
  <c r="L111" i="4"/>
  <c r="M111" i="4" s="1"/>
  <c r="N111" i="3"/>
  <c r="L111" i="3"/>
  <c r="M111" i="3" s="1"/>
  <c r="M30" i="4"/>
  <c r="K30" i="4"/>
  <c r="L30" i="4" s="1"/>
  <c r="M30" i="3"/>
  <c r="K30" i="3"/>
  <c r="L30" i="3" s="1"/>
  <c r="B53" i="51" l="1"/>
  <c r="F53" i="51"/>
  <c r="O72" i="48"/>
  <c r="P103" i="48"/>
  <c r="O58" i="49"/>
  <c r="P117" i="49"/>
  <c r="P125" i="49"/>
  <c r="O23" i="47"/>
  <c r="P116" i="49"/>
  <c r="O63" i="47"/>
  <c r="O65" i="47"/>
  <c r="O71" i="47"/>
  <c r="P120" i="49"/>
  <c r="P124" i="49"/>
  <c r="O57" i="47"/>
  <c r="O63" i="49"/>
  <c r="O66" i="49"/>
  <c r="O72" i="49"/>
  <c r="O26" i="47"/>
  <c r="O62" i="47"/>
  <c r="P102" i="47"/>
  <c r="P104" i="47"/>
  <c r="O70" i="49"/>
  <c r="P101" i="47"/>
  <c r="P105" i="47"/>
  <c r="P113" i="47"/>
  <c r="P115" i="47"/>
  <c r="P117" i="47"/>
  <c r="O59" i="49"/>
  <c r="P126" i="49"/>
  <c r="O28" i="47"/>
  <c r="O34" i="47"/>
  <c r="O38" i="47"/>
  <c r="O40" i="47"/>
  <c r="O42" i="47"/>
  <c r="O46" i="47"/>
  <c r="O50" i="47"/>
  <c r="O70" i="47"/>
  <c r="P107" i="48"/>
  <c r="O24" i="49"/>
  <c r="O40" i="49"/>
  <c r="O48" i="49"/>
  <c r="P105" i="49"/>
  <c r="O27" i="47"/>
  <c r="O31" i="47"/>
  <c r="O33" i="47"/>
  <c r="O39" i="47"/>
  <c r="O43" i="47"/>
  <c r="O51" i="47"/>
  <c r="O55" i="47"/>
  <c r="P108" i="47"/>
  <c r="O24" i="48"/>
  <c r="O40" i="48"/>
  <c r="O54" i="48"/>
  <c r="P105" i="48"/>
  <c r="O23" i="49"/>
  <c r="O35" i="49"/>
  <c r="O39" i="49"/>
  <c r="P109" i="49"/>
  <c r="P113" i="49"/>
  <c r="P128" i="49"/>
  <c r="O21" i="47"/>
  <c r="P106" i="47"/>
  <c r="P115" i="48"/>
  <c r="P121" i="49"/>
  <c r="O29" i="47"/>
  <c r="O37" i="47"/>
  <c r="O41" i="47"/>
  <c r="O49" i="47"/>
  <c r="O58" i="47"/>
  <c r="P103" i="47"/>
  <c r="P110" i="47"/>
  <c r="P112" i="47"/>
  <c r="P114" i="47"/>
  <c r="P116" i="47"/>
  <c r="O54" i="47"/>
  <c r="O69" i="47"/>
  <c r="P111" i="48"/>
  <c r="O67" i="48"/>
  <c r="O71" i="48"/>
  <c r="P102" i="48"/>
  <c r="O28" i="49"/>
  <c r="O50" i="49"/>
  <c r="O54" i="49"/>
  <c r="O60" i="49"/>
  <c r="O65" i="49"/>
  <c r="O71" i="49"/>
  <c r="P104" i="49"/>
  <c r="P110" i="49"/>
  <c r="P112" i="49"/>
  <c r="P118" i="49"/>
  <c r="P129" i="49"/>
  <c r="O22" i="47"/>
  <c r="O24" i="47"/>
  <c r="O59" i="47"/>
  <c r="O64" i="47"/>
  <c r="O66" i="47"/>
  <c r="O72" i="47"/>
  <c r="P118" i="47"/>
  <c r="P122" i="47"/>
  <c r="P126" i="47"/>
  <c r="O44" i="48"/>
  <c r="O26" i="49"/>
  <c r="O51" i="49"/>
  <c r="O49" i="49"/>
  <c r="P107" i="49"/>
  <c r="O25" i="47"/>
  <c r="O30" i="47"/>
  <c r="O56" i="47"/>
  <c r="O61" i="47"/>
  <c r="P107" i="47"/>
  <c r="P121" i="47"/>
  <c r="P123" i="47"/>
  <c r="P125" i="47"/>
  <c r="P127" i="47"/>
  <c r="P129" i="47"/>
  <c r="O19" i="48"/>
  <c r="O33" i="48"/>
  <c r="O35" i="48"/>
  <c r="O62" i="48"/>
  <c r="O70" i="48"/>
  <c r="P114" i="48"/>
  <c r="P116" i="48"/>
  <c r="P118" i="48"/>
  <c r="O25" i="49"/>
  <c r="O32" i="49"/>
  <c r="O42" i="49"/>
  <c r="P114" i="49"/>
  <c r="P122" i="49"/>
  <c r="P130" i="49"/>
  <c r="O48" i="47"/>
  <c r="O53" i="47"/>
  <c r="P109" i="47"/>
  <c r="O18" i="48"/>
  <c r="O22" i="48"/>
  <c r="O30" i="48"/>
  <c r="O34" i="48"/>
  <c r="O38" i="48"/>
  <c r="O29" i="49"/>
  <c r="O41" i="49"/>
  <c r="O35" i="47"/>
  <c r="O45" i="47"/>
  <c r="O47" i="47"/>
  <c r="O67" i="47"/>
  <c r="P111" i="47"/>
  <c r="P130" i="47"/>
  <c r="O56" i="48"/>
  <c r="O60" i="48"/>
  <c r="O18" i="49"/>
  <c r="O20" i="49"/>
  <c r="O43" i="49"/>
  <c r="O47" i="49"/>
  <c r="P106" i="49"/>
  <c r="P119" i="49"/>
  <c r="P127" i="49"/>
  <c r="B18" i="49"/>
  <c r="C18" i="49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C32" i="49" s="1"/>
  <c r="C33" i="49" s="1"/>
  <c r="C34" i="49" s="1"/>
  <c r="C35" i="49" s="1"/>
  <c r="C36" i="49" s="1"/>
  <c r="C37" i="49" s="1"/>
  <c r="C38" i="49" s="1"/>
  <c r="C39" i="49" s="1"/>
  <c r="C40" i="49" s="1"/>
  <c r="C41" i="49" s="1"/>
  <c r="C42" i="49" s="1"/>
  <c r="C43" i="49" s="1"/>
  <c r="C44" i="49" s="1"/>
  <c r="C45" i="49" s="1"/>
  <c r="C46" i="49" s="1"/>
  <c r="C47" i="49" s="1"/>
  <c r="C48" i="49" s="1"/>
  <c r="C49" i="49" s="1"/>
  <c r="C50" i="49" s="1"/>
  <c r="C51" i="49" s="1"/>
  <c r="C52" i="49" s="1"/>
  <c r="C53" i="49" s="1"/>
  <c r="C54" i="49" s="1"/>
  <c r="C55" i="49" s="1"/>
  <c r="C56" i="49" s="1"/>
  <c r="C57" i="49" s="1"/>
  <c r="C58" i="49" s="1"/>
  <c r="C59" i="49" s="1"/>
  <c r="C60" i="49" s="1"/>
  <c r="C61" i="49" s="1"/>
  <c r="C62" i="49" s="1"/>
  <c r="C63" i="49" s="1"/>
  <c r="C64" i="49" s="1"/>
  <c r="C65" i="49" s="1"/>
  <c r="C66" i="49" s="1"/>
  <c r="C67" i="49" s="1"/>
  <c r="C68" i="49" s="1"/>
  <c r="C69" i="49" s="1"/>
  <c r="C70" i="49" s="1"/>
  <c r="C71" i="49" s="1"/>
  <c r="C72" i="49" s="1"/>
  <c r="O20" i="47"/>
  <c r="O27" i="49"/>
  <c r="O34" i="49"/>
  <c r="O36" i="49"/>
  <c r="O55" i="49"/>
  <c r="P115" i="49"/>
  <c r="P123" i="49"/>
  <c r="O47" i="48"/>
  <c r="O49" i="48"/>
  <c r="O66" i="48"/>
  <c r="P106" i="48"/>
  <c r="P113" i="48"/>
  <c r="O31" i="49"/>
  <c r="O33" i="49"/>
  <c r="O44" i="49"/>
  <c r="O46" i="49"/>
  <c r="O52" i="49"/>
  <c r="O57" i="49"/>
  <c r="O62" i="49"/>
  <c r="O64" i="49"/>
  <c r="O67" i="49"/>
  <c r="O69" i="49"/>
  <c r="P101" i="49"/>
  <c r="P103" i="49"/>
  <c r="P108" i="49"/>
  <c r="P111" i="49"/>
  <c r="O32" i="47"/>
  <c r="O36" i="47"/>
  <c r="O44" i="47"/>
  <c r="O52" i="47"/>
  <c r="O60" i="47"/>
  <c r="O68" i="47"/>
  <c r="P119" i="47"/>
  <c r="O28" i="48"/>
  <c r="O48" i="48"/>
  <c r="O52" i="48"/>
  <c r="O55" i="48"/>
  <c r="O59" i="48"/>
  <c r="P108" i="48"/>
  <c r="P110" i="48"/>
  <c r="O21" i="49"/>
  <c r="O37" i="49"/>
  <c r="O56" i="49"/>
  <c r="O68" i="49"/>
  <c r="P102" i="49"/>
  <c r="C99" i="47"/>
  <c r="P120" i="47"/>
  <c r="P124" i="47"/>
  <c r="P128" i="47"/>
  <c r="O39" i="48"/>
  <c r="O61" i="48"/>
  <c r="P124" i="48"/>
  <c r="P128" i="48"/>
  <c r="O58" i="48"/>
  <c r="O63" i="48"/>
  <c r="P104" i="48"/>
  <c r="P109" i="48"/>
  <c r="P112" i="48"/>
  <c r="P117" i="48"/>
  <c r="O22" i="49"/>
  <c r="O30" i="49"/>
  <c r="O38" i="49"/>
  <c r="O37" i="48"/>
  <c r="O46" i="48"/>
  <c r="O50" i="48"/>
  <c r="P122" i="48"/>
  <c r="P126" i="48"/>
  <c r="P130" i="48"/>
  <c r="O21" i="48"/>
  <c r="O23" i="48"/>
  <c r="O32" i="48"/>
  <c r="O36" i="48"/>
  <c r="O51" i="48"/>
  <c r="O53" i="48"/>
  <c r="O64" i="48"/>
  <c r="O69" i="48"/>
  <c r="O25" i="48"/>
  <c r="O27" i="48"/>
  <c r="O41" i="48"/>
  <c r="O43" i="48"/>
  <c r="O45" i="49"/>
  <c r="O53" i="49"/>
  <c r="O61" i="49"/>
  <c r="C99" i="49"/>
  <c r="O26" i="48"/>
  <c r="O29" i="48"/>
  <c r="O31" i="48"/>
  <c r="O42" i="48"/>
  <c r="O45" i="48"/>
  <c r="O57" i="48"/>
  <c r="O65" i="48"/>
  <c r="P121" i="48"/>
  <c r="P123" i="48"/>
  <c r="P125" i="48"/>
  <c r="P127" i="48"/>
  <c r="P129" i="48"/>
  <c r="C18" i="48"/>
  <c r="C19" i="48" s="1"/>
  <c r="C20" i="48" s="1"/>
  <c r="C21" i="48" s="1"/>
  <c r="C22" i="48" s="1"/>
  <c r="C23" i="48" s="1"/>
  <c r="C24" i="48" s="1"/>
  <c r="C25" i="48" s="1"/>
  <c r="C26" i="48" s="1"/>
  <c r="C27" i="48" s="1"/>
  <c r="C28" i="48" s="1"/>
  <c r="C29" i="48" s="1"/>
  <c r="C30" i="48" s="1"/>
  <c r="C31" i="48" s="1"/>
  <c r="C32" i="48" s="1"/>
  <c r="C33" i="48" s="1"/>
  <c r="C34" i="48" s="1"/>
  <c r="C35" i="48" s="1"/>
  <c r="C36" i="48" s="1"/>
  <c r="C37" i="48" s="1"/>
  <c r="C38" i="48" s="1"/>
  <c r="C39" i="48" s="1"/>
  <c r="C40" i="48" s="1"/>
  <c r="C41" i="48" s="1"/>
  <c r="C42" i="48" s="1"/>
  <c r="C43" i="48" s="1"/>
  <c r="C44" i="48" s="1"/>
  <c r="C45" i="48" s="1"/>
  <c r="C46" i="48" s="1"/>
  <c r="C47" i="48" s="1"/>
  <c r="C48" i="48" s="1"/>
  <c r="C49" i="48" s="1"/>
  <c r="C50" i="48" s="1"/>
  <c r="C51" i="48" s="1"/>
  <c r="C52" i="48" s="1"/>
  <c r="C53" i="48" s="1"/>
  <c r="C54" i="48" s="1"/>
  <c r="C55" i="48" s="1"/>
  <c r="C56" i="48" s="1"/>
  <c r="C57" i="48" s="1"/>
  <c r="C58" i="48" s="1"/>
  <c r="C59" i="48" s="1"/>
  <c r="C60" i="48" s="1"/>
  <c r="C61" i="48" s="1"/>
  <c r="C62" i="48" s="1"/>
  <c r="C63" i="48" s="1"/>
  <c r="C64" i="48" s="1"/>
  <c r="C65" i="48" s="1"/>
  <c r="C66" i="48" s="1"/>
  <c r="C67" i="48" s="1"/>
  <c r="C68" i="48" s="1"/>
  <c r="C69" i="48" s="1"/>
  <c r="C70" i="48" s="1"/>
  <c r="C71" i="48" s="1"/>
  <c r="C72" i="48" s="1"/>
  <c r="O68" i="48"/>
  <c r="C99" i="48"/>
  <c r="C100" i="48" s="1"/>
  <c r="C101" i="48" s="1"/>
  <c r="C102" i="48" s="1"/>
  <c r="C103" i="48" s="1"/>
  <c r="C104" i="48" s="1"/>
  <c r="C105" i="48" s="1"/>
  <c r="C106" i="48" s="1"/>
  <c r="C107" i="48" s="1"/>
  <c r="C108" i="48" s="1"/>
  <c r="C109" i="48" s="1"/>
  <c r="C110" i="48" s="1"/>
  <c r="C111" i="48" s="1"/>
  <c r="C112" i="48" s="1"/>
  <c r="C113" i="48" s="1"/>
  <c r="C114" i="48" s="1"/>
  <c r="C115" i="48" s="1"/>
  <c r="C116" i="48" s="1"/>
  <c r="C117" i="48" s="1"/>
  <c r="C118" i="48" s="1"/>
  <c r="C119" i="48" s="1"/>
  <c r="C120" i="48" s="1"/>
  <c r="C121" i="48" s="1"/>
  <c r="C122" i="48" s="1"/>
  <c r="C123" i="48" s="1"/>
  <c r="C124" i="48" s="1"/>
  <c r="C125" i="48" s="1"/>
  <c r="C126" i="48" s="1"/>
  <c r="C127" i="48" s="1"/>
  <c r="C128" i="48" s="1"/>
  <c r="C129" i="48" s="1"/>
  <c r="C130" i="48" s="1"/>
  <c r="C131" i="48" s="1"/>
  <c r="C132" i="48" s="1"/>
  <c r="C133" i="48" s="1"/>
  <c r="C134" i="48" s="1"/>
  <c r="C135" i="48" s="1"/>
  <c r="C136" i="48" s="1"/>
  <c r="C137" i="48" s="1"/>
  <c r="C138" i="48" s="1"/>
  <c r="C139" i="48" s="1"/>
  <c r="C140" i="48" s="1"/>
  <c r="C141" i="48" s="1"/>
  <c r="C142" i="48" s="1"/>
  <c r="C143" i="48" s="1"/>
  <c r="C144" i="48" s="1"/>
  <c r="C145" i="48" s="1"/>
  <c r="C146" i="48" s="1"/>
  <c r="C147" i="48" s="1"/>
  <c r="C148" i="48" s="1"/>
  <c r="C149" i="48" s="1"/>
  <c r="C150" i="48" s="1"/>
  <c r="C151" i="48" s="1"/>
  <c r="C152" i="48" s="1"/>
  <c r="C153" i="48" s="1"/>
  <c r="C154" i="48" s="1"/>
  <c r="P119" i="48"/>
  <c r="P120" i="48"/>
  <c r="D54" i="51" l="1"/>
  <c r="E54" i="51" s="1"/>
  <c r="C100" i="47"/>
  <c r="C101" i="47" s="1"/>
  <c r="C102" i="47" s="1"/>
  <c r="C103" i="47" s="1"/>
  <c r="C104" i="47" s="1"/>
  <c r="C105" i="47" s="1"/>
  <c r="C106" i="47" s="1"/>
  <c r="C107" i="47" s="1"/>
  <c r="C108" i="47" s="1"/>
  <c r="C109" i="47" s="1"/>
  <c r="C110" i="47" s="1"/>
  <c r="C111" i="47" s="1"/>
  <c r="C112" i="47" s="1"/>
  <c r="C113" i="47" s="1"/>
  <c r="C114" i="47" s="1"/>
  <c r="C115" i="47" s="1"/>
  <c r="C116" i="47" s="1"/>
  <c r="C117" i="47" s="1"/>
  <c r="C118" i="47" s="1"/>
  <c r="C119" i="47" s="1"/>
  <c r="C120" i="47" s="1"/>
  <c r="C121" i="47" s="1"/>
  <c r="C122" i="47" s="1"/>
  <c r="C123" i="47" s="1"/>
  <c r="C124" i="47" s="1"/>
  <c r="C125" i="47" s="1"/>
  <c r="C126" i="47" s="1"/>
  <c r="C127" i="47" s="1"/>
  <c r="C128" i="47" s="1"/>
  <c r="C129" i="47" s="1"/>
  <c r="C130" i="47" s="1"/>
  <c r="C131" i="47" s="1"/>
  <c r="C132" i="47" s="1"/>
  <c r="C133" i="47" s="1"/>
  <c r="C134" i="47" s="1"/>
  <c r="C135" i="47" s="1"/>
  <c r="C136" i="47" s="1"/>
  <c r="C137" i="47" s="1"/>
  <c r="C138" i="47" s="1"/>
  <c r="C139" i="47" s="1"/>
  <c r="C140" i="47" s="1"/>
  <c r="C141" i="47" s="1"/>
  <c r="C142" i="47" s="1"/>
  <c r="C143" i="47" s="1"/>
  <c r="C144" i="47" s="1"/>
  <c r="C145" i="47" s="1"/>
  <c r="C146" i="47" s="1"/>
  <c r="C147" i="47" s="1"/>
  <c r="C148" i="47" s="1"/>
  <c r="C149" i="47" s="1"/>
  <c r="C150" i="47" s="1"/>
  <c r="C151" i="47" s="1"/>
  <c r="C152" i="47" s="1"/>
  <c r="C153" i="47" s="1"/>
  <c r="C154" i="47" s="1"/>
  <c r="C100" i="49"/>
  <c r="C101" i="49" s="1"/>
  <c r="C102" i="49" s="1"/>
  <c r="C103" i="49" s="1"/>
  <c r="C104" i="49" s="1"/>
  <c r="C105" i="49" s="1"/>
  <c r="C106" i="49" s="1"/>
  <c r="C107" i="49" s="1"/>
  <c r="C108" i="49" s="1"/>
  <c r="C109" i="49" s="1"/>
  <c r="C110" i="49" s="1"/>
  <c r="C111" i="49" s="1"/>
  <c r="C112" i="49" s="1"/>
  <c r="C113" i="49" s="1"/>
  <c r="C114" i="49" s="1"/>
  <c r="C115" i="49" s="1"/>
  <c r="C116" i="49" s="1"/>
  <c r="C117" i="49" s="1"/>
  <c r="C118" i="49" s="1"/>
  <c r="C119" i="49" s="1"/>
  <c r="C120" i="49" s="1"/>
  <c r="C121" i="49" s="1"/>
  <c r="C122" i="49" s="1"/>
  <c r="C123" i="49" s="1"/>
  <c r="C124" i="49" s="1"/>
  <c r="C125" i="49" s="1"/>
  <c r="C126" i="49" s="1"/>
  <c r="C127" i="49" s="1"/>
  <c r="C128" i="49" s="1"/>
  <c r="C129" i="49" s="1"/>
  <c r="C130" i="49" s="1"/>
  <c r="C131" i="49" s="1"/>
  <c r="C132" i="49" s="1"/>
  <c r="C133" i="49" s="1"/>
  <c r="C134" i="49" s="1"/>
  <c r="C135" i="49" s="1"/>
  <c r="C136" i="49" s="1"/>
  <c r="C137" i="49" s="1"/>
  <c r="C138" i="49" s="1"/>
  <c r="C139" i="49" s="1"/>
  <c r="C140" i="49" s="1"/>
  <c r="C141" i="49" s="1"/>
  <c r="C142" i="49" s="1"/>
  <c r="C143" i="49" s="1"/>
  <c r="C144" i="49" s="1"/>
  <c r="C145" i="49" s="1"/>
  <c r="C146" i="49" s="1"/>
  <c r="C147" i="49" s="1"/>
  <c r="C148" i="49" s="1"/>
  <c r="C149" i="49" s="1"/>
  <c r="C150" i="49" s="1"/>
  <c r="C151" i="49" s="1"/>
  <c r="C152" i="49" s="1"/>
  <c r="C153" i="49" s="1"/>
  <c r="C154" i="49" s="1"/>
  <c r="W46" i="17"/>
  <c r="B54" i="51" l="1"/>
  <c r="F54" i="51"/>
  <c r="M16" i="2"/>
  <c r="J92" i="56" s="1"/>
  <c r="N99" i="46"/>
  <c r="L99" i="46"/>
  <c r="M99" i="46" s="1"/>
  <c r="M18" i="46"/>
  <c r="K18" i="46"/>
  <c r="L18" i="46" s="1"/>
  <c r="N100" i="45"/>
  <c r="L100" i="45"/>
  <c r="M100" i="45" s="1"/>
  <c r="M19" i="45"/>
  <c r="K19" i="45"/>
  <c r="L19" i="45" s="1"/>
  <c r="N100" i="44"/>
  <c r="L100" i="44"/>
  <c r="M100" i="44" s="1"/>
  <c r="M19" i="44"/>
  <c r="K19" i="44"/>
  <c r="L19" i="44" s="1"/>
  <c r="N101" i="43"/>
  <c r="L101" i="43"/>
  <c r="M101" i="43" s="1"/>
  <c r="M20" i="43"/>
  <c r="K20" i="43"/>
  <c r="L20" i="43" s="1"/>
  <c r="N101" i="42"/>
  <c r="L101" i="42"/>
  <c r="M101" i="42" s="1"/>
  <c r="M20" i="42"/>
  <c r="K20" i="42"/>
  <c r="L20" i="42" s="1"/>
  <c r="N101" i="41"/>
  <c r="L101" i="41"/>
  <c r="M101" i="41" s="1"/>
  <c r="M20" i="41"/>
  <c r="K20" i="41"/>
  <c r="L20" i="41" s="1"/>
  <c r="N101" i="40"/>
  <c r="L101" i="40"/>
  <c r="M101" i="40" s="1"/>
  <c r="M20" i="40"/>
  <c r="K20" i="40"/>
  <c r="L20" i="40" s="1"/>
  <c r="N102" i="39"/>
  <c r="L102" i="39"/>
  <c r="M102" i="39" s="1"/>
  <c r="M21" i="39"/>
  <c r="K21" i="39"/>
  <c r="L21" i="39" s="1"/>
  <c r="N101" i="38"/>
  <c r="L101" i="38"/>
  <c r="M101" i="38" s="1"/>
  <c r="M21" i="38"/>
  <c r="K21" i="38"/>
  <c r="L21" i="38" s="1"/>
  <c r="N102" i="37"/>
  <c r="L102" i="37"/>
  <c r="M102" i="37" s="1"/>
  <c r="M21" i="37"/>
  <c r="K21" i="37"/>
  <c r="L21" i="37" s="1"/>
  <c r="N105" i="31"/>
  <c r="L105" i="31"/>
  <c r="M105" i="31" s="1"/>
  <c r="M24" i="31"/>
  <c r="K24" i="31"/>
  <c r="L24" i="31" s="1"/>
  <c r="N104" i="30"/>
  <c r="L104" i="30"/>
  <c r="M104" i="30" s="1"/>
  <c r="M23" i="30"/>
  <c r="K23" i="30"/>
  <c r="L23" i="30" s="1"/>
  <c r="N105" i="29"/>
  <c r="L105" i="29"/>
  <c r="M105" i="29" s="1"/>
  <c r="M24" i="29"/>
  <c r="K24" i="29"/>
  <c r="L24" i="29" s="1"/>
  <c r="N105" i="28"/>
  <c r="L105" i="28"/>
  <c r="M105" i="28" s="1"/>
  <c r="M24" i="28"/>
  <c r="K24" i="28"/>
  <c r="L24" i="28" s="1"/>
  <c r="N106" i="27"/>
  <c r="L106" i="27"/>
  <c r="M106" i="27" s="1"/>
  <c r="M25" i="27"/>
  <c r="K25" i="27"/>
  <c r="L25" i="27" s="1"/>
  <c r="O154" i="25"/>
  <c r="O153" i="25"/>
  <c r="O152" i="25"/>
  <c r="O151" i="25"/>
  <c r="O150" i="25"/>
  <c r="O149" i="25"/>
  <c r="O148" i="25"/>
  <c r="O147" i="25"/>
  <c r="O146" i="25"/>
  <c r="O145" i="25"/>
  <c r="O144" i="25"/>
  <c r="O143" i="25"/>
  <c r="O142" i="25"/>
  <c r="O141" i="25"/>
  <c r="O140" i="25"/>
  <c r="O139" i="25"/>
  <c r="O138" i="25"/>
  <c r="O137" i="25"/>
  <c r="O136" i="25"/>
  <c r="O135" i="25"/>
  <c r="O134" i="25"/>
  <c r="O133" i="25"/>
  <c r="O132" i="25"/>
  <c r="O131" i="25"/>
  <c r="O130" i="25"/>
  <c r="O129" i="25"/>
  <c r="O128" i="25"/>
  <c r="O127" i="25"/>
  <c r="O126" i="25"/>
  <c r="O125" i="25"/>
  <c r="O124" i="25"/>
  <c r="O123" i="25"/>
  <c r="O122" i="25"/>
  <c r="O121" i="25"/>
  <c r="O120" i="25"/>
  <c r="O119" i="25"/>
  <c r="O118" i="25"/>
  <c r="O117" i="25"/>
  <c r="O116" i="25"/>
  <c r="O115" i="25"/>
  <c r="O114" i="25"/>
  <c r="O113" i="25"/>
  <c r="N109" i="25"/>
  <c r="O109" i="25" s="1"/>
  <c r="L109" i="25"/>
  <c r="M109" i="25" s="1"/>
  <c r="M28" i="25"/>
  <c r="K28" i="25"/>
  <c r="L28" i="25" s="1"/>
  <c r="N107" i="24"/>
  <c r="L107" i="24"/>
  <c r="M107" i="24" s="1"/>
  <c r="M26" i="24"/>
  <c r="K26" i="24"/>
  <c r="L26" i="24" s="1"/>
  <c r="N108" i="23"/>
  <c r="L108" i="23"/>
  <c r="M108" i="23" s="1"/>
  <c r="M27" i="23"/>
  <c r="K27" i="23"/>
  <c r="L27" i="23" s="1"/>
  <c r="N109" i="22"/>
  <c r="L109" i="22"/>
  <c r="M109" i="22" s="1"/>
  <c r="M28" i="22"/>
  <c r="K28" i="22"/>
  <c r="L28" i="22" s="1"/>
  <c r="N112" i="11"/>
  <c r="L112" i="11"/>
  <c r="M112" i="11" s="1"/>
  <c r="M31" i="11"/>
  <c r="K31" i="11"/>
  <c r="L31" i="11" s="1"/>
  <c r="N113" i="10"/>
  <c r="L113" i="10"/>
  <c r="M113" i="10" s="1"/>
  <c r="M32" i="10"/>
  <c r="K32" i="10"/>
  <c r="L32" i="10" s="1"/>
  <c r="N112" i="9"/>
  <c r="L112" i="9"/>
  <c r="M112" i="9" s="1"/>
  <c r="M31" i="9"/>
  <c r="K31" i="9"/>
  <c r="L31" i="9" s="1"/>
  <c r="N111" i="8"/>
  <c r="L111" i="8"/>
  <c r="M111" i="8" s="1"/>
  <c r="M30" i="8"/>
  <c r="K30" i="8"/>
  <c r="L30" i="8" s="1"/>
  <c r="N113" i="7"/>
  <c r="L113" i="7"/>
  <c r="M113" i="7" s="1"/>
  <c r="M32" i="7"/>
  <c r="K32" i="7"/>
  <c r="L32" i="7" s="1"/>
  <c r="N111" i="6"/>
  <c r="L111" i="6"/>
  <c r="M111" i="6" s="1"/>
  <c r="M30" i="6"/>
  <c r="K30" i="6"/>
  <c r="L30" i="6" s="1"/>
  <c r="N110" i="5"/>
  <c r="L110" i="5"/>
  <c r="M110" i="5" s="1"/>
  <c r="M29" i="5"/>
  <c r="K29" i="5"/>
  <c r="L29" i="5" s="1"/>
  <c r="N110" i="4"/>
  <c r="L110" i="4"/>
  <c r="M110" i="4" s="1"/>
  <c r="M29" i="4"/>
  <c r="K29" i="4"/>
  <c r="L29" i="4" s="1"/>
  <c r="L86" i="56" l="1"/>
  <c r="N87" i="56"/>
  <c r="M87" i="56"/>
  <c r="J92" i="49"/>
  <c r="J92" i="50"/>
  <c r="J92" i="51"/>
  <c r="J92" i="52"/>
  <c r="D55" i="51"/>
  <c r="E55" i="51" s="1"/>
  <c r="J92" i="47"/>
  <c r="J92" i="48"/>
  <c r="W45" i="17"/>
  <c r="O87" i="56" l="1"/>
  <c r="M88" i="52"/>
  <c r="N87" i="52"/>
  <c r="N88" i="52"/>
  <c r="M87" i="52"/>
  <c r="L86" i="52"/>
  <c r="L86" i="50"/>
  <c r="N88" i="51"/>
  <c r="N87" i="51"/>
  <c r="M87" i="51"/>
  <c r="L86" i="51"/>
  <c r="M88" i="51"/>
  <c r="F55" i="51"/>
  <c r="B55" i="51"/>
  <c r="N110" i="3"/>
  <c r="L110" i="3"/>
  <c r="M110" i="3" s="1"/>
  <c r="M29" i="3"/>
  <c r="K29" i="3"/>
  <c r="L29" i="3" s="1"/>
  <c r="M89" i="51" l="1"/>
  <c r="O87" i="52"/>
  <c r="O87" i="51"/>
  <c r="N89" i="51"/>
  <c r="O88" i="51"/>
  <c r="N89" i="52"/>
  <c r="O88" i="52"/>
  <c r="O89" i="52" s="1"/>
  <c r="M89" i="52"/>
  <c r="D56" i="51"/>
  <c r="E56" i="51" s="1"/>
  <c r="N99" i="45"/>
  <c r="L99" i="45"/>
  <c r="M99" i="45" s="1"/>
  <c r="N99" i="44"/>
  <c r="L99" i="44"/>
  <c r="M99" i="44" s="1"/>
  <c r="N100" i="43"/>
  <c r="L100" i="43"/>
  <c r="M100" i="43" s="1"/>
  <c r="N100" i="42"/>
  <c r="L100" i="42"/>
  <c r="M100" i="42" s="1"/>
  <c r="L100" i="41"/>
  <c r="M100" i="41" s="1"/>
  <c r="N100" i="40"/>
  <c r="L100" i="40"/>
  <c r="M100" i="40" s="1"/>
  <c r="N101" i="39"/>
  <c r="L101" i="39"/>
  <c r="M101" i="39" s="1"/>
  <c r="N101" i="37"/>
  <c r="L101" i="37"/>
  <c r="M101" i="37" s="1"/>
  <c r="N104" i="31"/>
  <c r="L104" i="31"/>
  <c r="M104" i="31" s="1"/>
  <c r="N103" i="30"/>
  <c r="L103" i="30"/>
  <c r="M103" i="30" s="1"/>
  <c r="N104" i="29"/>
  <c r="L104" i="29"/>
  <c r="M104" i="29" s="1"/>
  <c r="N104" i="28"/>
  <c r="L104" i="28"/>
  <c r="M104" i="28" s="1"/>
  <c r="N105" i="27"/>
  <c r="L105" i="27"/>
  <c r="M105" i="27" s="1"/>
  <c r="N108" i="25"/>
  <c r="O108" i="25" s="1"/>
  <c r="L108" i="25"/>
  <c r="M108" i="25" s="1"/>
  <c r="N106" i="24"/>
  <c r="L106" i="24"/>
  <c r="M106" i="24" s="1"/>
  <c r="N107" i="23"/>
  <c r="L107" i="23"/>
  <c r="M107" i="23" s="1"/>
  <c r="N108" i="22"/>
  <c r="L108" i="22"/>
  <c r="M108" i="22" s="1"/>
  <c r="N111" i="11"/>
  <c r="L111" i="11"/>
  <c r="M111" i="11" s="1"/>
  <c r="N112" i="10"/>
  <c r="L112" i="10"/>
  <c r="M112" i="10" s="1"/>
  <c r="N111" i="9"/>
  <c r="L111" i="9"/>
  <c r="M111" i="9" s="1"/>
  <c r="N110" i="8"/>
  <c r="L110" i="8"/>
  <c r="M110" i="8" s="1"/>
  <c r="N112" i="7"/>
  <c r="L112" i="7"/>
  <c r="M112" i="7" s="1"/>
  <c r="N110" i="6"/>
  <c r="L110" i="6"/>
  <c r="M110" i="6" s="1"/>
  <c r="N109" i="5"/>
  <c r="L109" i="5"/>
  <c r="M109" i="5" s="1"/>
  <c r="N109" i="3"/>
  <c r="L109" i="3"/>
  <c r="M109" i="3" s="1"/>
  <c r="N109" i="4"/>
  <c r="L109" i="4"/>
  <c r="M109" i="4" s="1"/>
  <c r="O89" i="51" l="1"/>
  <c r="B56" i="51"/>
  <c r="F56" i="51"/>
  <c r="N100" i="41"/>
  <c r="D57" i="51" l="1"/>
  <c r="M17" i="46"/>
  <c r="K17" i="46"/>
  <c r="L17" i="46" s="1"/>
  <c r="M18" i="45"/>
  <c r="K18" i="45"/>
  <c r="L18" i="45" s="1"/>
  <c r="M18" i="44"/>
  <c r="K18" i="44"/>
  <c r="L18" i="44" s="1"/>
  <c r="M19" i="43"/>
  <c r="K19" i="43"/>
  <c r="L19" i="43" s="1"/>
  <c r="M19" i="42"/>
  <c r="K19" i="42"/>
  <c r="L19" i="42" s="1"/>
  <c r="M19" i="41"/>
  <c r="K19" i="41"/>
  <c r="L19" i="41" s="1"/>
  <c r="M19" i="40"/>
  <c r="K19" i="40"/>
  <c r="L19" i="40" s="1"/>
  <c r="M20" i="39"/>
  <c r="K20" i="39"/>
  <c r="L20" i="39" s="1"/>
  <c r="M20" i="38"/>
  <c r="K20" i="38"/>
  <c r="L20" i="38" s="1"/>
  <c r="M20" i="37"/>
  <c r="K20" i="37"/>
  <c r="L20" i="37" s="1"/>
  <c r="M23" i="31"/>
  <c r="K23" i="31"/>
  <c r="L23" i="31" s="1"/>
  <c r="M22" i="30"/>
  <c r="K22" i="30"/>
  <c r="L22" i="30" s="1"/>
  <c r="M23" i="29"/>
  <c r="K23" i="29"/>
  <c r="L23" i="29" s="1"/>
  <c r="M23" i="28"/>
  <c r="K23" i="28"/>
  <c r="L23" i="28" s="1"/>
  <c r="M24" i="27"/>
  <c r="K24" i="27"/>
  <c r="L24" i="27" s="1"/>
  <c r="M27" i="25"/>
  <c r="K27" i="25"/>
  <c r="L27" i="25" s="1"/>
  <c r="M25" i="24"/>
  <c r="K25" i="24"/>
  <c r="L25" i="24" s="1"/>
  <c r="M26" i="23"/>
  <c r="K26" i="23"/>
  <c r="L26" i="23" s="1"/>
  <c r="M27" i="22"/>
  <c r="K27" i="22"/>
  <c r="L27" i="22" s="1"/>
  <c r="M30" i="11"/>
  <c r="K30" i="11"/>
  <c r="L30" i="11" s="1"/>
  <c r="M28" i="5"/>
  <c r="K28" i="5"/>
  <c r="L28" i="5" s="1"/>
  <c r="M28" i="3"/>
  <c r="K28" i="3"/>
  <c r="L28" i="3" s="1"/>
  <c r="M31" i="10"/>
  <c r="K31" i="10"/>
  <c r="L31" i="10" s="1"/>
  <c r="M30" i="9"/>
  <c r="K30" i="9"/>
  <c r="L30" i="9" s="1"/>
  <c r="M29" i="8"/>
  <c r="K29" i="8"/>
  <c r="L29" i="8" s="1"/>
  <c r="M31" i="7"/>
  <c r="K31" i="7"/>
  <c r="L31" i="7" s="1"/>
  <c r="M29" i="6"/>
  <c r="K29" i="6"/>
  <c r="L29" i="6" s="1"/>
  <c r="M1048576" i="6"/>
  <c r="K1048576" i="6"/>
  <c r="L1048576" i="6" s="1"/>
  <c r="M28" i="4"/>
  <c r="N28" i="4" s="1"/>
  <c r="K28" i="4"/>
  <c r="L28" i="4" s="1"/>
  <c r="P45" i="17"/>
  <c r="B57" i="51" l="1"/>
  <c r="E57" i="51"/>
  <c r="F57" i="51" s="1"/>
  <c r="W44" i="17"/>
  <c r="W43" i="17"/>
  <c r="N54" i="17"/>
  <c r="E54" i="17"/>
  <c r="D58" i="51" l="1"/>
  <c r="E58" i="51" s="1"/>
  <c r="M17" i="45"/>
  <c r="K17" i="45"/>
  <c r="L17" i="45" s="1"/>
  <c r="M17" i="44"/>
  <c r="K17" i="44"/>
  <c r="L17" i="44" s="1"/>
  <c r="M18" i="42"/>
  <c r="K18" i="42"/>
  <c r="L18" i="42" s="1"/>
  <c r="M18" i="43"/>
  <c r="K18" i="43"/>
  <c r="L18" i="43" s="1"/>
  <c r="M18" i="41"/>
  <c r="K18" i="41"/>
  <c r="L18" i="41" s="1"/>
  <c r="M18" i="40"/>
  <c r="K18" i="40"/>
  <c r="L18" i="40" s="1"/>
  <c r="M19" i="39"/>
  <c r="K19" i="39"/>
  <c r="L19" i="39" s="1"/>
  <c r="M19" i="38"/>
  <c r="K19" i="38"/>
  <c r="L19" i="38" s="1"/>
  <c r="M19" i="37"/>
  <c r="K19" i="37"/>
  <c r="L19" i="37" s="1"/>
  <c r="M22" i="31"/>
  <c r="K22" i="31"/>
  <c r="L22" i="31" s="1"/>
  <c r="M21" i="30"/>
  <c r="K21" i="30"/>
  <c r="L21" i="30" s="1"/>
  <c r="M22" i="29"/>
  <c r="K22" i="29"/>
  <c r="L22" i="29" s="1"/>
  <c r="M22" i="28"/>
  <c r="K22" i="28"/>
  <c r="L22" i="28" s="1"/>
  <c r="M23" i="27"/>
  <c r="K23" i="27"/>
  <c r="L23" i="27" s="1"/>
  <c r="M26" i="25"/>
  <c r="N26" i="25" s="1"/>
  <c r="K26" i="25"/>
  <c r="L26" i="25" s="1"/>
  <c r="M24" i="24"/>
  <c r="N24" i="24" s="1"/>
  <c r="K24" i="24"/>
  <c r="L24" i="24" s="1"/>
  <c r="M25" i="23"/>
  <c r="N25" i="23" s="1"/>
  <c r="K25" i="23"/>
  <c r="L25" i="23" s="1"/>
  <c r="M26" i="22"/>
  <c r="N26" i="22" s="1"/>
  <c r="K26" i="22"/>
  <c r="L26" i="22" s="1"/>
  <c r="M29" i="11"/>
  <c r="N29" i="11" s="1"/>
  <c r="K29" i="11"/>
  <c r="L29" i="11" s="1"/>
  <c r="F58" i="51" l="1"/>
  <c r="B58" i="51"/>
  <c r="O24" i="24"/>
  <c r="O25" i="23"/>
  <c r="O26" i="22"/>
  <c r="D59" i="51" l="1"/>
  <c r="E59" i="51" s="1"/>
  <c r="M30" i="10"/>
  <c r="N30" i="10" s="1"/>
  <c r="K30" i="10"/>
  <c r="L30" i="10" s="1"/>
  <c r="M29" i="9"/>
  <c r="N29" i="9" s="1"/>
  <c r="K29" i="9"/>
  <c r="L29" i="9" s="1"/>
  <c r="M28" i="8"/>
  <c r="N28" i="8" s="1"/>
  <c r="K28" i="8"/>
  <c r="L28" i="8" s="1"/>
  <c r="M30" i="7"/>
  <c r="N30" i="7" s="1"/>
  <c r="K30" i="7"/>
  <c r="L30" i="7" s="1"/>
  <c r="M28" i="6"/>
  <c r="N28" i="6" s="1"/>
  <c r="K28" i="6"/>
  <c r="L28" i="6" s="1"/>
  <c r="M27" i="5"/>
  <c r="N27" i="5" s="1"/>
  <c r="K27" i="5"/>
  <c r="L27" i="5" s="1"/>
  <c r="M27" i="4"/>
  <c r="N27" i="4" s="1"/>
  <c r="K27" i="4"/>
  <c r="L27" i="4" s="1"/>
  <c r="M27" i="3"/>
  <c r="N27" i="3" s="1"/>
  <c r="K27" i="3"/>
  <c r="L27" i="3" s="1"/>
  <c r="B59" i="51" l="1"/>
  <c r="F59" i="51"/>
  <c r="O27" i="4"/>
  <c r="O30" i="10"/>
  <c r="O29" i="9"/>
  <c r="O28" i="8"/>
  <c r="O30" i="7"/>
  <c r="O28" i="6"/>
  <c r="O27" i="5"/>
  <c r="O27" i="3"/>
  <c r="D60" i="51" l="1"/>
  <c r="E60" i="51" s="1"/>
  <c r="N99" i="43"/>
  <c r="O99" i="43" s="1"/>
  <c r="L99" i="43"/>
  <c r="M99" i="43" s="1"/>
  <c r="N99" i="42"/>
  <c r="O99" i="42" s="1"/>
  <c r="L99" i="42"/>
  <c r="M99" i="42" s="1"/>
  <c r="N99" i="41"/>
  <c r="O99" i="41" s="1"/>
  <c r="L99" i="41"/>
  <c r="M99" i="41" s="1"/>
  <c r="N99" i="40"/>
  <c r="O99" i="40" s="1"/>
  <c r="L99" i="40"/>
  <c r="M99" i="40" s="1"/>
  <c r="N100" i="39"/>
  <c r="O100" i="39" s="1"/>
  <c r="L100" i="39"/>
  <c r="M100" i="39" s="1"/>
  <c r="N100" i="37"/>
  <c r="O100" i="37" s="1"/>
  <c r="L100" i="37"/>
  <c r="M100" i="37" s="1"/>
  <c r="N103" i="31"/>
  <c r="O103" i="31" s="1"/>
  <c r="L103" i="31"/>
  <c r="M103" i="31" s="1"/>
  <c r="N102" i="30"/>
  <c r="O102" i="30" s="1"/>
  <c r="L102" i="30"/>
  <c r="M102" i="30" s="1"/>
  <c r="N103" i="29"/>
  <c r="O103" i="29" s="1"/>
  <c r="L103" i="29"/>
  <c r="M103" i="29" s="1"/>
  <c r="N103" i="28"/>
  <c r="O103" i="28" s="1"/>
  <c r="L103" i="28"/>
  <c r="M103" i="28" s="1"/>
  <c r="N104" i="27"/>
  <c r="O104" i="27" s="1"/>
  <c r="L104" i="27"/>
  <c r="M104" i="27" s="1"/>
  <c r="N107" i="25"/>
  <c r="O107" i="25" s="1"/>
  <c r="L107" i="25"/>
  <c r="M107" i="25" s="1"/>
  <c r="N105" i="24"/>
  <c r="O105" i="24" s="1"/>
  <c r="L105" i="24"/>
  <c r="M105" i="24" s="1"/>
  <c r="N106" i="23"/>
  <c r="O106" i="23" s="1"/>
  <c r="L106" i="23"/>
  <c r="M106" i="23" s="1"/>
  <c r="N107" i="22"/>
  <c r="O107" i="22" s="1"/>
  <c r="L107" i="22"/>
  <c r="M107" i="22" s="1"/>
  <c r="N110" i="11"/>
  <c r="O110" i="11" s="1"/>
  <c r="L110" i="11"/>
  <c r="M110" i="11" s="1"/>
  <c r="N111" i="10"/>
  <c r="O111" i="10" s="1"/>
  <c r="L111" i="10"/>
  <c r="M111" i="10" s="1"/>
  <c r="N110" i="9"/>
  <c r="O110" i="9" s="1"/>
  <c r="L110" i="9"/>
  <c r="M110" i="9" s="1"/>
  <c r="N109" i="8"/>
  <c r="O109" i="8" s="1"/>
  <c r="L109" i="8"/>
  <c r="M109" i="8" s="1"/>
  <c r="N111" i="7"/>
  <c r="O111" i="7" s="1"/>
  <c r="L111" i="7"/>
  <c r="M111" i="7" s="1"/>
  <c r="N109" i="6"/>
  <c r="O109" i="6" s="1"/>
  <c r="L109" i="6"/>
  <c r="M109" i="6" s="1"/>
  <c r="N108" i="5"/>
  <c r="O108" i="5" s="1"/>
  <c r="L108" i="5"/>
  <c r="M108" i="5" s="1"/>
  <c r="N108" i="4"/>
  <c r="O108" i="4" s="1"/>
  <c r="L108" i="4"/>
  <c r="M108" i="4" s="1"/>
  <c r="N108" i="3"/>
  <c r="O108" i="3" s="1"/>
  <c r="L108" i="3"/>
  <c r="M108" i="3" s="1"/>
  <c r="O54" i="17"/>
  <c r="P44" i="17"/>
  <c r="P43" i="17"/>
  <c r="F60" i="51" l="1"/>
  <c r="B60" i="51"/>
  <c r="P108" i="5"/>
  <c r="P106" i="23"/>
  <c r="P110" i="9"/>
  <c r="P103" i="28"/>
  <c r="P108" i="4"/>
  <c r="P107" i="22"/>
  <c r="P104" i="27"/>
  <c r="P99" i="42"/>
  <c r="P108" i="3"/>
  <c r="P111" i="7"/>
  <c r="P110" i="11"/>
  <c r="P107" i="25"/>
  <c r="P99" i="41"/>
  <c r="P99" i="43"/>
  <c r="P109" i="8"/>
  <c r="P109" i="6"/>
  <c r="P111" i="10"/>
  <c r="P105" i="24"/>
  <c r="P103" i="29"/>
  <c r="P99" i="40"/>
  <c r="P100" i="39"/>
  <c r="P103" i="31"/>
  <c r="P100" i="37"/>
  <c r="P102" i="30"/>
  <c r="D61" i="51" l="1"/>
  <c r="J54" i="17"/>
  <c r="B61" i="51" l="1"/>
  <c r="E61" i="51"/>
  <c r="F61" i="51" s="1"/>
  <c r="M17" i="43"/>
  <c r="K17" i="43"/>
  <c r="E36" i="1"/>
  <c r="E35" i="1"/>
  <c r="C36" i="1"/>
  <c r="C35" i="1"/>
  <c r="L19" i="1"/>
  <c r="I61" i="17"/>
  <c r="I10" i="56" l="1"/>
  <c r="I10" i="52"/>
  <c r="E99" i="52" s="1"/>
  <c r="F99" i="52" s="1"/>
  <c r="I10" i="50"/>
  <c r="I10" i="51"/>
  <c r="E99" i="51" s="1"/>
  <c r="F99" i="51" s="1"/>
  <c r="D62" i="51"/>
  <c r="E62" i="51" s="1"/>
  <c r="A4" i="1"/>
  <c r="A2" i="1"/>
  <c r="I50" i="17"/>
  <c r="I51" i="17"/>
  <c r="D100" i="51" l="1"/>
  <c r="G99" i="51"/>
  <c r="E99" i="50"/>
  <c r="F99" i="50" s="1"/>
  <c r="G99" i="52"/>
  <c r="D100" i="52"/>
  <c r="N5" i="56"/>
  <c r="N6" i="56"/>
  <c r="V51" i="17"/>
  <c r="B62" i="51"/>
  <c r="F62" i="51"/>
  <c r="P42" i="17"/>
  <c r="E100" i="52" l="1"/>
  <c r="F100" i="52" s="1"/>
  <c r="B100" i="52"/>
  <c r="D100" i="50"/>
  <c r="G99" i="50"/>
  <c r="N7" i="56"/>
  <c r="E100" i="51"/>
  <c r="F100" i="51"/>
  <c r="B100" i="51"/>
  <c r="D63" i="51"/>
  <c r="E63" i="51" s="1"/>
  <c r="E36" i="2"/>
  <c r="E35" i="2"/>
  <c r="C36" i="2"/>
  <c r="C35" i="2"/>
  <c r="C34" i="2"/>
  <c r="B100" i="50" l="1"/>
  <c r="D101" i="51"/>
  <c r="G100" i="51"/>
  <c r="D101" i="52"/>
  <c r="G100" i="52"/>
  <c r="F63" i="51"/>
  <c r="B63" i="51"/>
  <c r="W42" i="17"/>
  <c r="P154" i="46"/>
  <c r="O154" i="46"/>
  <c r="M154" i="46"/>
  <c r="J154" i="46"/>
  <c r="P153" i="46"/>
  <c r="O153" i="46"/>
  <c r="M153" i="46"/>
  <c r="J153" i="46"/>
  <c r="P152" i="46"/>
  <c r="O152" i="46"/>
  <c r="M152" i="46"/>
  <c r="J152" i="46"/>
  <c r="P151" i="46"/>
  <c r="O151" i="46"/>
  <c r="M151" i="46"/>
  <c r="J151" i="46"/>
  <c r="P150" i="46"/>
  <c r="O150" i="46"/>
  <c r="M150" i="46"/>
  <c r="J150" i="46"/>
  <c r="P149" i="46"/>
  <c r="O149" i="46"/>
  <c r="M149" i="46"/>
  <c r="J149" i="46"/>
  <c r="P148" i="46"/>
  <c r="O148" i="46"/>
  <c r="M148" i="46"/>
  <c r="J148" i="46"/>
  <c r="P147" i="46"/>
  <c r="O147" i="46"/>
  <c r="M147" i="46"/>
  <c r="J147" i="46"/>
  <c r="P146" i="46"/>
  <c r="O146" i="46"/>
  <c r="M146" i="46"/>
  <c r="J146" i="46"/>
  <c r="P145" i="46"/>
  <c r="O145" i="46"/>
  <c r="M145" i="46"/>
  <c r="J145" i="46"/>
  <c r="P144" i="46"/>
  <c r="O144" i="46"/>
  <c r="M144" i="46"/>
  <c r="J144" i="46"/>
  <c r="P143" i="46"/>
  <c r="O143" i="46"/>
  <c r="M143" i="46"/>
  <c r="J143" i="46"/>
  <c r="P142" i="46"/>
  <c r="O142" i="46"/>
  <c r="M142" i="46"/>
  <c r="J142" i="46"/>
  <c r="P141" i="46"/>
  <c r="O141" i="46"/>
  <c r="M141" i="46"/>
  <c r="J141" i="46"/>
  <c r="P140" i="46"/>
  <c r="O140" i="46"/>
  <c r="M140" i="46"/>
  <c r="J140" i="46"/>
  <c r="P139" i="46"/>
  <c r="O139" i="46"/>
  <c r="M139" i="46"/>
  <c r="J139" i="46"/>
  <c r="P138" i="46"/>
  <c r="O138" i="46"/>
  <c r="M138" i="46"/>
  <c r="J138" i="46"/>
  <c r="P137" i="46"/>
  <c r="O137" i="46"/>
  <c r="M137" i="46"/>
  <c r="J137" i="46"/>
  <c r="P136" i="46"/>
  <c r="O136" i="46"/>
  <c r="M136" i="46"/>
  <c r="J136" i="46"/>
  <c r="P135" i="46"/>
  <c r="O135" i="46"/>
  <c r="M135" i="46"/>
  <c r="J135" i="46"/>
  <c r="P134" i="46"/>
  <c r="O134" i="46"/>
  <c r="M134" i="46"/>
  <c r="J134" i="46"/>
  <c r="P133" i="46"/>
  <c r="O133" i="46"/>
  <c r="M133" i="46"/>
  <c r="J133" i="46"/>
  <c r="P132" i="46"/>
  <c r="O132" i="46"/>
  <c r="M132" i="46"/>
  <c r="J132" i="46"/>
  <c r="P131" i="46"/>
  <c r="O131" i="46"/>
  <c r="M131" i="46"/>
  <c r="J131" i="46"/>
  <c r="O130" i="46"/>
  <c r="M130" i="46"/>
  <c r="O129" i="46"/>
  <c r="M129" i="46"/>
  <c r="O128" i="46"/>
  <c r="M128" i="46"/>
  <c r="O127" i="46"/>
  <c r="M127" i="46"/>
  <c r="O126" i="46"/>
  <c r="M126" i="46"/>
  <c r="O125" i="46"/>
  <c r="M125" i="46"/>
  <c r="O124" i="46"/>
  <c r="M124" i="46"/>
  <c r="O123" i="46"/>
  <c r="M123" i="46"/>
  <c r="O122" i="46"/>
  <c r="M122" i="46"/>
  <c r="O121" i="46"/>
  <c r="M121" i="46"/>
  <c r="O120" i="46"/>
  <c r="M120" i="46"/>
  <c r="O119" i="46"/>
  <c r="M119" i="46"/>
  <c r="O118" i="46"/>
  <c r="M118" i="46"/>
  <c r="O117" i="46"/>
  <c r="M117" i="46"/>
  <c r="O116" i="46"/>
  <c r="M116" i="46"/>
  <c r="O115" i="46"/>
  <c r="M115" i="46"/>
  <c r="O114" i="46"/>
  <c r="M114" i="46"/>
  <c r="O113" i="46"/>
  <c r="M113" i="46"/>
  <c r="O112" i="46"/>
  <c r="M112" i="46"/>
  <c r="O111" i="46"/>
  <c r="M111" i="46"/>
  <c r="O110" i="46"/>
  <c r="M110" i="46"/>
  <c r="O109" i="46"/>
  <c r="M109" i="46"/>
  <c r="O108" i="46"/>
  <c r="M108" i="46"/>
  <c r="O107" i="46"/>
  <c r="M107" i="46"/>
  <c r="O106" i="46"/>
  <c r="M106" i="46"/>
  <c r="O105" i="46"/>
  <c r="M105" i="46"/>
  <c r="O104" i="46"/>
  <c r="M104" i="46"/>
  <c r="O103" i="46"/>
  <c r="M103" i="46"/>
  <c r="O100" i="46"/>
  <c r="O99" i="46"/>
  <c r="C99" i="46"/>
  <c r="C100" i="46" s="1"/>
  <c r="C101" i="46" s="1"/>
  <c r="C102" i="46" s="1"/>
  <c r="C103" i="46" s="1"/>
  <c r="C104" i="46" s="1"/>
  <c r="C105" i="46" s="1"/>
  <c r="C106" i="46" s="1"/>
  <c r="C107" i="46" s="1"/>
  <c r="C108" i="46" s="1"/>
  <c r="C109" i="46" s="1"/>
  <c r="C110" i="46" s="1"/>
  <c r="C111" i="46" s="1"/>
  <c r="C112" i="46" s="1"/>
  <c r="C113" i="46" s="1"/>
  <c r="C114" i="46" s="1"/>
  <c r="C115" i="46" s="1"/>
  <c r="C116" i="46" s="1"/>
  <c r="C117" i="46" s="1"/>
  <c r="C118" i="46" s="1"/>
  <c r="C119" i="46" s="1"/>
  <c r="C120" i="46" s="1"/>
  <c r="C121" i="46" s="1"/>
  <c r="C122" i="46" s="1"/>
  <c r="C123" i="46" s="1"/>
  <c r="C124" i="46" s="1"/>
  <c r="C125" i="46" s="1"/>
  <c r="C126" i="46" s="1"/>
  <c r="C127" i="46" s="1"/>
  <c r="C128" i="46" s="1"/>
  <c r="C129" i="46" s="1"/>
  <c r="C130" i="46" s="1"/>
  <c r="C131" i="46" s="1"/>
  <c r="C132" i="46" s="1"/>
  <c r="C133" i="46" s="1"/>
  <c r="C134" i="46" s="1"/>
  <c r="C135" i="46" s="1"/>
  <c r="C136" i="46" s="1"/>
  <c r="C137" i="46" s="1"/>
  <c r="C138" i="46" s="1"/>
  <c r="C139" i="46" s="1"/>
  <c r="C140" i="46" s="1"/>
  <c r="C141" i="46" s="1"/>
  <c r="C142" i="46" s="1"/>
  <c r="C143" i="46" s="1"/>
  <c r="C144" i="46" s="1"/>
  <c r="C145" i="46" s="1"/>
  <c r="C146" i="46" s="1"/>
  <c r="C147" i="46" s="1"/>
  <c r="C148" i="46" s="1"/>
  <c r="C149" i="46" s="1"/>
  <c r="C150" i="46" s="1"/>
  <c r="C151" i="46" s="1"/>
  <c r="C152" i="46" s="1"/>
  <c r="C153" i="46" s="1"/>
  <c r="C154" i="46" s="1"/>
  <c r="D96" i="46"/>
  <c r="L93" i="46"/>
  <c r="J93" i="46"/>
  <c r="N72" i="46"/>
  <c r="L72" i="46"/>
  <c r="N71" i="46"/>
  <c r="L71" i="46"/>
  <c r="N70" i="46"/>
  <c r="L70" i="46"/>
  <c r="N69" i="46"/>
  <c r="L69" i="46"/>
  <c r="N68" i="46"/>
  <c r="L68" i="46"/>
  <c r="N67" i="46"/>
  <c r="L67" i="46"/>
  <c r="N66" i="46"/>
  <c r="L66" i="46"/>
  <c r="N65" i="46"/>
  <c r="L65" i="46"/>
  <c r="N64" i="46"/>
  <c r="L64" i="46"/>
  <c r="N63" i="46"/>
  <c r="L63" i="46"/>
  <c r="N62" i="46"/>
  <c r="L62" i="46"/>
  <c r="N61" i="46"/>
  <c r="L61" i="46"/>
  <c r="N60" i="46"/>
  <c r="L60" i="46"/>
  <c r="N59" i="46"/>
  <c r="L59" i="46"/>
  <c r="N58" i="46"/>
  <c r="L58" i="46"/>
  <c r="N57" i="46"/>
  <c r="L57" i="46"/>
  <c r="N56" i="46"/>
  <c r="L56" i="46"/>
  <c r="N55" i="46"/>
  <c r="L55" i="46"/>
  <c r="N54" i="46"/>
  <c r="L54" i="46"/>
  <c r="N53" i="46"/>
  <c r="L53" i="46"/>
  <c r="N52" i="46"/>
  <c r="L52" i="46"/>
  <c r="N51" i="46"/>
  <c r="L51" i="46"/>
  <c r="N50" i="46"/>
  <c r="L50" i="46"/>
  <c r="N49" i="46"/>
  <c r="L49" i="46"/>
  <c r="N48" i="46"/>
  <c r="L48" i="46"/>
  <c r="N47" i="46"/>
  <c r="L47" i="46"/>
  <c r="N46" i="46"/>
  <c r="L46" i="46"/>
  <c r="N45" i="46"/>
  <c r="L45" i="46"/>
  <c r="N44" i="46"/>
  <c r="L44" i="46"/>
  <c r="N43" i="46"/>
  <c r="L43" i="46"/>
  <c r="N42" i="46"/>
  <c r="L42" i="46"/>
  <c r="N41" i="46"/>
  <c r="L41" i="46"/>
  <c r="N40" i="46"/>
  <c r="L40" i="46"/>
  <c r="N39" i="46"/>
  <c r="L39" i="46"/>
  <c r="N38" i="46"/>
  <c r="L38" i="46"/>
  <c r="N37" i="46"/>
  <c r="L37" i="46"/>
  <c r="N36" i="46"/>
  <c r="L36" i="46"/>
  <c r="N35" i="46"/>
  <c r="L35" i="46"/>
  <c r="N34" i="46"/>
  <c r="L34" i="46"/>
  <c r="N33" i="46"/>
  <c r="L33" i="46"/>
  <c r="N32" i="46"/>
  <c r="L32" i="46"/>
  <c r="N31" i="46"/>
  <c r="L31" i="46"/>
  <c r="N30" i="46"/>
  <c r="L30" i="46"/>
  <c r="N29" i="46"/>
  <c r="L29" i="46"/>
  <c r="N28" i="46"/>
  <c r="L28" i="46"/>
  <c r="N27" i="46"/>
  <c r="L27" i="46"/>
  <c r="N26" i="46"/>
  <c r="L26" i="46"/>
  <c r="N25" i="46"/>
  <c r="L25" i="46"/>
  <c r="N24" i="46"/>
  <c r="L24" i="46"/>
  <c r="N23" i="46"/>
  <c r="L23" i="46"/>
  <c r="N22" i="46"/>
  <c r="L22" i="46"/>
  <c r="N19" i="46"/>
  <c r="N18" i="46"/>
  <c r="N17" i="46"/>
  <c r="C17" i="46"/>
  <c r="C18" i="46" s="1"/>
  <c r="C19" i="46" s="1"/>
  <c r="C20" i="46" s="1"/>
  <c r="C21" i="46" s="1"/>
  <c r="C22" i="46" s="1"/>
  <c r="C23" i="46" s="1"/>
  <c r="C24" i="46" s="1"/>
  <c r="C25" i="46" s="1"/>
  <c r="C26" i="46" s="1"/>
  <c r="C27" i="46" s="1"/>
  <c r="C28" i="46" s="1"/>
  <c r="C29" i="46" s="1"/>
  <c r="C30" i="46" s="1"/>
  <c r="C31" i="46" s="1"/>
  <c r="C32" i="46" s="1"/>
  <c r="C33" i="46" s="1"/>
  <c r="C34" i="46" s="1"/>
  <c r="C35" i="46" s="1"/>
  <c r="C36" i="46" s="1"/>
  <c r="C37" i="46" s="1"/>
  <c r="C38" i="46" s="1"/>
  <c r="C39" i="46" s="1"/>
  <c r="C40" i="46" s="1"/>
  <c r="C41" i="46" s="1"/>
  <c r="C42" i="46" s="1"/>
  <c r="C43" i="46" s="1"/>
  <c r="C44" i="46" s="1"/>
  <c r="K11" i="46"/>
  <c r="I11" i="46"/>
  <c r="D90" i="46"/>
  <c r="P1" i="46"/>
  <c r="P83" i="46" s="1"/>
  <c r="P154" i="45"/>
  <c r="O154" i="45"/>
  <c r="M154" i="45"/>
  <c r="J154" i="45"/>
  <c r="P153" i="45"/>
  <c r="O153" i="45"/>
  <c r="M153" i="45"/>
  <c r="J153" i="45"/>
  <c r="P152" i="45"/>
  <c r="O152" i="45"/>
  <c r="M152" i="45"/>
  <c r="J152" i="45"/>
  <c r="P151" i="45"/>
  <c r="O151" i="45"/>
  <c r="M151" i="45"/>
  <c r="J151" i="45"/>
  <c r="P150" i="45"/>
  <c r="O150" i="45"/>
  <c r="M150" i="45"/>
  <c r="J150" i="45"/>
  <c r="P149" i="45"/>
  <c r="O149" i="45"/>
  <c r="M149" i="45"/>
  <c r="J149" i="45"/>
  <c r="P148" i="45"/>
  <c r="O148" i="45"/>
  <c r="M148" i="45"/>
  <c r="J148" i="45"/>
  <c r="P147" i="45"/>
  <c r="O147" i="45"/>
  <c r="M147" i="45"/>
  <c r="J147" i="45"/>
  <c r="P146" i="45"/>
  <c r="O146" i="45"/>
  <c r="M146" i="45"/>
  <c r="J146" i="45"/>
  <c r="P145" i="45"/>
  <c r="O145" i="45"/>
  <c r="M145" i="45"/>
  <c r="J145" i="45"/>
  <c r="P144" i="45"/>
  <c r="O144" i="45"/>
  <c r="M144" i="45"/>
  <c r="J144" i="45"/>
  <c r="P143" i="45"/>
  <c r="O143" i="45"/>
  <c r="M143" i="45"/>
  <c r="J143" i="45"/>
  <c r="P142" i="45"/>
  <c r="O142" i="45"/>
  <c r="M142" i="45"/>
  <c r="J142" i="45"/>
  <c r="P141" i="45"/>
  <c r="O141" i="45"/>
  <c r="M141" i="45"/>
  <c r="J141" i="45"/>
  <c r="P140" i="45"/>
  <c r="O140" i="45"/>
  <c r="M140" i="45"/>
  <c r="J140" i="45"/>
  <c r="P139" i="45"/>
  <c r="O139" i="45"/>
  <c r="M139" i="45"/>
  <c r="J139" i="45"/>
  <c r="P138" i="45"/>
  <c r="O138" i="45"/>
  <c r="M138" i="45"/>
  <c r="J138" i="45"/>
  <c r="P137" i="45"/>
  <c r="O137" i="45"/>
  <c r="M137" i="45"/>
  <c r="J137" i="45"/>
  <c r="P136" i="45"/>
  <c r="O136" i="45"/>
  <c r="M136" i="45"/>
  <c r="J136" i="45"/>
  <c r="P135" i="45"/>
  <c r="O135" i="45"/>
  <c r="M135" i="45"/>
  <c r="J135" i="45"/>
  <c r="P134" i="45"/>
  <c r="O134" i="45"/>
  <c r="M134" i="45"/>
  <c r="J134" i="45"/>
  <c r="P133" i="45"/>
  <c r="O133" i="45"/>
  <c r="M133" i="45"/>
  <c r="J133" i="45"/>
  <c r="P132" i="45"/>
  <c r="O132" i="45"/>
  <c r="M132" i="45"/>
  <c r="J132" i="45"/>
  <c r="P131" i="45"/>
  <c r="O131" i="45"/>
  <c r="M131" i="45"/>
  <c r="J131" i="45"/>
  <c r="O130" i="45"/>
  <c r="M130" i="45"/>
  <c r="O129" i="45"/>
  <c r="M129" i="45"/>
  <c r="O128" i="45"/>
  <c r="M128" i="45"/>
  <c r="O127" i="45"/>
  <c r="M127" i="45"/>
  <c r="O126" i="45"/>
  <c r="M126" i="45"/>
  <c r="O125" i="45"/>
  <c r="M125" i="45"/>
  <c r="O124" i="45"/>
  <c r="M124" i="45"/>
  <c r="O123" i="45"/>
  <c r="M123" i="45"/>
  <c r="O122" i="45"/>
  <c r="M122" i="45"/>
  <c r="O121" i="45"/>
  <c r="M121" i="45"/>
  <c r="O120" i="45"/>
  <c r="M120" i="45"/>
  <c r="O119" i="45"/>
  <c r="M119" i="45"/>
  <c r="O118" i="45"/>
  <c r="M118" i="45"/>
  <c r="O117" i="45"/>
  <c r="M117" i="45"/>
  <c r="O116" i="45"/>
  <c r="M116" i="45"/>
  <c r="O115" i="45"/>
  <c r="M115" i="45"/>
  <c r="O114" i="45"/>
  <c r="M114" i="45"/>
  <c r="O113" i="45"/>
  <c r="M113" i="45"/>
  <c r="O112" i="45"/>
  <c r="M112" i="45"/>
  <c r="O111" i="45"/>
  <c r="M111" i="45"/>
  <c r="O110" i="45"/>
  <c r="M110" i="45"/>
  <c r="O109" i="45"/>
  <c r="M109" i="45"/>
  <c r="O108" i="45"/>
  <c r="M108" i="45"/>
  <c r="O107" i="45"/>
  <c r="M107" i="45"/>
  <c r="O106" i="45"/>
  <c r="M106" i="45"/>
  <c r="O105" i="45"/>
  <c r="M105" i="45"/>
  <c r="O104" i="45"/>
  <c r="M104" i="45"/>
  <c r="O101" i="45"/>
  <c r="O100" i="45"/>
  <c r="O99" i="45"/>
  <c r="C99" i="45"/>
  <c r="C100" i="45" s="1"/>
  <c r="C101" i="45" s="1"/>
  <c r="C102" i="45" s="1"/>
  <c r="C103" i="45" s="1"/>
  <c r="C104" i="45" s="1"/>
  <c r="C105" i="45" s="1"/>
  <c r="C106" i="45" s="1"/>
  <c r="C107" i="45" s="1"/>
  <c r="C108" i="45" s="1"/>
  <c r="C109" i="45" s="1"/>
  <c r="C110" i="45" s="1"/>
  <c r="C111" i="45" s="1"/>
  <c r="C112" i="45" s="1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C128" i="45" s="1"/>
  <c r="C129" i="45" s="1"/>
  <c r="C130" i="45" s="1"/>
  <c r="C131" i="45" s="1"/>
  <c r="C132" i="45" s="1"/>
  <c r="C133" i="45" s="1"/>
  <c r="C134" i="45" s="1"/>
  <c r="C135" i="45" s="1"/>
  <c r="C136" i="45" s="1"/>
  <c r="C137" i="45" s="1"/>
  <c r="C138" i="45" s="1"/>
  <c r="C139" i="45" s="1"/>
  <c r="C140" i="45" s="1"/>
  <c r="C141" i="45" s="1"/>
  <c r="C142" i="45" s="1"/>
  <c r="C143" i="45" s="1"/>
  <c r="C144" i="45" s="1"/>
  <c r="C145" i="45" s="1"/>
  <c r="C146" i="45" s="1"/>
  <c r="C147" i="45" s="1"/>
  <c r="C148" i="45" s="1"/>
  <c r="C149" i="45" s="1"/>
  <c r="C150" i="45" s="1"/>
  <c r="C151" i="45" s="1"/>
  <c r="C152" i="45" s="1"/>
  <c r="C153" i="45" s="1"/>
  <c r="C154" i="45" s="1"/>
  <c r="D96" i="45"/>
  <c r="L93" i="45"/>
  <c r="J93" i="45"/>
  <c r="D91" i="45"/>
  <c r="D89" i="45"/>
  <c r="N72" i="45"/>
  <c r="L72" i="45"/>
  <c r="N71" i="45"/>
  <c r="L71" i="45"/>
  <c r="N70" i="45"/>
  <c r="L70" i="45"/>
  <c r="N69" i="45"/>
  <c r="L69" i="45"/>
  <c r="N68" i="45"/>
  <c r="L68" i="45"/>
  <c r="N67" i="45"/>
  <c r="L67" i="45"/>
  <c r="N66" i="45"/>
  <c r="L66" i="45"/>
  <c r="N65" i="45"/>
  <c r="L65" i="45"/>
  <c r="N64" i="45"/>
  <c r="L64" i="45"/>
  <c r="N63" i="45"/>
  <c r="L63" i="45"/>
  <c r="N62" i="45"/>
  <c r="L62" i="45"/>
  <c r="N61" i="45"/>
  <c r="L61" i="45"/>
  <c r="N60" i="45"/>
  <c r="L60" i="45"/>
  <c r="N59" i="45"/>
  <c r="L59" i="45"/>
  <c r="N58" i="45"/>
  <c r="L58" i="45"/>
  <c r="N57" i="45"/>
  <c r="L57" i="45"/>
  <c r="N56" i="45"/>
  <c r="L56" i="45"/>
  <c r="N55" i="45"/>
  <c r="L55" i="45"/>
  <c r="N54" i="45"/>
  <c r="L54" i="45"/>
  <c r="N53" i="45"/>
  <c r="L53" i="45"/>
  <c r="N52" i="45"/>
  <c r="L52" i="45"/>
  <c r="N51" i="45"/>
  <c r="L51" i="45"/>
  <c r="N50" i="45"/>
  <c r="L50" i="45"/>
  <c r="N49" i="45"/>
  <c r="L49" i="45"/>
  <c r="N48" i="45"/>
  <c r="L48" i="45"/>
  <c r="N47" i="45"/>
  <c r="L47" i="45"/>
  <c r="N46" i="45"/>
  <c r="L46" i="45"/>
  <c r="N45" i="45"/>
  <c r="L45" i="45"/>
  <c r="N44" i="45"/>
  <c r="L44" i="45"/>
  <c r="N43" i="45"/>
  <c r="L43" i="45"/>
  <c r="N42" i="45"/>
  <c r="L42" i="45"/>
  <c r="N41" i="45"/>
  <c r="L41" i="45"/>
  <c r="N40" i="45"/>
  <c r="L40" i="45"/>
  <c r="N39" i="45"/>
  <c r="L39" i="45"/>
  <c r="N38" i="45"/>
  <c r="L38" i="45"/>
  <c r="N37" i="45"/>
  <c r="L37" i="45"/>
  <c r="N36" i="45"/>
  <c r="L36" i="45"/>
  <c r="N35" i="45"/>
  <c r="L35" i="45"/>
  <c r="N34" i="45"/>
  <c r="L34" i="45"/>
  <c r="N33" i="45"/>
  <c r="L33" i="45"/>
  <c r="N32" i="45"/>
  <c r="L32" i="45"/>
  <c r="N31" i="45"/>
  <c r="L31" i="45"/>
  <c r="N30" i="45"/>
  <c r="L30" i="45"/>
  <c r="N29" i="45"/>
  <c r="L29" i="45"/>
  <c r="N28" i="45"/>
  <c r="L28" i="45"/>
  <c r="N27" i="45"/>
  <c r="L27" i="45"/>
  <c r="N26" i="45"/>
  <c r="L26" i="45"/>
  <c r="N25" i="45"/>
  <c r="L25" i="45"/>
  <c r="N24" i="45"/>
  <c r="L24" i="45"/>
  <c r="N23" i="45"/>
  <c r="L23" i="45"/>
  <c r="N20" i="45"/>
  <c r="N19" i="45"/>
  <c r="N18" i="45"/>
  <c r="N17" i="45"/>
  <c r="C17" i="45"/>
  <c r="K11" i="45"/>
  <c r="I11" i="45"/>
  <c r="D90" i="45"/>
  <c r="P1" i="45"/>
  <c r="P83" i="45" s="1"/>
  <c r="P154" i="44"/>
  <c r="O154" i="44"/>
  <c r="M154" i="44"/>
  <c r="J154" i="44"/>
  <c r="P153" i="44"/>
  <c r="O153" i="44"/>
  <c r="M153" i="44"/>
  <c r="J153" i="44"/>
  <c r="P152" i="44"/>
  <c r="O152" i="44"/>
  <c r="M152" i="44"/>
  <c r="J152" i="44"/>
  <c r="P151" i="44"/>
  <c r="O151" i="44"/>
  <c r="M151" i="44"/>
  <c r="J151" i="44"/>
  <c r="P150" i="44"/>
  <c r="O150" i="44"/>
  <c r="M150" i="44"/>
  <c r="J150" i="44"/>
  <c r="P149" i="44"/>
  <c r="O149" i="44"/>
  <c r="M149" i="44"/>
  <c r="J149" i="44"/>
  <c r="P148" i="44"/>
  <c r="O148" i="44"/>
  <c r="M148" i="44"/>
  <c r="J148" i="44"/>
  <c r="P147" i="44"/>
  <c r="O147" i="44"/>
  <c r="M147" i="44"/>
  <c r="J147" i="44"/>
  <c r="P146" i="44"/>
  <c r="O146" i="44"/>
  <c r="M146" i="44"/>
  <c r="J146" i="44"/>
  <c r="P145" i="44"/>
  <c r="O145" i="44"/>
  <c r="M145" i="44"/>
  <c r="J145" i="44"/>
  <c r="P144" i="44"/>
  <c r="O144" i="44"/>
  <c r="M144" i="44"/>
  <c r="J144" i="44"/>
  <c r="P143" i="44"/>
  <c r="O143" i="44"/>
  <c r="M143" i="44"/>
  <c r="J143" i="44"/>
  <c r="P142" i="44"/>
  <c r="O142" i="44"/>
  <c r="M142" i="44"/>
  <c r="J142" i="44"/>
  <c r="P141" i="44"/>
  <c r="O141" i="44"/>
  <c r="M141" i="44"/>
  <c r="J141" i="44"/>
  <c r="P140" i="44"/>
  <c r="O140" i="44"/>
  <c r="M140" i="44"/>
  <c r="J140" i="44"/>
  <c r="P139" i="44"/>
  <c r="O139" i="44"/>
  <c r="M139" i="44"/>
  <c r="J139" i="44"/>
  <c r="P138" i="44"/>
  <c r="O138" i="44"/>
  <c r="M138" i="44"/>
  <c r="J138" i="44"/>
  <c r="P137" i="44"/>
  <c r="O137" i="44"/>
  <c r="M137" i="44"/>
  <c r="J137" i="44"/>
  <c r="P136" i="44"/>
  <c r="O136" i="44"/>
  <c r="M136" i="44"/>
  <c r="J136" i="44"/>
  <c r="P135" i="44"/>
  <c r="O135" i="44"/>
  <c r="M135" i="44"/>
  <c r="J135" i="44"/>
  <c r="P134" i="44"/>
  <c r="O134" i="44"/>
  <c r="M134" i="44"/>
  <c r="J134" i="44"/>
  <c r="P133" i="44"/>
  <c r="O133" i="44"/>
  <c r="M133" i="44"/>
  <c r="J133" i="44"/>
  <c r="P132" i="44"/>
  <c r="O132" i="44"/>
  <c r="M132" i="44"/>
  <c r="J132" i="44"/>
  <c r="P131" i="44"/>
  <c r="O131" i="44"/>
  <c r="M131" i="44"/>
  <c r="J131" i="44"/>
  <c r="O130" i="44"/>
  <c r="M130" i="44"/>
  <c r="O129" i="44"/>
  <c r="M129" i="44"/>
  <c r="O128" i="44"/>
  <c r="M128" i="44"/>
  <c r="O127" i="44"/>
  <c r="M127" i="44"/>
  <c r="O126" i="44"/>
  <c r="M126" i="44"/>
  <c r="O125" i="44"/>
  <c r="M125" i="44"/>
  <c r="O124" i="44"/>
  <c r="M124" i="44"/>
  <c r="O123" i="44"/>
  <c r="M123" i="44"/>
  <c r="O122" i="44"/>
  <c r="M122" i="44"/>
  <c r="O121" i="44"/>
  <c r="M121" i="44"/>
  <c r="O120" i="44"/>
  <c r="M120" i="44"/>
  <c r="O119" i="44"/>
  <c r="M119" i="44"/>
  <c r="O118" i="44"/>
  <c r="M118" i="44"/>
  <c r="O117" i="44"/>
  <c r="M117" i="44"/>
  <c r="O116" i="44"/>
  <c r="M116" i="44"/>
  <c r="O115" i="44"/>
  <c r="M115" i="44"/>
  <c r="O114" i="44"/>
  <c r="M114" i="44"/>
  <c r="O113" i="44"/>
  <c r="M113" i="44"/>
  <c r="O112" i="44"/>
  <c r="M112" i="44"/>
  <c r="O111" i="44"/>
  <c r="M111" i="44"/>
  <c r="O110" i="44"/>
  <c r="M110" i="44"/>
  <c r="O109" i="44"/>
  <c r="M109" i="44"/>
  <c r="O108" i="44"/>
  <c r="M108" i="44"/>
  <c r="O107" i="44"/>
  <c r="M107" i="44"/>
  <c r="O106" i="44"/>
  <c r="M106" i="44"/>
  <c r="O105" i="44"/>
  <c r="M105" i="44"/>
  <c r="O104" i="44"/>
  <c r="M104" i="44"/>
  <c r="O101" i="44"/>
  <c r="O100" i="44"/>
  <c r="O99" i="44"/>
  <c r="C99" i="44"/>
  <c r="C100" i="44" s="1"/>
  <c r="C101" i="44" s="1"/>
  <c r="C102" i="44" s="1"/>
  <c r="C103" i="44" s="1"/>
  <c r="C104" i="44" s="1"/>
  <c r="C105" i="44" s="1"/>
  <c r="C106" i="44" s="1"/>
  <c r="C107" i="44" s="1"/>
  <c r="C108" i="44" s="1"/>
  <c r="C109" i="44" s="1"/>
  <c r="C110" i="44" s="1"/>
  <c r="C111" i="44" s="1"/>
  <c r="C112" i="44" s="1"/>
  <c r="C113" i="44" s="1"/>
  <c r="C114" i="44" s="1"/>
  <c r="C115" i="44" s="1"/>
  <c r="C116" i="44" s="1"/>
  <c r="C117" i="44" s="1"/>
  <c r="C118" i="44" s="1"/>
  <c r="C119" i="44" s="1"/>
  <c r="C120" i="44" s="1"/>
  <c r="C121" i="44" s="1"/>
  <c r="C122" i="44" s="1"/>
  <c r="C123" i="44" s="1"/>
  <c r="C124" i="44" s="1"/>
  <c r="C125" i="44" s="1"/>
  <c r="C126" i="44" s="1"/>
  <c r="C127" i="44" s="1"/>
  <c r="C128" i="44" s="1"/>
  <c r="C129" i="44" s="1"/>
  <c r="C130" i="44" s="1"/>
  <c r="C131" i="44" s="1"/>
  <c r="C132" i="44" s="1"/>
  <c r="C133" i="44" s="1"/>
  <c r="C134" i="44" s="1"/>
  <c r="C135" i="44" s="1"/>
  <c r="C136" i="44" s="1"/>
  <c r="C137" i="44" s="1"/>
  <c r="C138" i="44" s="1"/>
  <c r="C139" i="44" s="1"/>
  <c r="C140" i="44" s="1"/>
  <c r="C141" i="44" s="1"/>
  <c r="C142" i="44" s="1"/>
  <c r="C143" i="44" s="1"/>
  <c r="C144" i="44" s="1"/>
  <c r="C145" i="44" s="1"/>
  <c r="C146" i="44" s="1"/>
  <c r="C147" i="44" s="1"/>
  <c r="C148" i="44" s="1"/>
  <c r="C149" i="44" s="1"/>
  <c r="C150" i="44" s="1"/>
  <c r="C151" i="44" s="1"/>
  <c r="C152" i="44" s="1"/>
  <c r="C153" i="44" s="1"/>
  <c r="C154" i="44" s="1"/>
  <c r="D96" i="44"/>
  <c r="L93" i="44"/>
  <c r="J93" i="44"/>
  <c r="D91" i="44"/>
  <c r="D89" i="44"/>
  <c r="N72" i="44"/>
  <c r="L72" i="44"/>
  <c r="N71" i="44"/>
  <c r="L71" i="44"/>
  <c r="N70" i="44"/>
  <c r="L70" i="44"/>
  <c r="N69" i="44"/>
  <c r="L69" i="44"/>
  <c r="N68" i="44"/>
  <c r="L68" i="44"/>
  <c r="N67" i="44"/>
  <c r="L67" i="44"/>
  <c r="N66" i="44"/>
  <c r="L66" i="44"/>
  <c r="N65" i="44"/>
  <c r="L65" i="44"/>
  <c r="N64" i="44"/>
  <c r="L64" i="44"/>
  <c r="N63" i="44"/>
  <c r="L63" i="44"/>
  <c r="N62" i="44"/>
  <c r="L62" i="44"/>
  <c r="N61" i="44"/>
  <c r="L61" i="44"/>
  <c r="N60" i="44"/>
  <c r="L60" i="44"/>
  <c r="N59" i="44"/>
  <c r="L59" i="44"/>
  <c r="N58" i="44"/>
  <c r="L58" i="44"/>
  <c r="N57" i="44"/>
  <c r="L57" i="44"/>
  <c r="N56" i="44"/>
  <c r="L56" i="44"/>
  <c r="N55" i="44"/>
  <c r="L55" i="44"/>
  <c r="N54" i="44"/>
  <c r="L54" i="44"/>
  <c r="N53" i="44"/>
  <c r="L53" i="44"/>
  <c r="N52" i="44"/>
  <c r="L52" i="44"/>
  <c r="N51" i="44"/>
  <c r="L51" i="44"/>
  <c r="N50" i="44"/>
  <c r="L50" i="44"/>
  <c r="N49" i="44"/>
  <c r="L49" i="44"/>
  <c r="N48" i="44"/>
  <c r="L48" i="44"/>
  <c r="N47" i="44"/>
  <c r="L47" i="44"/>
  <c r="N46" i="44"/>
  <c r="L46" i="44"/>
  <c r="N45" i="44"/>
  <c r="L45" i="44"/>
  <c r="N44" i="44"/>
  <c r="L44" i="44"/>
  <c r="N43" i="44"/>
  <c r="L43" i="44"/>
  <c r="N42" i="44"/>
  <c r="L42" i="44"/>
  <c r="N41" i="44"/>
  <c r="L41" i="44"/>
  <c r="N40" i="44"/>
  <c r="L40" i="44"/>
  <c r="N39" i="44"/>
  <c r="L39" i="44"/>
  <c r="N38" i="44"/>
  <c r="L38" i="44"/>
  <c r="N37" i="44"/>
  <c r="L37" i="44"/>
  <c r="N36" i="44"/>
  <c r="L36" i="44"/>
  <c r="N35" i="44"/>
  <c r="L35" i="44"/>
  <c r="N34" i="44"/>
  <c r="L34" i="44"/>
  <c r="N33" i="44"/>
  <c r="L33" i="44"/>
  <c r="N32" i="44"/>
  <c r="L32" i="44"/>
  <c r="N31" i="44"/>
  <c r="L31" i="44"/>
  <c r="N30" i="44"/>
  <c r="L30" i="44"/>
  <c r="N29" i="44"/>
  <c r="L29" i="44"/>
  <c r="N28" i="44"/>
  <c r="L28" i="44"/>
  <c r="N27" i="44"/>
  <c r="L27" i="44"/>
  <c r="N26" i="44"/>
  <c r="L26" i="44"/>
  <c r="N25" i="44"/>
  <c r="L25" i="44"/>
  <c r="N24" i="44"/>
  <c r="L24" i="44"/>
  <c r="N23" i="44"/>
  <c r="L23" i="44"/>
  <c r="N21" i="44"/>
  <c r="N20" i="44"/>
  <c r="N19" i="44"/>
  <c r="N18" i="44"/>
  <c r="N17" i="44"/>
  <c r="C17" i="44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C37" i="44" s="1"/>
  <c r="C38" i="44" s="1"/>
  <c r="C39" i="44" s="1"/>
  <c r="C40" i="44" s="1"/>
  <c r="C41" i="44" s="1"/>
  <c r="C42" i="44" s="1"/>
  <c r="C43" i="44" s="1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C64" i="44" s="1"/>
  <c r="C65" i="44" s="1"/>
  <c r="C66" i="44" s="1"/>
  <c r="C67" i="44" s="1"/>
  <c r="C68" i="44" s="1"/>
  <c r="C69" i="44" s="1"/>
  <c r="C70" i="44" s="1"/>
  <c r="C71" i="44" s="1"/>
  <c r="C72" i="44" s="1"/>
  <c r="K11" i="44"/>
  <c r="I11" i="44"/>
  <c r="D90" i="44"/>
  <c r="P1" i="44"/>
  <c r="P83" i="44" s="1"/>
  <c r="P154" i="43"/>
  <c r="O154" i="43"/>
  <c r="M154" i="43"/>
  <c r="J154" i="43"/>
  <c r="P153" i="43"/>
  <c r="O153" i="43"/>
  <c r="M153" i="43"/>
  <c r="J153" i="43"/>
  <c r="P152" i="43"/>
  <c r="O152" i="43"/>
  <c r="M152" i="43"/>
  <c r="J152" i="43"/>
  <c r="P151" i="43"/>
  <c r="O151" i="43"/>
  <c r="M151" i="43"/>
  <c r="J151" i="43"/>
  <c r="P150" i="43"/>
  <c r="O150" i="43"/>
  <c r="M150" i="43"/>
  <c r="J150" i="43"/>
  <c r="P149" i="43"/>
  <c r="O149" i="43"/>
  <c r="M149" i="43"/>
  <c r="J149" i="43"/>
  <c r="P148" i="43"/>
  <c r="O148" i="43"/>
  <c r="M148" i="43"/>
  <c r="J148" i="43"/>
  <c r="P147" i="43"/>
  <c r="O147" i="43"/>
  <c r="M147" i="43"/>
  <c r="J147" i="43"/>
  <c r="P146" i="43"/>
  <c r="O146" i="43"/>
  <c r="M146" i="43"/>
  <c r="J146" i="43"/>
  <c r="P145" i="43"/>
  <c r="O145" i="43"/>
  <c r="M145" i="43"/>
  <c r="J145" i="43"/>
  <c r="P144" i="43"/>
  <c r="O144" i="43"/>
  <c r="M144" i="43"/>
  <c r="J144" i="43"/>
  <c r="P143" i="43"/>
  <c r="O143" i="43"/>
  <c r="M143" i="43"/>
  <c r="J143" i="43"/>
  <c r="P142" i="43"/>
  <c r="O142" i="43"/>
  <c r="M142" i="43"/>
  <c r="J142" i="43"/>
  <c r="P141" i="43"/>
  <c r="O141" i="43"/>
  <c r="M141" i="43"/>
  <c r="J141" i="43"/>
  <c r="P140" i="43"/>
  <c r="O140" i="43"/>
  <c r="M140" i="43"/>
  <c r="J140" i="43"/>
  <c r="P139" i="43"/>
  <c r="O139" i="43"/>
  <c r="M139" i="43"/>
  <c r="J139" i="43"/>
  <c r="P138" i="43"/>
  <c r="O138" i="43"/>
  <c r="M138" i="43"/>
  <c r="J138" i="43"/>
  <c r="P137" i="43"/>
  <c r="O137" i="43"/>
  <c r="M137" i="43"/>
  <c r="J137" i="43"/>
  <c r="P136" i="43"/>
  <c r="O136" i="43"/>
  <c r="M136" i="43"/>
  <c r="J136" i="43"/>
  <c r="P135" i="43"/>
  <c r="O135" i="43"/>
  <c r="M135" i="43"/>
  <c r="J135" i="43"/>
  <c r="P134" i="43"/>
  <c r="O134" i="43"/>
  <c r="M134" i="43"/>
  <c r="J134" i="43"/>
  <c r="P133" i="43"/>
  <c r="O133" i="43"/>
  <c r="M133" i="43"/>
  <c r="J133" i="43"/>
  <c r="P132" i="43"/>
  <c r="O132" i="43"/>
  <c r="M132" i="43"/>
  <c r="J132" i="43"/>
  <c r="P131" i="43"/>
  <c r="O131" i="43"/>
  <c r="M131" i="43"/>
  <c r="J131" i="43"/>
  <c r="O130" i="43"/>
  <c r="M130" i="43"/>
  <c r="O129" i="43"/>
  <c r="M129" i="43"/>
  <c r="O128" i="43"/>
  <c r="M128" i="43"/>
  <c r="O127" i="43"/>
  <c r="M127" i="43"/>
  <c r="O126" i="43"/>
  <c r="M126" i="43"/>
  <c r="O125" i="43"/>
  <c r="M125" i="43"/>
  <c r="O124" i="43"/>
  <c r="M124" i="43"/>
  <c r="O123" i="43"/>
  <c r="M123" i="43"/>
  <c r="O122" i="43"/>
  <c r="M122" i="43"/>
  <c r="O121" i="43"/>
  <c r="M121" i="43"/>
  <c r="O120" i="43"/>
  <c r="M120" i="43"/>
  <c r="O119" i="43"/>
  <c r="M119" i="43"/>
  <c r="O118" i="43"/>
  <c r="M118" i="43"/>
  <c r="O117" i="43"/>
  <c r="M117" i="43"/>
  <c r="O116" i="43"/>
  <c r="M116" i="43"/>
  <c r="O115" i="43"/>
  <c r="M115" i="43"/>
  <c r="O114" i="43"/>
  <c r="M114" i="43"/>
  <c r="O113" i="43"/>
  <c r="M113" i="43"/>
  <c r="O112" i="43"/>
  <c r="M112" i="43"/>
  <c r="O111" i="43"/>
  <c r="M111" i="43"/>
  <c r="O110" i="43"/>
  <c r="M110" i="43"/>
  <c r="O109" i="43"/>
  <c r="M109" i="43"/>
  <c r="O108" i="43"/>
  <c r="M108" i="43"/>
  <c r="O107" i="43"/>
  <c r="M107" i="43"/>
  <c r="O106" i="43"/>
  <c r="M106" i="43"/>
  <c r="O105" i="43"/>
  <c r="M105" i="43"/>
  <c r="O102" i="43"/>
  <c r="O101" i="43"/>
  <c r="O100" i="43"/>
  <c r="C99" i="43"/>
  <c r="C100" i="43" s="1"/>
  <c r="C101" i="43" s="1"/>
  <c r="C102" i="43" s="1"/>
  <c r="C103" i="43" s="1"/>
  <c r="C104" i="43" s="1"/>
  <c r="C105" i="43" s="1"/>
  <c r="C106" i="43" s="1"/>
  <c r="C107" i="43" s="1"/>
  <c r="C108" i="43" s="1"/>
  <c r="C109" i="43" s="1"/>
  <c r="C110" i="43" s="1"/>
  <c r="C111" i="43" s="1"/>
  <c r="C112" i="43" s="1"/>
  <c r="C113" i="43" s="1"/>
  <c r="C114" i="43" s="1"/>
  <c r="C115" i="43" s="1"/>
  <c r="C116" i="43" s="1"/>
  <c r="C117" i="43" s="1"/>
  <c r="C118" i="43" s="1"/>
  <c r="C119" i="43" s="1"/>
  <c r="C120" i="43" s="1"/>
  <c r="C121" i="43" s="1"/>
  <c r="C122" i="43" s="1"/>
  <c r="C123" i="43" s="1"/>
  <c r="C124" i="43" s="1"/>
  <c r="C125" i="43" s="1"/>
  <c r="C126" i="43" s="1"/>
  <c r="C127" i="43" s="1"/>
  <c r="C128" i="43" s="1"/>
  <c r="C129" i="43" s="1"/>
  <c r="C130" i="43" s="1"/>
  <c r="C131" i="43" s="1"/>
  <c r="C132" i="43" s="1"/>
  <c r="C133" i="43" s="1"/>
  <c r="C134" i="43" s="1"/>
  <c r="C135" i="43" s="1"/>
  <c r="C136" i="43" s="1"/>
  <c r="C137" i="43" s="1"/>
  <c r="C138" i="43" s="1"/>
  <c r="C139" i="43" s="1"/>
  <c r="C140" i="43" s="1"/>
  <c r="C141" i="43" s="1"/>
  <c r="C142" i="43" s="1"/>
  <c r="C143" i="43" s="1"/>
  <c r="C144" i="43" s="1"/>
  <c r="C145" i="43" s="1"/>
  <c r="C146" i="43" s="1"/>
  <c r="C147" i="43" s="1"/>
  <c r="C148" i="43" s="1"/>
  <c r="C149" i="43" s="1"/>
  <c r="C150" i="43" s="1"/>
  <c r="C151" i="43" s="1"/>
  <c r="C152" i="43" s="1"/>
  <c r="C153" i="43" s="1"/>
  <c r="C154" i="43" s="1"/>
  <c r="D96" i="43"/>
  <c r="L93" i="43"/>
  <c r="J93" i="43"/>
  <c r="D91" i="43"/>
  <c r="D89" i="43"/>
  <c r="N72" i="43"/>
  <c r="L72" i="43"/>
  <c r="N71" i="43"/>
  <c r="L71" i="43"/>
  <c r="N70" i="43"/>
  <c r="L70" i="43"/>
  <c r="N69" i="43"/>
  <c r="L69" i="43"/>
  <c r="N68" i="43"/>
  <c r="L68" i="43"/>
  <c r="N67" i="43"/>
  <c r="L67" i="43"/>
  <c r="N66" i="43"/>
  <c r="L66" i="43"/>
  <c r="N65" i="43"/>
  <c r="L65" i="43"/>
  <c r="N64" i="43"/>
  <c r="L64" i="43"/>
  <c r="N63" i="43"/>
  <c r="L63" i="43"/>
  <c r="N62" i="43"/>
  <c r="L62" i="43"/>
  <c r="N61" i="43"/>
  <c r="L61" i="43"/>
  <c r="N60" i="43"/>
  <c r="L60" i="43"/>
  <c r="N59" i="43"/>
  <c r="L59" i="43"/>
  <c r="N58" i="43"/>
  <c r="L58" i="43"/>
  <c r="N57" i="43"/>
  <c r="L57" i="43"/>
  <c r="N56" i="43"/>
  <c r="L56" i="43"/>
  <c r="N55" i="43"/>
  <c r="L55" i="43"/>
  <c r="N54" i="43"/>
  <c r="L54" i="43"/>
  <c r="N53" i="43"/>
  <c r="L53" i="43"/>
  <c r="N52" i="43"/>
  <c r="L52" i="43"/>
  <c r="N51" i="43"/>
  <c r="L51" i="43"/>
  <c r="N50" i="43"/>
  <c r="L50" i="43"/>
  <c r="N49" i="43"/>
  <c r="L49" i="43"/>
  <c r="N48" i="43"/>
  <c r="L48" i="43"/>
  <c r="N47" i="43"/>
  <c r="L47" i="43"/>
  <c r="N46" i="43"/>
  <c r="L46" i="43"/>
  <c r="N45" i="43"/>
  <c r="L45" i="43"/>
  <c r="N44" i="43"/>
  <c r="L44" i="43"/>
  <c r="N43" i="43"/>
  <c r="L43" i="43"/>
  <c r="N42" i="43"/>
  <c r="L42" i="43"/>
  <c r="N41" i="43"/>
  <c r="L41" i="43"/>
  <c r="N40" i="43"/>
  <c r="L40" i="43"/>
  <c r="N39" i="43"/>
  <c r="L39" i="43"/>
  <c r="N38" i="43"/>
  <c r="L38" i="43"/>
  <c r="N37" i="43"/>
  <c r="L37" i="43"/>
  <c r="N36" i="43"/>
  <c r="L36" i="43"/>
  <c r="N35" i="43"/>
  <c r="L35" i="43"/>
  <c r="N34" i="43"/>
  <c r="L34" i="43"/>
  <c r="N33" i="43"/>
  <c r="L33" i="43"/>
  <c r="N32" i="43"/>
  <c r="L32" i="43"/>
  <c r="N31" i="43"/>
  <c r="L31" i="43"/>
  <c r="N30" i="43"/>
  <c r="L30" i="43"/>
  <c r="N29" i="43"/>
  <c r="L29" i="43"/>
  <c r="N28" i="43"/>
  <c r="L28" i="43"/>
  <c r="N27" i="43"/>
  <c r="L27" i="43"/>
  <c r="N26" i="43"/>
  <c r="L26" i="43"/>
  <c r="N25" i="43"/>
  <c r="L25" i="43"/>
  <c r="N24" i="43"/>
  <c r="L24" i="43"/>
  <c r="N21" i="43"/>
  <c r="N20" i="43"/>
  <c r="N19" i="43"/>
  <c r="N18" i="43"/>
  <c r="N17" i="43"/>
  <c r="L17" i="43"/>
  <c r="C17" i="43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C34" i="43" s="1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C49" i="43" s="1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C68" i="43" s="1"/>
  <c r="C69" i="43" s="1"/>
  <c r="C70" i="43" s="1"/>
  <c r="C71" i="43" s="1"/>
  <c r="C72" i="43" s="1"/>
  <c r="K11" i="43"/>
  <c r="I11" i="43"/>
  <c r="D8" i="43"/>
  <c r="D90" i="43" s="1"/>
  <c r="P1" i="43"/>
  <c r="P83" i="43" s="1"/>
  <c r="M17" i="42"/>
  <c r="N17" i="42" s="1"/>
  <c r="K17" i="42"/>
  <c r="L17" i="42" s="1"/>
  <c r="M17" i="41"/>
  <c r="N17" i="41" s="1"/>
  <c r="K17" i="41"/>
  <c r="L17" i="41" s="1"/>
  <c r="M17" i="40"/>
  <c r="N17" i="40" s="1"/>
  <c r="K17" i="40"/>
  <c r="L17" i="40" s="1"/>
  <c r="N99" i="39"/>
  <c r="O99" i="39" s="1"/>
  <c r="L99" i="39"/>
  <c r="M99" i="39" s="1"/>
  <c r="M18" i="39"/>
  <c r="N18" i="39" s="1"/>
  <c r="K18" i="39"/>
  <c r="L18" i="39" s="1"/>
  <c r="N99" i="38"/>
  <c r="O99" i="38" s="1"/>
  <c r="L99" i="38"/>
  <c r="M99" i="38" s="1"/>
  <c r="M18" i="38"/>
  <c r="N18" i="38" s="1"/>
  <c r="K18" i="38"/>
  <c r="L18" i="38" s="1"/>
  <c r="N99" i="37"/>
  <c r="O99" i="37" s="1"/>
  <c r="L99" i="37"/>
  <c r="M99" i="37" s="1"/>
  <c r="M18" i="37"/>
  <c r="N18" i="37" s="1"/>
  <c r="K18" i="37"/>
  <c r="L18" i="37" s="1"/>
  <c r="N102" i="31"/>
  <c r="O102" i="31" s="1"/>
  <c r="L102" i="31"/>
  <c r="M102" i="31" s="1"/>
  <c r="M21" i="31"/>
  <c r="N21" i="31" s="1"/>
  <c r="K21" i="31"/>
  <c r="L21" i="31" s="1"/>
  <c r="N101" i="30"/>
  <c r="O101" i="30" s="1"/>
  <c r="L101" i="30"/>
  <c r="M101" i="30" s="1"/>
  <c r="M20" i="30"/>
  <c r="N20" i="30" s="1"/>
  <c r="K20" i="30"/>
  <c r="N102" i="29"/>
  <c r="O102" i="29" s="1"/>
  <c r="L102" i="29"/>
  <c r="M102" i="29" s="1"/>
  <c r="M21" i="29"/>
  <c r="N21" i="29" s="1"/>
  <c r="K21" i="29"/>
  <c r="L21" i="29" s="1"/>
  <c r="N102" i="28"/>
  <c r="O102" i="28" s="1"/>
  <c r="L102" i="28"/>
  <c r="M102" i="28" s="1"/>
  <c r="M21" i="28"/>
  <c r="N21" i="28" s="1"/>
  <c r="K21" i="28"/>
  <c r="L21" i="28" s="1"/>
  <c r="N103" i="27"/>
  <c r="O103" i="27" s="1"/>
  <c r="L103" i="27"/>
  <c r="M103" i="27" s="1"/>
  <c r="M22" i="27"/>
  <c r="N22" i="27" s="1"/>
  <c r="K22" i="27"/>
  <c r="L22" i="27" s="1"/>
  <c r="N106" i="25"/>
  <c r="O106" i="25" s="1"/>
  <c r="L106" i="25"/>
  <c r="M106" i="25" s="1"/>
  <c r="M25" i="25"/>
  <c r="N25" i="25" s="1"/>
  <c r="K25" i="25"/>
  <c r="L25" i="25" s="1"/>
  <c r="N104" i="24"/>
  <c r="O104" i="24" s="1"/>
  <c r="L104" i="24"/>
  <c r="M104" i="24" s="1"/>
  <c r="M23" i="24"/>
  <c r="N23" i="24" s="1"/>
  <c r="K23" i="24"/>
  <c r="L23" i="24" s="1"/>
  <c r="N105" i="23"/>
  <c r="O105" i="23" s="1"/>
  <c r="L105" i="23"/>
  <c r="M105" i="23" s="1"/>
  <c r="M24" i="23"/>
  <c r="N24" i="23" s="1"/>
  <c r="K24" i="23"/>
  <c r="L24" i="23" s="1"/>
  <c r="N106" i="22"/>
  <c r="O106" i="22" s="1"/>
  <c r="L106" i="22"/>
  <c r="M106" i="22" s="1"/>
  <c r="M25" i="22"/>
  <c r="N25" i="22" s="1"/>
  <c r="K25" i="22"/>
  <c r="L25" i="22" s="1"/>
  <c r="N109" i="11"/>
  <c r="O109" i="11" s="1"/>
  <c r="L109" i="11"/>
  <c r="M109" i="11" s="1"/>
  <c r="M28" i="11"/>
  <c r="N28" i="11" s="1"/>
  <c r="K28" i="11"/>
  <c r="L28" i="11" s="1"/>
  <c r="N110" i="10"/>
  <c r="O110" i="10" s="1"/>
  <c r="L110" i="10"/>
  <c r="M110" i="10" s="1"/>
  <c r="M29" i="10"/>
  <c r="N29" i="10" s="1"/>
  <c r="K29" i="10"/>
  <c r="L29" i="10" s="1"/>
  <c r="N109" i="9"/>
  <c r="O109" i="9" s="1"/>
  <c r="L109" i="9"/>
  <c r="M109" i="9" s="1"/>
  <c r="M28" i="9"/>
  <c r="N28" i="9" s="1"/>
  <c r="K28" i="9"/>
  <c r="L28" i="9" s="1"/>
  <c r="N108" i="8"/>
  <c r="O108" i="8" s="1"/>
  <c r="L108" i="8"/>
  <c r="M108" i="8" s="1"/>
  <c r="M27" i="8"/>
  <c r="N27" i="8" s="1"/>
  <c r="K27" i="8"/>
  <c r="L27" i="8" s="1"/>
  <c r="N110" i="7"/>
  <c r="O110" i="7" s="1"/>
  <c r="L110" i="7"/>
  <c r="M110" i="7" s="1"/>
  <c r="M29" i="7"/>
  <c r="N29" i="7" s="1"/>
  <c r="K29" i="7"/>
  <c r="L29" i="7" s="1"/>
  <c r="N108" i="6"/>
  <c r="O108" i="6" s="1"/>
  <c r="L108" i="6"/>
  <c r="M108" i="6" s="1"/>
  <c r="M27" i="6"/>
  <c r="N27" i="6" s="1"/>
  <c r="K27" i="6"/>
  <c r="L27" i="6" s="1"/>
  <c r="N107" i="5"/>
  <c r="O107" i="5" s="1"/>
  <c r="L107" i="5"/>
  <c r="M107" i="5" s="1"/>
  <c r="M26" i="5"/>
  <c r="N26" i="5" s="1"/>
  <c r="K26" i="5"/>
  <c r="L26" i="5" s="1"/>
  <c r="N107" i="4"/>
  <c r="O107" i="4" s="1"/>
  <c r="L107" i="4"/>
  <c r="M107" i="4" s="1"/>
  <c r="M26" i="4"/>
  <c r="N26" i="4" s="1"/>
  <c r="K26" i="4"/>
  <c r="L26" i="4" s="1"/>
  <c r="N107" i="3"/>
  <c r="O107" i="3" s="1"/>
  <c r="L107" i="3"/>
  <c r="M107" i="3" s="1"/>
  <c r="M26" i="3"/>
  <c r="N26" i="3" s="1"/>
  <c r="K26" i="3"/>
  <c r="L26" i="3" s="1"/>
  <c r="D92" i="6"/>
  <c r="U2" i="17"/>
  <c r="M26" i="6"/>
  <c r="N26" i="6" s="1"/>
  <c r="K26" i="6"/>
  <c r="L26" i="6" s="1"/>
  <c r="M17" i="38"/>
  <c r="N17" i="38" s="1"/>
  <c r="K17" i="38"/>
  <c r="L17" i="38" s="1"/>
  <c r="M17" i="39"/>
  <c r="N17" i="39" s="1"/>
  <c r="K17" i="39"/>
  <c r="L17" i="39" s="1"/>
  <c r="N101" i="31"/>
  <c r="O101" i="31" s="1"/>
  <c r="L101" i="31"/>
  <c r="M101" i="31" s="1"/>
  <c r="M20" i="31"/>
  <c r="N20" i="31" s="1"/>
  <c r="K20" i="31"/>
  <c r="L20" i="31" s="1"/>
  <c r="M17" i="37"/>
  <c r="N17" i="37" s="1"/>
  <c r="K17" i="37"/>
  <c r="L17" i="37" s="1"/>
  <c r="W41" i="17"/>
  <c r="P41" i="17"/>
  <c r="W40" i="17"/>
  <c r="P40" i="17"/>
  <c r="M19" i="30"/>
  <c r="N19" i="30" s="1"/>
  <c r="K19" i="30"/>
  <c r="L19" i="30" s="1"/>
  <c r="N100" i="30"/>
  <c r="O100" i="30" s="1"/>
  <c r="L100" i="30"/>
  <c r="M100" i="30" s="1"/>
  <c r="M20" i="29"/>
  <c r="N20" i="29" s="1"/>
  <c r="K20" i="29"/>
  <c r="L20" i="29" s="1"/>
  <c r="N101" i="29"/>
  <c r="O101" i="29" s="1"/>
  <c r="L101" i="29"/>
  <c r="M101" i="29" s="1"/>
  <c r="N101" i="28"/>
  <c r="O101" i="28" s="1"/>
  <c r="L101" i="28"/>
  <c r="M101" i="28" s="1"/>
  <c r="M20" i="28"/>
  <c r="N20" i="28" s="1"/>
  <c r="K20" i="28"/>
  <c r="L20" i="28" s="1"/>
  <c r="N102" i="27"/>
  <c r="O102" i="27" s="1"/>
  <c r="L102" i="27"/>
  <c r="M102" i="27" s="1"/>
  <c r="M21" i="27"/>
  <c r="N21" i="27" s="1"/>
  <c r="K21" i="27"/>
  <c r="L21" i="27" s="1"/>
  <c r="N105" i="25"/>
  <c r="O105" i="25" s="1"/>
  <c r="L105" i="25"/>
  <c r="M105" i="25" s="1"/>
  <c r="M24" i="25"/>
  <c r="N24" i="25" s="1"/>
  <c r="K24" i="25"/>
  <c r="L24" i="25" s="1"/>
  <c r="N103" i="24"/>
  <c r="O103" i="24" s="1"/>
  <c r="L103" i="24"/>
  <c r="M103" i="24" s="1"/>
  <c r="M22" i="24"/>
  <c r="N22" i="24" s="1"/>
  <c r="K22" i="24"/>
  <c r="L22" i="24" s="1"/>
  <c r="N104" i="23"/>
  <c r="O104" i="23" s="1"/>
  <c r="L104" i="23"/>
  <c r="M104" i="23" s="1"/>
  <c r="M23" i="23"/>
  <c r="N23" i="23" s="1"/>
  <c r="K23" i="23"/>
  <c r="L23" i="23" s="1"/>
  <c r="N105" i="22"/>
  <c r="O105" i="22" s="1"/>
  <c r="L105" i="22"/>
  <c r="M105" i="22" s="1"/>
  <c r="M24" i="22"/>
  <c r="N24" i="22" s="1"/>
  <c r="K24" i="22"/>
  <c r="L24" i="22" s="1"/>
  <c r="N108" i="11"/>
  <c r="O108" i="11" s="1"/>
  <c r="L108" i="11"/>
  <c r="M108" i="11" s="1"/>
  <c r="M27" i="11"/>
  <c r="N27" i="11" s="1"/>
  <c r="K27" i="11"/>
  <c r="L27" i="11" s="1"/>
  <c r="N109" i="10"/>
  <c r="O109" i="10" s="1"/>
  <c r="L109" i="10"/>
  <c r="M109" i="10" s="1"/>
  <c r="M28" i="10"/>
  <c r="N28" i="10" s="1"/>
  <c r="K28" i="10"/>
  <c r="L28" i="10" s="1"/>
  <c r="N108" i="9"/>
  <c r="O108" i="9" s="1"/>
  <c r="L108" i="9"/>
  <c r="M108" i="9" s="1"/>
  <c r="M27" i="9"/>
  <c r="N27" i="9" s="1"/>
  <c r="K27" i="9"/>
  <c r="L27" i="9" s="1"/>
  <c r="N107" i="8"/>
  <c r="O107" i="8" s="1"/>
  <c r="L107" i="8"/>
  <c r="M107" i="8" s="1"/>
  <c r="M26" i="8"/>
  <c r="N26" i="8" s="1"/>
  <c r="K26" i="8"/>
  <c r="L26" i="8" s="1"/>
  <c r="N109" i="7"/>
  <c r="O109" i="7" s="1"/>
  <c r="L109" i="7"/>
  <c r="M109" i="7" s="1"/>
  <c r="M28" i="7"/>
  <c r="N28" i="7" s="1"/>
  <c r="K28" i="7"/>
  <c r="L28" i="7" s="1"/>
  <c r="N107" i="6"/>
  <c r="O107" i="6" s="1"/>
  <c r="L107" i="6"/>
  <c r="M107" i="6" s="1"/>
  <c r="N106" i="5"/>
  <c r="O106" i="5" s="1"/>
  <c r="L106" i="5"/>
  <c r="M106" i="5" s="1"/>
  <c r="M25" i="5"/>
  <c r="N25" i="5" s="1"/>
  <c r="K25" i="5"/>
  <c r="L25" i="5" s="1"/>
  <c r="N106" i="4"/>
  <c r="O106" i="4" s="1"/>
  <c r="L106" i="4"/>
  <c r="M106" i="4" s="1"/>
  <c r="M25" i="4"/>
  <c r="N25" i="4" s="1"/>
  <c r="K25" i="4"/>
  <c r="L25" i="4" s="1"/>
  <c r="N106" i="3"/>
  <c r="O106" i="3" s="1"/>
  <c r="L106" i="3"/>
  <c r="M106" i="3" s="1"/>
  <c r="M25" i="3"/>
  <c r="N25" i="3" s="1"/>
  <c r="K25" i="3"/>
  <c r="L25" i="3" s="1"/>
  <c r="P154" i="42"/>
  <c r="O154" i="42"/>
  <c r="M154" i="42"/>
  <c r="J154" i="42"/>
  <c r="P153" i="42"/>
  <c r="O153" i="42"/>
  <c r="M153" i="42"/>
  <c r="J153" i="42"/>
  <c r="P152" i="42"/>
  <c r="O152" i="42"/>
  <c r="M152" i="42"/>
  <c r="J152" i="42"/>
  <c r="P151" i="42"/>
  <c r="O151" i="42"/>
  <c r="M151" i="42"/>
  <c r="J151" i="42"/>
  <c r="P150" i="42"/>
  <c r="O150" i="42"/>
  <c r="M150" i="42"/>
  <c r="J150" i="42"/>
  <c r="P149" i="42"/>
  <c r="O149" i="42"/>
  <c r="M149" i="42"/>
  <c r="J149" i="42"/>
  <c r="P148" i="42"/>
  <c r="O148" i="42"/>
  <c r="M148" i="42"/>
  <c r="J148" i="42"/>
  <c r="P147" i="42"/>
  <c r="O147" i="42"/>
  <c r="M147" i="42"/>
  <c r="J147" i="42"/>
  <c r="P146" i="42"/>
  <c r="O146" i="42"/>
  <c r="M146" i="42"/>
  <c r="J146" i="42"/>
  <c r="P145" i="42"/>
  <c r="O145" i="42"/>
  <c r="M145" i="42"/>
  <c r="J145" i="42"/>
  <c r="P144" i="42"/>
  <c r="O144" i="42"/>
  <c r="M144" i="42"/>
  <c r="J144" i="42"/>
  <c r="P143" i="42"/>
  <c r="O143" i="42"/>
  <c r="M143" i="42"/>
  <c r="J143" i="42"/>
  <c r="P142" i="42"/>
  <c r="O142" i="42"/>
  <c r="M142" i="42"/>
  <c r="J142" i="42"/>
  <c r="P141" i="42"/>
  <c r="O141" i="42"/>
  <c r="M141" i="42"/>
  <c r="J141" i="42"/>
  <c r="P140" i="42"/>
  <c r="O140" i="42"/>
  <c r="M140" i="42"/>
  <c r="J140" i="42"/>
  <c r="P139" i="42"/>
  <c r="O139" i="42"/>
  <c r="M139" i="42"/>
  <c r="J139" i="42"/>
  <c r="P138" i="42"/>
  <c r="O138" i="42"/>
  <c r="M138" i="42"/>
  <c r="J138" i="42"/>
  <c r="P137" i="42"/>
  <c r="O137" i="42"/>
  <c r="M137" i="42"/>
  <c r="J137" i="42"/>
  <c r="P136" i="42"/>
  <c r="O136" i="42"/>
  <c r="M136" i="42"/>
  <c r="J136" i="42"/>
  <c r="P135" i="42"/>
  <c r="O135" i="42"/>
  <c r="M135" i="42"/>
  <c r="J135" i="42"/>
  <c r="P134" i="42"/>
  <c r="O134" i="42"/>
  <c r="M134" i="42"/>
  <c r="J134" i="42"/>
  <c r="P133" i="42"/>
  <c r="O133" i="42"/>
  <c r="M133" i="42"/>
  <c r="J133" i="42"/>
  <c r="P132" i="42"/>
  <c r="O132" i="42"/>
  <c r="M132" i="42"/>
  <c r="J132" i="42"/>
  <c r="P131" i="42"/>
  <c r="O131" i="42"/>
  <c r="M131" i="42"/>
  <c r="J131" i="42"/>
  <c r="O130" i="42"/>
  <c r="M130" i="42"/>
  <c r="O129" i="42"/>
  <c r="M129" i="42"/>
  <c r="O128" i="42"/>
  <c r="M128" i="42"/>
  <c r="O127" i="42"/>
  <c r="M127" i="42"/>
  <c r="O126" i="42"/>
  <c r="M126" i="42"/>
  <c r="O125" i="42"/>
  <c r="M125" i="42"/>
  <c r="O124" i="42"/>
  <c r="M124" i="42"/>
  <c r="O123" i="42"/>
  <c r="M123" i="42"/>
  <c r="O122" i="42"/>
  <c r="M122" i="42"/>
  <c r="O121" i="42"/>
  <c r="M121" i="42"/>
  <c r="O120" i="42"/>
  <c r="M120" i="42"/>
  <c r="O119" i="42"/>
  <c r="M119" i="42"/>
  <c r="O118" i="42"/>
  <c r="M118" i="42"/>
  <c r="O117" i="42"/>
  <c r="M117" i="42"/>
  <c r="O116" i="42"/>
  <c r="M116" i="42"/>
  <c r="O115" i="42"/>
  <c r="M115" i="42"/>
  <c r="O114" i="42"/>
  <c r="M114" i="42"/>
  <c r="O113" i="42"/>
  <c r="M113" i="42"/>
  <c r="O112" i="42"/>
  <c r="M112" i="42"/>
  <c r="O111" i="42"/>
  <c r="M111" i="42"/>
  <c r="O110" i="42"/>
  <c r="M110" i="42"/>
  <c r="O109" i="42"/>
  <c r="M109" i="42"/>
  <c r="O108" i="42"/>
  <c r="M108" i="42"/>
  <c r="O107" i="42"/>
  <c r="M107" i="42"/>
  <c r="O106" i="42"/>
  <c r="M106" i="42"/>
  <c r="O105" i="42"/>
  <c r="M105" i="42"/>
  <c r="O102" i="42"/>
  <c r="O101" i="42"/>
  <c r="O100" i="42"/>
  <c r="C99" i="42"/>
  <c r="C100" i="42" s="1"/>
  <c r="C101" i="42" s="1"/>
  <c r="C102" i="42" s="1"/>
  <c r="C103" i="42" s="1"/>
  <c r="C104" i="42" s="1"/>
  <c r="C105" i="42" s="1"/>
  <c r="C106" i="42" s="1"/>
  <c r="C107" i="42" s="1"/>
  <c r="C108" i="42" s="1"/>
  <c r="C109" i="42" s="1"/>
  <c r="C110" i="42" s="1"/>
  <c r="C111" i="42" s="1"/>
  <c r="C112" i="42" s="1"/>
  <c r="C113" i="42" s="1"/>
  <c r="C114" i="42" s="1"/>
  <c r="C115" i="42" s="1"/>
  <c r="C116" i="42" s="1"/>
  <c r="C117" i="42" s="1"/>
  <c r="C118" i="42" s="1"/>
  <c r="C119" i="42" s="1"/>
  <c r="C120" i="42" s="1"/>
  <c r="C121" i="42" s="1"/>
  <c r="C122" i="42" s="1"/>
  <c r="C123" i="42" s="1"/>
  <c r="C124" i="42" s="1"/>
  <c r="C125" i="42" s="1"/>
  <c r="C126" i="42" s="1"/>
  <c r="C127" i="42" s="1"/>
  <c r="C128" i="42" s="1"/>
  <c r="C129" i="42" s="1"/>
  <c r="C130" i="42" s="1"/>
  <c r="C131" i="42" s="1"/>
  <c r="C132" i="42" s="1"/>
  <c r="C133" i="42" s="1"/>
  <c r="C134" i="42" s="1"/>
  <c r="C135" i="42" s="1"/>
  <c r="C136" i="42" s="1"/>
  <c r="C137" i="42" s="1"/>
  <c r="C138" i="42" s="1"/>
  <c r="C139" i="42" s="1"/>
  <c r="C140" i="42" s="1"/>
  <c r="C141" i="42" s="1"/>
  <c r="C142" i="42" s="1"/>
  <c r="C143" i="42" s="1"/>
  <c r="C144" i="42" s="1"/>
  <c r="C145" i="42" s="1"/>
  <c r="C146" i="42" s="1"/>
  <c r="C147" i="42" s="1"/>
  <c r="C148" i="42" s="1"/>
  <c r="C149" i="42" s="1"/>
  <c r="C150" i="42" s="1"/>
  <c r="C151" i="42" s="1"/>
  <c r="C152" i="42" s="1"/>
  <c r="C153" i="42" s="1"/>
  <c r="C154" i="42" s="1"/>
  <c r="D96" i="42"/>
  <c r="L93" i="42"/>
  <c r="J93" i="42"/>
  <c r="D91" i="42"/>
  <c r="D89" i="42"/>
  <c r="N72" i="42"/>
  <c r="L72" i="42"/>
  <c r="N71" i="42"/>
  <c r="L71" i="42"/>
  <c r="N70" i="42"/>
  <c r="L70" i="42"/>
  <c r="N69" i="42"/>
  <c r="L69" i="42"/>
  <c r="N68" i="42"/>
  <c r="L68" i="42"/>
  <c r="N67" i="42"/>
  <c r="L67" i="42"/>
  <c r="N66" i="42"/>
  <c r="L66" i="42"/>
  <c r="N65" i="42"/>
  <c r="L65" i="42"/>
  <c r="N64" i="42"/>
  <c r="L64" i="42"/>
  <c r="N63" i="42"/>
  <c r="L63" i="42"/>
  <c r="N62" i="42"/>
  <c r="L62" i="42"/>
  <c r="N61" i="42"/>
  <c r="L61" i="42"/>
  <c r="N60" i="42"/>
  <c r="L60" i="42"/>
  <c r="N59" i="42"/>
  <c r="L59" i="42"/>
  <c r="N58" i="42"/>
  <c r="L58" i="42"/>
  <c r="N57" i="42"/>
  <c r="L57" i="42"/>
  <c r="N56" i="42"/>
  <c r="L56" i="42"/>
  <c r="N55" i="42"/>
  <c r="L55" i="42"/>
  <c r="N54" i="42"/>
  <c r="L54" i="42"/>
  <c r="N53" i="42"/>
  <c r="L53" i="42"/>
  <c r="N52" i="42"/>
  <c r="L52" i="42"/>
  <c r="N51" i="42"/>
  <c r="L51" i="42"/>
  <c r="N50" i="42"/>
  <c r="L50" i="42"/>
  <c r="N49" i="42"/>
  <c r="L49" i="42"/>
  <c r="N48" i="42"/>
  <c r="L48" i="42"/>
  <c r="N47" i="42"/>
  <c r="L47" i="42"/>
  <c r="N46" i="42"/>
  <c r="L46" i="42"/>
  <c r="N45" i="42"/>
  <c r="L45" i="42"/>
  <c r="N44" i="42"/>
  <c r="L44" i="42"/>
  <c r="N43" i="42"/>
  <c r="L43" i="42"/>
  <c r="N42" i="42"/>
  <c r="L42" i="42"/>
  <c r="N41" i="42"/>
  <c r="L41" i="42"/>
  <c r="N40" i="42"/>
  <c r="L40" i="42"/>
  <c r="N39" i="42"/>
  <c r="L39" i="42"/>
  <c r="N38" i="42"/>
  <c r="L38" i="42"/>
  <c r="N37" i="42"/>
  <c r="L37" i="42"/>
  <c r="N36" i="42"/>
  <c r="L36" i="42"/>
  <c r="N35" i="42"/>
  <c r="L35" i="42"/>
  <c r="N34" i="42"/>
  <c r="L34" i="42"/>
  <c r="N33" i="42"/>
  <c r="L33" i="42"/>
  <c r="N32" i="42"/>
  <c r="L32" i="42"/>
  <c r="N31" i="42"/>
  <c r="L31" i="42"/>
  <c r="N30" i="42"/>
  <c r="L30" i="42"/>
  <c r="N29" i="42"/>
  <c r="L29" i="42"/>
  <c r="N28" i="42"/>
  <c r="L28" i="42"/>
  <c r="N27" i="42"/>
  <c r="L27" i="42"/>
  <c r="N26" i="42"/>
  <c r="L26" i="42"/>
  <c r="N25" i="42"/>
  <c r="L25" i="42"/>
  <c r="N24" i="42"/>
  <c r="L24" i="42"/>
  <c r="N21" i="42"/>
  <c r="N20" i="42"/>
  <c r="N19" i="42"/>
  <c r="N18" i="42"/>
  <c r="C17" i="42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C40" i="42" s="1"/>
  <c r="C41" i="42" s="1"/>
  <c r="C42" i="42" s="1"/>
  <c r="C43" i="42" s="1"/>
  <c r="C44" i="42" s="1"/>
  <c r="K11" i="42"/>
  <c r="I11" i="42"/>
  <c r="D8" i="42"/>
  <c r="D90" i="42" s="1"/>
  <c r="P1" i="42"/>
  <c r="P83" i="42" s="1"/>
  <c r="P154" i="41"/>
  <c r="O154" i="41"/>
  <c r="M154" i="41"/>
  <c r="J154" i="41"/>
  <c r="P153" i="41"/>
  <c r="O153" i="41"/>
  <c r="M153" i="41"/>
  <c r="J153" i="41"/>
  <c r="P152" i="41"/>
  <c r="O152" i="41"/>
  <c r="M152" i="41"/>
  <c r="J152" i="41"/>
  <c r="P151" i="41"/>
  <c r="O151" i="41"/>
  <c r="M151" i="41"/>
  <c r="J151" i="41"/>
  <c r="P150" i="41"/>
  <c r="O150" i="41"/>
  <c r="M150" i="41"/>
  <c r="J150" i="41"/>
  <c r="P149" i="41"/>
  <c r="O149" i="41"/>
  <c r="M149" i="41"/>
  <c r="J149" i="41"/>
  <c r="P148" i="41"/>
  <c r="O148" i="41"/>
  <c r="M148" i="41"/>
  <c r="J148" i="41"/>
  <c r="P147" i="41"/>
  <c r="O147" i="41"/>
  <c r="M147" i="41"/>
  <c r="J147" i="41"/>
  <c r="P146" i="41"/>
  <c r="O146" i="41"/>
  <c r="M146" i="41"/>
  <c r="J146" i="41"/>
  <c r="P145" i="41"/>
  <c r="O145" i="41"/>
  <c r="M145" i="41"/>
  <c r="J145" i="41"/>
  <c r="P144" i="41"/>
  <c r="O144" i="41"/>
  <c r="M144" i="41"/>
  <c r="J144" i="41"/>
  <c r="P143" i="41"/>
  <c r="O143" i="41"/>
  <c r="M143" i="41"/>
  <c r="J143" i="41"/>
  <c r="P142" i="41"/>
  <c r="O142" i="41"/>
  <c r="M142" i="41"/>
  <c r="J142" i="41"/>
  <c r="P141" i="41"/>
  <c r="O141" i="41"/>
  <c r="M141" i="41"/>
  <c r="J141" i="41"/>
  <c r="P140" i="41"/>
  <c r="O140" i="41"/>
  <c r="M140" i="41"/>
  <c r="J140" i="41"/>
  <c r="P139" i="41"/>
  <c r="O139" i="41"/>
  <c r="M139" i="41"/>
  <c r="J139" i="41"/>
  <c r="P138" i="41"/>
  <c r="O138" i="41"/>
  <c r="M138" i="41"/>
  <c r="J138" i="41"/>
  <c r="P137" i="41"/>
  <c r="O137" i="41"/>
  <c r="M137" i="41"/>
  <c r="J137" i="41"/>
  <c r="P136" i="41"/>
  <c r="O136" i="41"/>
  <c r="M136" i="41"/>
  <c r="J136" i="41"/>
  <c r="P135" i="41"/>
  <c r="O135" i="41"/>
  <c r="M135" i="41"/>
  <c r="J135" i="41"/>
  <c r="P134" i="41"/>
  <c r="O134" i="41"/>
  <c r="M134" i="41"/>
  <c r="J134" i="41"/>
  <c r="P133" i="41"/>
  <c r="O133" i="41"/>
  <c r="M133" i="41"/>
  <c r="J133" i="41"/>
  <c r="P132" i="41"/>
  <c r="O132" i="41"/>
  <c r="M132" i="41"/>
  <c r="J132" i="41"/>
  <c r="P131" i="41"/>
  <c r="O131" i="41"/>
  <c r="M131" i="41"/>
  <c r="J131" i="41"/>
  <c r="O130" i="41"/>
  <c r="M130" i="41"/>
  <c r="O129" i="41"/>
  <c r="M129" i="41"/>
  <c r="O128" i="41"/>
  <c r="M128" i="41"/>
  <c r="O127" i="41"/>
  <c r="M127" i="41"/>
  <c r="O126" i="41"/>
  <c r="M126" i="41"/>
  <c r="O125" i="41"/>
  <c r="M125" i="41"/>
  <c r="O124" i="41"/>
  <c r="M124" i="41"/>
  <c r="O123" i="41"/>
  <c r="M123" i="41"/>
  <c r="O122" i="41"/>
  <c r="M122" i="41"/>
  <c r="O121" i="41"/>
  <c r="M121" i="41"/>
  <c r="O120" i="41"/>
  <c r="M120" i="41"/>
  <c r="O119" i="41"/>
  <c r="M119" i="41"/>
  <c r="O118" i="41"/>
  <c r="M118" i="41"/>
  <c r="O117" i="41"/>
  <c r="M117" i="41"/>
  <c r="O116" i="41"/>
  <c r="M116" i="41"/>
  <c r="O115" i="41"/>
  <c r="M115" i="41"/>
  <c r="O114" i="41"/>
  <c r="M114" i="41"/>
  <c r="O113" i="41"/>
  <c r="M113" i="41"/>
  <c r="O112" i="41"/>
  <c r="M112" i="41"/>
  <c r="O111" i="41"/>
  <c r="M111" i="41"/>
  <c r="O110" i="41"/>
  <c r="M110" i="41"/>
  <c r="O109" i="41"/>
  <c r="M109" i="41"/>
  <c r="O108" i="41"/>
  <c r="M108" i="41"/>
  <c r="O107" i="41"/>
  <c r="M107" i="41"/>
  <c r="O106" i="41"/>
  <c r="M106" i="41"/>
  <c r="O105" i="41"/>
  <c r="M105" i="41"/>
  <c r="O102" i="41"/>
  <c r="O101" i="41"/>
  <c r="O100" i="41"/>
  <c r="C99" i="41"/>
  <c r="C100" i="41" s="1"/>
  <c r="C101" i="41" s="1"/>
  <c r="C102" i="41" s="1"/>
  <c r="C103" i="41" s="1"/>
  <c r="C104" i="41" s="1"/>
  <c r="C105" i="41" s="1"/>
  <c r="C106" i="41" s="1"/>
  <c r="C107" i="41" s="1"/>
  <c r="C108" i="41" s="1"/>
  <c r="C109" i="41" s="1"/>
  <c r="C110" i="41" s="1"/>
  <c r="C111" i="41" s="1"/>
  <c r="C112" i="41" s="1"/>
  <c r="C113" i="41" s="1"/>
  <c r="C114" i="41" s="1"/>
  <c r="C115" i="41" s="1"/>
  <c r="C116" i="41" s="1"/>
  <c r="C117" i="41" s="1"/>
  <c r="C118" i="41" s="1"/>
  <c r="C119" i="41" s="1"/>
  <c r="C120" i="41" s="1"/>
  <c r="C121" i="41" s="1"/>
  <c r="C122" i="41" s="1"/>
  <c r="C123" i="41" s="1"/>
  <c r="C124" i="41" s="1"/>
  <c r="C125" i="41" s="1"/>
  <c r="C126" i="41" s="1"/>
  <c r="C127" i="41" s="1"/>
  <c r="C128" i="41" s="1"/>
  <c r="C129" i="41" s="1"/>
  <c r="C130" i="41" s="1"/>
  <c r="C131" i="41" s="1"/>
  <c r="C132" i="41" s="1"/>
  <c r="C133" i="41" s="1"/>
  <c r="C134" i="41" s="1"/>
  <c r="C135" i="41" s="1"/>
  <c r="C136" i="41" s="1"/>
  <c r="C137" i="41" s="1"/>
  <c r="C138" i="41" s="1"/>
  <c r="C139" i="41" s="1"/>
  <c r="C140" i="41" s="1"/>
  <c r="C141" i="41" s="1"/>
  <c r="C142" i="41" s="1"/>
  <c r="C143" i="41" s="1"/>
  <c r="C144" i="41" s="1"/>
  <c r="C145" i="41" s="1"/>
  <c r="C146" i="41" s="1"/>
  <c r="C147" i="41" s="1"/>
  <c r="C148" i="41" s="1"/>
  <c r="C149" i="41" s="1"/>
  <c r="C150" i="41" s="1"/>
  <c r="C151" i="41" s="1"/>
  <c r="C152" i="41" s="1"/>
  <c r="C153" i="41" s="1"/>
  <c r="C154" i="41" s="1"/>
  <c r="D96" i="41"/>
  <c r="L93" i="41"/>
  <c r="J93" i="41"/>
  <c r="D91" i="41"/>
  <c r="D89" i="41"/>
  <c r="N72" i="41"/>
  <c r="L72" i="41"/>
  <c r="N71" i="41"/>
  <c r="L71" i="41"/>
  <c r="N70" i="41"/>
  <c r="L70" i="41"/>
  <c r="N69" i="41"/>
  <c r="L69" i="41"/>
  <c r="N68" i="41"/>
  <c r="L68" i="41"/>
  <c r="N67" i="41"/>
  <c r="L67" i="41"/>
  <c r="N66" i="41"/>
  <c r="L66" i="41"/>
  <c r="N65" i="41"/>
  <c r="L65" i="41"/>
  <c r="N64" i="41"/>
  <c r="L64" i="41"/>
  <c r="N63" i="41"/>
  <c r="L63" i="41"/>
  <c r="N62" i="41"/>
  <c r="L62" i="41"/>
  <c r="N61" i="41"/>
  <c r="L61" i="41"/>
  <c r="N60" i="41"/>
  <c r="L60" i="41"/>
  <c r="N59" i="41"/>
  <c r="L59" i="41"/>
  <c r="N58" i="41"/>
  <c r="L58" i="41"/>
  <c r="N57" i="41"/>
  <c r="L57" i="41"/>
  <c r="N56" i="41"/>
  <c r="L56" i="41"/>
  <c r="N55" i="41"/>
  <c r="L55" i="41"/>
  <c r="N54" i="41"/>
  <c r="L54" i="41"/>
  <c r="N53" i="41"/>
  <c r="L53" i="41"/>
  <c r="N52" i="41"/>
  <c r="L52" i="41"/>
  <c r="N51" i="41"/>
  <c r="L51" i="41"/>
  <c r="N50" i="41"/>
  <c r="L50" i="41"/>
  <c r="N49" i="41"/>
  <c r="L49" i="41"/>
  <c r="N48" i="41"/>
  <c r="L48" i="41"/>
  <c r="N47" i="41"/>
  <c r="L47" i="41"/>
  <c r="N46" i="41"/>
  <c r="L46" i="41"/>
  <c r="N45" i="41"/>
  <c r="L45" i="41"/>
  <c r="N44" i="41"/>
  <c r="L44" i="41"/>
  <c r="N43" i="41"/>
  <c r="L43" i="41"/>
  <c r="N42" i="41"/>
  <c r="L42" i="41"/>
  <c r="N41" i="41"/>
  <c r="L41" i="41"/>
  <c r="N40" i="41"/>
  <c r="L40" i="41"/>
  <c r="N39" i="41"/>
  <c r="L39" i="41"/>
  <c r="N38" i="41"/>
  <c r="L38" i="41"/>
  <c r="N37" i="41"/>
  <c r="L37" i="41"/>
  <c r="N36" i="41"/>
  <c r="L36" i="41"/>
  <c r="N35" i="41"/>
  <c r="L35" i="41"/>
  <c r="N34" i="41"/>
  <c r="L34" i="41"/>
  <c r="N33" i="41"/>
  <c r="L33" i="41"/>
  <c r="N32" i="41"/>
  <c r="L32" i="41"/>
  <c r="N31" i="41"/>
  <c r="L31" i="41"/>
  <c r="N30" i="41"/>
  <c r="L30" i="41"/>
  <c r="N29" i="41"/>
  <c r="L29" i="41"/>
  <c r="N28" i="41"/>
  <c r="L28" i="41"/>
  <c r="N27" i="41"/>
  <c r="L27" i="41"/>
  <c r="N26" i="41"/>
  <c r="L26" i="41"/>
  <c r="N25" i="41"/>
  <c r="L25" i="41"/>
  <c r="N24" i="41"/>
  <c r="L24" i="41"/>
  <c r="N22" i="41"/>
  <c r="N21" i="41"/>
  <c r="N20" i="41"/>
  <c r="N19" i="41"/>
  <c r="N18" i="41"/>
  <c r="C17" i="41"/>
  <c r="C18" i="41" s="1"/>
  <c r="C19" i="41" s="1"/>
  <c r="C20" i="41" s="1"/>
  <c r="C21" i="41" s="1"/>
  <c r="C22" i="41" s="1"/>
  <c r="C23" i="41" s="1"/>
  <c r="C24" i="41" s="1"/>
  <c r="C25" i="41" s="1"/>
  <c r="C26" i="41" s="1"/>
  <c r="C27" i="41" s="1"/>
  <c r="C28" i="41" s="1"/>
  <c r="C29" i="41" s="1"/>
  <c r="C30" i="41" s="1"/>
  <c r="C31" i="41" s="1"/>
  <c r="C32" i="41" s="1"/>
  <c r="C33" i="41" s="1"/>
  <c r="C34" i="41" s="1"/>
  <c r="C35" i="41" s="1"/>
  <c r="C36" i="41" s="1"/>
  <c r="C37" i="41" s="1"/>
  <c r="C38" i="41" s="1"/>
  <c r="C39" i="41" s="1"/>
  <c r="C40" i="41" s="1"/>
  <c r="C41" i="41" s="1"/>
  <c r="C42" i="41" s="1"/>
  <c r="C43" i="41" s="1"/>
  <c r="C44" i="41" s="1"/>
  <c r="K11" i="41"/>
  <c r="I11" i="41"/>
  <c r="D8" i="41"/>
  <c r="D90" i="41" s="1"/>
  <c r="P1" i="41"/>
  <c r="P83" i="41" s="1"/>
  <c r="F66" i="2"/>
  <c r="C66" i="2"/>
  <c r="E17" i="1"/>
  <c r="F13" i="1"/>
  <c r="C80" i="1" s="1"/>
  <c r="C81" i="1"/>
  <c r="C75" i="1"/>
  <c r="C64" i="1"/>
  <c r="C58" i="1"/>
  <c r="C47" i="1"/>
  <c r="C46" i="1"/>
  <c r="C45" i="1"/>
  <c r="C34" i="1"/>
  <c r="C31" i="1"/>
  <c r="C24" i="1"/>
  <c r="E17" i="13"/>
  <c r="J92" i="45"/>
  <c r="N100" i="31"/>
  <c r="O100" i="31" s="1"/>
  <c r="L100" i="31"/>
  <c r="M100" i="31" s="1"/>
  <c r="M19" i="31"/>
  <c r="N19" i="31" s="1"/>
  <c r="K19" i="31"/>
  <c r="L19" i="31" s="1"/>
  <c r="N99" i="30"/>
  <c r="O99" i="30" s="1"/>
  <c r="L99" i="30"/>
  <c r="M99" i="30" s="1"/>
  <c r="M18" i="30"/>
  <c r="N18" i="30" s="1"/>
  <c r="K18" i="30"/>
  <c r="L18" i="30" s="1"/>
  <c r="N100" i="29"/>
  <c r="O100" i="29" s="1"/>
  <c r="L100" i="29"/>
  <c r="M100" i="29" s="1"/>
  <c r="M19" i="29"/>
  <c r="N19" i="29" s="1"/>
  <c r="K19" i="29"/>
  <c r="L19" i="29" s="1"/>
  <c r="N100" i="28"/>
  <c r="O100" i="28" s="1"/>
  <c r="L100" i="28"/>
  <c r="M100" i="28" s="1"/>
  <c r="M19" i="28"/>
  <c r="N19" i="28" s="1"/>
  <c r="K19" i="28"/>
  <c r="L19" i="28" s="1"/>
  <c r="N101" i="27"/>
  <c r="O101" i="27" s="1"/>
  <c r="L101" i="27"/>
  <c r="M101" i="27" s="1"/>
  <c r="M20" i="27"/>
  <c r="N20" i="27" s="1"/>
  <c r="K20" i="27"/>
  <c r="L20" i="27" s="1"/>
  <c r="N104" i="25"/>
  <c r="O104" i="25" s="1"/>
  <c r="L104" i="25"/>
  <c r="M104" i="25" s="1"/>
  <c r="M23" i="25"/>
  <c r="N23" i="25" s="1"/>
  <c r="K23" i="25"/>
  <c r="L23" i="25" s="1"/>
  <c r="N102" i="24"/>
  <c r="O102" i="24" s="1"/>
  <c r="L102" i="24"/>
  <c r="M102" i="24" s="1"/>
  <c r="M21" i="24"/>
  <c r="N21" i="24" s="1"/>
  <c r="K21" i="24"/>
  <c r="L21" i="24" s="1"/>
  <c r="N103" i="23"/>
  <c r="O103" i="23" s="1"/>
  <c r="L103" i="23"/>
  <c r="M103" i="23" s="1"/>
  <c r="M22" i="23"/>
  <c r="N22" i="23" s="1"/>
  <c r="K22" i="23"/>
  <c r="L22" i="23" s="1"/>
  <c r="N104" i="22"/>
  <c r="O104" i="22" s="1"/>
  <c r="L104" i="22"/>
  <c r="M104" i="22" s="1"/>
  <c r="M23" i="22"/>
  <c r="N23" i="22" s="1"/>
  <c r="K23" i="22"/>
  <c r="L23" i="22" s="1"/>
  <c r="N107" i="11"/>
  <c r="O107" i="11" s="1"/>
  <c r="L107" i="11"/>
  <c r="M107" i="11" s="1"/>
  <c r="M26" i="11"/>
  <c r="N26" i="11" s="1"/>
  <c r="K26" i="11"/>
  <c r="L26" i="11" s="1"/>
  <c r="N108" i="10"/>
  <c r="O108" i="10" s="1"/>
  <c r="L108" i="10"/>
  <c r="M108" i="10" s="1"/>
  <c r="M27" i="10"/>
  <c r="N27" i="10" s="1"/>
  <c r="K27" i="10"/>
  <c r="L27" i="10" s="1"/>
  <c r="N107" i="9"/>
  <c r="O107" i="9" s="1"/>
  <c r="L107" i="9"/>
  <c r="M107" i="9" s="1"/>
  <c r="M26" i="9"/>
  <c r="N26" i="9" s="1"/>
  <c r="K26" i="9"/>
  <c r="L26" i="9" s="1"/>
  <c r="N106" i="8"/>
  <c r="O106" i="8" s="1"/>
  <c r="L106" i="8"/>
  <c r="M106" i="8" s="1"/>
  <c r="M25" i="8"/>
  <c r="N25" i="8" s="1"/>
  <c r="K25" i="8"/>
  <c r="L25" i="8" s="1"/>
  <c r="N108" i="7"/>
  <c r="O108" i="7" s="1"/>
  <c r="L108" i="7"/>
  <c r="M108" i="7" s="1"/>
  <c r="M27" i="7"/>
  <c r="N27" i="7" s="1"/>
  <c r="K27" i="7"/>
  <c r="L27" i="7" s="1"/>
  <c r="M25" i="6"/>
  <c r="N25" i="6" s="1"/>
  <c r="K25" i="6"/>
  <c r="L25" i="6" s="1"/>
  <c r="N106" i="6"/>
  <c r="O106" i="6" s="1"/>
  <c r="L106" i="6"/>
  <c r="M106" i="6" s="1"/>
  <c r="N105" i="5"/>
  <c r="O105" i="5" s="1"/>
  <c r="L105" i="5"/>
  <c r="M105" i="5" s="1"/>
  <c r="M24" i="5"/>
  <c r="N24" i="5" s="1"/>
  <c r="K24" i="5"/>
  <c r="L24" i="5" s="1"/>
  <c r="N105" i="4"/>
  <c r="O105" i="4" s="1"/>
  <c r="L105" i="4"/>
  <c r="M105" i="4" s="1"/>
  <c r="M24" i="4"/>
  <c r="N24" i="4" s="1"/>
  <c r="K24" i="4"/>
  <c r="L24" i="4" s="1"/>
  <c r="M24" i="3"/>
  <c r="N24" i="3" s="1"/>
  <c r="K24" i="3"/>
  <c r="L24" i="3" s="1"/>
  <c r="N105" i="3"/>
  <c r="O105" i="3" s="1"/>
  <c r="L105" i="3"/>
  <c r="M105" i="3" s="1"/>
  <c r="P39" i="17"/>
  <c r="P38" i="17"/>
  <c r="P37" i="17"/>
  <c r="P36" i="17"/>
  <c r="P1" i="40"/>
  <c r="P83" i="40" s="1"/>
  <c r="P1" i="39"/>
  <c r="P83" i="39" s="1"/>
  <c r="P1" i="38"/>
  <c r="P83" i="38" s="1"/>
  <c r="P1" i="37"/>
  <c r="P83" i="37" s="1"/>
  <c r="P154" i="40"/>
  <c r="O154" i="40"/>
  <c r="M154" i="40"/>
  <c r="J154" i="40"/>
  <c r="P153" i="40"/>
  <c r="O153" i="40"/>
  <c r="M153" i="40"/>
  <c r="J153" i="40"/>
  <c r="P152" i="40"/>
  <c r="O152" i="40"/>
  <c r="M152" i="40"/>
  <c r="J152" i="40"/>
  <c r="P151" i="40"/>
  <c r="O151" i="40"/>
  <c r="M151" i="40"/>
  <c r="J151" i="40"/>
  <c r="P150" i="40"/>
  <c r="O150" i="40"/>
  <c r="M150" i="40"/>
  <c r="J150" i="40"/>
  <c r="P149" i="40"/>
  <c r="O149" i="40"/>
  <c r="M149" i="40"/>
  <c r="J149" i="40"/>
  <c r="P148" i="40"/>
  <c r="O148" i="40"/>
  <c r="M148" i="40"/>
  <c r="J148" i="40"/>
  <c r="P147" i="40"/>
  <c r="O147" i="40"/>
  <c r="M147" i="40"/>
  <c r="J147" i="40"/>
  <c r="P146" i="40"/>
  <c r="O146" i="40"/>
  <c r="M146" i="40"/>
  <c r="J146" i="40"/>
  <c r="P145" i="40"/>
  <c r="O145" i="40"/>
  <c r="M145" i="40"/>
  <c r="J145" i="40"/>
  <c r="P144" i="40"/>
  <c r="O144" i="40"/>
  <c r="M144" i="40"/>
  <c r="J144" i="40"/>
  <c r="P143" i="40"/>
  <c r="O143" i="40"/>
  <c r="M143" i="40"/>
  <c r="J143" i="40"/>
  <c r="P142" i="40"/>
  <c r="O142" i="40"/>
  <c r="M142" i="40"/>
  <c r="J142" i="40"/>
  <c r="P141" i="40"/>
  <c r="O141" i="40"/>
  <c r="M141" i="40"/>
  <c r="J141" i="40"/>
  <c r="P140" i="40"/>
  <c r="O140" i="40"/>
  <c r="M140" i="40"/>
  <c r="J140" i="40"/>
  <c r="P139" i="40"/>
  <c r="O139" i="40"/>
  <c r="M139" i="40"/>
  <c r="J139" i="40"/>
  <c r="P138" i="40"/>
  <c r="O138" i="40"/>
  <c r="M138" i="40"/>
  <c r="J138" i="40"/>
  <c r="P137" i="40"/>
  <c r="O137" i="40"/>
  <c r="M137" i="40"/>
  <c r="J137" i="40"/>
  <c r="P136" i="40"/>
  <c r="O136" i="40"/>
  <c r="M136" i="40"/>
  <c r="J136" i="40"/>
  <c r="P135" i="40"/>
  <c r="O135" i="40"/>
  <c r="M135" i="40"/>
  <c r="J135" i="40"/>
  <c r="P134" i="40"/>
  <c r="O134" i="40"/>
  <c r="M134" i="40"/>
  <c r="J134" i="40"/>
  <c r="P133" i="40"/>
  <c r="O133" i="40"/>
  <c r="M133" i="40"/>
  <c r="J133" i="40"/>
  <c r="P132" i="40"/>
  <c r="O132" i="40"/>
  <c r="M132" i="40"/>
  <c r="J132" i="40"/>
  <c r="P131" i="40"/>
  <c r="O131" i="40"/>
  <c r="M131" i="40"/>
  <c r="J131" i="40"/>
  <c r="O130" i="40"/>
  <c r="M130" i="40"/>
  <c r="O129" i="40"/>
  <c r="M129" i="40"/>
  <c r="O128" i="40"/>
  <c r="M128" i="40"/>
  <c r="O127" i="40"/>
  <c r="M127" i="40"/>
  <c r="O126" i="40"/>
  <c r="M126" i="40"/>
  <c r="O125" i="40"/>
  <c r="M125" i="40"/>
  <c r="O124" i="40"/>
  <c r="M124" i="40"/>
  <c r="O123" i="40"/>
  <c r="M123" i="40"/>
  <c r="O122" i="40"/>
  <c r="M122" i="40"/>
  <c r="O121" i="40"/>
  <c r="M121" i="40"/>
  <c r="O120" i="40"/>
  <c r="M120" i="40"/>
  <c r="O119" i="40"/>
  <c r="M119" i="40"/>
  <c r="O118" i="40"/>
  <c r="M118" i="40"/>
  <c r="O117" i="40"/>
  <c r="M117" i="40"/>
  <c r="O116" i="40"/>
  <c r="M116" i="40"/>
  <c r="O115" i="40"/>
  <c r="M115" i="40"/>
  <c r="O114" i="40"/>
  <c r="M114" i="40"/>
  <c r="O113" i="40"/>
  <c r="M113" i="40"/>
  <c r="O112" i="40"/>
  <c r="M112" i="40"/>
  <c r="O111" i="40"/>
  <c r="M111" i="40"/>
  <c r="O110" i="40"/>
  <c r="M110" i="40"/>
  <c r="O109" i="40"/>
  <c r="M109" i="40"/>
  <c r="O108" i="40"/>
  <c r="M108" i="40"/>
  <c r="O107" i="40"/>
  <c r="M107" i="40"/>
  <c r="O106" i="40"/>
  <c r="M106" i="40"/>
  <c r="O105" i="40"/>
  <c r="M105" i="40"/>
  <c r="O102" i="40"/>
  <c r="O101" i="40"/>
  <c r="O100" i="40"/>
  <c r="D96" i="40"/>
  <c r="L93" i="40"/>
  <c r="J93" i="40"/>
  <c r="D91" i="40"/>
  <c r="D89" i="40"/>
  <c r="N72" i="40"/>
  <c r="L72" i="40"/>
  <c r="N71" i="40"/>
  <c r="L71" i="40"/>
  <c r="N70" i="40"/>
  <c r="L70" i="40"/>
  <c r="N69" i="40"/>
  <c r="L69" i="40"/>
  <c r="N68" i="40"/>
  <c r="L68" i="40"/>
  <c r="N67" i="40"/>
  <c r="L67" i="40"/>
  <c r="N66" i="40"/>
  <c r="L66" i="40"/>
  <c r="N65" i="40"/>
  <c r="L65" i="40"/>
  <c r="N64" i="40"/>
  <c r="L64" i="40"/>
  <c r="N63" i="40"/>
  <c r="L63" i="40"/>
  <c r="N62" i="40"/>
  <c r="L62" i="40"/>
  <c r="N61" i="40"/>
  <c r="L61" i="40"/>
  <c r="N60" i="40"/>
  <c r="L60" i="40"/>
  <c r="N59" i="40"/>
  <c r="L59" i="40"/>
  <c r="N58" i="40"/>
  <c r="L58" i="40"/>
  <c r="N57" i="40"/>
  <c r="L57" i="40"/>
  <c r="N56" i="40"/>
  <c r="L56" i="40"/>
  <c r="N55" i="40"/>
  <c r="L55" i="40"/>
  <c r="N54" i="40"/>
  <c r="L54" i="40"/>
  <c r="N53" i="40"/>
  <c r="L53" i="40"/>
  <c r="N52" i="40"/>
  <c r="L52" i="40"/>
  <c r="N51" i="40"/>
  <c r="L51" i="40"/>
  <c r="N50" i="40"/>
  <c r="L50" i="40"/>
  <c r="N49" i="40"/>
  <c r="L49" i="40"/>
  <c r="N48" i="40"/>
  <c r="L48" i="40"/>
  <c r="N47" i="40"/>
  <c r="L47" i="40"/>
  <c r="N46" i="40"/>
  <c r="L46" i="40"/>
  <c r="N45" i="40"/>
  <c r="L45" i="40"/>
  <c r="N44" i="40"/>
  <c r="L44" i="40"/>
  <c r="N43" i="40"/>
  <c r="L43" i="40"/>
  <c r="N42" i="40"/>
  <c r="L42" i="40"/>
  <c r="N41" i="40"/>
  <c r="L41" i="40"/>
  <c r="N40" i="40"/>
  <c r="L40" i="40"/>
  <c r="N39" i="40"/>
  <c r="L39" i="40"/>
  <c r="N38" i="40"/>
  <c r="L38" i="40"/>
  <c r="N37" i="40"/>
  <c r="L37" i="40"/>
  <c r="N36" i="40"/>
  <c r="L36" i="40"/>
  <c r="N35" i="40"/>
  <c r="L35" i="40"/>
  <c r="N34" i="40"/>
  <c r="L34" i="40"/>
  <c r="N33" i="40"/>
  <c r="L33" i="40"/>
  <c r="N32" i="40"/>
  <c r="L32" i="40"/>
  <c r="N31" i="40"/>
  <c r="L31" i="40"/>
  <c r="N30" i="40"/>
  <c r="L30" i="40"/>
  <c r="N29" i="40"/>
  <c r="L29" i="40"/>
  <c r="N28" i="40"/>
  <c r="L28" i="40"/>
  <c r="N27" i="40"/>
  <c r="L27" i="40"/>
  <c r="N26" i="40"/>
  <c r="L26" i="40"/>
  <c r="N25" i="40"/>
  <c r="L25" i="40"/>
  <c r="N24" i="40"/>
  <c r="L24" i="40"/>
  <c r="N22" i="40"/>
  <c r="N21" i="40"/>
  <c r="N20" i="40"/>
  <c r="N19" i="40"/>
  <c r="N18" i="40"/>
  <c r="O18" i="40" s="1"/>
  <c r="C17" i="40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C38" i="40" s="1"/>
  <c r="C39" i="40" s="1"/>
  <c r="C40" i="40" s="1"/>
  <c r="C41" i="40" s="1"/>
  <c r="C42" i="40" s="1"/>
  <c r="C43" i="40" s="1"/>
  <c r="C44" i="40" s="1"/>
  <c r="K11" i="40"/>
  <c r="I11" i="40"/>
  <c r="D8" i="40"/>
  <c r="D90" i="40" s="1"/>
  <c r="P154" i="39"/>
  <c r="O154" i="39"/>
  <c r="M154" i="39"/>
  <c r="J154" i="39"/>
  <c r="P153" i="39"/>
  <c r="O153" i="39"/>
  <c r="M153" i="39"/>
  <c r="J153" i="39"/>
  <c r="P152" i="39"/>
  <c r="O152" i="39"/>
  <c r="M152" i="39"/>
  <c r="J152" i="39"/>
  <c r="P151" i="39"/>
  <c r="O151" i="39"/>
  <c r="M151" i="39"/>
  <c r="J151" i="39"/>
  <c r="P150" i="39"/>
  <c r="O150" i="39"/>
  <c r="M150" i="39"/>
  <c r="J150" i="39"/>
  <c r="P149" i="39"/>
  <c r="O149" i="39"/>
  <c r="M149" i="39"/>
  <c r="J149" i="39"/>
  <c r="P148" i="39"/>
  <c r="O148" i="39"/>
  <c r="M148" i="39"/>
  <c r="J148" i="39"/>
  <c r="P147" i="39"/>
  <c r="O147" i="39"/>
  <c r="M147" i="39"/>
  <c r="J147" i="39"/>
  <c r="P146" i="39"/>
  <c r="O146" i="39"/>
  <c r="M146" i="39"/>
  <c r="J146" i="39"/>
  <c r="P145" i="39"/>
  <c r="O145" i="39"/>
  <c r="M145" i="39"/>
  <c r="J145" i="39"/>
  <c r="P144" i="39"/>
  <c r="O144" i="39"/>
  <c r="M144" i="39"/>
  <c r="J144" i="39"/>
  <c r="P143" i="39"/>
  <c r="O143" i="39"/>
  <c r="M143" i="39"/>
  <c r="J143" i="39"/>
  <c r="P142" i="39"/>
  <c r="O142" i="39"/>
  <c r="M142" i="39"/>
  <c r="J142" i="39"/>
  <c r="P141" i="39"/>
  <c r="O141" i="39"/>
  <c r="M141" i="39"/>
  <c r="J141" i="39"/>
  <c r="P140" i="39"/>
  <c r="O140" i="39"/>
  <c r="M140" i="39"/>
  <c r="J140" i="39"/>
  <c r="P139" i="39"/>
  <c r="O139" i="39"/>
  <c r="M139" i="39"/>
  <c r="J139" i="39"/>
  <c r="P138" i="39"/>
  <c r="O138" i="39"/>
  <c r="M138" i="39"/>
  <c r="J138" i="39"/>
  <c r="P137" i="39"/>
  <c r="O137" i="39"/>
  <c r="M137" i="39"/>
  <c r="J137" i="39"/>
  <c r="P136" i="39"/>
  <c r="O136" i="39"/>
  <c r="M136" i="39"/>
  <c r="J136" i="39"/>
  <c r="P135" i="39"/>
  <c r="O135" i="39"/>
  <c r="M135" i="39"/>
  <c r="J135" i="39"/>
  <c r="P134" i="39"/>
  <c r="O134" i="39"/>
  <c r="M134" i="39"/>
  <c r="J134" i="39"/>
  <c r="P133" i="39"/>
  <c r="O133" i="39"/>
  <c r="M133" i="39"/>
  <c r="J133" i="39"/>
  <c r="P132" i="39"/>
  <c r="O132" i="39"/>
  <c r="M132" i="39"/>
  <c r="J132" i="39"/>
  <c r="P131" i="39"/>
  <c r="O131" i="39"/>
  <c r="M131" i="39"/>
  <c r="J131" i="39"/>
  <c r="O130" i="39"/>
  <c r="M130" i="39"/>
  <c r="O129" i="39"/>
  <c r="M129" i="39"/>
  <c r="O128" i="39"/>
  <c r="M128" i="39"/>
  <c r="O127" i="39"/>
  <c r="M127" i="39"/>
  <c r="O126" i="39"/>
  <c r="M126" i="39"/>
  <c r="O125" i="39"/>
  <c r="M125" i="39"/>
  <c r="O124" i="39"/>
  <c r="M124" i="39"/>
  <c r="O123" i="39"/>
  <c r="M123" i="39"/>
  <c r="O122" i="39"/>
  <c r="M122" i="39"/>
  <c r="O121" i="39"/>
  <c r="M121" i="39"/>
  <c r="O120" i="39"/>
  <c r="M120" i="39"/>
  <c r="O119" i="39"/>
  <c r="M119" i="39"/>
  <c r="O118" i="39"/>
  <c r="M118" i="39"/>
  <c r="O117" i="39"/>
  <c r="M117" i="39"/>
  <c r="O116" i="39"/>
  <c r="M116" i="39"/>
  <c r="O115" i="39"/>
  <c r="M115" i="39"/>
  <c r="O114" i="39"/>
  <c r="M114" i="39"/>
  <c r="O113" i="39"/>
  <c r="M113" i="39"/>
  <c r="O112" i="39"/>
  <c r="M112" i="39"/>
  <c r="O111" i="39"/>
  <c r="M111" i="39"/>
  <c r="O110" i="39"/>
  <c r="M110" i="39"/>
  <c r="O109" i="39"/>
  <c r="M109" i="39"/>
  <c r="O108" i="39"/>
  <c r="M108" i="39"/>
  <c r="O107" i="39"/>
  <c r="M107" i="39"/>
  <c r="O106" i="39"/>
  <c r="M106" i="39"/>
  <c r="O103" i="39"/>
  <c r="O102" i="39"/>
  <c r="O101" i="39"/>
  <c r="D96" i="39"/>
  <c r="L93" i="39"/>
  <c r="J93" i="39"/>
  <c r="D91" i="39"/>
  <c r="D89" i="39"/>
  <c r="N72" i="39"/>
  <c r="L72" i="39"/>
  <c r="N71" i="39"/>
  <c r="L71" i="39"/>
  <c r="N70" i="39"/>
  <c r="L70" i="39"/>
  <c r="N69" i="39"/>
  <c r="L69" i="39"/>
  <c r="N68" i="39"/>
  <c r="L68" i="39"/>
  <c r="N67" i="39"/>
  <c r="L67" i="39"/>
  <c r="N66" i="39"/>
  <c r="L66" i="39"/>
  <c r="N65" i="39"/>
  <c r="L65" i="39"/>
  <c r="N64" i="39"/>
  <c r="L64" i="39"/>
  <c r="N63" i="39"/>
  <c r="L63" i="39"/>
  <c r="N62" i="39"/>
  <c r="L62" i="39"/>
  <c r="N61" i="39"/>
  <c r="L61" i="39"/>
  <c r="N60" i="39"/>
  <c r="L60" i="39"/>
  <c r="N59" i="39"/>
  <c r="L59" i="39"/>
  <c r="N58" i="39"/>
  <c r="L58" i="39"/>
  <c r="N57" i="39"/>
  <c r="L57" i="39"/>
  <c r="N56" i="39"/>
  <c r="L56" i="39"/>
  <c r="N55" i="39"/>
  <c r="L55" i="39"/>
  <c r="N54" i="39"/>
  <c r="L54" i="39"/>
  <c r="N53" i="39"/>
  <c r="L53" i="39"/>
  <c r="N52" i="39"/>
  <c r="L52" i="39"/>
  <c r="N51" i="39"/>
  <c r="L51" i="39"/>
  <c r="N50" i="39"/>
  <c r="L50" i="39"/>
  <c r="N49" i="39"/>
  <c r="L49" i="39"/>
  <c r="N48" i="39"/>
  <c r="L48" i="39"/>
  <c r="N47" i="39"/>
  <c r="L47" i="39"/>
  <c r="N46" i="39"/>
  <c r="L46" i="39"/>
  <c r="N45" i="39"/>
  <c r="L45" i="39"/>
  <c r="N44" i="39"/>
  <c r="L44" i="39"/>
  <c r="N43" i="39"/>
  <c r="L43" i="39"/>
  <c r="N42" i="39"/>
  <c r="L42" i="39"/>
  <c r="N41" i="39"/>
  <c r="L41" i="39"/>
  <c r="N40" i="39"/>
  <c r="L40" i="39"/>
  <c r="N39" i="39"/>
  <c r="L39" i="39"/>
  <c r="N38" i="39"/>
  <c r="L38" i="39"/>
  <c r="N37" i="39"/>
  <c r="L37" i="39"/>
  <c r="N36" i="39"/>
  <c r="L36" i="39"/>
  <c r="N35" i="39"/>
  <c r="L35" i="39"/>
  <c r="N34" i="39"/>
  <c r="L34" i="39"/>
  <c r="N33" i="39"/>
  <c r="L33" i="39"/>
  <c r="N32" i="39"/>
  <c r="L32" i="39"/>
  <c r="N31" i="39"/>
  <c r="L31" i="39"/>
  <c r="N30" i="39"/>
  <c r="L30" i="39"/>
  <c r="N29" i="39"/>
  <c r="L29" i="39"/>
  <c r="N28" i="39"/>
  <c r="L28" i="39"/>
  <c r="N27" i="39"/>
  <c r="L27" i="39"/>
  <c r="N26" i="39"/>
  <c r="L26" i="39"/>
  <c r="N25" i="39"/>
  <c r="L25" i="39"/>
  <c r="N23" i="39"/>
  <c r="N22" i="39"/>
  <c r="N21" i="39"/>
  <c r="N20" i="39"/>
  <c r="N19" i="39"/>
  <c r="O19" i="39" s="1"/>
  <c r="C17" i="39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40" i="39" s="1"/>
  <c r="C41" i="39" s="1"/>
  <c r="C42" i="39" s="1"/>
  <c r="C43" i="39" s="1"/>
  <c r="C44" i="39" s="1"/>
  <c r="C45" i="39" s="1"/>
  <c r="C46" i="39" s="1"/>
  <c r="C47" i="39" s="1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C62" i="39" s="1"/>
  <c r="C63" i="39" s="1"/>
  <c r="C64" i="39" s="1"/>
  <c r="C65" i="39" s="1"/>
  <c r="C66" i="39" s="1"/>
  <c r="C67" i="39" s="1"/>
  <c r="C68" i="39" s="1"/>
  <c r="C69" i="39" s="1"/>
  <c r="C70" i="39" s="1"/>
  <c r="C71" i="39" s="1"/>
  <c r="C72" i="39" s="1"/>
  <c r="K11" i="39"/>
  <c r="I11" i="39"/>
  <c r="D8" i="39"/>
  <c r="D90" i="39" s="1"/>
  <c r="P154" i="38"/>
  <c r="O154" i="38"/>
  <c r="M154" i="38"/>
  <c r="J154" i="38"/>
  <c r="P153" i="38"/>
  <c r="O153" i="38"/>
  <c r="M153" i="38"/>
  <c r="J153" i="38"/>
  <c r="P152" i="38"/>
  <c r="O152" i="38"/>
  <c r="M152" i="38"/>
  <c r="J152" i="38"/>
  <c r="P151" i="38"/>
  <c r="O151" i="38"/>
  <c r="M151" i="38"/>
  <c r="J151" i="38"/>
  <c r="P150" i="38"/>
  <c r="O150" i="38"/>
  <c r="M150" i="38"/>
  <c r="J150" i="38"/>
  <c r="P149" i="38"/>
  <c r="O149" i="38"/>
  <c r="M149" i="38"/>
  <c r="J149" i="38"/>
  <c r="P148" i="38"/>
  <c r="O148" i="38"/>
  <c r="M148" i="38"/>
  <c r="J148" i="38"/>
  <c r="P147" i="38"/>
  <c r="O147" i="38"/>
  <c r="M147" i="38"/>
  <c r="J147" i="38"/>
  <c r="P146" i="38"/>
  <c r="O146" i="38"/>
  <c r="M146" i="38"/>
  <c r="J146" i="38"/>
  <c r="P145" i="38"/>
  <c r="O145" i="38"/>
  <c r="M145" i="38"/>
  <c r="J145" i="38"/>
  <c r="P144" i="38"/>
  <c r="O144" i="38"/>
  <c r="M144" i="38"/>
  <c r="J144" i="38"/>
  <c r="P143" i="38"/>
  <c r="O143" i="38"/>
  <c r="M143" i="38"/>
  <c r="J143" i="38"/>
  <c r="P142" i="38"/>
  <c r="O142" i="38"/>
  <c r="M142" i="38"/>
  <c r="J142" i="38"/>
  <c r="P141" i="38"/>
  <c r="O141" i="38"/>
  <c r="M141" i="38"/>
  <c r="J141" i="38"/>
  <c r="P140" i="38"/>
  <c r="O140" i="38"/>
  <c r="M140" i="38"/>
  <c r="J140" i="38"/>
  <c r="P139" i="38"/>
  <c r="O139" i="38"/>
  <c r="M139" i="38"/>
  <c r="J139" i="38"/>
  <c r="P138" i="38"/>
  <c r="O138" i="38"/>
  <c r="M138" i="38"/>
  <c r="J138" i="38"/>
  <c r="P137" i="38"/>
  <c r="O137" i="38"/>
  <c r="M137" i="38"/>
  <c r="J137" i="38"/>
  <c r="P136" i="38"/>
  <c r="O136" i="38"/>
  <c r="M136" i="38"/>
  <c r="J136" i="38"/>
  <c r="P135" i="38"/>
  <c r="O135" i="38"/>
  <c r="M135" i="38"/>
  <c r="J135" i="38"/>
  <c r="P134" i="38"/>
  <c r="O134" i="38"/>
  <c r="M134" i="38"/>
  <c r="J134" i="38"/>
  <c r="P133" i="38"/>
  <c r="O133" i="38"/>
  <c r="M133" i="38"/>
  <c r="J133" i="38"/>
  <c r="P132" i="38"/>
  <c r="O132" i="38"/>
  <c r="M132" i="38"/>
  <c r="J132" i="38"/>
  <c r="P131" i="38"/>
  <c r="O131" i="38"/>
  <c r="M131" i="38"/>
  <c r="J131" i="38"/>
  <c r="O130" i="38"/>
  <c r="M130" i="38"/>
  <c r="O129" i="38"/>
  <c r="M129" i="38"/>
  <c r="O128" i="38"/>
  <c r="M128" i="38"/>
  <c r="O127" i="38"/>
  <c r="M127" i="38"/>
  <c r="O126" i="38"/>
  <c r="M126" i="38"/>
  <c r="O125" i="38"/>
  <c r="M125" i="38"/>
  <c r="O124" i="38"/>
  <c r="M124" i="38"/>
  <c r="O123" i="38"/>
  <c r="M123" i="38"/>
  <c r="O122" i="38"/>
  <c r="M122" i="38"/>
  <c r="O121" i="38"/>
  <c r="M121" i="38"/>
  <c r="O120" i="38"/>
  <c r="M120" i="38"/>
  <c r="O119" i="38"/>
  <c r="M119" i="38"/>
  <c r="O118" i="38"/>
  <c r="M118" i="38"/>
  <c r="O117" i="38"/>
  <c r="M117" i="38"/>
  <c r="O116" i="38"/>
  <c r="M116" i="38"/>
  <c r="O115" i="38"/>
  <c r="M115" i="38"/>
  <c r="O114" i="38"/>
  <c r="M114" i="38"/>
  <c r="O113" i="38"/>
  <c r="M113" i="38"/>
  <c r="O112" i="38"/>
  <c r="M112" i="38"/>
  <c r="O111" i="38"/>
  <c r="M111" i="38"/>
  <c r="O110" i="38"/>
  <c r="M110" i="38"/>
  <c r="O109" i="38"/>
  <c r="M109" i="38"/>
  <c r="O108" i="38"/>
  <c r="M108" i="38"/>
  <c r="O107" i="38"/>
  <c r="M107" i="38"/>
  <c r="O106" i="38"/>
  <c r="M106" i="38"/>
  <c r="O105" i="38"/>
  <c r="M105" i="38"/>
  <c r="O102" i="38"/>
  <c r="O101" i="38"/>
  <c r="D96" i="38"/>
  <c r="L93" i="38"/>
  <c r="J93" i="38"/>
  <c r="D91" i="38"/>
  <c r="D89" i="38"/>
  <c r="N72" i="38"/>
  <c r="L72" i="38"/>
  <c r="N71" i="38"/>
  <c r="L71" i="38"/>
  <c r="N70" i="38"/>
  <c r="L70" i="38"/>
  <c r="N69" i="38"/>
  <c r="L69" i="38"/>
  <c r="N68" i="38"/>
  <c r="L68" i="38"/>
  <c r="N67" i="38"/>
  <c r="L67" i="38"/>
  <c r="N66" i="38"/>
  <c r="L66" i="38"/>
  <c r="N65" i="38"/>
  <c r="L65" i="38"/>
  <c r="N64" i="38"/>
  <c r="L64" i="38"/>
  <c r="N63" i="38"/>
  <c r="L63" i="38"/>
  <c r="N62" i="38"/>
  <c r="L62" i="38"/>
  <c r="N61" i="38"/>
  <c r="L61" i="38"/>
  <c r="N60" i="38"/>
  <c r="L60" i="38"/>
  <c r="N59" i="38"/>
  <c r="L59" i="38"/>
  <c r="N58" i="38"/>
  <c r="L58" i="38"/>
  <c r="N57" i="38"/>
  <c r="L57" i="38"/>
  <c r="N56" i="38"/>
  <c r="L56" i="38"/>
  <c r="N55" i="38"/>
  <c r="L55" i="38"/>
  <c r="N54" i="38"/>
  <c r="L54" i="38"/>
  <c r="N53" i="38"/>
  <c r="L53" i="38"/>
  <c r="N52" i="38"/>
  <c r="L52" i="38"/>
  <c r="N51" i="38"/>
  <c r="L51" i="38"/>
  <c r="N50" i="38"/>
  <c r="L50" i="38"/>
  <c r="N49" i="38"/>
  <c r="L49" i="38"/>
  <c r="N48" i="38"/>
  <c r="L48" i="38"/>
  <c r="N47" i="38"/>
  <c r="L47" i="38"/>
  <c r="N46" i="38"/>
  <c r="L46" i="38"/>
  <c r="N45" i="38"/>
  <c r="L45" i="38"/>
  <c r="N44" i="38"/>
  <c r="L44" i="38"/>
  <c r="N43" i="38"/>
  <c r="L43" i="38"/>
  <c r="N42" i="38"/>
  <c r="L42" i="38"/>
  <c r="N41" i="38"/>
  <c r="L41" i="38"/>
  <c r="N40" i="38"/>
  <c r="L40" i="38"/>
  <c r="N39" i="38"/>
  <c r="L39" i="38"/>
  <c r="N38" i="38"/>
  <c r="L38" i="38"/>
  <c r="N37" i="38"/>
  <c r="L37" i="38"/>
  <c r="N36" i="38"/>
  <c r="L36" i="38"/>
  <c r="N35" i="38"/>
  <c r="L35" i="38"/>
  <c r="N34" i="38"/>
  <c r="L34" i="38"/>
  <c r="N33" i="38"/>
  <c r="L33" i="38"/>
  <c r="N32" i="38"/>
  <c r="L32" i="38"/>
  <c r="N31" i="38"/>
  <c r="L31" i="38"/>
  <c r="N30" i="38"/>
  <c r="L30" i="38"/>
  <c r="N29" i="38"/>
  <c r="L29" i="38"/>
  <c r="N28" i="38"/>
  <c r="L28" i="38"/>
  <c r="N27" i="38"/>
  <c r="L27" i="38"/>
  <c r="N26" i="38"/>
  <c r="L26" i="38"/>
  <c r="N25" i="38"/>
  <c r="L25" i="38"/>
  <c r="N23" i="38"/>
  <c r="N22" i="38"/>
  <c r="N21" i="38"/>
  <c r="N20" i="38"/>
  <c r="N19" i="38"/>
  <c r="C18" i="38"/>
  <c r="C19" i="38" s="1"/>
  <c r="C20" i="38" s="1"/>
  <c r="C21" i="38" s="1"/>
  <c r="C22" i="38" s="1"/>
  <c r="C23" i="38" s="1"/>
  <c r="C24" i="38" s="1"/>
  <c r="C25" i="38" s="1"/>
  <c r="C26" i="38" s="1"/>
  <c r="C27" i="38" s="1"/>
  <c r="C28" i="38" s="1"/>
  <c r="C29" i="38" s="1"/>
  <c r="C30" i="38" s="1"/>
  <c r="C31" i="38" s="1"/>
  <c r="C32" i="38" s="1"/>
  <c r="C33" i="38" s="1"/>
  <c r="C34" i="38" s="1"/>
  <c r="C35" i="38" s="1"/>
  <c r="C36" i="38" s="1"/>
  <c r="C37" i="38" s="1"/>
  <c r="C38" i="38" s="1"/>
  <c r="C39" i="38" s="1"/>
  <c r="C40" i="38" s="1"/>
  <c r="C41" i="38" s="1"/>
  <c r="C42" i="38" s="1"/>
  <c r="C43" i="38" s="1"/>
  <c r="C44" i="38" s="1"/>
  <c r="C45" i="38" s="1"/>
  <c r="C46" i="38" s="1"/>
  <c r="C47" i="38" s="1"/>
  <c r="C48" i="38" s="1"/>
  <c r="C49" i="38" s="1"/>
  <c r="C50" i="38" s="1"/>
  <c r="C51" i="38" s="1"/>
  <c r="C52" i="38" s="1"/>
  <c r="C53" i="38" s="1"/>
  <c r="C54" i="38" s="1"/>
  <c r="C55" i="38" s="1"/>
  <c r="C56" i="38" s="1"/>
  <c r="C57" i="38" s="1"/>
  <c r="C58" i="38" s="1"/>
  <c r="C59" i="38" s="1"/>
  <c r="C60" i="38" s="1"/>
  <c r="C61" i="38" s="1"/>
  <c r="C62" i="38" s="1"/>
  <c r="C63" i="38" s="1"/>
  <c r="C64" i="38" s="1"/>
  <c r="C65" i="38" s="1"/>
  <c r="C66" i="38" s="1"/>
  <c r="C67" i="38" s="1"/>
  <c r="C68" i="38" s="1"/>
  <c r="C69" i="38" s="1"/>
  <c r="C70" i="38" s="1"/>
  <c r="C71" i="38" s="1"/>
  <c r="C72" i="38" s="1"/>
  <c r="K11" i="38"/>
  <c r="I11" i="38"/>
  <c r="D8" i="38"/>
  <c r="D90" i="38" s="1"/>
  <c r="W39" i="17"/>
  <c r="W38" i="17"/>
  <c r="W37" i="17"/>
  <c r="W36" i="17"/>
  <c r="W35" i="17"/>
  <c r="P35" i="17"/>
  <c r="P154" i="37"/>
  <c r="O154" i="37"/>
  <c r="M154" i="37"/>
  <c r="J154" i="37"/>
  <c r="P153" i="37"/>
  <c r="O153" i="37"/>
  <c r="M153" i="37"/>
  <c r="J153" i="37"/>
  <c r="P152" i="37"/>
  <c r="O152" i="37"/>
  <c r="M152" i="37"/>
  <c r="J152" i="37"/>
  <c r="P151" i="37"/>
  <c r="O151" i="37"/>
  <c r="M151" i="37"/>
  <c r="J151" i="37"/>
  <c r="P150" i="37"/>
  <c r="O150" i="37"/>
  <c r="M150" i="37"/>
  <c r="J150" i="37"/>
  <c r="P149" i="37"/>
  <c r="O149" i="37"/>
  <c r="M149" i="37"/>
  <c r="J149" i="37"/>
  <c r="P148" i="37"/>
  <c r="O148" i="37"/>
  <c r="M148" i="37"/>
  <c r="J148" i="37"/>
  <c r="P147" i="37"/>
  <c r="O147" i="37"/>
  <c r="M147" i="37"/>
  <c r="J147" i="37"/>
  <c r="P146" i="37"/>
  <c r="O146" i="37"/>
  <c r="M146" i="37"/>
  <c r="J146" i="37"/>
  <c r="P145" i="37"/>
  <c r="O145" i="37"/>
  <c r="M145" i="37"/>
  <c r="J145" i="37"/>
  <c r="P144" i="37"/>
  <c r="O144" i="37"/>
  <c r="M144" i="37"/>
  <c r="J144" i="37"/>
  <c r="P143" i="37"/>
  <c r="O143" i="37"/>
  <c r="M143" i="37"/>
  <c r="J143" i="37"/>
  <c r="P142" i="37"/>
  <c r="O142" i="37"/>
  <c r="M142" i="37"/>
  <c r="J142" i="37"/>
  <c r="P141" i="37"/>
  <c r="O141" i="37"/>
  <c r="M141" i="37"/>
  <c r="J141" i="37"/>
  <c r="P140" i="37"/>
  <c r="O140" i="37"/>
  <c r="M140" i="37"/>
  <c r="J140" i="37"/>
  <c r="P139" i="37"/>
  <c r="O139" i="37"/>
  <c r="M139" i="37"/>
  <c r="J139" i="37"/>
  <c r="P138" i="37"/>
  <c r="O138" i="37"/>
  <c r="M138" i="37"/>
  <c r="J138" i="37"/>
  <c r="P137" i="37"/>
  <c r="O137" i="37"/>
  <c r="M137" i="37"/>
  <c r="J137" i="37"/>
  <c r="P136" i="37"/>
  <c r="O136" i="37"/>
  <c r="M136" i="37"/>
  <c r="J136" i="37"/>
  <c r="P135" i="37"/>
  <c r="O135" i="37"/>
  <c r="M135" i="37"/>
  <c r="J135" i="37"/>
  <c r="P134" i="37"/>
  <c r="O134" i="37"/>
  <c r="M134" i="37"/>
  <c r="J134" i="37"/>
  <c r="P133" i="37"/>
  <c r="O133" i="37"/>
  <c r="M133" i="37"/>
  <c r="J133" i="37"/>
  <c r="P132" i="37"/>
  <c r="O132" i="37"/>
  <c r="M132" i="37"/>
  <c r="J132" i="37"/>
  <c r="P131" i="37"/>
  <c r="O131" i="37"/>
  <c r="M131" i="37"/>
  <c r="J131" i="37"/>
  <c r="O130" i="37"/>
  <c r="M130" i="37"/>
  <c r="O129" i="37"/>
  <c r="M129" i="37"/>
  <c r="O128" i="37"/>
  <c r="M128" i="37"/>
  <c r="O127" i="37"/>
  <c r="M127" i="37"/>
  <c r="O126" i="37"/>
  <c r="M126" i="37"/>
  <c r="O125" i="37"/>
  <c r="M125" i="37"/>
  <c r="O124" i="37"/>
  <c r="M124" i="37"/>
  <c r="O123" i="37"/>
  <c r="M123" i="37"/>
  <c r="O122" i="37"/>
  <c r="M122" i="37"/>
  <c r="O121" i="37"/>
  <c r="M121" i="37"/>
  <c r="O120" i="37"/>
  <c r="M120" i="37"/>
  <c r="O119" i="37"/>
  <c r="M119" i="37"/>
  <c r="O118" i="37"/>
  <c r="M118" i="37"/>
  <c r="O117" i="37"/>
  <c r="M117" i="37"/>
  <c r="O116" i="37"/>
  <c r="M116" i="37"/>
  <c r="O115" i="37"/>
  <c r="M115" i="37"/>
  <c r="O114" i="37"/>
  <c r="M114" i="37"/>
  <c r="O113" i="37"/>
  <c r="M113" i="37"/>
  <c r="O112" i="37"/>
  <c r="M112" i="37"/>
  <c r="O111" i="37"/>
  <c r="M111" i="37"/>
  <c r="O110" i="37"/>
  <c r="M110" i="37"/>
  <c r="O109" i="37"/>
  <c r="M109" i="37"/>
  <c r="O108" i="37"/>
  <c r="M108" i="37"/>
  <c r="O107" i="37"/>
  <c r="M107" i="37"/>
  <c r="O106" i="37"/>
  <c r="M106" i="37"/>
  <c r="O103" i="37"/>
  <c r="O102" i="37"/>
  <c r="O101" i="37"/>
  <c r="D96" i="37"/>
  <c r="L93" i="37"/>
  <c r="J93" i="37"/>
  <c r="D91" i="37"/>
  <c r="D89" i="37"/>
  <c r="N72" i="37"/>
  <c r="L72" i="37"/>
  <c r="N71" i="37"/>
  <c r="L71" i="37"/>
  <c r="N70" i="37"/>
  <c r="L70" i="37"/>
  <c r="N69" i="37"/>
  <c r="L69" i="37"/>
  <c r="N68" i="37"/>
  <c r="L68" i="37"/>
  <c r="N67" i="37"/>
  <c r="L67" i="37"/>
  <c r="N66" i="37"/>
  <c r="L66" i="37"/>
  <c r="N65" i="37"/>
  <c r="L65" i="37"/>
  <c r="N64" i="37"/>
  <c r="L64" i="37"/>
  <c r="N63" i="37"/>
  <c r="L63" i="37"/>
  <c r="N62" i="37"/>
  <c r="L62" i="37"/>
  <c r="N61" i="37"/>
  <c r="L61" i="37"/>
  <c r="N60" i="37"/>
  <c r="L60" i="37"/>
  <c r="N59" i="37"/>
  <c r="L59" i="37"/>
  <c r="N58" i="37"/>
  <c r="L58" i="37"/>
  <c r="N57" i="37"/>
  <c r="L57" i="37"/>
  <c r="N56" i="37"/>
  <c r="L56" i="37"/>
  <c r="N55" i="37"/>
  <c r="L55" i="37"/>
  <c r="N54" i="37"/>
  <c r="L54" i="37"/>
  <c r="N53" i="37"/>
  <c r="L53" i="37"/>
  <c r="N52" i="37"/>
  <c r="L52" i="37"/>
  <c r="N51" i="37"/>
  <c r="L51" i="37"/>
  <c r="N50" i="37"/>
  <c r="L50" i="37"/>
  <c r="N49" i="37"/>
  <c r="L49" i="37"/>
  <c r="N48" i="37"/>
  <c r="L48" i="37"/>
  <c r="N47" i="37"/>
  <c r="L47" i="37"/>
  <c r="N46" i="37"/>
  <c r="L46" i="37"/>
  <c r="N45" i="37"/>
  <c r="L45" i="37"/>
  <c r="N44" i="37"/>
  <c r="L44" i="37"/>
  <c r="N43" i="37"/>
  <c r="L43" i="37"/>
  <c r="N42" i="37"/>
  <c r="L42" i="37"/>
  <c r="N41" i="37"/>
  <c r="L41" i="37"/>
  <c r="N40" i="37"/>
  <c r="L40" i="37"/>
  <c r="N39" i="37"/>
  <c r="L39" i="37"/>
  <c r="N38" i="37"/>
  <c r="L38" i="37"/>
  <c r="N37" i="37"/>
  <c r="L37" i="37"/>
  <c r="N36" i="37"/>
  <c r="L36" i="37"/>
  <c r="N35" i="37"/>
  <c r="L35" i="37"/>
  <c r="N34" i="37"/>
  <c r="L34" i="37"/>
  <c r="N33" i="37"/>
  <c r="L33" i="37"/>
  <c r="N32" i="37"/>
  <c r="L32" i="37"/>
  <c r="N31" i="37"/>
  <c r="L31" i="37"/>
  <c r="N30" i="37"/>
  <c r="L30" i="37"/>
  <c r="N29" i="37"/>
  <c r="L29" i="37"/>
  <c r="N28" i="37"/>
  <c r="L28" i="37"/>
  <c r="N27" i="37"/>
  <c r="L27" i="37"/>
  <c r="N26" i="37"/>
  <c r="L26" i="37"/>
  <c r="N25" i="37"/>
  <c r="L25" i="37"/>
  <c r="N23" i="37"/>
  <c r="N22" i="37"/>
  <c r="N21" i="37"/>
  <c r="N20" i="37"/>
  <c r="O20" i="37" s="1"/>
  <c r="N19" i="37"/>
  <c r="C17" i="37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K11" i="37"/>
  <c r="I11" i="37"/>
  <c r="D8" i="37"/>
  <c r="D90" i="37" s="1"/>
  <c r="S54" i="17"/>
  <c r="M54" i="17"/>
  <c r="N99" i="31"/>
  <c r="O99" i="31" s="1"/>
  <c r="L99" i="31"/>
  <c r="M99" i="31" s="1"/>
  <c r="D96" i="31"/>
  <c r="M18" i="31"/>
  <c r="N18" i="31" s="1"/>
  <c r="K18" i="31"/>
  <c r="L18" i="31" s="1"/>
  <c r="M17" i="30"/>
  <c r="N17" i="30" s="1"/>
  <c r="K17" i="30"/>
  <c r="L17" i="30" s="1"/>
  <c r="N99" i="29"/>
  <c r="O99" i="29" s="1"/>
  <c r="L99" i="29"/>
  <c r="M99" i="29" s="1"/>
  <c r="M18" i="29"/>
  <c r="N18" i="29" s="1"/>
  <c r="K18" i="29"/>
  <c r="L18" i="29" s="1"/>
  <c r="N99" i="28"/>
  <c r="O99" i="28" s="1"/>
  <c r="L99" i="28"/>
  <c r="M99" i="28" s="1"/>
  <c r="M18" i="28"/>
  <c r="N18" i="28" s="1"/>
  <c r="K18" i="28"/>
  <c r="L18" i="28" s="1"/>
  <c r="N103" i="25"/>
  <c r="O103" i="25" s="1"/>
  <c r="L103" i="25"/>
  <c r="M103" i="25" s="1"/>
  <c r="M22" i="25"/>
  <c r="N22" i="25" s="1"/>
  <c r="K22" i="25"/>
  <c r="L22" i="25" s="1"/>
  <c r="N101" i="24"/>
  <c r="O101" i="24" s="1"/>
  <c r="L101" i="24"/>
  <c r="M101" i="24" s="1"/>
  <c r="M20" i="24"/>
  <c r="N20" i="24" s="1"/>
  <c r="K20" i="24"/>
  <c r="L20" i="24" s="1"/>
  <c r="M21" i="23"/>
  <c r="N21" i="23" s="1"/>
  <c r="K21" i="23"/>
  <c r="L21" i="23" s="1"/>
  <c r="N102" i="23"/>
  <c r="O102" i="23" s="1"/>
  <c r="L102" i="23"/>
  <c r="M102" i="23" s="1"/>
  <c r="N103" i="22"/>
  <c r="O103" i="22" s="1"/>
  <c r="L103" i="22"/>
  <c r="M103" i="22" s="1"/>
  <c r="M22" i="22"/>
  <c r="N22" i="22" s="1"/>
  <c r="K22" i="22"/>
  <c r="L22" i="22" s="1"/>
  <c r="N106" i="11"/>
  <c r="O106" i="11" s="1"/>
  <c r="L106" i="11"/>
  <c r="M106" i="11" s="1"/>
  <c r="M25" i="11"/>
  <c r="N25" i="11" s="1"/>
  <c r="K25" i="11"/>
  <c r="L25" i="11" s="1"/>
  <c r="N107" i="10"/>
  <c r="O107" i="10" s="1"/>
  <c r="L107" i="10"/>
  <c r="M107" i="10" s="1"/>
  <c r="M26" i="10"/>
  <c r="N26" i="10" s="1"/>
  <c r="K26" i="10"/>
  <c r="L26" i="10" s="1"/>
  <c r="N106" i="9"/>
  <c r="O106" i="9" s="1"/>
  <c r="L106" i="9"/>
  <c r="M106" i="9" s="1"/>
  <c r="M25" i="9"/>
  <c r="N25" i="9" s="1"/>
  <c r="K25" i="9"/>
  <c r="L25" i="9" s="1"/>
  <c r="N105" i="8"/>
  <c r="O105" i="8" s="1"/>
  <c r="L105" i="8"/>
  <c r="M105" i="8" s="1"/>
  <c r="M24" i="8"/>
  <c r="N24" i="8" s="1"/>
  <c r="K24" i="8"/>
  <c r="L24" i="8" s="1"/>
  <c r="N107" i="7"/>
  <c r="O107" i="7" s="1"/>
  <c r="L107" i="7"/>
  <c r="M107" i="7" s="1"/>
  <c r="M26" i="7"/>
  <c r="N26" i="7" s="1"/>
  <c r="K26" i="7"/>
  <c r="L26" i="7" s="1"/>
  <c r="N105" i="6"/>
  <c r="O105" i="6" s="1"/>
  <c r="L105" i="6"/>
  <c r="M105" i="6" s="1"/>
  <c r="M24" i="6"/>
  <c r="N24" i="6" s="1"/>
  <c r="K24" i="6"/>
  <c r="L24" i="6" s="1"/>
  <c r="N104" i="5"/>
  <c r="O104" i="5" s="1"/>
  <c r="L104" i="5"/>
  <c r="M104" i="5" s="1"/>
  <c r="M23" i="5"/>
  <c r="N23" i="5" s="1"/>
  <c r="K23" i="5"/>
  <c r="L23" i="5" s="1"/>
  <c r="N104" i="4"/>
  <c r="O104" i="4" s="1"/>
  <c r="L104" i="4"/>
  <c r="M104" i="4" s="1"/>
  <c r="M23" i="4"/>
  <c r="N23" i="4" s="1"/>
  <c r="K23" i="4"/>
  <c r="L23" i="4" s="1"/>
  <c r="N104" i="3"/>
  <c r="O104" i="3" s="1"/>
  <c r="L104" i="3"/>
  <c r="M104" i="3" s="1"/>
  <c r="M23" i="3"/>
  <c r="N23" i="3" s="1"/>
  <c r="K23" i="3"/>
  <c r="L23" i="3" s="1"/>
  <c r="N100" i="27"/>
  <c r="O100" i="27" s="1"/>
  <c r="L100" i="27"/>
  <c r="M100" i="27" s="1"/>
  <c r="N99" i="27"/>
  <c r="O99" i="27" s="1"/>
  <c r="L99" i="27"/>
  <c r="M99" i="27" s="1"/>
  <c r="M19" i="27"/>
  <c r="N19" i="27" s="1"/>
  <c r="K19" i="27"/>
  <c r="L19" i="27" s="1"/>
  <c r="M17" i="31"/>
  <c r="N17" i="31" s="1"/>
  <c r="K17" i="31"/>
  <c r="L17" i="31" s="1"/>
  <c r="W34" i="17"/>
  <c r="P34" i="17"/>
  <c r="P154" i="31"/>
  <c r="O154" i="31"/>
  <c r="M154" i="31"/>
  <c r="P153" i="31"/>
  <c r="O153" i="31"/>
  <c r="M153" i="31"/>
  <c r="P152" i="31"/>
  <c r="O152" i="31"/>
  <c r="M152" i="31"/>
  <c r="P151" i="31"/>
  <c r="O151" i="31"/>
  <c r="M151" i="31"/>
  <c r="P150" i="31"/>
  <c r="O150" i="31"/>
  <c r="M150" i="31"/>
  <c r="P149" i="31"/>
  <c r="O149" i="31"/>
  <c r="M149" i="31"/>
  <c r="P148" i="31"/>
  <c r="O148" i="31"/>
  <c r="M148" i="31"/>
  <c r="P147" i="31"/>
  <c r="O147" i="31"/>
  <c r="M147" i="31"/>
  <c r="P146" i="31"/>
  <c r="O146" i="31"/>
  <c r="M146" i="31"/>
  <c r="P145" i="31"/>
  <c r="O145" i="31"/>
  <c r="M145" i="31"/>
  <c r="P144" i="31"/>
  <c r="O144" i="31"/>
  <c r="M144" i="31"/>
  <c r="P143" i="31"/>
  <c r="O143" i="31"/>
  <c r="M143" i="31"/>
  <c r="P142" i="31"/>
  <c r="O142" i="31"/>
  <c r="M142" i="31"/>
  <c r="P141" i="31"/>
  <c r="O141" i="31"/>
  <c r="M141" i="31"/>
  <c r="P140" i="31"/>
  <c r="O140" i="31"/>
  <c r="M140" i="31"/>
  <c r="P139" i="31"/>
  <c r="O139" i="31"/>
  <c r="M139" i="31"/>
  <c r="P138" i="31"/>
  <c r="O138" i="31"/>
  <c r="M138" i="31"/>
  <c r="P137" i="31"/>
  <c r="O137" i="31"/>
  <c r="M137" i="31"/>
  <c r="P136" i="31"/>
  <c r="O136" i="31"/>
  <c r="M136" i="31"/>
  <c r="P135" i="31"/>
  <c r="O135" i="31"/>
  <c r="M135" i="31"/>
  <c r="P134" i="31"/>
  <c r="O134" i="31"/>
  <c r="M134" i="31"/>
  <c r="P133" i="31"/>
  <c r="O133" i="31"/>
  <c r="M133" i="31"/>
  <c r="P132" i="31"/>
  <c r="O132" i="31"/>
  <c r="M132" i="31"/>
  <c r="P131" i="31"/>
  <c r="O131" i="31"/>
  <c r="M131" i="31"/>
  <c r="O130" i="31"/>
  <c r="M130" i="31"/>
  <c r="O129" i="31"/>
  <c r="M129" i="31"/>
  <c r="O128" i="31"/>
  <c r="M128" i="31"/>
  <c r="O127" i="31"/>
  <c r="M127" i="31"/>
  <c r="O126" i="31"/>
  <c r="M126" i="31"/>
  <c r="O125" i="31"/>
  <c r="M125" i="31"/>
  <c r="O124" i="31"/>
  <c r="M124" i="31"/>
  <c r="O123" i="31"/>
  <c r="M123" i="31"/>
  <c r="O122" i="31"/>
  <c r="M122" i="31"/>
  <c r="O121" i="31"/>
  <c r="M121" i="31"/>
  <c r="O120" i="31"/>
  <c r="M120" i="31"/>
  <c r="O119" i="31"/>
  <c r="M119" i="31"/>
  <c r="O118" i="31"/>
  <c r="M118" i="31"/>
  <c r="O117" i="31"/>
  <c r="M117" i="31"/>
  <c r="O116" i="31"/>
  <c r="M116" i="31"/>
  <c r="O115" i="31"/>
  <c r="M115" i="31"/>
  <c r="O114" i="31"/>
  <c r="M114" i="31"/>
  <c r="O113" i="31"/>
  <c r="M113" i="31"/>
  <c r="O112" i="31"/>
  <c r="M112" i="31"/>
  <c r="O111" i="31"/>
  <c r="M111" i="31"/>
  <c r="O110" i="31"/>
  <c r="M110" i="31"/>
  <c r="O109" i="31"/>
  <c r="M109" i="31"/>
  <c r="O106" i="31"/>
  <c r="O105" i="31"/>
  <c r="O104" i="31"/>
  <c r="L93" i="31"/>
  <c r="J93" i="31"/>
  <c r="E91" i="31"/>
  <c r="D91" i="31"/>
  <c r="D89" i="31"/>
  <c r="N72" i="31"/>
  <c r="L72" i="31"/>
  <c r="N71" i="31"/>
  <c r="L71" i="31"/>
  <c r="N70" i="31"/>
  <c r="L70" i="31"/>
  <c r="N69" i="31"/>
  <c r="L69" i="31"/>
  <c r="N68" i="31"/>
  <c r="L68" i="31"/>
  <c r="N67" i="31"/>
  <c r="L67" i="31"/>
  <c r="N66" i="31"/>
  <c r="L66" i="31"/>
  <c r="N65" i="31"/>
  <c r="L65" i="31"/>
  <c r="N64" i="31"/>
  <c r="L64" i="31"/>
  <c r="N63" i="31"/>
  <c r="L63" i="31"/>
  <c r="N62" i="31"/>
  <c r="L62" i="31"/>
  <c r="N61" i="31"/>
  <c r="L61" i="31"/>
  <c r="N60" i="31"/>
  <c r="L60" i="31"/>
  <c r="N59" i="31"/>
  <c r="L59" i="31"/>
  <c r="N58" i="31"/>
  <c r="L58" i="31"/>
  <c r="N57" i="31"/>
  <c r="L57" i="31"/>
  <c r="N56" i="31"/>
  <c r="L56" i="31"/>
  <c r="N55" i="31"/>
  <c r="L55" i="31"/>
  <c r="N54" i="31"/>
  <c r="L54" i="31"/>
  <c r="N53" i="31"/>
  <c r="L53" i="31"/>
  <c r="N52" i="31"/>
  <c r="L52" i="31"/>
  <c r="N51" i="31"/>
  <c r="L51" i="31"/>
  <c r="N50" i="31"/>
  <c r="L50" i="31"/>
  <c r="N49" i="31"/>
  <c r="L49" i="31"/>
  <c r="N48" i="31"/>
  <c r="L48" i="31"/>
  <c r="N47" i="31"/>
  <c r="L47" i="31"/>
  <c r="N46" i="31"/>
  <c r="L46" i="31"/>
  <c r="N45" i="31"/>
  <c r="L45" i="31"/>
  <c r="N44" i="31"/>
  <c r="L44" i="31"/>
  <c r="N43" i="31"/>
  <c r="L43" i="31"/>
  <c r="N42" i="31"/>
  <c r="L42" i="31"/>
  <c r="N41" i="31"/>
  <c r="L41" i="31"/>
  <c r="N40" i="31"/>
  <c r="L40" i="31"/>
  <c r="N39" i="31"/>
  <c r="L39" i="31"/>
  <c r="N38" i="31"/>
  <c r="L38" i="31"/>
  <c r="N37" i="31"/>
  <c r="L37" i="31"/>
  <c r="N36" i="31"/>
  <c r="L36" i="31"/>
  <c r="N35" i="31"/>
  <c r="L35" i="31"/>
  <c r="N34" i="31"/>
  <c r="L34" i="31"/>
  <c r="N33" i="31"/>
  <c r="L33" i="31"/>
  <c r="N32" i="31"/>
  <c r="L32" i="31"/>
  <c r="N31" i="31"/>
  <c r="L31" i="31"/>
  <c r="N30" i="31"/>
  <c r="L30" i="31"/>
  <c r="N29" i="31"/>
  <c r="L29" i="31"/>
  <c r="N28" i="31"/>
  <c r="L28" i="31"/>
  <c r="N26" i="31"/>
  <c r="N25" i="31"/>
  <c r="N24" i="31"/>
  <c r="N23" i="31"/>
  <c r="N22" i="31"/>
  <c r="C17" i="3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C45" i="31" s="1"/>
  <c r="C46" i="31" s="1"/>
  <c r="C47" i="31" s="1"/>
  <c r="C48" i="31" s="1"/>
  <c r="C49" i="31" s="1"/>
  <c r="C50" i="31" s="1"/>
  <c r="C51" i="31" s="1"/>
  <c r="C52" i="31" s="1"/>
  <c r="C53" i="31" s="1"/>
  <c r="C54" i="31" s="1"/>
  <c r="C55" i="31" s="1"/>
  <c r="C56" i="31" s="1"/>
  <c r="C57" i="31" s="1"/>
  <c r="C58" i="31" s="1"/>
  <c r="C59" i="31" s="1"/>
  <c r="C60" i="31" s="1"/>
  <c r="C61" i="31" s="1"/>
  <c r="C62" i="31" s="1"/>
  <c r="C63" i="31" s="1"/>
  <c r="C64" i="31" s="1"/>
  <c r="C65" i="31" s="1"/>
  <c r="C66" i="31" s="1"/>
  <c r="C67" i="31" s="1"/>
  <c r="C68" i="31" s="1"/>
  <c r="C69" i="31" s="1"/>
  <c r="C70" i="31" s="1"/>
  <c r="C71" i="31" s="1"/>
  <c r="C72" i="31" s="1"/>
  <c r="K11" i="31"/>
  <c r="I11" i="31"/>
  <c r="P1" i="31"/>
  <c r="P83" i="31" s="1"/>
  <c r="P154" i="30"/>
  <c r="O154" i="30"/>
  <c r="M154" i="30"/>
  <c r="P153" i="30"/>
  <c r="O153" i="30"/>
  <c r="M153" i="30"/>
  <c r="P152" i="30"/>
  <c r="O152" i="30"/>
  <c r="M152" i="30"/>
  <c r="P151" i="30"/>
  <c r="O151" i="30"/>
  <c r="M151" i="30"/>
  <c r="P150" i="30"/>
  <c r="O150" i="30"/>
  <c r="M150" i="30"/>
  <c r="P149" i="30"/>
  <c r="O149" i="30"/>
  <c r="M149" i="30"/>
  <c r="P148" i="30"/>
  <c r="O148" i="30"/>
  <c r="M148" i="30"/>
  <c r="P147" i="30"/>
  <c r="O147" i="30"/>
  <c r="M147" i="30"/>
  <c r="P146" i="30"/>
  <c r="O146" i="30"/>
  <c r="M146" i="30"/>
  <c r="P145" i="30"/>
  <c r="O145" i="30"/>
  <c r="M145" i="30"/>
  <c r="P144" i="30"/>
  <c r="O144" i="30"/>
  <c r="M144" i="30"/>
  <c r="P143" i="30"/>
  <c r="O143" i="30"/>
  <c r="M143" i="30"/>
  <c r="P142" i="30"/>
  <c r="O142" i="30"/>
  <c r="M142" i="30"/>
  <c r="P141" i="30"/>
  <c r="O141" i="30"/>
  <c r="M141" i="30"/>
  <c r="P140" i="30"/>
  <c r="O140" i="30"/>
  <c r="M140" i="30"/>
  <c r="P139" i="30"/>
  <c r="O139" i="30"/>
  <c r="M139" i="30"/>
  <c r="P138" i="30"/>
  <c r="O138" i="30"/>
  <c r="M138" i="30"/>
  <c r="P137" i="30"/>
  <c r="O137" i="30"/>
  <c r="M137" i="30"/>
  <c r="P136" i="30"/>
  <c r="O136" i="30"/>
  <c r="M136" i="30"/>
  <c r="P135" i="30"/>
  <c r="O135" i="30"/>
  <c r="M135" i="30"/>
  <c r="P134" i="30"/>
  <c r="O134" i="30"/>
  <c r="M134" i="30"/>
  <c r="P133" i="30"/>
  <c r="O133" i="30"/>
  <c r="M133" i="30"/>
  <c r="P132" i="30"/>
  <c r="O132" i="30"/>
  <c r="M132" i="30"/>
  <c r="P131" i="30"/>
  <c r="O131" i="30"/>
  <c r="M131" i="30"/>
  <c r="O130" i="30"/>
  <c r="M130" i="30"/>
  <c r="O129" i="30"/>
  <c r="M129" i="30"/>
  <c r="O128" i="30"/>
  <c r="M128" i="30"/>
  <c r="O127" i="30"/>
  <c r="M127" i="30"/>
  <c r="O126" i="30"/>
  <c r="M126" i="30"/>
  <c r="O125" i="30"/>
  <c r="M125" i="30"/>
  <c r="O124" i="30"/>
  <c r="M124" i="30"/>
  <c r="O123" i="30"/>
  <c r="M123" i="30"/>
  <c r="O122" i="30"/>
  <c r="M122" i="30"/>
  <c r="O121" i="30"/>
  <c r="M121" i="30"/>
  <c r="O120" i="30"/>
  <c r="M120" i="30"/>
  <c r="O119" i="30"/>
  <c r="M119" i="30"/>
  <c r="O118" i="30"/>
  <c r="M118" i="30"/>
  <c r="O117" i="30"/>
  <c r="M117" i="30"/>
  <c r="O116" i="30"/>
  <c r="M116" i="30"/>
  <c r="O115" i="30"/>
  <c r="M115" i="30"/>
  <c r="O114" i="30"/>
  <c r="M114" i="30"/>
  <c r="O113" i="30"/>
  <c r="M113" i="30"/>
  <c r="O112" i="30"/>
  <c r="M112" i="30"/>
  <c r="O111" i="30"/>
  <c r="M111" i="30"/>
  <c r="O110" i="30"/>
  <c r="M110" i="30"/>
  <c r="O109" i="30"/>
  <c r="M109" i="30"/>
  <c r="O108" i="30"/>
  <c r="M108" i="30"/>
  <c r="O105" i="30"/>
  <c r="O104" i="30"/>
  <c r="O103" i="30"/>
  <c r="D96" i="30"/>
  <c r="L93" i="30"/>
  <c r="J93" i="30"/>
  <c r="E91" i="30"/>
  <c r="D91" i="30"/>
  <c r="D89" i="30"/>
  <c r="N72" i="30"/>
  <c r="L72" i="30"/>
  <c r="N71" i="30"/>
  <c r="L71" i="30"/>
  <c r="N70" i="30"/>
  <c r="L70" i="30"/>
  <c r="N69" i="30"/>
  <c r="L69" i="30"/>
  <c r="N68" i="30"/>
  <c r="L68" i="30"/>
  <c r="N67" i="30"/>
  <c r="L67" i="30"/>
  <c r="N66" i="30"/>
  <c r="L66" i="30"/>
  <c r="N65" i="30"/>
  <c r="L65" i="30"/>
  <c r="N64" i="30"/>
  <c r="L64" i="30"/>
  <c r="N63" i="30"/>
  <c r="L63" i="30"/>
  <c r="N62" i="30"/>
  <c r="L62" i="30"/>
  <c r="N61" i="30"/>
  <c r="L61" i="30"/>
  <c r="N60" i="30"/>
  <c r="L60" i="30"/>
  <c r="N59" i="30"/>
  <c r="L59" i="30"/>
  <c r="N58" i="30"/>
  <c r="L58" i="30"/>
  <c r="N57" i="30"/>
  <c r="L57" i="30"/>
  <c r="N56" i="30"/>
  <c r="L56" i="30"/>
  <c r="N55" i="30"/>
  <c r="L55" i="30"/>
  <c r="N54" i="30"/>
  <c r="L54" i="30"/>
  <c r="N53" i="30"/>
  <c r="L53" i="30"/>
  <c r="N52" i="30"/>
  <c r="L52" i="30"/>
  <c r="N51" i="30"/>
  <c r="L51" i="30"/>
  <c r="N50" i="30"/>
  <c r="L50" i="30"/>
  <c r="N49" i="30"/>
  <c r="L49" i="30"/>
  <c r="N48" i="30"/>
  <c r="L48" i="30"/>
  <c r="N47" i="30"/>
  <c r="L47" i="30"/>
  <c r="N46" i="30"/>
  <c r="L46" i="30"/>
  <c r="N45" i="30"/>
  <c r="L45" i="30"/>
  <c r="N44" i="30"/>
  <c r="L44" i="30"/>
  <c r="N43" i="30"/>
  <c r="L43" i="30"/>
  <c r="N42" i="30"/>
  <c r="L42" i="30"/>
  <c r="N41" i="30"/>
  <c r="L41" i="30"/>
  <c r="N40" i="30"/>
  <c r="L40" i="30"/>
  <c r="N39" i="30"/>
  <c r="L39" i="30"/>
  <c r="N38" i="30"/>
  <c r="L38" i="30"/>
  <c r="N37" i="30"/>
  <c r="L37" i="30"/>
  <c r="N36" i="30"/>
  <c r="L36" i="30"/>
  <c r="N35" i="30"/>
  <c r="L35" i="30"/>
  <c r="N34" i="30"/>
  <c r="L34" i="30"/>
  <c r="N33" i="30"/>
  <c r="L33" i="30"/>
  <c r="N32" i="30"/>
  <c r="L32" i="30"/>
  <c r="N31" i="30"/>
  <c r="L31" i="30"/>
  <c r="N30" i="30"/>
  <c r="L30" i="30"/>
  <c r="N29" i="30"/>
  <c r="L29" i="30"/>
  <c r="N28" i="30"/>
  <c r="L28" i="30"/>
  <c r="N27" i="30"/>
  <c r="L27" i="30"/>
  <c r="N25" i="30"/>
  <c r="N24" i="30"/>
  <c r="N23" i="30"/>
  <c r="N22" i="30"/>
  <c r="N21" i="30"/>
  <c r="C17" i="30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C49" i="30" s="1"/>
  <c r="C50" i="30" s="1"/>
  <c r="C51" i="30" s="1"/>
  <c r="C52" i="30" s="1"/>
  <c r="C53" i="30" s="1"/>
  <c r="C54" i="30" s="1"/>
  <c r="C55" i="30" s="1"/>
  <c r="C56" i="30" s="1"/>
  <c r="C57" i="30" s="1"/>
  <c r="C58" i="30" s="1"/>
  <c r="C59" i="30" s="1"/>
  <c r="C60" i="30" s="1"/>
  <c r="C61" i="30" s="1"/>
  <c r="C62" i="30" s="1"/>
  <c r="C63" i="30" s="1"/>
  <c r="C64" i="30" s="1"/>
  <c r="C65" i="30" s="1"/>
  <c r="C66" i="30" s="1"/>
  <c r="C67" i="30" s="1"/>
  <c r="C68" i="30" s="1"/>
  <c r="C69" i="30" s="1"/>
  <c r="C70" i="30" s="1"/>
  <c r="C71" i="30" s="1"/>
  <c r="C72" i="30" s="1"/>
  <c r="K11" i="30"/>
  <c r="I11" i="30"/>
  <c r="D8" i="30"/>
  <c r="D90" i="30" s="1"/>
  <c r="P1" i="30"/>
  <c r="P83" i="30" s="1"/>
  <c r="M17" i="29"/>
  <c r="N17" i="29" s="1"/>
  <c r="K17" i="29"/>
  <c r="L17" i="29" s="1"/>
  <c r="M17" i="28"/>
  <c r="N17" i="28" s="1"/>
  <c r="K17" i="28"/>
  <c r="L17" i="28" s="1"/>
  <c r="N102" i="25"/>
  <c r="O102" i="25" s="1"/>
  <c r="L102" i="25"/>
  <c r="M102" i="25" s="1"/>
  <c r="M21" i="25"/>
  <c r="N21" i="25" s="1"/>
  <c r="K21" i="25"/>
  <c r="L21" i="25" s="1"/>
  <c r="N100" i="24"/>
  <c r="O100" i="24" s="1"/>
  <c r="L100" i="24"/>
  <c r="M100" i="24" s="1"/>
  <c r="M19" i="24"/>
  <c r="N19" i="24" s="1"/>
  <c r="K19" i="24"/>
  <c r="L19" i="24" s="1"/>
  <c r="N101" i="23"/>
  <c r="O101" i="23" s="1"/>
  <c r="L101" i="23"/>
  <c r="M101" i="23" s="1"/>
  <c r="M20" i="23"/>
  <c r="N20" i="23" s="1"/>
  <c r="K20" i="23"/>
  <c r="L20" i="23" s="1"/>
  <c r="N102" i="22"/>
  <c r="O102" i="22" s="1"/>
  <c r="L102" i="22"/>
  <c r="M102" i="22" s="1"/>
  <c r="M21" i="22"/>
  <c r="N21" i="22" s="1"/>
  <c r="K21" i="22"/>
  <c r="L21" i="22" s="1"/>
  <c r="N105" i="11"/>
  <c r="O105" i="11" s="1"/>
  <c r="L105" i="11"/>
  <c r="M105" i="11" s="1"/>
  <c r="M24" i="11"/>
  <c r="N24" i="11" s="1"/>
  <c r="K24" i="11"/>
  <c r="L24" i="11" s="1"/>
  <c r="N106" i="10"/>
  <c r="O106" i="10" s="1"/>
  <c r="L106" i="10"/>
  <c r="M106" i="10" s="1"/>
  <c r="M25" i="10"/>
  <c r="N25" i="10" s="1"/>
  <c r="K25" i="10"/>
  <c r="L25" i="10" s="1"/>
  <c r="N105" i="9"/>
  <c r="O105" i="9" s="1"/>
  <c r="L105" i="9"/>
  <c r="M105" i="9" s="1"/>
  <c r="M24" i="9"/>
  <c r="N24" i="9" s="1"/>
  <c r="K24" i="9"/>
  <c r="L24" i="9" s="1"/>
  <c r="N104" i="8"/>
  <c r="O104" i="8" s="1"/>
  <c r="L104" i="8"/>
  <c r="M104" i="8" s="1"/>
  <c r="M23" i="8"/>
  <c r="N23" i="8" s="1"/>
  <c r="K23" i="8"/>
  <c r="L23" i="8" s="1"/>
  <c r="N106" i="7"/>
  <c r="O106" i="7" s="1"/>
  <c r="L106" i="7"/>
  <c r="M106" i="7" s="1"/>
  <c r="M25" i="7"/>
  <c r="N25" i="7" s="1"/>
  <c r="K25" i="7"/>
  <c r="L25" i="7" s="1"/>
  <c r="N104" i="6"/>
  <c r="O104" i="6" s="1"/>
  <c r="L104" i="6"/>
  <c r="M104" i="6" s="1"/>
  <c r="M23" i="6"/>
  <c r="N23" i="6" s="1"/>
  <c r="K23" i="6"/>
  <c r="L23" i="6" s="1"/>
  <c r="N103" i="5"/>
  <c r="O103" i="5" s="1"/>
  <c r="L103" i="5"/>
  <c r="M103" i="5" s="1"/>
  <c r="M22" i="5"/>
  <c r="N22" i="5" s="1"/>
  <c r="K22" i="5"/>
  <c r="L22" i="5" s="1"/>
  <c r="N103" i="4"/>
  <c r="O103" i="4" s="1"/>
  <c r="L103" i="4"/>
  <c r="M103" i="4" s="1"/>
  <c r="M22" i="4"/>
  <c r="N22" i="4" s="1"/>
  <c r="K22" i="4"/>
  <c r="L22" i="4" s="1"/>
  <c r="N103" i="3"/>
  <c r="O103" i="3" s="1"/>
  <c r="L103" i="3"/>
  <c r="M103" i="3" s="1"/>
  <c r="M22" i="3"/>
  <c r="N22" i="3" s="1"/>
  <c r="K22" i="3"/>
  <c r="L22" i="3" s="1"/>
  <c r="D8" i="13"/>
  <c r="D90" i="13" s="1"/>
  <c r="D92" i="23"/>
  <c r="P1" i="29"/>
  <c r="P83" i="29" s="1"/>
  <c r="P1" i="28"/>
  <c r="P83" i="28" s="1"/>
  <c r="P1" i="27"/>
  <c r="P83" i="27" s="1"/>
  <c r="D8" i="29"/>
  <c r="D90" i="29" s="1"/>
  <c r="D8" i="28"/>
  <c r="D90" i="28" s="1"/>
  <c r="D8" i="27"/>
  <c r="D90" i="27" s="1"/>
  <c r="D8" i="25"/>
  <c r="D90" i="25" s="1"/>
  <c r="D8" i="24"/>
  <c r="D90" i="24" s="1"/>
  <c r="D8" i="22"/>
  <c r="D90" i="22" s="1"/>
  <c r="D8" i="11"/>
  <c r="D90" i="11" s="1"/>
  <c r="D8" i="10"/>
  <c r="D90" i="10" s="1"/>
  <c r="E91" i="28"/>
  <c r="E91" i="29"/>
  <c r="W33" i="17"/>
  <c r="P33" i="17"/>
  <c r="W32" i="17"/>
  <c r="P32" i="17"/>
  <c r="N102" i="5"/>
  <c r="O102" i="5" s="1"/>
  <c r="L102" i="5"/>
  <c r="M102" i="5" s="1"/>
  <c r="P154" i="29"/>
  <c r="O154" i="29"/>
  <c r="M154" i="29"/>
  <c r="P153" i="29"/>
  <c r="O153" i="29"/>
  <c r="M153" i="29"/>
  <c r="P152" i="29"/>
  <c r="O152" i="29"/>
  <c r="M152" i="29"/>
  <c r="P151" i="29"/>
  <c r="O151" i="29"/>
  <c r="M151" i="29"/>
  <c r="P150" i="29"/>
  <c r="O150" i="29"/>
  <c r="M150" i="29"/>
  <c r="P149" i="29"/>
  <c r="O149" i="29"/>
  <c r="M149" i="29"/>
  <c r="P148" i="29"/>
  <c r="O148" i="29"/>
  <c r="M148" i="29"/>
  <c r="P147" i="29"/>
  <c r="O147" i="29"/>
  <c r="M147" i="29"/>
  <c r="P146" i="29"/>
  <c r="O146" i="29"/>
  <c r="M146" i="29"/>
  <c r="P145" i="29"/>
  <c r="O145" i="29"/>
  <c r="M145" i="29"/>
  <c r="P144" i="29"/>
  <c r="O144" i="29"/>
  <c r="M144" i="29"/>
  <c r="P143" i="29"/>
  <c r="O143" i="29"/>
  <c r="M143" i="29"/>
  <c r="P142" i="29"/>
  <c r="O142" i="29"/>
  <c r="M142" i="29"/>
  <c r="P141" i="29"/>
  <c r="O141" i="29"/>
  <c r="M141" i="29"/>
  <c r="P140" i="29"/>
  <c r="O140" i="29"/>
  <c r="M140" i="29"/>
  <c r="P139" i="29"/>
  <c r="O139" i="29"/>
  <c r="M139" i="29"/>
  <c r="P138" i="29"/>
  <c r="O138" i="29"/>
  <c r="M138" i="29"/>
  <c r="P137" i="29"/>
  <c r="O137" i="29"/>
  <c r="M137" i="29"/>
  <c r="P136" i="29"/>
  <c r="O136" i="29"/>
  <c r="M136" i="29"/>
  <c r="P135" i="29"/>
  <c r="O135" i="29"/>
  <c r="M135" i="29"/>
  <c r="P134" i="29"/>
  <c r="O134" i="29"/>
  <c r="M134" i="29"/>
  <c r="P133" i="29"/>
  <c r="O133" i="29"/>
  <c r="M133" i="29"/>
  <c r="P132" i="29"/>
  <c r="O132" i="29"/>
  <c r="M132" i="29"/>
  <c r="P131" i="29"/>
  <c r="O131" i="29"/>
  <c r="M131" i="29"/>
  <c r="O130" i="29"/>
  <c r="M130" i="29"/>
  <c r="O129" i="29"/>
  <c r="M129" i="29"/>
  <c r="O128" i="29"/>
  <c r="M128" i="29"/>
  <c r="O127" i="29"/>
  <c r="M127" i="29"/>
  <c r="O126" i="29"/>
  <c r="M126" i="29"/>
  <c r="O125" i="29"/>
  <c r="M125" i="29"/>
  <c r="O124" i="29"/>
  <c r="M124" i="29"/>
  <c r="O123" i="29"/>
  <c r="M123" i="29"/>
  <c r="O122" i="29"/>
  <c r="M122" i="29"/>
  <c r="O121" i="29"/>
  <c r="M121" i="29"/>
  <c r="O120" i="29"/>
  <c r="M120" i="29"/>
  <c r="O119" i="29"/>
  <c r="M119" i="29"/>
  <c r="O118" i="29"/>
  <c r="M118" i="29"/>
  <c r="O117" i="29"/>
  <c r="M117" i="29"/>
  <c r="O116" i="29"/>
  <c r="M116" i="29"/>
  <c r="O115" i="29"/>
  <c r="M115" i="29"/>
  <c r="O114" i="29"/>
  <c r="M114" i="29"/>
  <c r="O113" i="29"/>
  <c r="M113" i="29"/>
  <c r="O112" i="29"/>
  <c r="M112" i="29"/>
  <c r="O111" i="29"/>
  <c r="M111" i="29"/>
  <c r="O110" i="29"/>
  <c r="M110" i="29"/>
  <c r="O109" i="29"/>
  <c r="M109" i="29"/>
  <c r="O106" i="29"/>
  <c r="O105" i="29"/>
  <c r="O104" i="29"/>
  <c r="D96" i="29"/>
  <c r="L93" i="29"/>
  <c r="J93" i="29"/>
  <c r="D91" i="29"/>
  <c r="D89" i="29"/>
  <c r="N72" i="29"/>
  <c r="L72" i="29"/>
  <c r="N71" i="29"/>
  <c r="L71" i="29"/>
  <c r="N70" i="29"/>
  <c r="L70" i="29"/>
  <c r="N69" i="29"/>
  <c r="L69" i="29"/>
  <c r="N68" i="29"/>
  <c r="L68" i="29"/>
  <c r="N67" i="29"/>
  <c r="L67" i="29"/>
  <c r="N66" i="29"/>
  <c r="L66" i="29"/>
  <c r="N65" i="29"/>
  <c r="L65" i="29"/>
  <c r="N64" i="29"/>
  <c r="L64" i="29"/>
  <c r="N63" i="29"/>
  <c r="L63" i="29"/>
  <c r="N62" i="29"/>
  <c r="L62" i="29"/>
  <c r="N61" i="29"/>
  <c r="L61" i="29"/>
  <c r="N60" i="29"/>
  <c r="L60" i="29"/>
  <c r="N59" i="29"/>
  <c r="L59" i="29"/>
  <c r="N58" i="29"/>
  <c r="L58" i="29"/>
  <c r="N57" i="29"/>
  <c r="L57" i="29"/>
  <c r="N56" i="29"/>
  <c r="L56" i="29"/>
  <c r="N55" i="29"/>
  <c r="L55" i="29"/>
  <c r="N54" i="29"/>
  <c r="L54" i="29"/>
  <c r="N53" i="29"/>
  <c r="L53" i="29"/>
  <c r="N52" i="29"/>
  <c r="L52" i="29"/>
  <c r="N51" i="29"/>
  <c r="L51" i="29"/>
  <c r="N50" i="29"/>
  <c r="L50" i="29"/>
  <c r="N49" i="29"/>
  <c r="L49" i="29"/>
  <c r="N48" i="29"/>
  <c r="L48" i="29"/>
  <c r="N47" i="29"/>
  <c r="L47" i="29"/>
  <c r="N46" i="29"/>
  <c r="L46" i="29"/>
  <c r="N45" i="29"/>
  <c r="L45" i="29"/>
  <c r="N44" i="29"/>
  <c r="L44" i="29"/>
  <c r="N43" i="29"/>
  <c r="L43" i="29"/>
  <c r="N42" i="29"/>
  <c r="L42" i="29"/>
  <c r="N41" i="29"/>
  <c r="L41" i="29"/>
  <c r="N40" i="29"/>
  <c r="L40" i="29"/>
  <c r="N39" i="29"/>
  <c r="L39" i="29"/>
  <c r="N38" i="29"/>
  <c r="L38" i="29"/>
  <c r="N37" i="29"/>
  <c r="L37" i="29"/>
  <c r="N36" i="29"/>
  <c r="L36" i="29"/>
  <c r="N35" i="29"/>
  <c r="L35" i="29"/>
  <c r="N34" i="29"/>
  <c r="L34" i="29"/>
  <c r="N33" i="29"/>
  <c r="L33" i="29"/>
  <c r="N32" i="29"/>
  <c r="L32" i="29"/>
  <c r="N31" i="29"/>
  <c r="L31" i="29"/>
  <c r="N30" i="29"/>
  <c r="L30" i="29"/>
  <c r="N29" i="29"/>
  <c r="L29" i="29"/>
  <c r="N28" i="29"/>
  <c r="L28" i="29"/>
  <c r="N26" i="29"/>
  <c r="N25" i="29"/>
  <c r="N24" i="29"/>
  <c r="N23" i="29"/>
  <c r="N22" i="29"/>
  <c r="C17" i="29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C43" i="29" s="1"/>
  <c r="C44" i="29" s="1"/>
  <c r="C45" i="29" s="1"/>
  <c r="C46" i="29" s="1"/>
  <c r="C47" i="29" s="1"/>
  <c r="C48" i="29" s="1"/>
  <c r="C49" i="29" s="1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K11" i="29"/>
  <c r="I11" i="29"/>
  <c r="P154" i="28"/>
  <c r="O154" i="28"/>
  <c r="M154" i="28"/>
  <c r="P153" i="28"/>
  <c r="O153" i="28"/>
  <c r="M153" i="28"/>
  <c r="P152" i="28"/>
  <c r="O152" i="28"/>
  <c r="M152" i="28"/>
  <c r="P151" i="28"/>
  <c r="O151" i="28"/>
  <c r="M151" i="28"/>
  <c r="P150" i="28"/>
  <c r="O150" i="28"/>
  <c r="M150" i="28"/>
  <c r="P149" i="28"/>
  <c r="O149" i="28"/>
  <c r="M149" i="28"/>
  <c r="P148" i="28"/>
  <c r="O148" i="28"/>
  <c r="M148" i="28"/>
  <c r="P147" i="28"/>
  <c r="O147" i="28"/>
  <c r="M147" i="28"/>
  <c r="P146" i="28"/>
  <c r="O146" i="28"/>
  <c r="M146" i="28"/>
  <c r="P145" i="28"/>
  <c r="O145" i="28"/>
  <c r="M145" i="28"/>
  <c r="P144" i="28"/>
  <c r="O144" i="28"/>
  <c r="M144" i="28"/>
  <c r="P143" i="28"/>
  <c r="O143" i="28"/>
  <c r="M143" i="28"/>
  <c r="P142" i="28"/>
  <c r="O142" i="28"/>
  <c r="M142" i="28"/>
  <c r="P141" i="28"/>
  <c r="O141" i="28"/>
  <c r="M141" i="28"/>
  <c r="P140" i="28"/>
  <c r="O140" i="28"/>
  <c r="M140" i="28"/>
  <c r="P139" i="28"/>
  <c r="O139" i="28"/>
  <c r="M139" i="28"/>
  <c r="P138" i="28"/>
  <c r="O138" i="28"/>
  <c r="M138" i="28"/>
  <c r="P137" i="28"/>
  <c r="O137" i="28"/>
  <c r="M137" i="28"/>
  <c r="P136" i="28"/>
  <c r="O136" i="28"/>
  <c r="M136" i="28"/>
  <c r="P135" i="28"/>
  <c r="O135" i="28"/>
  <c r="M135" i="28"/>
  <c r="P134" i="28"/>
  <c r="O134" i="28"/>
  <c r="M134" i="28"/>
  <c r="P133" i="28"/>
  <c r="O133" i="28"/>
  <c r="M133" i="28"/>
  <c r="P132" i="28"/>
  <c r="O132" i="28"/>
  <c r="M132" i="28"/>
  <c r="P131" i="28"/>
  <c r="O131" i="28"/>
  <c r="M131" i="28"/>
  <c r="O130" i="28"/>
  <c r="M130" i="28"/>
  <c r="O129" i="28"/>
  <c r="M129" i="28"/>
  <c r="O128" i="28"/>
  <c r="M128" i="28"/>
  <c r="O127" i="28"/>
  <c r="M127" i="28"/>
  <c r="O126" i="28"/>
  <c r="M126" i="28"/>
  <c r="O125" i="28"/>
  <c r="M125" i="28"/>
  <c r="O124" i="28"/>
  <c r="M124" i="28"/>
  <c r="O123" i="28"/>
  <c r="M123" i="28"/>
  <c r="O122" i="28"/>
  <c r="M122" i="28"/>
  <c r="O121" i="28"/>
  <c r="M121" i="28"/>
  <c r="O120" i="28"/>
  <c r="M120" i="28"/>
  <c r="O119" i="28"/>
  <c r="M119" i="28"/>
  <c r="O118" i="28"/>
  <c r="M118" i="28"/>
  <c r="O117" i="28"/>
  <c r="M117" i="28"/>
  <c r="O116" i="28"/>
  <c r="M116" i="28"/>
  <c r="O115" i="28"/>
  <c r="M115" i="28"/>
  <c r="O114" i="28"/>
  <c r="M114" i="28"/>
  <c r="O113" i="28"/>
  <c r="M113" i="28"/>
  <c r="O112" i="28"/>
  <c r="M112" i="28"/>
  <c r="O111" i="28"/>
  <c r="M111" i="28"/>
  <c r="O110" i="28"/>
  <c r="M110" i="28"/>
  <c r="O109" i="28"/>
  <c r="M109" i="28"/>
  <c r="O106" i="28"/>
  <c r="O105" i="28"/>
  <c r="O104" i="28"/>
  <c r="D96" i="28"/>
  <c r="L93" i="28"/>
  <c r="J93" i="28"/>
  <c r="C99" i="28"/>
  <c r="C100" i="28" s="1"/>
  <c r="C101" i="28" s="1"/>
  <c r="C102" i="28" s="1"/>
  <c r="C103" i="28" s="1"/>
  <c r="C104" i="28" s="1"/>
  <c r="C105" i="28" s="1"/>
  <c r="C106" i="28" s="1"/>
  <c r="C107" i="28" s="1"/>
  <c r="C108" i="28" s="1"/>
  <c r="C109" i="28" s="1"/>
  <c r="C110" i="28" s="1"/>
  <c r="C111" i="28" s="1"/>
  <c r="C112" i="28" s="1"/>
  <c r="C113" i="28" s="1"/>
  <c r="C114" i="28" s="1"/>
  <c r="C115" i="28" s="1"/>
  <c r="C116" i="28" s="1"/>
  <c r="C117" i="28" s="1"/>
  <c r="C118" i="28" s="1"/>
  <c r="C119" i="28" s="1"/>
  <c r="C120" i="28" s="1"/>
  <c r="C121" i="28" s="1"/>
  <c r="C122" i="28" s="1"/>
  <c r="C123" i="28" s="1"/>
  <c r="C124" i="28" s="1"/>
  <c r="C125" i="28" s="1"/>
  <c r="C126" i="28" s="1"/>
  <c r="C127" i="28" s="1"/>
  <c r="C128" i="28" s="1"/>
  <c r="C129" i="28" s="1"/>
  <c r="C130" i="28" s="1"/>
  <c r="C131" i="28" s="1"/>
  <c r="C132" i="28" s="1"/>
  <c r="C133" i="28" s="1"/>
  <c r="C134" i="28" s="1"/>
  <c r="C135" i="28" s="1"/>
  <c r="C136" i="28" s="1"/>
  <c r="C137" i="28" s="1"/>
  <c r="C138" i="28" s="1"/>
  <c r="C139" i="28" s="1"/>
  <c r="C140" i="28" s="1"/>
  <c r="C141" i="28" s="1"/>
  <c r="C142" i="28" s="1"/>
  <c r="C143" i="28" s="1"/>
  <c r="C144" i="28" s="1"/>
  <c r="C145" i="28" s="1"/>
  <c r="C146" i="28" s="1"/>
  <c r="C147" i="28" s="1"/>
  <c r="C148" i="28" s="1"/>
  <c r="C149" i="28" s="1"/>
  <c r="C150" i="28" s="1"/>
  <c r="C151" i="28" s="1"/>
  <c r="C152" i="28" s="1"/>
  <c r="C153" i="28" s="1"/>
  <c r="C154" i="28" s="1"/>
  <c r="D92" i="28"/>
  <c r="D91" i="28"/>
  <c r="D89" i="28"/>
  <c r="N72" i="28"/>
  <c r="L72" i="28"/>
  <c r="N71" i="28"/>
  <c r="L71" i="28"/>
  <c r="N70" i="28"/>
  <c r="L70" i="28"/>
  <c r="N69" i="28"/>
  <c r="L69" i="28"/>
  <c r="N68" i="28"/>
  <c r="L68" i="28"/>
  <c r="N67" i="28"/>
  <c r="L67" i="28"/>
  <c r="N66" i="28"/>
  <c r="L66" i="28"/>
  <c r="N65" i="28"/>
  <c r="L65" i="28"/>
  <c r="N64" i="28"/>
  <c r="L64" i="28"/>
  <c r="N63" i="28"/>
  <c r="L63" i="28"/>
  <c r="N62" i="28"/>
  <c r="L62" i="28"/>
  <c r="N61" i="28"/>
  <c r="L61" i="28"/>
  <c r="N60" i="28"/>
  <c r="L60" i="28"/>
  <c r="N59" i="28"/>
  <c r="L59" i="28"/>
  <c r="N58" i="28"/>
  <c r="L58" i="28"/>
  <c r="N57" i="28"/>
  <c r="L57" i="28"/>
  <c r="N56" i="28"/>
  <c r="L56" i="28"/>
  <c r="N55" i="28"/>
  <c r="L55" i="28"/>
  <c r="N54" i="28"/>
  <c r="L54" i="28"/>
  <c r="N53" i="28"/>
  <c r="L53" i="28"/>
  <c r="N52" i="28"/>
  <c r="L52" i="28"/>
  <c r="N51" i="28"/>
  <c r="L51" i="28"/>
  <c r="N50" i="28"/>
  <c r="L50" i="28"/>
  <c r="N49" i="28"/>
  <c r="L49" i="28"/>
  <c r="N48" i="28"/>
  <c r="L48" i="28"/>
  <c r="N47" i="28"/>
  <c r="L47" i="28"/>
  <c r="N46" i="28"/>
  <c r="L46" i="28"/>
  <c r="N45" i="28"/>
  <c r="L45" i="28"/>
  <c r="N44" i="28"/>
  <c r="L44" i="28"/>
  <c r="N43" i="28"/>
  <c r="L43" i="28"/>
  <c r="N42" i="28"/>
  <c r="L42" i="28"/>
  <c r="N41" i="28"/>
  <c r="L41" i="28"/>
  <c r="N40" i="28"/>
  <c r="L40" i="28"/>
  <c r="N39" i="28"/>
  <c r="L39" i="28"/>
  <c r="N38" i="28"/>
  <c r="L38" i="28"/>
  <c r="N37" i="28"/>
  <c r="L37" i="28"/>
  <c r="N36" i="28"/>
  <c r="L36" i="28"/>
  <c r="N35" i="28"/>
  <c r="L35" i="28"/>
  <c r="N34" i="28"/>
  <c r="L34" i="28"/>
  <c r="N33" i="28"/>
  <c r="L33" i="28"/>
  <c r="N32" i="28"/>
  <c r="L32" i="28"/>
  <c r="N31" i="28"/>
  <c r="L31" i="28"/>
  <c r="N30" i="28"/>
  <c r="L30" i="28"/>
  <c r="N29" i="28"/>
  <c r="L29" i="28"/>
  <c r="N28" i="28"/>
  <c r="L28" i="28"/>
  <c r="N26" i="28"/>
  <c r="N25" i="28"/>
  <c r="N24" i="28"/>
  <c r="N23" i="28"/>
  <c r="N22" i="28"/>
  <c r="C17" i="28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C30" i="28" s="1"/>
  <c r="C31" i="28" s="1"/>
  <c r="C32" i="28" s="1"/>
  <c r="C33" i="28" s="1"/>
  <c r="C34" i="28" s="1"/>
  <c r="C35" i="28" s="1"/>
  <c r="C36" i="28" s="1"/>
  <c r="C37" i="28" s="1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58" i="28" s="1"/>
  <c r="C59" i="28" s="1"/>
  <c r="C60" i="28" s="1"/>
  <c r="C61" i="28" s="1"/>
  <c r="C62" i="28" s="1"/>
  <c r="C63" i="28" s="1"/>
  <c r="C64" i="28" s="1"/>
  <c r="C65" i="28" s="1"/>
  <c r="C66" i="28" s="1"/>
  <c r="C67" i="28" s="1"/>
  <c r="C68" i="28" s="1"/>
  <c r="C69" i="28" s="1"/>
  <c r="C70" i="28" s="1"/>
  <c r="C71" i="28" s="1"/>
  <c r="C72" i="28" s="1"/>
  <c r="K11" i="28"/>
  <c r="I11" i="28"/>
  <c r="D94" i="27"/>
  <c r="D92" i="27"/>
  <c r="M17" i="27"/>
  <c r="N17" i="27" s="1"/>
  <c r="K17" i="27"/>
  <c r="L17" i="27" s="1"/>
  <c r="N101" i="25"/>
  <c r="O101" i="25" s="1"/>
  <c r="L101" i="25"/>
  <c r="M101" i="25" s="1"/>
  <c r="N100" i="25"/>
  <c r="O100" i="25" s="1"/>
  <c r="L100" i="25"/>
  <c r="M100" i="25" s="1"/>
  <c r="N99" i="25"/>
  <c r="O99" i="25" s="1"/>
  <c r="L99" i="25"/>
  <c r="M99" i="25" s="1"/>
  <c r="M20" i="25"/>
  <c r="N20" i="25" s="1"/>
  <c r="K20" i="25"/>
  <c r="L20" i="25" s="1"/>
  <c r="D92" i="24"/>
  <c r="N100" i="23"/>
  <c r="O100" i="23" s="1"/>
  <c r="L100" i="23"/>
  <c r="M100" i="23" s="1"/>
  <c r="M19" i="23"/>
  <c r="N19" i="23" s="1"/>
  <c r="K19" i="23"/>
  <c r="L19" i="23" s="1"/>
  <c r="N101" i="22"/>
  <c r="O101" i="22" s="1"/>
  <c r="L101" i="22"/>
  <c r="M101" i="22" s="1"/>
  <c r="M20" i="22"/>
  <c r="N20" i="22" s="1"/>
  <c r="K20" i="22"/>
  <c r="L20" i="22" s="1"/>
  <c r="N104" i="11"/>
  <c r="O104" i="11" s="1"/>
  <c r="L104" i="11"/>
  <c r="M104" i="11" s="1"/>
  <c r="M23" i="11"/>
  <c r="N23" i="11" s="1"/>
  <c r="K23" i="11"/>
  <c r="L23" i="11" s="1"/>
  <c r="N105" i="10"/>
  <c r="O105" i="10" s="1"/>
  <c r="L105" i="10"/>
  <c r="M105" i="10" s="1"/>
  <c r="M24" i="10"/>
  <c r="N24" i="10" s="1"/>
  <c r="K24" i="10"/>
  <c r="L24" i="10" s="1"/>
  <c r="N104" i="9"/>
  <c r="O104" i="9" s="1"/>
  <c r="L104" i="9"/>
  <c r="M104" i="9" s="1"/>
  <c r="M23" i="9"/>
  <c r="N23" i="9" s="1"/>
  <c r="K23" i="9"/>
  <c r="L23" i="9" s="1"/>
  <c r="N103" i="8"/>
  <c r="O103" i="8" s="1"/>
  <c r="L103" i="8"/>
  <c r="M103" i="8" s="1"/>
  <c r="M22" i="8"/>
  <c r="N22" i="8" s="1"/>
  <c r="K22" i="8"/>
  <c r="L22" i="8" s="1"/>
  <c r="N105" i="7"/>
  <c r="O105" i="7" s="1"/>
  <c r="L105" i="7"/>
  <c r="M105" i="7" s="1"/>
  <c r="M24" i="7"/>
  <c r="N24" i="7" s="1"/>
  <c r="K24" i="7"/>
  <c r="L24" i="7" s="1"/>
  <c r="N103" i="6"/>
  <c r="O103" i="6" s="1"/>
  <c r="L103" i="6"/>
  <c r="M103" i="6" s="1"/>
  <c r="M22" i="6"/>
  <c r="N22" i="6" s="1"/>
  <c r="K22" i="6"/>
  <c r="L22" i="6" s="1"/>
  <c r="M21" i="5"/>
  <c r="N21" i="5" s="1"/>
  <c r="K21" i="5"/>
  <c r="L21" i="5" s="1"/>
  <c r="N102" i="4"/>
  <c r="O102" i="4" s="1"/>
  <c r="L102" i="4"/>
  <c r="M102" i="4" s="1"/>
  <c r="M21" i="4"/>
  <c r="N21" i="4" s="1"/>
  <c r="K21" i="4"/>
  <c r="L21" i="4" s="1"/>
  <c r="N102" i="3"/>
  <c r="O102" i="3" s="1"/>
  <c r="L102" i="3"/>
  <c r="M102" i="3" s="1"/>
  <c r="M21" i="3"/>
  <c r="N21" i="3" s="1"/>
  <c r="K21" i="3"/>
  <c r="L21" i="3" s="1"/>
  <c r="P86" i="6"/>
  <c r="O5" i="6"/>
  <c r="P87" i="6" s="1"/>
  <c r="J153" i="25"/>
  <c r="J154" i="25"/>
  <c r="J152" i="25"/>
  <c r="J151" i="25"/>
  <c r="J150" i="25"/>
  <c r="J149" i="25"/>
  <c r="J148" i="25"/>
  <c r="J147" i="25"/>
  <c r="J146" i="25"/>
  <c r="J145" i="25"/>
  <c r="J144" i="25"/>
  <c r="J143" i="25"/>
  <c r="J142" i="25"/>
  <c r="J141" i="25"/>
  <c r="J140" i="25"/>
  <c r="J139" i="25"/>
  <c r="J138" i="25"/>
  <c r="J137" i="25"/>
  <c r="J136" i="25"/>
  <c r="J135" i="25"/>
  <c r="J134" i="25"/>
  <c r="J133" i="25"/>
  <c r="M19" i="25"/>
  <c r="N19" i="25" s="1"/>
  <c r="M18" i="25"/>
  <c r="N18" i="25" s="1"/>
  <c r="K19" i="25"/>
  <c r="L19" i="25" s="1"/>
  <c r="K18" i="25"/>
  <c r="L18" i="25" s="1"/>
  <c r="I19" i="25"/>
  <c r="C17" i="25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C30" i="25" s="1"/>
  <c r="C31" i="25" s="1"/>
  <c r="C32" i="25" s="1"/>
  <c r="C33" i="25" s="1"/>
  <c r="C34" i="25" s="1"/>
  <c r="C35" i="25" s="1"/>
  <c r="C36" i="25" s="1"/>
  <c r="C37" i="25" s="1"/>
  <c r="C38" i="25" s="1"/>
  <c r="C39" i="25" s="1"/>
  <c r="C40" i="25" s="1"/>
  <c r="C41" i="25" s="1"/>
  <c r="C42" i="25" s="1"/>
  <c r="C43" i="25" s="1"/>
  <c r="C44" i="25" s="1"/>
  <c r="C45" i="25" s="1"/>
  <c r="C46" i="25" s="1"/>
  <c r="C47" i="25" s="1"/>
  <c r="C48" i="25" s="1"/>
  <c r="C49" i="25" s="1"/>
  <c r="C50" i="25" s="1"/>
  <c r="C51" i="25" s="1"/>
  <c r="C52" i="25" s="1"/>
  <c r="C53" i="25" s="1"/>
  <c r="C54" i="25" s="1"/>
  <c r="C55" i="25" s="1"/>
  <c r="C56" i="25" s="1"/>
  <c r="C57" i="25" s="1"/>
  <c r="C58" i="25" s="1"/>
  <c r="C59" i="25" s="1"/>
  <c r="C60" i="25" s="1"/>
  <c r="C61" i="25" s="1"/>
  <c r="C62" i="25" s="1"/>
  <c r="C63" i="25" s="1"/>
  <c r="C64" i="25" s="1"/>
  <c r="C65" i="25" s="1"/>
  <c r="C66" i="25" s="1"/>
  <c r="C67" i="25" s="1"/>
  <c r="C68" i="25" s="1"/>
  <c r="C69" i="25" s="1"/>
  <c r="C70" i="25" s="1"/>
  <c r="C71" i="25" s="1"/>
  <c r="C72" i="25" s="1"/>
  <c r="J131" i="24"/>
  <c r="J132" i="24"/>
  <c r="J133" i="24"/>
  <c r="J134" i="24"/>
  <c r="J135" i="24"/>
  <c r="J136" i="24"/>
  <c r="J137" i="24"/>
  <c r="J138" i="24"/>
  <c r="J139" i="24"/>
  <c r="J140" i="24"/>
  <c r="J141" i="24"/>
  <c r="J142" i="24"/>
  <c r="J143" i="24"/>
  <c r="J144" i="24"/>
  <c r="J145" i="24"/>
  <c r="J146" i="24"/>
  <c r="C17" i="24"/>
  <c r="C18" i="24" s="1"/>
  <c r="C19" i="24" s="1"/>
  <c r="C20" i="24" s="1"/>
  <c r="C21" i="24" s="1"/>
  <c r="C22" i="24" s="1"/>
  <c r="C23" i="24" s="1"/>
  <c r="C24" i="24" s="1"/>
  <c r="C25" i="24" s="1"/>
  <c r="C26" i="24" s="1"/>
  <c r="C27" i="24" s="1"/>
  <c r="C28" i="24" s="1"/>
  <c r="C29" i="24" s="1"/>
  <c r="C30" i="24" s="1"/>
  <c r="C31" i="24" s="1"/>
  <c r="C32" i="24" s="1"/>
  <c r="C33" i="24" s="1"/>
  <c r="C34" i="24" s="1"/>
  <c r="C35" i="24" s="1"/>
  <c r="C36" i="24" s="1"/>
  <c r="C37" i="24" s="1"/>
  <c r="C38" i="24" s="1"/>
  <c r="C39" i="24" s="1"/>
  <c r="C40" i="24" s="1"/>
  <c r="C41" i="24" s="1"/>
  <c r="C42" i="24" s="1"/>
  <c r="C43" i="24" s="1"/>
  <c r="C44" i="24" s="1"/>
  <c r="C45" i="24" s="1"/>
  <c r="C46" i="24" s="1"/>
  <c r="C47" i="24" s="1"/>
  <c r="C48" i="24" s="1"/>
  <c r="C49" i="24" s="1"/>
  <c r="C50" i="24" s="1"/>
  <c r="C51" i="24" s="1"/>
  <c r="C52" i="24" s="1"/>
  <c r="C53" i="24" s="1"/>
  <c r="C54" i="24" s="1"/>
  <c r="C55" i="24" s="1"/>
  <c r="C56" i="24" s="1"/>
  <c r="C57" i="24" s="1"/>
  <c r="C58" i="24" s="1"/>
  <c r="C59" i="24" s="1"/>
  <c r="C60" i="24" s="1"/>
  <c r="C61" i="24" s="1"/>
  <c r="C62" i="24" s="1"/>
  <c r="C63" i="24" s="1"/>
  <c r="C64" i="24" s="1"/>
  <c r="C65" i="24" s="1"/>
  <c r="C66" i="24" s="1"/>
  <c r="C67" i="24" s="1"/>
  <c r="C68" i="24" s="1"/>
  <c r="C69" i="24" s="1"/>
  <c r="C70" i="24" s="1"/>
  <c r="C71" i="24" s="1"/>
  <c r="C72" i="24" s="1"/>
  <c r="W31" i="17"/>
  <c r="P31" i="17"/>
  <c r="P154" i="27"/>
  <c r="O154" i="27"/>
  <c r="M154" i="27"/>
  <c r="P153" i="27"/>
  <c r="O153" i="27"/>
  <c r="M153" i="27"/>
  <c r="P152" i="27"/>
  <c r="O152" i="27"/>
  <c r="M152" i="27"/>
  <c r="P151" i="27"/>
  <c r="O151" i="27"/>
  <c r="M151" i="27"/>
  <c r="P150" i="27"/>
  <c r="O150" i="27"/>
  <c r="M150" i="27"/>
  <c r="P149" i="27"/>
  <c r="O149" i="27"/>
  <c r="M149" i="27"/>
  <c r="P148" i="27"/>
  <c r="O148" i="27"/>
  <c r="M148" i="27"/>
  <c r="P147" i="27"/>
  <c r="O147" i="27"/>
  <c r="M147" i="27"/>
  <c r="P146" i="27"/>
  <c r="O146" i="27"/>
  <c r="M146" i="27"/>
  <c r="P145" i="27"/>
  <c r="O145" i="27"/>
  <c r="M145" i="27"/>
  <c r="P144" i="27"/>
  <c r="O144" i="27"/>
  <c r="M144" i="27"/>
  <c r="P143" i="27"/>
  <c r="O143" i="27"/>
  <c r="M143" i="27"/>
  <c r="P142" i="27"/>
  <c r="O142" i="27"/>
  <c r="M142" i="27"/>
  <c r="P141" i="27"/>
  <c r="O141" i="27"/>
  <c r="M141" i="27"/>
  <c r="P140" i="27"/>
  <c r="O140" i="27"/>
  <c r="M140" i="27"/>
  <c r="P139" i="27"/>
  <c r="O139" i="27"/>
  <c r="M139" i="27"/>
  <c r="P138" i="27"/>
  <c r="O138" i="27"/>
  <c r="M138" i="27"/>
  <c r="P137" i="27"/>
  <c r="O137" i="27"/>
  <c r="M137" i="27"/>
  <c r="P136" i="27"/>
  <c r="O136" i="27"/>
  <c r="M136" i="27"/>
  <c r="P135" i="27"/>
  <c r="O135" i="27"/>
  <c r="M135" i="27"/>
  <c r="P134" i="27"/>
  <c r="O134" i="27"/>
  <c r="M134" i="27"/>
  <c r="P133" i="27"/>
  <c r="O133" i="27"/>
  <c r="M133" i="27"/>
  <c r="P132" i="27"/>
  <c r="O132" i="27"/>
  <c r="M132" i="27"/>
  <c r="P131" i="27"/>
  <c r="O131" i="27"/>
  <c r="M131" i="27"/>
  <c r="O130" i="27"/>
  <c r="M130" i="27"/>
  <c r="O129" i="27"/>
  <c r="M129" i="27"/>
  <c r="O128" i="27"/>
  <c r="M128" i="27"/>
  <c r="O127" i="27"/>
  <c r="M127" i="27"/>
  <c r="O126" i="27"/>
  <c r="M126" i="27"/>
  <c r="O125" i="27"/>
  <c r="M125" i="27"/>
  <c r="O124" i="27"/>
  <c r="M124" i="27"/>
  <c r="O123" i="27"/>
  <c r="M123" i="27"/>
  <c r="O122" i="27"/>
  <c r="M122" i="27"/>
  <c r="O121" i="27"/>
  <c r="M121" i="27"/>
  <c r="O120" i="27"/>
  <c r="M120" i="27"/>
  <c r="O119" i="27"/>
  <c r="M119" i="27"/>
  <c r="O118" i="27"/>
  <c r="M118" i="27"/>
  <c r="O117" i="27"/>
  <c r="M117" i="27"/>
  <c r="O116" i="27"/>
  <c r="M116" i="27"/>
  <c r="O115" i="27"/>
  <c r="M115" i="27"/>
  <c r="O114" i="27"/>
  <c r="M114" i="27"/>
  <c r="O113" i="27"/>
  <c r="M113" i="27"/>
  <c r="O112" i="27"/>
  <c r="M112" i="27"/>
  <c r="O111" i="27"/>
  <c r="M111" i="27"/>
  <c r="O110" i="27"/>
  <c r="M110" i="27"/>
  <c r="O107" i="27"/>
  <c r="O106" i="27"/>
  <c r="O105" i="27"/>
  <c r="D96" i="27"/>
  <c r="L93" i="27"/>
  <c r="J93" i="27"/>
  <c r="D91" i="27"/>
  <c r="D89" i="27"/>
  <c r="N72" i="27"/>
  <c r="L72" i="27"/>
  <c r="N71" i="27"/>
  <c r="L71" i="27"/>
  <c r="N70" i="27"/>
  <c r="L70" i="27"/>
  <c r="N69" i="27"/>
  <c r="L69" i="27"/>
  <c r="N68" i="27"/>
  <c r="L68" i="27"/>
  <c r="N67" i="27"/>
  <c r="L67" i="27"/>
  <c r="N66" i="27"/>
  <c r="L66" i="27"/>
  <c r="N65" i="27"/>
  <c r="L65" i="27"/>
  <c r="N64" i="27"/>
  <c r="L64" i="27"/>
  <c r="N63" i="27"/>
  <c r="L63" i="27"/>
  <c r="N62" i="27"/>
  <c r="L62" i="27"/>
  <c r="N61" i="27"/>
  <c r="L61" i="27"/>
  <c r="N60" i="27"/>
  <c r="L60" i="27"/>
  <c r="N59" i="27"/>
  <c r="L59" i="27"/>
  <c r="N58" i="27"/>
  <c r="L58" i="27"/>
  <c r="N57" i="27"/>
  <c r="L57" i="27"/>
  <c r="N56" i="27"/>
  <c r="L56" i="27"/>
  <c r="N55" i="27"/>
  <c r="L55" i="27"/>
  <c r="N54" i="27"/>
  <c r="L54" i="27"/>
  <c r="N53" i="27"/>
  <c r="L53" i="27"/>
  <c r="N52" i="27"/>
  <c r="L52" i="27"/>
  <c r="N51" i="27"/>
  <c r="L51" i="27"/>
  <c r="N50" i="27"/>
  <c r="L50" i="27"/>
  <c r="N49" i="27"/>
  <c r="L49" i="27"/>
  <c r="N48" i="27"/>
  <c r="L48" i="27"/>
  <c r="N47" i="27"/>
  <c r="L47" i="27"/>
  <c r="N46" i="27"/>
  <c r="L46" i="27"/>
  <c r="N45" i="27"/>
  <c r="L45" i="27"/>
  <c r="N44" i="27"/>
  <c r="L44" i="27"/>
  <c r="N43" i="27"/>
  <c r="L43" i="27"/>
  <c r="N42" i="27"/>
  <c r="L42" i="27"/>
  <c r="N41" i="27"/>
  <c r="L41" i="27"/>
  <c r="N40" i="27"/>
  <c r="L40" i="27"/>
  <c r="N39" i="27"/>
  <c r="L39" i="27"/>
  <c r="N38" i="27"/>
  <c r="L38" i="27"/>
  <c r="N37" i="27"/>
  <c r="L37" i="27"/>
  <c r="N36" i="27"/>
  <c r="L36" i="27"/>
  <c r="N35" i="27"/>
  <c r="L35" i="27"/>
  <c r="N34" i="27"/>
  <c r="L34" i="27"/>
  <c r="N33" i="27"/>
  <c r="L33" i="27"/>
  <c r="N32" i="27"/>
  <c r="L32" i="27"/>
  <c r="N31" i="27"/>
  <c r="L31" i="27"/>
  <c r="N30" i="27"/>
  <c r="L30" i="27"/>
  <c r="N29" i="27"/>
  <c r="L29" i="27"/>
  <c r="N27" i="27"/>
  <c r="N26" i="27"/>
  <c r="N25" i="27"/>
  <c r="N24" i="27"/>
  <c r="N23" i="27"/>
  <c r="O23" i="27" s="1"/>
  <c r="C17" i="27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C29" i="27" s="1"/>
  <c r="C30" i="27" s="1"/>
  <c r="C31" i="27" s="1"/>
  <c r="C32" i="27" s="1"/>
  <c r="C33" i="27" s="1"/>
  <c r="C34" i="27" s="1"/>
  <c r="C35" i="27" s="1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C67" i="27" s="1"/>
  <c r="C68" i="27" s="1"/>
  <c r="C69" i="27" s="1"/>
  <c r="C70" i="27" s="1"/>
  <c r="C71" i="27" s="1"/>
  <c r="C72" i="27" s="1"/>
  <c r="K11" i="27"/>
  <c r="I11" i="27"/>
  <c r="M17" i="25"/>
  <c r="N17" i="25" s="1"/>
  <c r="K17" i="25"/>
  <c r="L17" i="25" s="1"/>
  <c r="M17" i="24"/>
  <c r="N17" i="24" s="1"/>
  <c r="K17" i="24"/>
  <c r="L17" i="24" s="1"/>
  <c r="N99" i="23"/>
  <c r="O99" i="23" s="1"/>
  <c r="L99" i="23"/>
  <c r="M99" i="23" s="1"/>
  <c r="M18" i="23"/>
  <c r="N18" i="23" s="1"/>
  <c r="K18" i="23"/>
  <c r="L18" i="23" s="1"/>
  <c r="N100" i="22"/>
  <c r="O100" i="22" s="1"/>
  <c r="L100" i="22"/>
  <c r="M100" i="22" s="1"/>
  <c r="M19" i="22"/>
  <c r="N19" i="22" s="1"/>
  <c r="K19" i="22"/>
  <c r="L19" i="22" s="1"/>
  <c r="N103" i="11"/>
  <c r="O103" i="11" s="1"/>
  <c r="L103" i="11"/>
  <c r="M103" i="11" s="1"/>
  <c r="M22" i="11"/>
  <c r="N22" i="11" s="1"/>
  <c r="K22" i="11"/>
  <c r="L22" i="11" s="1"/>
  <c r="N104" i="10"/>
  <c r="O104" i="10" s="1"/>
  <c r="L104" i="10"/>
  <c r="M104" i="10" s="1"/>
  <c r="M23" i="10"/>
  <c r="N23" i="10" s="1"/>
  <c r="K23" i="10"/>
  <c r="L23" i="10" s="1"/>
  <c r="N103" i="9"/>
  <c r="O103" i="9" s="1"/>
  <c r="L103" i="9"/>
  <c r="M103" i="9" s="1"/>
  <c r="M22" i="9"/>
  <c r="N22" i="9" s="1"/>
  <c r="K22" i="9"/>
  <c r="L22" i="9" s="1"/>
  <c r="N102" i="8"/>
  <c r="O102" i="8" s="1"/>
  <c r="L102" i="8"/>
  <c r="M102" i="8" s="1"/>
  <c r="M21" i="8"/>
  <c r="N21" i="8" s="1"/>
  <c r="K21" i="8"/>
  <c r="L21" i="8" s="1"/>
  <c r="N104" i="7"/>
  <c r="O104" i="7" s="1"/>
  <c r="L104" i="7"/>
  <c r="M104" i="7" s="1"/>
  <c r="M23" i="7"/>
  <c r="N23" i="7" s="1"/>
  <c r="K23" i="7"/>
  <c r="L23" i="7" s="1"/>
  <c r="N102" i="6"/>
  <c r="O102" i="6" s="1"/>
  <c r="L102" i="6"/>
  <c r="M102" i="6" s="1"/>
  <c r="M21" i="6"/>
  <c r="N21" i="6" s="1"/>
  <c r="K21" i="6"/>
  <c r="L21" i="6" s="1"/>
  <c r="N101" i="5"/>
  <c r="O101" i="5" s="1"/>
  <c r="L101" i="5"/>
  <c r="M101" i="5" s="1"/>
  <c r="M20" i="5"/>
  <c r="N20" i="5" s="1"/>
  <c r="K20" i="5"/>
  <c r="L20" i="5" s="1"/>
  <c r="N101" i="4"/>
  <c r="O101" i="4" s="1"/>
  <c r="L101" i="4"/>
  <c r="M101" i="4" s="1"/>
  <c r="M20" i="4"/>
  <c r="N20" i="4" s="1"/>
  <c r="K20" i="4"/>
  <c r="L20" i="4" s="1"/>
  <c r="N101" i="3"/>
  <c r="O101" i="3" s="1"/>
  <c r="L101" i="3"/>
  <c r="M101" i="3" s="1"/>
  <c r="M20" i="3"/>
  <c r="N20" i="3" s="1"/>
  <c r="K20" i="3"/>
  <c r="L20" i="3" s="1"/>
  <c r="I10" i="45"/>
  <c r="F81" i="2"/>
  <c r="C17" i="3"/>
  <c r="C18" i="3" s="1"/>
  <c r="C19" i="3" s="1"/>
  <c r="C20" i="3" s="1"/>
  <c r="C21" i="3" s="1"/>
  <c r="C22" i="3" s="1"/>
  <c r="C23" i="3" s="1"/>
  <c r="C24" i="3" s="1"/>
  <c r="C25" i="3" s="1"/>
  <c r="C26" i="3" s="1"/>
  <c r="C27" i="3" s="1"/>
  <c r="C28" i="3" s="1"/>
  <c r="C29" i="3" s="1"/>
  <c r="C30" i="3" s="1"/>
  <c r="C31" i="3" s="1"/>
  <c r="C32" i="3" s="1"/>
  <c r="C33" i="3" s="1"/>
  <c r="C34" i="3" s="1"/>
  <c r="C35" i="3" s="1"/>
  <c r="C36" i="3" s="1"/>
  <c r="C37" i="3" s="1"/>
  <c r="C38" i="3" s="1"/>
  <c r="C39" i="3" s="1"/>
  <c r="C40" i="3" s="1"/>
  <c r="C41" i="3" s="1"/>
  <c r="C42" i="3" s="1"/>
  <c r="C43" i="3" s="1"/>
  <c r="C44" i="3" s="1"/>
  <c r="C45" i="3" s="1"/>
  <c r="C46" i="3" s="1"/>
  <c r="C47" i="3" s="1"/>
  <c r="C48" i="3" s="1"/>
  <c r="C49" i="3" s="1"/>
  <c r="C50" i="3" s="1"/>
  <c r="C51" i="3" s="1"/>
  <c r="C52" i="3" s="1"/>
  <c r="C53" i="3" s="1"/>
  <c r="C54" i="3" s="1"/>
  <c r="C55" i="3" s="1"/>
  <c r="C56" i="3" s="1"/>
  <c r="C57" i="3" s="1"/>
  <c r="C58" i="3" s="1"/>
  <c r="C59" i="3" s="1"/>
  <c r="C60" i="3" s="1"/>
  <c r="C61" i="3" s="1"/>
  <c r="C62" i="3" s="1"/>
  <c r="C63" i="3" s="1"/>
  <c r="C64" i="3" s="1"/>
  <c r="C65" i="3" s="1"/>
  <c r="C66" i="3" s="1"/>
  <c r="C67" i="3" s="1"/>
  <c r="C68" i="3" s="1"/>
  <c r="C69" i="3" s="1"/>
  <c r="C70" i="3" s="1"/>
  <c r="C71" i="3" s="1"/>
  <c r="C72" i="3" s="1"/>
  <c r="K19" i="3"/>
  <c r="L19" i="3" s="1"/>
  <c r="P18" i="17"/>
  <c r="C17" i="4"/>
  <c r="C18" i="4" s="1"/>
  <c r="C19" i="4" s="1"/>
  <c r="C20" i="4" s="1"/>
  <c r="C21" i="4" s="1"/>
  <c r="C22" i="4" s="1"/>
  <c r="C23" i="4" s="1"/>
  <c r="C24" i="4" s="1"/>
  <c r="C25" i="4" s="1"/>
  <c r="C26" i="4" s="1"/>
  <c r="C27" i="4" s="1"/>
  <c r="C28" i="4" s="1"/>
  <c r="C29" i="4" s="1"/>
  <c r="C30" i="4" s="1"/>
  <c r="C31" i="4" s="1"/>
  <c r="C32" i="4" s="1"/>
  <c r="C33" i="4" s="1"/>
  <c r="C34" i="4" s="1"/>
  <c r="C35" i="4" s="1"/>
  <c r="C36" i="4" s="1"/>
  <c r="C37" i="4" s="1"/>
  <c r="C38" i="4" s="1"/>
  <c r="C39" i="4" s="1"/>
  <c r="C40" i="4" s="1"/>
  <c r="C41" i="4" s="1"/>
  <c r="C42" i="4" s="1"/>
  <c r="C43" i="4" s="1"/>
  <c r="C44" i="4" s="1"/>
  <c r="C45" i="4" s="1"/>
  <c r="C46" i="4" s="1"/>
  <c r="C47" i="4" s="1"/>
  <c r="C48" i="4" s="1"/>
  <c r="C49" i="4" s="1"/>
  <c r="C50" i="4" s="1"/>
  <c r="C51" i="4" s="1"/>
  <c r="C52" i="4" s="1"/>
  <c r="C53" i="4" s="1"/>
  <c r="C54" i="4" s="1"/>
  <c r="C55" i="4" s="1"/>
  <c r="C56" i="4" s="1"/>
  <c r="C57" i="4" s="1"/>
  <c r="C58" i="4" s="1"/>
  <c r="C59" i="4" s="1"/>
  <c r="C60" i="4" s="1"/>
  <c r="C61" i="4" s="1"/>
  <c r="C62" i="4" s="1"/>
  <c r="C63" i="4" s="1"/>
  <c r="C64" i="4" s="1"/>
  <c r="C65" i="4" s="1"/>
  <c r="C66" i="4" s="1"/>
  <c r="C67" i="4" s="1"/>
  <c r="C68" i="4" s="1"/>
  <c r="C69" i="4" s="1"/>
  <c r="C70" i="4" s="1"/>
  <c r="C71" i="4" s="1"/>
  <c r="C72" i="4" s="1"/>
  <c r="K19" i="4"/>
  <c r="L19" i="4" s="1"/>
  <c r="P19" i="17"/>
  <c r="C17" i="5"/>
  <c r="C18" i="5" s="1"/>
  <c r="C19" i="5" s="1"/>
  <c r="C20" i="5" s="1"/>
  <c r="C21" i="5" s="1"/>
  <c r="C22" i="5" s="1"/>
  <c r="C23" i="5" s="1"/>
  <c r="C24" i="5" s="1"/>
  <c r="C25" i="5" s="1"/>
  <c r="C26" i="5" s="1"/>
  <c r="C27" i="5" s="1"/>
  <c r="C28" i="5" s="1"/>
  <c r="C29" i="5" s="1"/>
  <c r="C30" i="5" s="1"/>
  <c r="C31" i="5" s="1"/>
  <c r="C32" i="5" s="1"/>
  <c r="C33" i="5" s="1"/>
  <c r="C34" i="5" s="1"/>
  <c r="C35" i="5" s="1"/>
  <c r="C36" i="5" s="1"/>
  <c r="C37" i="5" s="1"/>
  <c r="C38" i="5" s="1"/>
  <c r="C39" i="5" s="1"/>
  <c r="C40" i="5" s="1"/>
  <c r="C41" i="5" s="1"/>
  <c r="C42" i="5" s="1"/>
  <c r="C43" i="5" s="1"/>
  <c r="C44" i="5" s="1"/>
  <c r="K19" i="5"/>
  <c r="L19" i="5" s="1"/>
  <c r="P20" i="17"/>
  <c r="C17" i="6"/>
  <c r="C18" i="6" s="1"/>
  <c r="C19" i="6" s="1"/>
  <c r="C20" i="6" s="1"/>
  <c r="C21" i="6" s="1"/>
  <c r="C22" i="6" s="1"/>
  <c r="C23" i="6" s="1"/>
  <c r="C24" i="6" s="1"/>
  <c r="C25" i="6" s="1"/>
  <c r="C26" i="6" s="1"/>
  <c r="C27" i="6" s="1"/>
  <c r="C28" i="6" s="1"/>
  <c r="C29" i="6" s="1"/>
  <c r="C30" i="6" s="1"/>
  <c r="C31" i="6" s="1"/>
  <c r="C32" i="6" s="1"/>
  <c r="C33" i="6" s="1"/>
  <c r="C34" i="6" s="1"/>
  <c r="C35" i="6" s="1"/>
  <c r="C36" i="6" s="1"/>
  <c r="C37" i="6" s="1"/>
  <c r="C38" i="6" s="1"/>
  <c r="C39" i="6" s="1"/>
  <c r="C40" i="6" s="1"/>
  <c r="C41" i="6" s="1"/>
  <c r="C42" i="6" s="1"/>
  <c r="C43" i="6" s="1"/>
  <c r="C44" i="6" s="1"/>
  <c r="C45" i="6" s="1"/>
  <c r="C46" i="6" s="1"/>
  <c r="C47" i="6" s="1"/>
  <c r="C48" i="6" s="1"/>
  <c r="C49" i="6" s="1"/>
  <c r="C50" i="6" s="1"/>
  <c r="C51" i="6" s="1"/>
  <c r="C52" i="6" s="1"/>
  <c r="C53" i="6" s="1"/>
  <c r="C54" i="6" s="1"/>
  <c r="C55" i="6" s="1"/>
  <c r="C56" i="6" s="1"/>
  <c r="C57" i="6" s="1"/>
  <c r="C58" i="6" s="1"/>
  <c r="C59" i="6" s="1"/>
  <c r="C60" i="6" s="1"/>
  <c r="C61" i="6" s="1"/>
  <c r="C62" i="6" s="1"/>
  <c r="C63" i="6" s="1"/>
  <c r="C64" i="6" s="1"/>
  <c r="C65" i="6" s="1"/>
  <c r="C66" i="6" s="1"/>
  <c r="C67" i="6" s="1"/>
  <c r="C68" i="6" s="1"/>
  <c r="C69" i="6" s="1"/>
  <c r="C70" i="6" s="1"/>
  <c r="C71" i="6" s="1"/>
  <c r="C72" i="6" s="1"/>
  <c r="K20" i="6"/>
  <c r="L20" i="6" s="1"/>
  <c r="P21" i="17"/>
  <c r="C17" i="7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K22" i="7"/>
  <c r="L22" i="7" s="1"/>
  <c r="P22" i="17"/>
  <c r="C17" i="8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C38" i="8" s="1"/>
  <c r="C39" i="8" s="1"/>
  <c r="C40" i="8" s="1"/>
  <c r="C41" i="8" s="1"/>
  <c r="C42" i="8" s="1"/>
  <c r="C43" i="8" s="1"/>
  <c r="C44" i="8" s="1"/>
  <c r="C45" i="8" s="1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K20" i="8"/>
  <c r="L20" i="8" s="1"/>
  <c r="P23" i="17"/>
  <c r="C17" i="9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C38" i="9" s="1"/>
  <c r="C39" i="9" s="1"/>
  <c r="C40" i="9" s="1"/>
  <c r="C41" i="9" s="1"/>
  <c r="C42" i="9" s="1"/>
  <c r="C43" i="9" s="1"/>
  <c r="C44" i="9" s="1"/>
  <c r="C45" i="9" s="1"/>
  <c r="C46" i="9" s="1"/>
  <c r="C47" i="9" s="1"/>
  <c r="C48" i="9" s="1"/>
  <c r="C49" i="9" s="1"/>
  <c r="C50" i="9" s="1"/>
  <c r="C51" i="9" s="1"/>
  <c r="C52" i="9" s="1"/>
  <c r="C53" i="9" s="1"/>
  <c r="C54" i="9" s="1"/>
  <c r="C55" i="9" s="1"/>
  <c r="C56" i="9" s="1"/>
  <c r="C57" i="9" s="1"/>
  <c r="C58" i="9" s="1"/>
  <c r="C59" i="9" s="1"/>
  <c r="C60" i="9" s="1"/>
  <c r="C61" i="9" s="1"/>
  <c r="C62" i="9" s="1"/>
  <c r="C63" i="9" s="1"/>
  <c r="C64" i="9" s="1"/>
  <c r="C65" i="9" s="1"/>
  <c r="C66" i="9" s="1"/>
  <c r="C67" i="9" s="1"/>
  <c r="C68" i="9" s="1"/>
  <c r="C69" i="9" s="1"/>
  <c r="C70" i="9" s="1"/>
  <c r="C71" i="9" s="1"/>
  <c r="C72" i="9" s="1"/>
  <c r="K21" i="9"/>
  <c r="L21" i="9" s="1"/>
  <c r="P24" i="17"/>
  <c r="C17" i="10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K22" i="10"/>
  <c r="L22" i="10" s="1"/>
  <c r="P25" i="17"/>
  <c r="C17" i="11"/>
  <c r="C18" i="11" s="1"/>
  <c r="C19" i="11" s="1"/>
  <c r="C20" i="11" s="1"/>
  <c r="C21" i="11" s="1"/>
  <c r="C22" i="11" s="1"/>
  <c r="C23" i="11" s="1"/>
  <c r="C24" i="11" s="1"/>
  <c r="C25" i="11" s="1"/>
  <c r="C26" i="11" s="1"/>
  <c r="C27" i="11" s="1"/>
  <c r="C28" i="11" s="1"/>
  <c r="C29" i="11" s="1"/>
  <c r="C30" i="11" s="1"/>
  <c r="C31" i="11" s="1"/>
  <c r="C32" i="11" s="1"/>
  <c r="C33" i="11" s="1"/>
  <c r="C34" i="11" s="1"/>
  <c r="C35" i="11" s="1"/>
  <c r="C36" i="11" s="1"/>
  <c r="C37" i="11" s="1"/>
  <c r="C38" i="11" s="1"/>
  <c r="C39" i="11" s="1"/>
  <c r="C40" i="11" s="1"/>
  <c r="C41" i="11" s="1"/>
  <c r="C42" i="11" s="1"/>
  <c r="C43" i="11" s="1"/>
  <c r="C44" i="11" s="1"/>
  <c r="K21" i="11"/>
  <c r="L21" i="11" s="1"/>
  <c r="P26" i="17"/>
  <c r="C17" i="22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K18" i="22"/>
  <c r="L18" i="22" s="1"/>
  <c r="P27" i="17"/>
  <c r="C17" i="23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K17" i="23"/>
  <c r="L17" i="23" s="1"/>
  <c r="P28" i="17"/>
  <c r="P29" i="17"/>
  <c r="P30" i="17"/>
  <c r="W29" i="17"/>
  <c r="W30" i="17"/>
  <c r="C17" i="13"/>
  <c r="C18" i="13" s="1"/>
  <c r="C19" i="13" s="1"/>
  <c r="C20" i="13" s="1"/>
  <c r="C21" i="13" s="1"/>
  <c r="C22" i="13" s="1"/>
  <c r="C23" i="13" s="1"/>
  <c r="C24" i="13" s="1"/>
  <c r="C25" i="13" s="1"/>
  <c r="C26" i="13" s="1"/>
  <c r="C27" i="13" s="1"/>
  <c r="C28" i="13" s="1"/>
  <c r="C29" i="13" s="1"/>
  <c r="C30" i="13" s="1"/>
  <c r="C31" i="13" s="1"/>
  <c r="C32" i="13" s="1"/>
  <c r="C33" i="13" s="1"/>
  <c r="C34" i="13" s="1"/>
  <c r="C35" i="13" s="1"/>
  <c r="C36" i="13" s="1"/>
  <c r="C37" i="13" s="1"/>
  <c r="C38" i="13" s="1"/>
  <c r="C39" i="13" s="1"/>
  <c r="C40" i="13" s="1"/>
  <c r="C41" i="13" s="1"/>
  <c r="C42" i="13" s="1"/>
  <c r="C43" i="13" s="1"/>
  <c r="C44" i="13" s="1"/>
  <c r="C45" i="13" s="1"/>
  <c r="C46" i="13" s="1"/>
  <c r="C47" i="13" s="1"/>
  <c r="C48" i="13" s="1"/>
  <c r="C49" i="13" s="1"/>
  <c r="C50" i="13" s="1"/>
  <c r="C51" i="13" s="1"/>
  <c r="C52" i="13" s="1"/>
  <c r="C53" i="13" s="1"/>
  <c r="C54" i="13" s="1"/>
  <c r="C55" i="13" s="1"/>
  <c r="C56" i="13" s="1"/>
  <c r="C57" i="13" s="1"/>
  <c r="C58" i="13" s="1"/>
  <c r="C59" i="13" s="1"/>
  <c r="C60" i="13" s="1"/>
  <c r="C61" i="13" s="1"/>
  <c r="C62" i="13" s="1"/>
  <c r="C63" i="13" s="1"/>
  <c r="C64" i="13" s="1"/>
  <c r="C65" i="13" s="1"/>
  <c r="C66" i="13" s="1"/>
  <c r="C67" i="13" s="1"/>
  <c r="C68" i="13" s="1"/>
  <c r="C69" i="13" s="1"/>
  <c r="C70" i="13" s="1"/>
  <c r="C71" i="13" s="1"/>
  <c r="C72" i="13" s="1"/>
  <c r="M19" i="3"/>
  <c r="N19" i="3" s="1"/>
  <c r="M19" i="4"/>
  <c r="N19" i="4" s="1"/>
  <c r="M19" i="5"/>
  <c r="N19" i="5" s="1"/>
  <c r="M20" i="6"/>
  <c r="N20" i="6" s="1"/>
  <c r="M22" i="7"/>
  <c r="N22" i="7" s="1"/>
  <c r="M20" i="8"/>
  <c r="N20" i="8" s="1"/>
  <c r="M21" i="9"/>
  <c r="N21" i="9" s="1"/>
  <c r="M22" i="10"/>
  <c r="N22" i="10" s="1"/>
  <c r="M21" i="11"/>
  <c r="N21" i="11" s="1"/>
  <c r="M18" i="22"/>
  <c r="N18" i="22" s="1"/>
  <c r="M17" i="23"/>
  <c r="N17" i="23" s="1"/>
  <c r="F81" i="1"/>
  <c r="F90" i="1"/>
  <c r="P1" i="25"/>
  <c r="P83" i="25" s="1"/>
  <c r="I11" i="25"/>
  <c r="K11" i="25"/>
  <c r="N27" i="25"/>
  <c r="N28" i="25"/>
  <c r="N29" i="25"/>
  <c r="N30" i="25"/>
  <c r="L32" i="25"/>
  <c r="N32" i="25"/>
  <c r="L33" i="25"/>
  <c r="N33" i="25"/>
  <c r="L34" i="25"/>
  <c r="N34" i="25"/>
  <c r="L35" i="25"/>
  <c r="N35" i="25"/>
  <c r="L36" i="25"/>
  <c r="N36" i="25"/>
  <c r="L37" i="25"/>
  <c r="N37" i="25"/>
  <c r="L38" i="25"/>
  <c r="N38" i="25"/>
  <c r="L39" i="25"/>
  <c r="N39" i="25"/>
  <c r="L40" i="25"/>
  <c r="N40" i="25"/>
  <c r="L41" i="25"/>
  <c r="N41" i="25"/>
  <c r="L42" i="25"/>
  <c r="N42" i="25"/>
  <c r="L43" i="25"/>
  <c r="N43" i="25"/>
  <c r="L44" i="25"/>
  <c r="N44" i="25"/>
  <c r="L45" i="25"/>
  <c r="N45" i="25"/>
  <c r="L46" i="25"/>
  <c r="N46" i="25"/>
  <c r="L47" i="25"/>
  <c r="N47" i="25"/>
  <c r="L48" i="25"/>
  <c r="N48" i="25"/>
  <c r="L49" i="25"/>
  <c r="N49" i="25"/>
  <c r="L50" i="25"/>
  <c r="N50" i="25"/>
  <c r="L51" i="25"/>
  <c r="N51" i="25"/>
  <c r="L52" i="25"/>
  <c r="N52" i="25"/>
  <c r="L53" i="25"/>
  <c r="N53" i="25"/>
  <c r="L54" i="25"/>
  <c r="N54" i="25"/>
  <c r="L55" i="25"/>
  <c r="N55" i="25"/>
  <c r="L56" i="25"/>
  <c r="N56" i="25"/>
  <c r="L57" i="25"/>
  <c r="N57" i="25"/>
  <c r="L58" i="25"/>
  <c r="N58" i="25"/>
  <c r="L59" i="25"/>
  <c r="N59" i="25"/>
  <c r="L60" i="25"/>
  <c r="N60" i="25"/>
  <c r="L61" i="25"/>
  <c r="N61" i="25"/>
  <c r="L62" i="25"/>
  <c r="N62" i="25"/>
  <c r="L63" i="25"/>
  <c r="N63" i="25"/>
  <c r="L64" i="25"/>
  <c r="N64" i="25"/>
  <c r="L65" i="25"/>
  <c r="N65" i="25"/>
  <c r="L66" i="25"/>
  <c r="N66" i="25"/>
  <c r="L67" i="25"/>
  <c r="N67" i="25"/>
  <c r="L68" i="25"/>
  <c r="N68" i="25"/>
  <c r="L69" i="25"/>
  <c r="N69" i="25"/>
  <c r="L70" i="25"/>
  <c r="N70" i="25"/>
  <c r="L71" i="25"/>
  <c r="N71" i="25"/>
  <c r="L72" i="25"/>
  <c r="N72" i="25"/>
  <c r="D89" i="25"/>
  <c r="D91" i="25"/>
  <c r="J93" i="25"/>
  <c r="L93" i="25"/>
  <c r="D96" i="25"/>
  <c r="M113" i="25"/>
  <c r="M114" i="25"/>
  <c r="M115" i="25"/>
  <c r="M116" i="25"/>
  <c r="M117" i="25"/>
  <c r="M118" i="25"/>
  <c r="M119" i="25"/>
  <c r="M120" i="25"/>
  <c r="M121" i="25"/>
  <c r="M122" i="25"/>
  <c r="M123" i="25"/>
  <c r="M124" i="25"/>
  <c r="M125" i="25"/>
  <c r="M126" i="25"/>
  <c r="M127" i="25"/>
  <c r="M128" i="25"/>
  <c r="M129" i="25"/>
  <c r="M130" i="25"/>
  <c r="M131" i="25"/>
  <c r="P131" i="25"/>
  <c r="M132" i="25"/>
  <c r="P132" i="25"/>
  <c r="M133" i="25"/>
  <c r="P133" i="25"/>
  <c r="M134" i="25"/>
  <c r="P134" i="25"/>
  <c r="M135" i="25"/>
  <c r="P135" i="25"/>
  <c r="M136" i="25"/>
  <c r="P136" i="25"/>
  <c r="M137" i="25"/>
  <c r="P137" i="25"/>
  <c r="M138" i="25"/>
  <c r="P138" i="25"/>
  <c r="M139" i="25"/>
  <c r="P139" i="25"/>
  <c r="M140" i="25"/>
  <c r="P140" i="25"/>
  <c r="M141" i="25"/>
  <c r="P141" i="25"/>
  <c r="M142" i="25"/>
  <c r="P142" i="25"/>
  <c r="M143" i="25"/>
  <c r="P143" i="25"/>
  <c r="M144" i="25"/>
  <c r="P144" i="25"/>
  <c r="M145" i="25"/>
  <c r="P145" i="25"/>
  <c r="M146" i="25"/>
  <c r="P146" i="25"/>
  <c r="M147" i="25"/>
  <c r="P147" i="25"/>
  <c r="M148" i="25"/>
  <c r="P148" i="25"/>
  <c r="M149" i="25"/>
  <c r="P149" i="25"/>
  <c r="M150" i="25"/>
  <c r="P150" i="25"/>
  <c r="M151" i="25"/>
  <c r="P151" i="25"/>
  <c r="M152" i="25"/>
  <c r="P152" i="25"/>
  <c r="M153" i="25"/>
  <c r="P153" i="25"/>
  <c r="M154" i="25"/>
  <c r="P154" i="25"/>
  <c r="N99" i="22"/>
  <c r="O99" i="22" s="1"/>
  <c r="L99" i="22"/>
  <c r="M99" i="22" s="1"/>
  <c r="N102" i="11"/>
  <c r="O102" i="11" s="1"/>
  <c r="L102" i="11"/>
  <c r="M102" i="11" s="1"/>
  <c r="N103" i="10"/>
  <c r="O103" i="10" s="1"/>
  <c r="L103" i="10"/>
  <c r="M103" i="10" s="1"/>
  <c r="N102" i="9"/>
  <c r="O102" i="9" s="1"/>
  <c r="L102" i="9"/>
  <c r="M102" i="9" s="1"/>
  <c r="N101" i="8"/>
  <c r="O101" i="8" s="1"/>
  <c r="L101" i="8"/>
  <c r="M101" i="8" s="1"/>
  <c r="N103" i="7"/>
  <c r="O103" i="7" s="1"/>
  <c r="L103" i="7"/>
  <c r="M103" i="7" s="1"/>
  <c r="N101" i="6"/>
  <c r="O101" i="6" s="1"/>
  <c r="L101" i="6"/>
  <c r="M101" i="6" s="1"/>
  <c r="N100" i="5"/>
  <c r="O100" i="5" s="1"/>
  <c r="L100" i="5"/>
  <c r="M100" i="5" s="1"/>
  <c r="N100" i="4"/>
  <c r="O100" i="4" s="1"/>
  <c r="L100" i="4"/>
  <c r="M100" i="4" s="1"/>
  <c r="P1" i="24"/>
  <c r="P83" i="24" s="1"/>
  <c r="I11" i="24"/>
  <c r="K11" i="24"/>
  <c r="N25" i="24"/>
  <c r="N26" i="24"/>
  <c r="N27" i="24"/>
  <c r="N28" i="24"/>
  <c r="L30" i="24"/>
  <c r="N30" i="24"/>
  <c r="L31" i="24"/>
  <c r="N31" i="24"/>
  <c r="L32" i="24"/>
  <c r="N32" i="24"/>
  <c r="L33" i="24"/>
  <c r="N33" i="24"/>
  <c r="L34" i="24"/>
  <c r="N34" i="24"/>
  <c r="L35" i="24"/>
  <c r="N35" i="24"/>
  <c r="L36" i="24"/>
  <c r="N36" i="24"/>
  <c r="L37" i="24"/>
  <c r="N37" i="24"/>
  <c r="L38" i="24"/>
  <c r="N38" i="24"/>
  <c r="L39" i="24"/>
  <c r="N39" i="24"/>
  <c r="L40" i="24"/>
  <c r="N40" i="24"/>
  <c r="L41" i="24"/>
  <c r="N41" i="24"/>
  <c r="L42" i="24"/>
  <c r="N42" i="24"/>
  <c r="L43" i="24"/>
  <c r="N43" i="24"/>
  <c r="L44" i="24"/>
  <c r="N44" i="24"/>
  <c r="L45" i="24"/>
  <c r="N45" i="24"/>
  <c r="L46" i="24"/>
  <c r="N46" i="24"/>
  <c r="L47" i="24"/>
  <c r="N47" i="24"/>
  <c r="L48" i="24"/>
  <c r="N48" i="24"/>
  <c r="L49" i="24"/>
  <c r="N49" i="24"/>
  <c r="L50" i="24"/>
  <c r="N50" i="24"/>
  <c r="L51" i="24"/>
  <c r="N51" i="24"/>
  <c r="L52" i="24"/>
  <c r="N52" i="24"/>
  <c r="L53" i="24"/>
  <c r="N53" i="24"/>
  <c r="L54" i="24"/>
  <c r="N54" i="24"/>
  <c r="L55" i="24"/>
  <c r="N55" i="24"/>
  <c r="L56" i="24"/>
  <c r="N56" i="24"/>
  <c r="L57" i="24"/>
  <c r="N57" i="24"/>
  <c r="L58" i="24"/>
  <c r="N58" i="24"/>
  <c r="L59" i="24"/>
  <c r="N59" i="24"/>
  <c r="L60" i="24"/>
  <c r="N60" i="24"/>
  <c r="L61" i="24"/>
  <c r="N61" i="24"/>
  <c r="L62" i="24"/>
  <c r="N62" i="24"/>
  <c r="L63" i="24"/>
  <c r="N63" i="24"/>
  <c r="L64" i="24"/>
  <c r="N64" i="24"/>
  <c r="L65" i="24"/>
  <c r="N65" i="24"/>
  <c r="L66" i="24"/>
  <c r="N66" i="24"/>
  <c r="L67" i="24"/>
  <c r="N67" i="24"/>
  <c r="L68" i="24"/>
  <c r="N68" i="24"/>
  <c r="L69" i="24"/>
  <c r="N69" i="24"/>
  <c r="L70" i="24"/>
  <c r="N70" i="24"/>
  <c r="L71" i="24"/>
  <c r="N71" i="24"/>
  <c r="L72" i="24"/>
  <c r="N72" i="24"/>
  <c r="D89" i="24"/>
  <c r="D91" i="24"/>
  <c r="J93" i="24"/>
  <c r="L93" i="24"/>
  <c r="D96" i="24"/>
  <c r="O106" i="24"/>
  <c r="O107" i="24"/>
  <c r="O108" i="24"/>
  <c r="M111" i="24"/>
  <c r="O111" i="24"/>
  <c r="M112" i="24"/>
  <c r="O112" i="24"/>
  <c r="M113" i="24"/>
  <c r="O113" i="24"/>
  <c r="M114" i="24"/>
  <c r="O114" i="24"/>
  <c r="M115" i="24"/>
  <c r="O115" i="24"/>
  <c r="M116" i="24"/>
  <c r="O116" i="24"/>
  <c r="M117" i="24"/>
  <c r="O117" i="24"/>
  <c r="M118" i="24"/>
  <c r="O118" i="24"/>
  <c r="M119" i="24"/>
  <c r="O119" i="24"/>
  <c r="M120" i="24"/>
  <c r="O120" i="24"/>
  <c r="M121" i="24"/>
  <c r="O121" i="24"/>
  <c r="M122" i="24"/>
  <c r="O122" i="24"/>
  <c r="M123" i="24"/>
  <c r="O123" i="24"/>
  <c r="M124" i="24"/>
  <c r="O124" i="24"/>
  <c r="M125" i="24"/>
  <c r="O125" i="24"/>
  <c r="M126" i="24"/>
  <c r="O126" i="24"/>
  <c r="M127" i="24"/>
  <c r="O127" i="24"/>
  <c r="M128" i="24"/>
  <c r="O128" i="24"/>
  <c r="M129" i="24"/>
  <c r="O129" i="24"/>
  <c r="M130" i="24"/>
  <c r="O130" i="24"/>
  <c r="M131" i="24"/>
  <c r="O131" i="24"/>
  <c r="P131" i="24"/>
  <c r="M132" i="24"/>
  <c r="O132" i="24"/>
  <c r="P132" i="24"/>
  <c r="M133" i="24"/>
  <c r="O133" i="24"/>
  <c r="P133" i="24"/>
  <c r="M134" i="24"/>
  <c r="O134" i="24"/>
  <c r="P134" i="24"/>
  <c r="M135" i="24"/>
  <c r="O135" i="24"/>
  <c r="P135" i="24"/>
  <c r="M136" i="24"/>
  <c r="O136" i="24"/>
  <c r="P136" i="24"/>
  <c r="M137" i="24"/>
  <c r="O137" i="24"/>
  <c r="P137" i="24"/>
  <c r="M138" i="24"/>
  <c r="O138" i="24"/>
  <c r="P138" i="24"/>
  <c r="M139" i="24"/>
  <c r="O139" i="24"/>
  <c r="P139" i="24"/>
  <c r="M140" i="24"/>
  <c r="O140" i="24"/>
  <c r="P140" i="24"/>
  <c r="M141" i="24"/>
  <c r="O141" i="24"/>
  <c r="P141" i="24"/>
  <c r="M142" i="24"/>
  <c r="O142" i="24"/>
  <c r="P142" i="24"/>
  <c r="M143" i="24"/>
  <c r="O143" i="24"/>
  <c r="P143" i="24"/>
  <c r="M144" i="24"/>
  <c r="O144" i="24"/>
  <c r="P144" i="24"/>
  <c r="M145" i="24"/>
  <c r="O145" i="24"/>
  <c r="P145" i="24"/>
  <c r="M146" i="24"/>
  <c r="O146" i="24"/>
  <c r="P146" i="24"/>
  <c r="J147" i="24"/>
  <c r="M147" i="24"/>
  <c r="O147" i="24"/>
  <c r="P147" i="24"/>
  <c r="J148" i="24"/>
  <c r="M148" i="24"/>
  <c r="O148" i="24"/>
  <c r="P148" i="24"/>
  <c r="J149" i="24"/>
  <c r="M149" i="24"/>
  <c r="O149" i="24"/>
  <c r="P149" i="24"/>
  <c r="J150" i="24"/>
  <c r="M150" i="24"/>
  <c r="O150" i="24"/>
  <c r="P150" i="24"/>
  <c r="J151" i="24"/>
  <c r="M151" i="24"/>
  <c r="O151" i="24"/>
  <c r="P151" i="24"/>
  <c r="J152" i="24"/>
  <c r="M152" i="24"/>
  <c r="O152" i="24"/>
  <c r="P152" i="24"/>
  <c r="J153" i="24"/>
  <c r="M153" i="24"/>
  <c r="O153" i="24"/>
  <c r="P153" i="24"/>
  <c r="J154" i="24"/>
  <c r="M154" i="24"/>
  <c r="O154" i="24"/>
  <c r="P154" i="24"/>
  <c r="N100" i="3"/>
  <c r="O100" i="3" s="1"/>
  <c r="L100" i="3"/>
  <c r="M100" i="3" s="1"/>
  <c r="M18" i="3"/>
  <c r="N18" i="3" s="1"/>
  <c r="K21" i="10"/>
  <c r="L21" i="10" s="1"/>
  <c r="K18" i="3"/>
  <c r="L18" i="3" s="1"/>
  <c r="K18" i="4"/>
  <c r="L18" i="4" s="1"/>
  <c r="K18" i="5"/>
  <c r="L18" i="5" s="1"/>
  <c r="K19" i="6"/>
  <c r="L19" i="6" s="1"/>
  <c r="K21" i="7"/>
  <c r="L21" i="7" s="1"/>
  <c r="K19" i="8"/>
  <c r="L19" i="8" s="1"/>
  <c r="K20" i="9"/>
  <c r="L20" i="9" s="1"/>
  <c r="K20" i="11"/>
  <c r="L20" i="11" s="1"/>
  <c r="K17" i="22"/>
  <c r="L17" i="22" s="1"/>
  <c r="W28" i="17"/>
  <c r="B19" i="23"/>
  <c r="I17" i="23"/>
  <c r="P1" i="23"/>
  <c r="P83" i="23" s="1"/>
  <c r="I11" i="23"/>
  <c r="K11" i="23"/>
  <c r="B18" i="23"/>
  <c r="N26" i="23"/>
  <c r="N27" i="23"/>
  <c r="N28" i="23"/>
  <c r="N29" i="23"/>
  <c r="L31" i="23"/>
  <c r="N31" i="23"/>
  <c r="L32" i="23"/>
  <c r="N32" i="23"/>
  <c r="L33" i="23"/>
  <c r="N33" i="23"/>
  <c r="L34" i="23"/>
  <c r="N34" i="23"/>
  <c r="L35" i="23"/>
  <c r="N35" i="23"/>
  <c r="L36" i="23"/>
  <c r="N36" i="23"/>
  <c r="L37" i="23"/>
  <c r="N37" i="23"/>
  <c r="L38" i="23"/>
  <c r="N38" i="23"/>
  <c r="L39" i="23"/>
  <c r="N39" i="23"/>
  <c r="L40" i="23"/>
  <c r="N40" i="23"/>
  <c r="L41" i="23"/>
  <c r="N41" i="23"/>
  <c r="L42" i="23"/>
  <c r="N42" i="23"/>
  <c r="L43" i="23"/>
  <c r="N43" i="23"/>
  <c r="L44" i="23"/>
  <c r="N44" i="23"/>
  <c r="L45" i="23"/>
  <c r="N45" i="23"/>
  <c r="L46" i="23"/>
  <c r="N46" i="23"/>
  <c r="L47" i="23"/>
  <c r="N47" i="23"/>
  <c r="L48" i="23"/>
  <c r="N48" i="23"/>
  <c r="L49" i="23"/>
  <c r="N49" i="23"/>
  <c r="L50" i="23"/>
  <c r="N50" i="23"/>
  <c r="L51" i="23"/>
  <c r="N51" i="23"/>
  <c r="L52" i="23"/>
  <c r="N52" i="23"/>
  <c r="L53" i="23"/>
  <c r="N53" i="23"/>
  <c r="L54" i="23"/>
  <c r="N54" i="23"/>
  <c r="L55" i="23"/>
  <c r="N55" i="23"/>
  <c r="L56" i="23"/>
  <c r="N56" i="23"/>
  <c r="L57" i="23"/>
  <c r="N57" i="23"/>
  <c r="L58" i="23"/>
  <c r="N58" i="23"/>
  <c r="L59" i="23"/>
  <c r="N59" i="23"/>
  <c r="L60" i="23"/>
  <c r="N60" i="23"/>
  <c r="L61" i="23"/>
  <c r="N61" i="23"/>
  <c r="L62" i="23"/>
  <c r="N62" i="23"/>
  <c r="L63" i="23"/>
  <c r="N63" i="23"/>
  <c r="L64" i="23"/>
  <c r="N64" i="23"/>
  <c r="L65" i="23"/>
  <c r="N65" i="23"/>
  <c r="L66" i="23"/>
  <c r="N66" i="23"/>
  <c r="L67" i="23"/>
  <c r="N67" i="23"/>
  <c r="L68" i="23"/>
  <c r="N68" i="23"/>
  <c r="L69" i="23"/>
  <c r="N69" i="23"/>
  <c r="L70" i="23"/>
  <c r="N70" i="23"/>
  <c r="L71" i="23"/>
  <c r="N71" i="23"/>
  <c r="L72" i="23"/>
  <c r="N72" i="23"/>
  <c r="D89" i="23"/>
  <c r="D91" i="23"/>
  <c r="J93" i="23"/>
  <c r="L93" i="23"/>
  <c r="D96" i="23"/>
  <c r="O107" i="23"/>
  <c r="O108" i="23"/>
  <c r="O109" i="23"/>
  <c r="M112" i="23"/>
  <c r="O112" i="23"/>
  <c r="M113" i="23"/>
  <c r="O113" i="23"/>
  <c r="M114" i="23"/>
  <c r="O114" i="23"/>
  <c r="M115" i="23"/>
  <c r="O115" i="23"/>
  <c r="M116" i="23"/>
  <c r="O116" i="23"/>
  <c r="M117" i="23"/>
  <c r="O117" i="23"/>
  <c r="M118" i="23"/>
  <c r="O118" i="23"/>
  <c r="M119" i="23"/>
  <c r="O119" i="23"/>
  <c r="M120" i="23"/>
  <c r="O120" i="23"/>
  <c r="M121" i="23"/>
  <c r="O121" i="23"/>
  <c r="M122" i="23"/>
  <c r="O122" i="23"/>
  <c r="M123" i="23"/>
  <c r="O123" i="23"/>
  <c r="M124" i="23"/>
  <c r="O124" i="23"/>
  <c r="M125" i="23"/>
  <c r="O125" i="23"/>
  <c r="M126" i="23"/>
  <c r="O126" i="23"/>
  <c r="M127" i="23"/>
  <c r="O127" i="23"/>
  <c r="M128" i="23"/>
  <c r="O128" i="23"/>
  <c r="M129" i="23"/>
  <c r="O129" i="23"/>
  <c r="M130" i="23"/>
  <c r="O130" i="23"/>
  <c r="J131" i="23"/>
  <c r="M131" i="23"/>
  <c r="O131" i="23"/>
  <c r="P131" i="23"/>
  <c r="J132" i="23"/>
  <c r="M132" i="23"/>
  <c r="O132" i="23"/>
  <c r="P132" i="23"/>
  <c r="J133" i="23"/>
  <c r="M133" i="23"/>
  <c r="O133" i="23"/>
  <c r="P133" i="23"/>
  <c r="J134" i="23"/>
  <c r="M134" i="23"/>
  <c r="O134" i="23"/>
  <c r="P134" i="23"/>
  <c r="J135" i="23"/>
  <c r="M135" i="23"/>
  <c r="O135" i="23"/>
  <c r="P135" i="23"/>
  <c r="J136" i="23"/>
  <c r="M136" i="23"/>
  <c r="O136" i="23"/>
  <c r="P136" i="23"/>
  <c r="J137" i="23"/>
  <c r="M137" i="23"/>
  <c r="O137" i="23"/>
  <c r="P137" i="23"/>
  <c r="J138" i="23"/>
  <c r="M138" i="23"/>
  <c r="O138" i="23"/>
  <c r="P138" i="23"/>
  <c r="J139" i="23"/>
  <c r="M139" i="23"/>
  <c r="O139" i="23"/>
  <c r="P139" i="23"/>
  <c r="J140" i="23"/>
  <c r="M140" i="23"/>
  <c r="O140" i="23"/>
  <c r="P140" i="23"/>
  <c r="J141" i="23"/>
  <c r="M141" i="23"/>
  <c r="O141" i="23"/>
  <c r="P141" i="23"/>
  <c r="J142" i="23"/>
  <c r="M142" i="23"/>
  <c r="O142" i="23"/>
  <c r="P142" i="23"/>
  <c r="J143" i="23"/>
  <c r="M143" i="23"/>
  <c r="O143" i="23"/>
  <c r="P143" i="23"/>
  <c r="J144" i="23"/>
  <c r="M144" i="23"/>
  <c r="O144" i="23"/>
  <c r="P144" i="23"/>
  <c r="J145" i="23"/>
  <c r="M145" i="23"/>
  <c r="O145" i="23"/>
  <c r="P145" i="23"/>
  <c r="J146" i="23"/>
  <c r="M146" i="23"/>
  <c r="O146" i="23"/>
  <c r="P146" i="23"/>
  <c r="J147" i="23"/>
  <c r="M147" i="23"/>
  <c r="O147" i="23"/>
  <c r="P147" i="23"/>
  <c r="J148" i="23"/>
  <c r="M148" i="23"/>
  <c r="O148" i="23"/>
  <c r="P148" i="23"/>
  <c r="J149" i="23"/>
  <c r="M149" i="23"/>
  <c r="O149" i="23"/>
  <c r="P149" i="23"/>
  <c r="J150" i="23"/>
  <c r="M150" i="23"/>
  <c r="O150" i="23"/>
  <c r="P150" i="23"/>
  <c r="J151" i="23"/>
  <c r="M151" i="23"/>
  <c r="O151" i="23"/>
  <c r="P151" i="23"/>
  <c r="J152" i="23"/>
  <c r="M152" i="23"/>
  <c r="O152" i="23"/>
  <c r="P152" i="23"/>
  <c r="J153" i="23"/>
  <c r="M153" i="23"/>
  <c r="O153" i="23"/>
  <c r="P153" i="23"/>
  <c r="J154" i="23"/>
  <c r="M154" i="23"/>
  <c r="O154" i="23"/>
  <c r="P154" i="23"/>
  <c r="M17" i="22"/>
  <c r="N17" i="22" s="1"/>
  <c r="N101" i="11"/>
  <c r="O101" i="11" s="1"/>
  <c r="L101" i="11"/>
  <c r="M101" i="11" s="1"/>
  <c r="M20" i="11"/>
  <c r="N20" i="11" s="1"/>
  <c r="M21" i="10"/>
  <c r="N21" i="10" s="1"/>
  <c r="N102" i="10"/>
  <c r="O102" i="10" s="1"/>
  <c r="L102" i="10"/>
  <c r="M102" i="10" s="1"/>
  <c r="M20" i="9"/>
  <c r="N20" i="9" s="1"/>
  <c r="N101" i="9"/>
  <c r="O101" i="9" s="1"/>
  <c r="L101" i="9"/>
  <c r="M101" i="9" s="1"/>
  <c r="N100" i="8"/>
  <c r="O100" i="8" s="1"/>
  <c r="L100" i="8"/>
  <c r="M100" i="8" s="1"/>
  <c r="M19" i="8"/>
  <c r="N19" i="8" s="1"/>
  <c r="N102" i="7"/>
  <c r="O102" i="7" s="1"/>
  <c r="L102" i="7"/>
  <c r="M102" i="7" s="1"/>
  <c r="M21" i="7"/>
  <c r="N21" i="7" s="1"/>
  <c r="N100" i="6"/>
  <c r="O100" i="6" s="1"/>
  <c r="L100" i="6"/>
  <c r="M100" i="6" s="1"/>
  <c r="M19" i="6"/>
  <c r="N19" i="6" s="1"/>
  <c r="N99" i="5"/>
  <c r="O99" i="5" s="1"/>
  <c r="L99" i="5"/>
  <c r="M99" i="5" s="1"/>
  <c r="M18" i="5"/>
  <c r="N18" i="5" s="1"/>
  <c r="N99" i="4"/>
  <c r="O99" i="4" s="1"/>
  <c r="L99" i="4"/>
  <c r="M99" i="4" s="1"/>
  <c r="M18" i="4"/>
  <c r="N18" i="4" s="1"/>
  <c r="N99" i="3"/>
  <c r="O99" i="3" s="1"/>
  <c r="L99" i="3"/>
  <c r="M99" i="3" s="1"/>
  <c r="L18" i="7"/>
  <c r="B100" i="7"/>
  <c r="B102" i="8"/>
  <c r="B101" i="8"/>
  <c r="B100" i="8"/>
  <c r="B103" i="9"/>
  <c r="B102" i="9"/>
  <c r="B101" i="9"/>
  <c r="B100" i="9"/>
  <c r="B104" i="10"/>
  <c r="B103" i="10"/>
  <c r="B102" i="10"/>
  <c r="B101" i="10"/>
  <c r="B100" i="10"/>
  <c r="B103" i="11"/>
  <c r="B102" i="11"/>
  <c r="B101" i="11"/>
  <c r="B100" i="11"/>
  <c r="B100" i="22"/>
  <c r="B104" i="7"/>
  <c r="B103" i="7"/>
  <c r="B20" i="8"/>
  <c r="B19" i="8"/>
  <c r="B18" i="8"/>
  <c r="B22" i="9"/>
  <c r="B21" i="9"/>
  <c r="B20" i="9"/>
  <c r="B19" i="9"/>
  <c r="B18" i="9"/>
  <c r="B23" i="10"/>
  <c r="B22" i="10"/>
  <c r="B21" i="10"/>
  <c r="B20" i="10"/>
  <c r="B19" i="10"/>
  <c r="B18" i="10"/>
  <c r="B22" i="11"/>
  <c r="B21" i="11"/>
  <c r="B20" i="11"/>
  <c r="B19" i="11"/>
  <c r="B18" i="11"/>
  <c r="B18" i="22"/>
  <c r="I14" i="13"/>
  <c r="B22" i="7"/>
  <c r="B101" i="4"/>
  <c r="B100" i="4"/>
  <c r="B101" i="5"/>
  <c r="B100" i="5"/>
  <c r="B101" i="3"/>
  <c r="B100" i="3"/>
  <c r="B20" i="4"/>
  <c r="B19" i="4"/>
  <c r="B18" i="4"/>
  <c r="B20" i="5"/>
  <c r="B19" i="5"/>
  <c r="B18" i="5"/>
  <c r="B19" i="3"/>
  <c r="B18" i="3"/>
  <c r="B18" i="6"/>
  <c r="B20" i="6"/>
  <c r="B19" i="6"/>
  <c r="B102" i="6"/>
  <c r="B101" i="6"/>
  <c r="B100" i="6"/>
  <c r="I18" i="3"/>
  <c r="I19" i="3"/>
  <c r="D90" i="4"/>
  <c r="D90" i="5"/>
  <c r="D90" i="6"/>
  <c r="D90" i="7"/>
  <c r="D90" i="8"/>
  <c r="D8" i="9"/>
  <c r="D90" i="9" s="1"/>
  <c r="W27" i="17"/>
  <c r="N99" i="6"/>
  <c r="O99" i="6" s="1"/>
  <c r="P1" i="22"/>
  <c r="P83" i="22" s="1"/>
  <c r="I11" i="22"/>
  <c r="K11" i="22"/>
  <c r="I17" i="22"/>
  <c r="I18" i="22"/>
  <c r="N27" i="22"/>
  <c r="N28" i="22"/>
  <c r="N29" i="22"/>
  <c r="N30" i="22"/>
  <c r="L32" i="22"/>
  <c r="N32" i="22"/>
  <c r="L33" i="22"/>
  <c r="N33" i="22"/>
  <c r="L34" i="22"/>
  <c r="N34" i="22"/>
  <c r="L35" i="22"/>
  <c r="N35" i="22"/>
  <c r="L36" i="22"/>
  <c r="N36" i="22"/>
  <c r="L37" i="22"/>
  <c r="N37" i="22"/>
  <c r="L38" i="22"/>
  <c r="N38" i="22"/>
  <c r="L39" i="22"/>
  <c r="N39" i="22"/>
  <c r="L40" i="22"/>
  <c r="N40" i="22"/>
  <c r="L41" i="22"/>
  <c r="N41" i="22"/>
  <c r="L42" i="22"/>
  <c r="N42" i="22"/>
  <c r="L43" i="22"/>
  <c r="N43" i="22"/>
  <c r="L44" i="22"/>
  <c r="N44" i="22"/>
  <c r="L45" i="22"/>
  <c r="N45" i="22"/>
  <c r="L46" i="22"/>
  <c r="N46" i="22"/>
  <c r="L47" i="22"/>
  <c r="N47" i="22"/>
  <c r="L48" i="22"/>
  <c r="N48" i="22"/>
  <c r="L49" i="22"/>
  <c r="N49" i="22"/>
  <c r="L50" i="22"/>
  <c r="N50" i="22"/>
  <c r="L51" i="22"/>
  <c r="N51" i="22"/>
  <c r="L52" i="22"/>
  <c r="N52" i="22"/>
  <c r="L53" i="22"/>
  <c r="N53" i="22"/>
  <c r="L54" i="22"/>
  <c r="N54" i="22"/>
  <c r="L55" i="22"/>
  <c r="N55" i="22"/>
  <c r="L56" i="22"/>
  <c r="N56" i="22"/>
  <c r="L57" i="22"/>
  <c r="N57" i="22"/>
  <c r="L58" i="22"/>
  <c r="N58" i="22"/>
  <c r="L59" i="22"/>
  <c r="N59" i="22"/>
  <c r="L60" i="22"/>
  <c r="N60" i="22"/>
  <c r="L61" i="22"/>
  <c r="N61" i="22"/>
  <c r="L62" i="22"/>
  <c r="N62" i="22"/>
  <c r="L63" i="22"/>
  <c r="N63" i="22"/>
  <c r="L64" i="22"/>
  <c r="N64" i="22"/>
  <c r="L65" i="22"/>
  <c r="N65" i="22"/>
  <c r="L66" i="22"/>
  <c r="N66" i="22"/>
  <c r="L67" i="22"/>
  <c r="N67" i="22"/>
  <c r="L68" i="22"/>
  <c r="N68" i="22"/>
  <c r="L69" i="22"/>
  <c r="N69" i="22"/>
  <c r="L70" i="22"/>
  <c r="N70" i="22"/>
  <c r="L71" i="22"/>
  <c r="N71" i="22"/>
  <c r="L72" i="22"/>
  <c r="N72" i="22"/>
  <c r="D89" i="22"/>
  <c r="D91" i="22"/>
  <c r="J93" i="22"/>
  <c r="L93" i="22"/>
  <c r="D96" i="22"/>
  <c r="J99" i="22"/>
  <c r="O108" i="22"/>
  <c r="O109" i="22"/>
  <c r="O110" i="22"/>
  <c r="M113" i="22"/>
  <c r="O113" i="22"/>
  <c r="M114" i="22"/>
  <c r="O114" i="22"/>
  <c r="M115" i="22"/>
  <c r="O115" i="22"/>
  <c r="M116" i="22"/>
  <c r="O116" i="22"/>
  <c r="M117" i="22"/>
  <c r="O117" i="22"/>
  <c r="M118" i="22"/>
  <c r="O118" i="22"/>
  <c r="M119" i="22"/>
  <c r="O119" i="22"/>
  <c r="M120" i="22"/>
  <c r="O120" i="22"/>
  <c r="M121" i="22"/>
  <c r="O121" i="22"/>
  <c r="M122" i="22"/>
  <c r="O122" i="22"/>
  <c r="M123" i="22"/>
  <c r="O123" i="22"/>
  <c r="M124" i="22"/>
  <c r="O124" i="22"/>
  <c r="M125" i="22"/>
  <c r="O125" i="22"/>
  <c r="M126" i="22"/>
  <c r="O126" i="22"/>
  <c r="M127" i="22"/>
  <c r="O127" i="22"/>
  <c r="M128" i="22"/>
  <c r="O128" i="22"/>
  <c r="M129" i="22"/>
  <c r="O129" i="22"/>
  <c r="M130" i="22"/>
  <c r="O130" i="22"/>
  <c r="J131" i="22"/>
  <c r="M131" i="22"/>
  <c r="O131" i="22"/>
  <c r="P131" i="22"/>
  <c r="J132" i="22"/>
  <c r="M132" i="22"/>
  <c r="O132" i="22"/>
  <c r="P132" i="22"/>
  <c r="J133" i="22"/>
  <c r="M133" i="22"/>
  <c r="O133" i="22"/>
  <c r="P133" i="22"/>
  <c r="J134" i="22"/>
  <c r="M134" i="22"/>
  <c r="O134" i="22"/>
  <c r="P134" i="22"/>
  <c r="J135" i="22"/>
  <c r="M135" i="22"/>
  <c r="O135" i="22"/>
  <c r="P135" i="22"/>
  <c r="J136" i="22"/>
  <c r="M136" i="22"/>
  <c r="O136" i="22"/>
  <c r="P136" i="22"/>
  <c r="J137" i="22"/>
  <c r="M137" i="22"/>
  <c r="O137" i="22"/>
  <c r="P137" i="22"/>
  <c r="J138" i="22"/>
  <c r="M138" i="22"/>
  <c r="O138" i="22"/>
  <c r="P138" i="22"/>
  <c r="J139" i="22"/>
  <c r="M139" i="22"/>
  <c r="O139" i="22"/>
  <c r="P139" i="22"/>
  <c r="J140" i="22"/>
  <c r="M140" i="22"/>
  <c r="O140" i="22"/>
  <c r="P140" i="22"/>
  <c r="J141" i="22"/>
  <c r="M141" i="22"/>
  <c r="O141" i="22"/>
  <c r="P141" i="22"/>
  <c r="J142" i="22"/>
  <c r="M142" i="22"/>
  <c r="O142" i="22"/>
  <c r="P142" i="22"/>
  <c r="J143" i="22"/>
  <c r="M143" i="22"/>
  <c r="O143" i="22"/>
  <c r="P143" i="22"/>
  <c r="J144" i="22"/>
  <c r="M144" i="22"/>
  <c r="O144" i="22"/>
  <c r="P144" i="22"/>
  <c r="J145" i="22"/>
  <c r="M145" i="22"/>
  <c r="O145" i="22"/>
  <c r="P145" i="22"/>
  <c r="J146" i="22"/>
  <c r="M146" i="22"/>
  <c r="O146" i="22"/>
  <c r="P146" i="22"/>
  <c r="J147" i="22"/>
  <c r="M147" i="22"/>
  <c r="O147" i="22"/>
  <c r="P147" i="22"/>
  <c r="J148" i="22"/>
  <c r="M148" i="22"/>
  <c r="O148" i="22"/>
  <c r="P148" i="22"/>
  <c r="J149" i="22"/>
  <c r="M149" i="22"/>
  <c r="O149" i="22"/>
  <c r="P149" i="22"/>
  <c r="J150" i="22"/>
  <c r="M150" i="22"/>
  <c r="O150" i="22"/>
  <c r="P150" i="22"/>
  <c r="J151" i="22"/>
  <c r="M151" i="22"/>
  <c r="O151" i="22"/>
  <c r="P151" i="22"/>
  <c r="J152" i="22"/>
  <c r="M152" i="22"/>
  <c r="O152" i="22"/>
  <c r="P152" i="22"/>
  <c r="J153" i="22"/>
  <c r="M153" i="22"/>
  <c r="O153" i="22"/>
  <c r="P153" i="22"/>
  <c r="J154" i="22"/>
  <c r="M154" i="22"/>
  <c r="O154" i="22"/>
  <c r="P154" i="22"/>
  <c r="P1" i="8"/>
  <c r="P83" i="8" s="1"/>
  <c r="P1" i="11"/>
  <c r="P83" i="11" s="1"/>
  <c r="G99" i="6"/>
  <c r="P12" i="17"/>
  <c r="L12" i="17"/>
  <c r="W26" i="17"/>
  <c r="W25" i="17"/>
  <c r="W24" i="17"/>
  <c r="W23" i="17"/>
  <c r="W22" i="17"/>
  <c r="W21" i="17"/>
  <c r="W20" i="17"/>
  <c r="W19" i="17"/>
  <c r="W18" i="17"/>
  <c r="G12" i="17"/>
  <c r="H3" i="3"/>
  <c r="H3" i="4"/>
  <c r="H3" i="5"/>
  <c r="H3" i="6"/>
  <c r="M101" i="7"/>
  <c r="C12" i="2"/>
  <c r="P1" i="13"/>
  <c r="P83" i="13" s="1"/>
  <c r="P1" i="4"/>
  <c r="P83" i="4" s="1"/>
  <c r="P1" i="5"/>
  <c r="P83" i="5" s="1"/>
  <c r="P1" i="6"/>
  <c r="P83" i="6" s="1"/>
  <c r="P1" i="7"/>
  <c r="P83" i="7" s="1"/>
  <c r="P1" i="9"/>
  <c r="P83" i="9" s="1"/>
  <c r="P1" i="10"/>
  <c r="P83" i="10" s="1"/>
  <c r="P1" i="3"/>
  <c r="P83" i="3" s="1"/>
  <c r="O3" i="3"/>
  <c r="A5" i="2"/>
  <c r="A1" i="2"/>
  <c r="F13" i="2"/>
  <c r="C79" i="2" s="1"/>
  <c r="C89" i="2"/>
  <c r="I11" i="13"/>
  <c r="K11" i="13"/>
  <c r="L17" i="13"/>
  <c r="N17" i="13"/>
  <c r="L18" i="13"/>
  <c r="N18" i="13"/>
  <c r="L19" i="13"/>
  <c r="N19" i="13"/>
  <c r="L20" i="13"/>
  <c r="N20" i="13"/>
  <c r="L21" i="13"/>
  <c r="N21" i="13"/>
  <c r="L22" i="13"/>
  <c r="N22" i="13"/>
  <c r="L23" i="13"/>
  <c r="N23" i="13"/>
  <c r="L24" i="13"/>
  <c r="N24" i="13"/>
  <c r="L25" i="13"/>
  <c r="N25" i="13"/>
  <c r="L26" i="13"/>
  <c r="N26" i="13"/>
  <c r="L27" i="13"/>
  <c r="N27" i="13"/>
  <c r="L28" i="13"/>
  <c r="N28" i="13"/>
  <c r="L29" i="13"/>
  <c r="N29" i="13"/>
  <c r="L30" i="13"/>
  <c r="N30" i="13"/>
  <c r="L31" i="13"/>
  <c r="N31" i="13"/>
  <c r="L32" i="13"/>
  <c r="N32" i="13"/>
  <c r="L33" i="13"/>
  <c r="N33" i="13"/>
  <c r="L34" i="13"/>
  <c r="N34" i="13"/>
  <c r="L35" i="13"/>
  <c r="N35" i="13"/>
  <c r="L36" i="13"/>
  <c r="N36" i="13"/>
  <c r="L37" i="13"/>
  <c r="N37" i="13"/>
  <c r="L38" i="13"/>
  <c r="N38" i="13"/>
  <c r="L39" i="13"/>
  <c r="N39" i="13"/>
  <c r="L40" i="13"/>
  <c r="N40" i="13"/>
  <c r="L41" i="13"/>
  <c r="N41" i="13"/>
  <c r="L42" i="13"/>
  <c r="N42" i="13"/>
  <c r="L43" i="13"/>
  <c r="N43" i="13"/>
  <c r="L44" i="13"/>
  <c r="N44" i="13"/>
  <c r="L45" i="13"/>
  <c r="N45" i="13"/>
  <c r="L46" i="13"/>
  <c r="N46" i="13"/>
  <c r="L47" i="13"/>
  <c r="N47" i="13"/>
  <c r="L48" i="13"/>
  <c r="N48" i="13"/>
  <c r="L49" i="13"/>
  <c r="N49" i="13"/>
  <c r="L50" i="13"/>
  <c r="N50" i="13"/>
  <c r="L51" i="13"/>
  <c r="N51" i="13"/>
  <c r="L52" i="13"/>
  <c r="N52" i="13"/>
  <c r="L53" i="13"/>
  <c r="N53" i="13"/>
  <c r="L54" i="13"/>
  <c r="N54" i="13"/>
  <c r="L55" i="13"/>
  <c r="N55" i="13"/>
  <c r="L56" i="13"/>
  <c r="N56" i="13"/>
  <c r="L57" i="13"/>
  <c r="N57" i="13"/>
  <c r="L58" i="13"/>
  <c r="N58" i="13"/>
  <c r="L59" i="13"/>
  <c r="N59" i="13"/>
  <c r="L60" i="13"/>
  <c r="N60" i="13"/>
  <c r="L61" i="13"/>
  <c r="N61" i="13"/>
  <c r="L62" i="13"/>
  <c r="N62" i="13"/>
  <c r="L63" i="13"/>
  <c r="N63" i="13"/>
  <c r="L64" i="13"/>
  <c r="N64" i="13"/>
  <c r="L65" i="13"/>
  <c r="N65" i="13"/>
  <c r="L66" i="13"/>
  <c r="N66" i="13"/>
  <c r="L67" i="13"/>
  <c r="N67" i="13"/>
  <c r="L68" i="13"/>
  <c r="N68" i="13"/>
  <c r="L69" i="13"/>
  <c r="N69" i="13"/>
  <c r="L70" i="13"/>
  <c r="N70" i="13"/>
  <c r="L71" i="13"/>
  <c r="N71" i="13"/>
  <c r="L72" i="13"/>
  <c r="N72" i="13"/>
  <c r="D89" i="13"/>
  <c r="D91" i="13"/>
  <c r="J93" i="13"/>
  <c r="L93" i="13"/>
  <c r="D96" i="13"/>
  <c r="M99" i="13"/>
  <c r="O99" i="13"/>
  <c r="M100" i="13"/>
  <c r="O100" i="13"/>
  <c r="M101" i="13"/>
  <c r="O101" i="13"/>
  <c r="M102" i="13"/>
  <c r="O102" i="13"/>
  <c r="M103" i="13"/>
  <c r="O103" i="13"/>
  <c r="M104" i="13"/>
  <c r="O104" i="13"/>
  <c r="M105" i="13"/>
  <c r="O105" i="13"/>
  <c r="M106" i="13"/>
  <c r="O106" i="13"/>
  <c r="M107" i="13"/>
  <c r="O107" i="13"/>
  <c r="M108" i="13"/>
  <c r="O108" i="13"/>
  <c r="M109" i="13"/>
  <c r="O109" i="13"/>
  <c r="M110" i="13"/>
  <c r="O110" i="13"/>
  <c r="M111" i="13"/>
  <c r="O111" i="13"/>
  <c r="M112" i="13"/>
  <c r="O112" i="13"/>
  <c r="M113" i="13"/>
  <c r="O113" i="13"/>
  <c r="M114" i="13"/>
  <c r="O114" i="13"/>
  <c r="M115" i="13"/>
  <c r="O115" i="13"/>
  <c r="M116" i="13"/>
  <c r="O116" i="13"/>
  <c r="M117" i="13"/>
  <c r="O117" i="13"/>
  <c r="M118" i="13"/>
  <c r="O118" i="13"/>
  <c r="M119" i="13"/>
  <c r="O119" i="13"/>
  <c r="M120" i="13"/>
  <c r="O120" i="13"/>
  <c r="M121" i="13"/>
  <c r="O121" i="13"/>
  <c r="M122" i="13"/>
  <c r="O122" i="13"/>
  <c r="M123" i="13"/>
  <c r="O123" i="13"/>
  <c r="M124" i="13"/>
  <c r="O124" i="13"/>
  <c r="M125" i="13"/>
  <c r="O125" i="13"/>
  <c r="M126" i="13"/>
  <c r="O126" i="13"/>
  <c r="M127" i="13"/>
  <c r="O127" i="13"/>
  <c r="M128" i="13"/>
  <c r="O128" i="13"/>
  <c r="M129" i="13"/>
  <c r="O129" i="13"/>
  <c r="M130" i="13"/>
  <c r="O130" i="13"/>
  <c r="J131" i="13"/>
  <c r="M131" i="13"/>
  <c r="O131" i="13"/>
  <c r="P131" i="13"/>
  <c r="J132" i="13"/>
  <c r="M132" i="13"/>
  <c r="O132" i="13"/>
  <c r="P132" i="13"/>
  <c r="J133" i="13"/>
  <c r="M133" i="13"/>
  <c r="O133" i="13"/>
  <c r="P133" i="13"/>
  <c r="J134" i="13"/>
  <c r="M134" i="13"/>
  <c r="O134" i="13"/>
  <c r="P134" i="13"/>
  <c r="J135" i="13"/>
  <c r="M135" i="13"/>
  <c r="O135" i="13"/>
  <c r="P135" i="13"/>
  <c r="J136" i="13"/>
  <c r="M136" i="13"/>
  <c r="O136" i="13"/>
  <c r="P136" i="13"/>
  <c r="J137" i="13"/>
  <c r="M137" i="13"/>
  <c r="O137" i="13"/>
  <c r="P137" i="13"/>
  <c r="J138" i="13"/>
  <c r="M138" i="13"/>
  <c r="O138" i="13"/>
  <c r="P138" i="13"/>
  <c r="J139" i="13"/>
  <c r="M139" i="13"/>
  <c r="O139" i="13"/>
  <c r="P139" i="13"/>
  <c r="J140" i="13"/>
  <c r="M140" i="13"/>
  <c r="O140" i="13"/>
  <c r="P140" i="13"/>
  <c r="J141" i="13"/>
  <c r="M141" i="13"/>
  <c r="O141" i="13"/>
  <c r="P141" i="13"/>
  <c r="J142" i="13"/>
  <c r="M142" i="13"/>
  <c r="O142" i="13"/>
  <c r="P142" i="13"/>
  <c r="J143" i="13"/>
  <c r="M143" i="13"/>
  <c r="O143" i="13"/>
  <c r="P143" i="13"/>
  <c r="J144" i="13"/>
  <c r="M144" i="13"/>
  <c r="O144" i="13"/>
  <c r="P144" i="13"/>
  <c r="J145" i="13"/>
  <c r="M145" i="13"/>
  <c r="O145" i="13"/>
  <c r="P145" i="13"/>
  <c r="J146" i="13"/>
  <c r="M146" i="13"/>
  <c r="O146" i="13"/>
  <c r="P146" i="13"/>
  <c r="J147" i="13"/>
  <c r="M147" i="13"/>
  <c r="O147" i="13"/>
  <c r="P147" i="13"/>
  <c r="J148" i="13"/>
  <c r="M148" i="13"/>
  <c r="O148" i="13"/>
  <c r="P148" i="13"/>
  <c r="J149" i="13"/>
  <c r="M149" i="13"/>
  <c r="O149" i="13"/>
  <c r="P149" i="13"/>
  <c r="J150" i="13"/>
  <c r="M150" i="13"/>
  <c r="O150" i="13"/>
  <c r="P150" i="13"/>
  <c r="J151" i="13"/>
  <c r="M151" i="13"/>
  <c r="O151" i="13"/>
  <c r="P151" i="13"/>
  <c r="J152" i="13"/>
  <c r="M152" i="13"/>
  <c r="O152" i="13"/>
  <c r="P152" i="13"/>
  <c r="J153" i="13"/>
  <c r="M153" i="13"/>
  <c r="O153" i="13"/>
  <c r="P153" i="13"/>
  <c r="J154" i="13"/>
  <c r="M154" i="13"/>
  <c r="O154" i="13"/>
  <c r="P154" i="13"/>
  <c r="I11" i="11"/>
  <c r="K11" i="11"/>
  <c r="I17" i="11"/>
  <c r="L17" i="11"/>
  <c r="N17" i="11"/>
  <c r="I18" i="11"/>
  <c r="L18" i="11"/>
  <c r="N18" i="11"/>
  <c r="I19" i="11"/>
  <c r="L19" i="11"/>
  <c r="N19" i="11"/>
  <c r="I20" i="11"/>
  <c r="I21" i="11"/>
  <c r="N30" i="11"/>
  <c r="N31" i="11"/>
  <c r="N32" i="11"/>
  <c r="N33" i="11"/>
  <c r="L35" i="11"/>
  <c r="N35" i="11"/>
  <c r="L36" i="11"/>
  <c r="N36" i="11"/>
  <c r="L37" i="11"/>
  <c r="N37" i="11"/>
  <c r="L38" i="11"/>
  <c r="N38" i="11"/>
  <c r="L39" i="11"/>
  <c r="N39" i="11"/>
  <c r="L40" i="11"/>
  <c r="N40" i="11"/>
  <c r="L41" i="11"/>
  <c r="N41" i="11"/>
  <c r="L42" i="11"/>
  <c r="N42" i="11"/>
  <c r="L43" i="11"/>
  <c r="N43" i="11"/>
  <c r="L44" i="11"/>
  <c r="N44" i="11"/>
  <c r="L45" i="11"/>
  <c r="N45" i="11"/>
  <c r="L46" i="11"/>
  <c r="N46" i="11"/>
  <c r="L47" i="11"/>
  <c r="N47" i="11"/>
  <c r="L48" i="11"/>
  <c r="N48" i="11"/>
  <c r="L49" i="11"/>
  <c r="N49" i="11"/>
  <c r="L50" i="11"/>
  <c r="N50" i="11"/>
  <c r="L51" i="11"/>
  <c r="N51" i="11"/>
  <c r="L52" i="11"/>
  <c r="N52" i="11"/>
  <c r="L53" i="11"/>
  <c r="N53" i="11"/>
  <c r="L54" i="11"/>
  <c r="N54" i="11"/>
  <c r="L55" i="11"/>
  <c r="N55" i="11"/>
  <c r="L56" i="11"/>
  <c r="N56" i="11"/>
  <c r="L57" i="11"/>
  <c r="N57" i="11"/>
  <c r="L58" i="11"/>
  <c r="N58" i="11"/>
  <c r="L59" i="11"/>
  <c r="N59" i="11"/>
  <c r="L60" i="11"/>
  <c r="N60" i="11"/>
  <c r="L61" i="11"/>
  <c r="N61" i="11"/>
  <c r="L62" i="11"/>
  <c r="N62" i="11"/>
  <c r="L63" i="11"/>
  <c r="N63" i="11"/>
  <c r="L64" i="11"/>
  <c r="N64" i="11"/>
  <c r="L65" i="11"/>
  <c r="N65" i="11"/>
  <c r="L66" i="11"/>
  <c r="N66" i="11"/>
  <c r="L67" i="11"/>
  <c r="N67" i="11"/>
  <c r="L68" i="11"/>
  <c r="N68" i="11"/>
  <c r="L69" i="11"/>
  <c r="N69" i="11"/>
  <c r="L70" i="11"/>
  <c r="N70" i="11"/>
  <c r="L71" i="11"/>
  <c r="N71" i="11"/>
  <c r="L72" i="11"/>
  <c r="N72" i="11"/>
  <c r="D89" i="11"/>
  <c r="D91" i="11"/>
  <c r="J93" i="11"/>
  <c r="L93" i="11"/>
  <c r="D96" i="11"/>
  <c r="J99" i="11"/>
  <c r="M99" i="11"/>
  <c r="O99" i="11"/>
  <c r="J100" i="11"/>
  <c r="M100" i="11"/>
  <c r="O100" i="11"/>
  <c r="J101" i="11"/>
  <c r="J102" i="11"/>
  <c r="O111" i="11"/>
  <c r="O112" i="11"/>
  <c r="O113" i="11"/>
  <c r="M116" i="11"/>
  <c r="O116" i="11"/>
  <c r="M117" i="11"/>
  <c r="O117" i="11"/>
  <c r="M118" i="11"/>
  <c r="O118" i="11"/>
  <c r="M119" i="11"/>
  <c r="O119" i="11"/>
  <c r="M120" i="11"/>
  <c r="O120" i="11"/>
  <c r="M121" i="11"/>
  <c r="O121" i="11"/>
  <c r="M122" i="11"/>
  <c r="O122" i="11"/>
  <c r="M123" i="11"/>
  <c r="O123" i="11"/>
  <c r="M124" i="11"/>
  <c r="O124" i="11"/>
  <c r="M125" i="11"/>
  <c r="O125" i="11"/>
  <c r="M126" i="11"/>
  <c r="O126" i="11"/>
  <c r="M127" i="11"/>
  <c r="O127" i="11"/>
  <c r="M128" i="11"/>
  <c r="O128" i="11"/>
  <c r="M129" i="11"/>
  <c r="O129" i="11"/>
  <c r="M130" i="11"/>
  <c r="O130" i="11"/>
  <c r="J131" i="11"/>
  <c r="M131" i="11"/>
  <c r="O131" i="11"/>
  <c r="P131" i="11"/>
  <c r="J132" i="11"/>
  <c r="M132" i="11"/>
  <c r="O132" i="11"/>
  <c r="P132" i="11"/>
  <c r="J133" i="11"/>
  <c r="M133" i="11"/>
  <c r="O133" i="11"/>
  <c r="P133" i="11"/>
  <c r="J134" i="11"/>
  <c r="M134" i="11"/>
  <c r="O134" i="11"/>
  <c r="P134" i="11"/>
  <c r="J135" i="11"/>
  <c r="M135" i="11"/>
  <c r="O135" i="11"/>
  <c r="P135" i="11"/>
  <c r="J136" i="11"/>
  <c r="M136" i="11"/>
  <c r="O136" i="11"/>
  <c r="P136" i="11"/>
  <c r="J137" i="11"/>
  <c r="M137" i="11"/>
  <c r="O137" i="11"/>
  <c r="P137" i="11"/>
  <c r="J138" i="11"/>
  <c r="M138" i="11"/>
  <c r="O138" i="11"/>
  <c r="P138" i="11"/>
  <c r="J139" i="11"/>
  <c r="M139" i="11"/>
  <c r="O139" i="11"/>
  <c r="P139" i="11"/>
  <c r="J140" i="11"/>
  <c r="M140" i="11"/>
  <c r="O140" i="11"/>
  <c r="P140" i="11"/>
  <c r="J141" i="11"/>
  <c r="M141" i="11"/>
  <c r="O141" i="11"/>
  <c r="P141" i="11"/>
  <c r="J142" i="11"/>
  <c r="M142" i="11"/>
  <c r="O142" i="11"/>
  <c r="P142" i="11"/>
  <c r="J143" i="11"/>
  <c r="M143" i="11"/>
  <c r="O143" i="11"/>
  <c r="P143" i="11"/>
  <c r="J144" i="11"/>
  <c r="M144" i="11"/>
  <c r="O144" i="11"/>
  <c r="P144" i="11"/>
  <c r="J145" i="11"/>
  <c r="M145" i="11"/>
  <c r="O145" i="11"/>
  <c r="P145" i="11"/>
  <c r="J146" i="11"/>
  <c r="M146" i="11"/>
  <c r="O146" i="11"/>
  <c r="P146" i="11"/>
  <c r="J147" i="11"/>
  <c r="M147" i="11"/>
  <c r="O147" i="11"/>
  <c r="P147" i="11"/>
  <c r="J148" i="11"/>
  <c r="M148" i="11"/>
  <c r="O148" i="11"/>
  <c r="P148" i="11"/>
  <c r="J149" i="11"/>
  <c r="M149" i="11"/>
  <c r="O149" i="11"/>
  <c r="P149" i="11"/>
  <c r="J150" i="11"/>
  <c r="M150" i="11"/>
  <c r="O150" i="11"/>
  <c r="P150" i="11"/>
  <c r="J151" i="11"/>
  <c r="M151" i="11"/>
  <c r="O151" i="11"/>
  <c r="P151" i="11"/>
  <c r="J152" i="11"/>
  <c r="M152" i="11"/>
  <c r="O152" i="11"/>
  <c r="P152" i="11"/>
  <c r="J153" i="11"/>
  <c r="M153" i="11"/>
  <c r="O153" i="11"/>
  <c r="P153" i="11"/>
  <c r="J154" i="11"/>
  <c r="M154" i="11"/>
  <c r="O154" i="11"/>
  <c r="P154" i="11"/>
  <c r="I11" i="10"/>
  <c r="K11" i="10"/>
  <c r="I17" i="10"/>
  <c r="L17" i="10"/>
  <c r="N17" i="10"/>
  <c r="I18" i="10"/>
  <c r="L18" i="10"/>
  <c r="N18" i="10"/>
  <c r="I19" i="10"/>
  <c r="L19" i="10"/>
  <c r="N19" i="10"/>
  <c r="I20" i="10"/>
  <c r="L20" i="10"/>
  <c r="N20" i="10"/>
  <c r="I21" i="10"/>
  <c r="I22" i="10"/>
  <c r="N31" i="10"/>
  <c r="N32" i="10"/>
  <c r="N33" i="10"/>
  <c r="N34" i="10"/>
  <c r="L36" i="10"/>
  <c r="N36" i="10"/>
  <c r="L37" i="10"/>
  <c r="N37" i="10"/>
  <c r="L38" i="10"/>
  <c r="N38" i="10"/>
  <c r="L39" i="10"/>
  <c r="N39" i="10"/>
  <c r="L40" i="10"/>
  <c r="N40" i="10"/>
  <c r="L41" i="10"/>
  <c r="N41" i="10"/>
  <c r="L42" i="10"/>
  <c r="N42" i="10"/>
  <c r="L43" i="10"/>
  <c r="N43" i="10"/>
  <c r="L44" i="10"/>
  <c r="N44" i="10"/>
  <c r="L45" i="10"/>
  <c r="N45" i="10"/>
  <c r="L46" i="10"/>
  <c r="N46" i="10"/>
  <c r="L47" i="10"/>
  <c r="N47" i="10"/>
  <c r="L48" i="10"/>
  <c r="N48" i="10"/>
  <c r="L49" i="10"/>
  <c r="N49" i="10"/>
  <c r="L50" i="10"/>
  <c r="N50" i="10"/>
  <c r="L51" i="10"/>
  <c r="N51" i="10"/>
  <c r="L52" i="10"/>
  <c r="N52" i="10"/>
  <c r="L53" i="10"/>
  <c r="N53" i="10"/>
  <c r="L54" i="10"/>
  <c r="N54" i="10"/>
  <c r="L55" i="10"/>
  <c r="N55" i="10"/>
  <c r="L56" i="10"/>
  <c r="N56" i="10"/>
  <c r="L57" i="10"/>
  <c r="N57" i="10"/>
  <c r="L58" i="10"/>
  <c r="N58" i="10"/>
  <c r="L59" i="10"/>
  <c r="N59" i="10"/>
  <c r="L60" i="10"/>
  <c r="N60" i="10"/>
  <c r="L61" i="10"/>
  <c r="N61" i="10"/>
  <c r="L62" i="10"/>
  <c r="N62" i="10"/>
  <c r="L63" i="10"/>
  <c r="N63" i="10"/>
  <c r="L64" i="10"/>
  <c r="N64" i="10"/>
  <c r="L65" i="10"/>
  <c r="N65" i="10"/>
  <c r="L66" i="10"/>
  <c r="N66" i="10"/>
  <c r="L67" i="10"/>
  <c r="N67" i="10"/>
  <c r="L68" i="10"/>
  <c r="N68" i="10"/>
  <c r="L69" i="10"/>
  <c r="N69" i="10"/>
  <c r="L70" i="10"/>
  <c r="N70" i="10"/>
  <c r="L71" i="10"/>
  <c r="N71" i="10"/>
  <c r="L72" i="10"/>
  <c r="N72" i="10"/>
  <c r="D89" i="10"/>
  <c r="D91" i="10"/>
  <c r="J93" i="10"/>
  <c r="L93" i="10"/>
  <c r="D96" i="10"/>
  <c r="J99" i="10"/>
  <c r="M99" i="10"/>
  <c r="O99" i="10"/>
  <c r="J100" i="10"/>
  <c r="M100" i="10"/>
  <c r="O100" i="10"/>
  <c r="J101" i="10"/>
  <c r="M101" i="10"/>
  <c r="O101" i="10"/>
  <c r="J102" i="10"/>
  <c r="J103" i="10"/>
  <c r="O112" i="10"/>
  <c r="O113" i="10"/>
  <c r="O114" i="10"/>
  <c r="M117" i="10"/>
  <c r="O117" i="10"/>
  <c r="M118" i="10"/>
  <c r="O118" i="10"/>
  <c r="M119" i="10"/>
  <c r="O119" i="10"/>
  <c r="M120" i="10"/>
  <c r="O120" i="10"/>
  <c r="M121" i="10"/>
  <c r="O121" i="10"/>
  <c r="M122" i="10"/>
  <c r="O122" i="10"/>
  <c r="M123" i="10"/>
  <c r="O123" i="10"/>
  <c r="M124" i="10"/>
  <c r="O124" i="10"/>
  <c r="M125" i="10"/>
  <c r="O125" i="10"/>
  <c r="M126" i="10"/>
  <c r="O126" i="10"/>
  <c r="M127" i="10"/>
  <c r="O127" i="10"/>
  <c r="M128" i="10"/>
  <c r="O128" i="10"/>
  <c r="M129" i="10"/>
  <c r="O129" i="10"/>
  <c r="M130" i="10"/>
  <c r="O130" i="10"/>
  <c r="M131" i="10"/>
  <c r="O131" i="10"/>
  <c r="M132" i="10"/>
  <c r="O132" i="10"/>
  <c r="M133" i="10"/>
  <c r="O133" i="10"/>
  <c r="M134" i="10"/>
  <c r="O134" i="10"/>
  <c r="M135" i="10"/>
  <c r="O135" i="10"/>
  <c r="M136" i="10"/>
  <c r="O136" i="10"/>
  <c r="M137" i="10"/>
  <c r="O137" i="10"/>
  <c r="M138" i="10"/>
  <c r="O138" i="10"/>
  <c r="M139" i="10"/>
  <c r="O139" i="10"/>
  <c r="M140" i="10"/>
  <c r="O140" i="10"/>
  <c r="M141" i="10"/>
  <c r="O141" i="10"/>
  <c r="M142" i="10"/>
  <c r="O142" i="10"/>
  <c r="M143" i="10"/>
  <c r="O143" i="10"/>
  <c r="M144" i="10"/>
  <c r="O144" i="10"/>
  <c r="M145" i="10"/>
  <c r="O145" i="10"/>
  <c r="M146" i="10"/>
  <c r="O146" i="10"/>
  <c r="M147" i="10"/>
  <c r="O147" i="10"/>
  <c r="M148" i="10"/>
  <c r="O148" i="10"/>
  <c r="M149" i="10"/>
  <c r="O149" i="10"/>
  <c r="M150" i="10"/>
  <c r="O150" i="10"/>
  <c r="M151" i="10"/>
  <c r="O151" i="10"/>
  <c r="M152" i="10"/>
  <c r="O152" i="10"/>
  <c r="M153" i="10"/>
  <c r="O153" i="10"/>
  <c r="M154" i="10"/>
  <c r="O154" i="10"/>
  <c r="I11" i="9"/>
  <c r="K11" i="9"/>
  <c r="I17" i="9"/>
  <c r="L17" i="9"/>
  <c r="N17" i="9"/>
  <c r="I18" i="9"/>
  <c r="L18" i="9"/>
  <c r="N18" i="9"/>
  <c r="I19" i="9"/>
  <c r="L19" i="9"/>
  <c r="N19" i="9"/>
  <c r="I21" i="9"/>
  <c r="N30" i="9"/>
  <c r="N31" i="9"/>
  <c r="N32" i="9"/>
  <c r="N33" i="9"/>
  <c r="L35" i="9"/>
  <c r="N35" i="9"/>
  <c r="L36" i="9"/>
  <c r="N36" i="9"/>
  <c r="L37" i="9"/>
  <c r="N37" i="9"/>
  <c r="L38" i="9"/>
  <c r="N38" i="9"/>
  <c r="L39" i="9"/>
  <c r="N39" i="9"/>
  <c r="L40" i="9"/>
  <c r="N40" i="9"/>
  <c r="L41" i="9"/>
  <c r="N41" i="9"/>
  <c r="L42" i="9"/>
  <c r="N42" i="9"/>
  <c r="L43" i="9"/>
  <c r="N43" i="9"/>
  <c r="L44" i="9"/>
  <c r="N44" i="9"/>
  <c r="L45" i="9"/>
  <c r="N45" i="9"/>
  <c r="L46" i="9"/>
  <c r="N46" i="9"/>
  <c r="L47" i="9"/>
  <c r="N47" i="9"/>
  <c r="L48" i="9"/>
  <c r="N48" i="9"/>
  <c r="L49" i="9"/>
  <c r="N49" i="9"/>
  <c r="L50" i="9"/>
  <c r="N50" i="9"/>
  <c r="L51" i="9"/>
  <c r="N51" i="9"/>
  <c r="L52" i="9"/>
  <c r="N52" i="9"/>
  <c r="L53" i="9"/>
  <c r="N53" i="9"/>
  <c r="L54" i="9"/>
  <c r="N54" i="9"/>
  <c r="L55" i="9"/>
  <c r="N55" i="9"/>
  <c r="L56" i="9"/>
  <c r="N56" i="9"/>
  <c r="L57" i="9"/>
  <c r="N57" i="9"/>
  <c r="L58" i="9"/>
  <c r="N58" i="9"/>
  <c r="L59" i="9"/>
  <c r="N59" i="9"/>
  <c r="L60" i="9"/>
  <c r="N60" i="9"/>
  <c r="L61" i="9"/>
  <c r="N61" i="9"/>
  <c r="L62" i="9"/>
  <c r="N62" i="9"/>
  <c r="L63" i="9"/>
  <c r="N63" i="9"/>
  <c r="L64" i="9"/>
  <c r="N64" i="9"/>
  <c r="L65" i="9"/>
  <c r="N65" i="9"/>
  <c r="L66" i="9"/>
  <c r="N66" i="9"/>
  <c r="L67" i="9"/>
  <c r="N67" i="9"/>
  <c r="L68" i="9"/>
  <c r="N68" i="9"/>
  <c r="L69" i="9"/>
  <c r="N69" i="9"/>
  <c r="L70" i="9"/>
  <c r="N70" i="9"/>
  <c r="L71" i="9"/>
  <c r="N71" i="9"/>
  <c r="L72" i="9"/>
  <c r="N72" i="9"/>
  <c r="D89" i="9"/>
  <c r="D91" i="9"/>
  <c r="J93" i="9"/>
  <c r="L93" i="9"/>
  <c r="D96" i="9"/>
  <c r="J99" i="9"/>
  <c r="M99" i="9"/>
  <c r="O99" i="9"/>
  <c r="J100" i="9"/>
  <c r="M100" i="9"/>
  <c r="O100" i="9"/>
  <c r="J101" i="9"/>
  <c r="J102" i="9"/>
  <c r="O111" i="9"/>
  <c r="O112" i="9"/>
  <c r="O113" i="9"/>
  <c r="M116" i="9"/>
  <c r="O116" i="9"/>
  <c r="M117" i="9"/>
  <c r="O117" i="9"/>
  <c r="M118" i="9"/>
  <c r="O118" i="9"/>
  <c r="M119" i="9"/>
  <c r="O119" i="9"/>
  <c r="M120" i="9"/>
  <c r="O120" i="9"/>
  <c r="M121" i="9"/>
  <c r="O121" i="9"/>
  <c r="M122" i="9"/>
  <c r="O122" i="9"/>
  <c r="M123" i="9"/>
  <c r="O123" i="9"/>
  <c r="M124" i="9"/>
  <c r="O124" i="9"/>
  <c r="M125" i="9"/>
  <c r="O125" i="9"/>
  <c r="M126" i="9"/>
  <c r="O126" i="9"/>
  <c r="M127" i="9"/>
  <c r="O127" i="9"/>
  <c r="M128" i="9"/>
  <c r="O128" i="9"/>
  <c r="M129" i="9"/>
  <c r="O129" i="9"/>
  <c r="M130" i="9"/>
  <c r="O130" i="9"/>
  <c r="J131" i="9"/>
  <c r="M131" i="9"/>
  <c r="O131" i="9"/>
  <c r="P131" i="9"/>
  <c r="J132" i="9"/>
  <c r="M132" i="9"/>
  <c r="O132" i="9"/>
  <c r="P132" i="9"/>
  <c r="J133" i="9"/>
  <c r="M133" i="9"/>
  <c r="O133" i="9"/>
  <c r="P133" i="9"/>
  <c r="J134" i="9"/>
  <c r="M134" i="9"/>
  <c r="O134" i="9"/>
  <c r="P134" i="9"/>
  <c r="J135" i="9"/>
  <c r="M135" i="9"/>
  <c r="O135" i="9"/>
  <c r="P135" i="9"/>
  <c r="J136" i="9"/>
  <c r="M136" i="9"/>
  <c r="O136" i="9"/>
  <c r="P136" i="9"/>
  <c r="J137" i="9"/>
  <c r="M137" i="9"/>
  <c r="O137" i="9"/>
  <c r="P137" i="9"/>
  <c r="J138" i="9"/>
  <c r="M138" i="9"/>
  <c r="O138" i="9"/>
  <c r="P138" i="9"/>
  <c r="J139" i="9"/>
  <c r="M139" i="9"/>
  <c r="O139" i="9"/>
  <c r="P139" i="9"/>
  <c r="J140" i="9"/>
  <c r="M140" i="9"/>
  <c r="O140" i="9"/>
  <c r="P140" i="9"/>
  <c r="J141" i="9"/>
  <c r="M141" i="9"/>
  <c r="O141" i="9"/>
  <c r="P141" i="9"/>
  <c r="J142" i="9"/>
  <c r="M142" i="9"/>
  <c r="O142" i="9"/>
  <c r="P142" i="9"/>
  <c r="J143" i="9"/>
  <c r="M143" i="9"/>
  <c r="O143" i="9"/>
  <c r="P143" i="9"/>
  <c r="J144" i="9"/>
  <c r="M144" i="9"/>
  <c r="O144" i="9"/>
  <c r="P144" i="9"/>
  <c r="J145" i="9"/>
  <c r="M145" i="9"/>
  <c r="O145" i="9"/>
  <c r="P145" i="9"/>
  <c r="J146" i="9"/>
  <c r="M146" i="9"/>
  <c r="O146" i="9"/>
  <c r="P146" i="9"/>
  <c r="J147" i="9"/>
  <c r="M147" i="9"/>
  <c r="O147" i="9"/>
  <c r="P147" i="9"/>
  <c r="J148" i="9"/>
  <c r="M148" i="9"/>
  <c r="O148" i="9"/>
  <c r="P148" i="9"/>
  <c r="J149" i="9"/>
  <c r="M149" i="9"/>
  <c r="O149" i="9"/>
  <c r="P149" i="9"/>
  <c r="J150" i="9"/>
  <c r="M150" i="9"/>
  <c r="O150" i="9"/>
  <c r="P150" i="9"/>
  <c r="J151" i="9"/>
  <c r="M151" i="9"/>
  <c r="O151" i="9"/>
  <c r="P151" i="9"/>
  <c r="J152" i="9"/>
  <c r="M152" i="9"/>
  <c r="O152" i="9"/>
  <c r="P152" i="9"/>
  <c r="J153" i="9"/>
  <c r="M153" i="9"/>
  <c r="O153" i="9"/>
  <c r="P153" i="9"/>
  <c r="J154" i="9"/>
  <c r="M154" i="9"/>
  <c r="O154" i="9"/>
  <c r="P154" i="9"/>
  <c r="I11" i="8"/>
  <c r="K11" i="8"/>
  <c r="I17" i="8"/>
  <c r="L17" i="8"/>
  <c r="N17" i="8"/>
  <c r="I18" i="8"/>
  <c r="L18" i="8"/>
  <c r="N18" i="8"/>
  <c r="I19" i="8"/>
  <c r="I20" i="8"/>
  <c r="N29" i="8"/>
  <c r="N30" i="8"/>
  <c r="N31" i="8"/>
  <c r="N32" i="8"/>
  <c r="L34" i="8"/>
  <c r="N34" i="8"/>
  <c r="L35" i="8"/>
  <c r="N35" i="8"/>
  <c r="L36" i="8"/>
  <c r="N36" i="8"/>
  <c r="L37" i="8"/>
  <c r="N37" i="8"/>
  <c r="L38" i="8"/>
  <c r="N38" i="8"/>
  <c r="L39" i="8"/>
  <c r="N39" i="8"/>
  <c r="L40" i="8"/>
  <c r="N40" i="8"/>
  <c r="L41" i="8"/>
  <c r="N41" i="8"/>
  <c r="L42" i="8"/>
  <c r="N42" i="8"/>
  <c r="L43" i="8"/>
  <c r="N43" i="8"/>
  <c r="L44" i="8"/>
  <c r="N44" i="8"/>
  <c r="L45" i="8"/>
  <c r="N45" i="8"/>
  <c r="L46" i="8"/>
  <c r="N46" i="8"/>
  <c r="L47" i="8"/>
  <c r="N47" i="8"/>
  <c r="L48" i="8"/>
  <c r="N48" i="8"/>
  <c r="L49" i="8"/>
  <c r="N49" i="8"/>
  <c r="L50" i="8"/>
  <c r="N50" i="8"/>
  <c r="L51" i="8"/>
  <c r="N51" i="8"/>
  <c r="L52" i="8"/>
  <c r="N52" i="8"/>
  <c r="L53" i="8"/>
  <c r="N53" i="8"/>
  <c r="L54" i="8"/>
  <c r="N54" i="8"/>
  <c r="L55" i="8"/>
  <c r="N55" i="8"/>
  <c r="L56" i="8"/>
  <c r="N56" i="8"/>
  <c r="L57" i="8"/>
  <c r="N57" i="8"/>
  <c r="L58" i="8"/>
  <c r="N58" i="8"/>
  <c r="L59" i="8"/>
  <c r="N59" i="8"/>
  <c r="L60" i="8"/>
  <c r="N60" i="8"/>
  <c r="L61" i="8"/>
  <c r="N61" i="8"/>
  <c r="L62" i="8"/>
  <c r="N62" i="8"/>
  <c r="L63" i="8"/>
  <c r="N63" i="8"/>
  <c r="L64" i="8"/>
  <c r="N64" i="8"/>
  <c r="L65" i="8"/>
  <c r="N65" i="8"/>
  <c r="L66" i="8"/>
  <c r="N66" i="8"/>
  <c r="L67" i="8"/>
  <c r="N67" i="8"/>
  <c r="L68" i="8"/>
  <c r="N68" i="8"/>
  <c r="L69" i="8"/>
  <c r="N69" i="8"/>
  <c r="L70" i="8"/>
  <c r="N70" i="8"/>
  <c r="L71" i="8"/>
  <c r="N71" i="8"/>
  <c r="L72" i="8"/>
  <c r="N72" i="8"/>
  <c r="D89" i="8"/>
  <c r="D91" i="8"/>
  <c r="J93" i="8"/>
  <c r="L93" i="8"/>
  <c r="D96" i="8"/>
  <c r="J99" i="8"/>
  <c r="M99" i="8"/>
  <c r="O99" i="8"/>
  <c r="J100" i="8"/>
  <c r="J101" i="8"/>
  <c r="O110" i="8"/>
  <c r="O111" i="8"/>
  <c r="O112" i="8"/>
  <c r="M115" i="8"/>
  <c r="O115" i="8"/>
  <c r="M116" i="8"/>
  <c r="O116" i="8"/>
  <c r="M117" i="8"/>
  <c r="O117" i="8"/>
  <c r="M118" i="8"/>
  <c r="O118" i="8"/>
  <c r="M119" i="8"/>
  <c r="O119" i="8"/>
  <c r="M120" i="8"/>
  <c r="O120" i="8"/>
  <c r="M121" i="8"/>
  <c r="O121" i="8"/>
  <c r="M122" i="8"/>
  <c r="O122" i="8"/>
  <c r="M123" i="8"/>
  <c r="O123" i="8"/>
  <c r="M124" i="8"/>
  <c r="O124" i="8"/>
  <c r="M125" i="8"/>
  <c r="O125" i="8"/>
  <c r="M126" i="8"/>
  <c r="O126" i="8"/>
  <c r="M127" i="8"/>
  <c r="O127" i="8"/>
  <c r="M128" i="8"/>
  <c r="O128" i="8"/>
  <c r="M129" i="8"/>
  <c r="O129" i="8"/>
  <c r="M130" i="8"/>
  <c r="O130" i="8"/>
  <c r="M131" i="8"/>
  <c r="O131" i="8"/>
  <c r="M132" i="8"/>
  <c r="O132" i="8"/>
  <c r="M133" i="8"/>
  <c r="O133" i="8"/>
  <c r="M134" i="8"/>
  <c r="O134" i="8"/>
  <c r="M135" i="8"/>
  <c r="O135" i="8"/>
  <c r="M136" i="8"/>
  <c r="O136" i="8"/>
  <c r="M137" i="8"/>
  <c r="O137" i="8"/>
  <c r="M138" i="8"/>
  <c r="O138" i="8"/>
  <c r="M139" i="8"/>
  <c r="O139" i="8"/>
  <c r="M140" i="8"/>
  <c r="O140" i="8"/>
  <c r="M141" i="8"/>
  <c r="O141" i="8"/>
  <c r="M142" i="8"/>
  <c r="O142" i="8"/>
  <c r="M143" i="8"/>
  <c r="O143" i="8"/>
  <c r="M144" i="8"/>
  <c r="O144" i="8"/>
  <c r="M145" i="8"/>
  <c r="O145" i="8"/>
  <c r="M146" i="8"/>
  <c r="O146" i="8"/>
  <c r="M147" i="8"/>
  <c r="O147" i="8"/>
  <c r="M148" i="8"/>
  <c r="O148" i="8"/>
  <c r="M149" i="8"/>
  <c r="O149" i="8"/>
  <c r="M150" i="8"/>
  <c r="O150" i="8"/>
  <c r="M151" i="8"/>
  <c r="O151" i="8"/>
  <c r="M152" i="8"/>
  <c r="O152" i="8"/>
  <c r="M153" i="8"/>
  <c r="O153" i="8"/>
  <c r="M154" i="8"/>
  <c r="O154" i="8"/>
  <c r="I11" i="7"/>
  <c r="K11" i="7"/>
  <c r="I17" i="7"/>
  <c r="L17" i="7"/>
  <c r="N17" i="7"/>
  <c r="I18" i="7"/>
  <c r="N18" i="7"/>
  <c r="I19" i="7"/>
  <c r="L19" i="7"/>
  <c r="N19" i="7"/>
  <c r="I20" i="7"/>
  <c r="L20" i="7"/>
  <c r="N20" i="7"/>
  <c r="I21" i="7"/>
  <c r="I22" i="7"/>
  <c r="N31" i="7"/>
  <c r="N32" i="7"/>
  <c r="N33" i="7"/>
  <c r="N34" i="7"/>
  <c r="L36" i="7"/>
  <c r="N36" i="7"/>
  <c r="L37" i="7"/>
  <c r="N37" i="7"/>
  <c r="L38" i="7"/>
  <c r="N38" i="7"/>
  <c r="L39" i="7"/>
  <c r="N39" i="7"/>
  <c r="L40" i="7"/>
  <c r="N40" i="7"/>
  <c r="L41" i="7"/>
  <c r="N41" i="7"/>
  <c r="L42" i="7"/>
  <c r="N42" i="7"/>
  <c r="L43" i="7"/>
  <c r="N43" i="7"/>
  <c r="L44" i="7"/>
  <c r="N44" i="7"/>
  <c r="L45" i="7"/>
  <c r="N45" i="7"/>
  <c r="L46" i="7"/>
  <c r="N46" i="7"/>
  <c r="L47" i="7"/>
  <c r="N47" i="7"/>
  <c r="L48" i="7"/>
  <c r="N48" i="7"/>
  <c r="L49" i="7"/>
  <c r="N49" i="7"/>
  <c r="L50" i="7"/>
  <c r="N50" i="7"/>
  <c r="L51" i="7"/>
  <c r="N51" i="7"/>
  <c r="L52" i="7"/>
  <c r="N52" i="7"/>
  <c r="L53" i="7"/>
  <c r="N53" i="7"/>
  <c r="L54" i="7"/>
  <c r="N54" i="7"/>
  <c r="L55" i="7"/>
  <c r="N55" i="7"/>
  <c r="L56" i="7"/>
  <c r="N56" i="7"/>
  <c r="L57" i="7"/>
  <c r="N57" i="7"/>
  <c r="L58" i="7"/>
  <c r="N58" i="7"/>
  <c r="L59" i="7"/>
  <c r="N59" i="7"/>
  <c r="L60" i="7"/>
  <c r="N60" i="7"/>
  <c r="L61" i="7"/>
  <c r="N61" i="7"/>
  <c r="L62" i="7"/>
  <c r="N62" i="7"/>
  <c r="L63" i="7"/>
  <c r="N63" i="7"/>
  <c r="L64" i="7"/>
  <c r="N64" i="7"/>
  <c r="L65" i="7"/>
  <c r="N65" i="7"/>
  <c r="L66" i="7"/>
  <c r="N66" i="7"/>
  <c r="L67" i="7"/>
  <c r="N67" i="7"/>
  <c r="L68" i="7"/>
  <c r="N68" i="7"/>
  <c r="L69" i="7"/>
  <c r="N69" i="7"/>
  <c r="L70" i="7"/>
  <c r="N70" i="7"/>
  <c r="L71" i="7"/>
  <c r="N71" i="7"/>
  <c r="L72" i="7"/>
  <c r="N72" i="7"/>
  <c r="D89" i="7"/>
  <c r="D91" i="7"/>
  <c r="J93" i="7"/>
  <c r="L93" i="7"/>
  <c r="D96" i="7"/>
  <c r="J99" i="7"/>
  <c r="M99" i="7"/>
  <c r="O99" i="7"/>
  <c r="J100" i="7"/>
  <c r="M100" i="7"/>
  <c r="O100" i="7"/>
  <c r="J101" i="7"/>
  <c r="O101" i="7"/>
  <c r="J102" i="7"/>
  <c r="J103" i="7"/>
  <c r="O112" i="7"/>
  <c r="O113" i="7"/>
  <c r="O114" i="7"/>
  <c r="M117" i="7"/>
  <c r="O117" i="7"/>
  <c r="M118" i="7"/>
  <c r="O118" i="7"/>
  <c r="M119" i="7"/>
  <c r="O119" i="7"/>
  <c r="M120" i="7"/>
  <c r="O120" i="7"/>
  <c r="M121" i="7"/>
  <c r="O121" i="7"/>
  <c r="M122" i="7"/>
  <c r="O122" i="7"/>
  <c r="M123" i="7"/>
  <c r="O123" i="7"/>
  <c r="M124" i="7"/>
  <c r="O124" i="7"/>
  <c r="M125" i="7"/>
  <c r="O125" i="7"/>
  <c r="M126" i="7"/>
  <c r="O126" i="7"/>
  <c r="M127" i="7"/>
  <c r="O127" i="7"/>
  <c r="M128" i="7"/>
  <c r="O128" i="7"/>
  <c r="M129" i="7"/>
  <c r="O129" i="7"/>
  <c r="M130" i="7"/>
  <c r="O130" i="7"/>
  <c r="M131" i="7"/>
  <c r="O131" i="7"/>
  <c r="M132" i="7"/>
  <c r="O132" i="7"/>
  <c r="M133" i="7"/>
  <c r="O133" i="7"/>
  <c r="M134" i="7"/>
  <c r="O134" i="7"/>
  <c r="M135" i="7"/>
  <c r="O135" i="7"/>
  <c r="M136" i="7"/>
  <c r="O136" i="7"/>
  <c r="M137" i="7"/>
  <c r="O137" i="7"/>
  <c r="M138" i="7"/>
  <c r="O138" i="7"/>
  <c r="M139" i="7"/>
  <c r="O139" i="7"/>
  <c r="M140" i="7"/>
  <c r="O140" i="7"/>
  <c r="M141" i="7"/>
  <c r="O141" i="7"/>
  <c r="M142" i="7"/>
  <c r="O142" i="7"/>
  <c r="M143" i="7"/>
  <c r="O143" i="7"/>
  <c r="M144" i="7"/>
  <c r="O144" i="7"/>
  <c r="M145" i="7"/>
  <c r="O145" i="7"/>
  <c r="M146" i="7"/>
  <c r="O146" i="7"/>
  <c r="M147" i="7"/>
  <c r="O147" i="7"/>
  <c r="M148" i="7"/>
  <c r="O148" i="7"/>
  <c r="M149" i="7"/>
  <c r="O149" i="7"/>
  <c r="M150" i="7"/>
  <c r="O150" i="7"/>
  <c r="M151" i="7"/>
  <c r="O151" i="7"/>
  <c r="M152" i="7"/>
  <c r="O152" i="7"/>
  <c r="M153" i="7"/>
  <c r="O153" i="7"/>
  <c r="M154" i="7"/>
  <c r="O154" i="7"/>
  <c r="K11" i="6"/>
  <c r="I17" i="6"/>
  <c r="L17" i="6"/>
  <c r="N17" i="6"/>
  <c r="I18" i="6"/>
  <c r="L18" i="6"/>
  <c r="N18" i="6"/>
  <c r="N29" i="6"/>
  <c r="N30" i="6"/>
  <c r="N31" i="6"/>
  <c r="N32" i="6"/>
  <c r="L34" i="6"/>
  <c r="N34" i="6"/>
  <c r="L35" i="6"/>
  <c r="N35" i="6"/>
  <c r="L36" i="6"/>
  <c r="N36" i="6"/>
  <c r="L37" i="6"/>
  <c r="N37" i="6"/>
  <c r="L38" i="6"/>
  <c r="N38" i="6"/>
  <c r="L39" i="6"/>
  <c r="N39" i="6"/>
  <c r="L40" i="6"/>
  <c r="N40" i="6"/>
  <c r="L41" i="6"/>
  <c r="N41" i="6"/>
  <c r="L42" i="6"/>
  <c r="N42" i="6"/>
  <c r="L43" i="6"/>
  <c r="N43" i="6"/>
  <c r="L44" i="6"/>
  <c r="N44" i="6"/>
  <c r="L45" i="6"/>
  <c r="N45" i="6"/>
  <c r="L46" i="6"/>
  <c r="N46" i="6"/>
  <c r="L47" i="6"/>
  <c r="N47" i="6"/>
  <c r="L48" i="6"/>
  <c r="N48" i="6"/>
  <c r="L49" i="6"/>
  <c r="N49" i="6"/>
  <c r="L50" i="6"/>
  <c r="N50" i="6"/>
  <c r="L51" i="6"/>
  <c r="N51" i="6"/>
  <c r="L52" i="6"/>
  <c r="N52" i="6"/>
  <c r="L53" i="6"/>
  <c r="N53" i="6"/>
  <c r="L54" i="6"/>
  <c r="N54" i="6"/>
  <c r="L55" i="6"/>
  <c r="N55" i="6"/>
  <c r="L56" i="6"/>
  <c r="N56" i="6"/>
  <c r="L57" i="6"/>
  <c r="N57" i="6"/>
  <c r="L58" i="6"/>
  <c r="N58" i="6"/>
  <c r="L59" i="6"/>
  <c r="N59" i="6"/>
  <c r="L60" i="6"/>
  <c r="N60" i="6"/>
  <c r="L61" i="6"/>
  <c r="N61" i="6"/>
  <c r="L62" i="6"/>
  <c r="N62" i="6"/>
  <c r="L63" i="6"/>
  <c r="N63" i="6"/>
  <c r="L64" i="6"/>
  <c r="N64" i="6"/>
  <c r="L65" i="6"/>
  <c r="N65" i="6"/>
  <c r="L66" i="6"/>
  <c r="N66" i="6"/>
  <c r="L67" i="6"/>
  <c r="N67" i="6"/>
  <c r="L68" i="6"/>
  <c r="N68" i="6"/>
  <c r="L69" i="6"/>
  <c r="N69" i="6"/>
  <c r="L70" i="6"/>
  <c r="N70" i="6"/>
  <c r="L71" i="6"/>
  <c r="N71" i="6"/>
  <c r="L72" i="6"/>
  <c r="N72" i="6"/>
  <c r="D89" i="6"/>
  <c r="D91" i="6"/>
  <c r="J93" i="6"/>
  <c r="L93" i="6"/>
  <c r="D96" i="6"/>
  <c r="J99" i="6"/>
  <c r="M99" i="6"/>
  <c r="J100" i="6"/>
  <c r="J101" i="6"/>
  <c r="O110" i="6"/>
  <c r="O111" i="6"/>
  <c r="O112" i="6"/>
  <c r="M115" i="6"/>
  <c r="O115" i="6"/>
  <c r="M116" i="6"/>
  <c r="O116" i="6"/>
  <c r="M117" i="6"/>
  <c r="O117" i="6"/>
  <c r="M118" i="6"/>
  <c r="O118" i="6"/>
  <c r="M119" i="6"/>
  <c r="O119" i="6"/>
  <c r="M120" i="6"/>
  <c r="O120" i="6"/>
  <c r="M121" i="6"/>
  <c r="O121" i="6"/>
  <c r="M122" i="6"/>
  <c r="O122" i="6"/>
  <c r="M123" i="6"/>
  <c r="O123" i="6"/>
  <c r="M124" i="6"/>
  <c r="O124" i="6"/>
  <c r="M125" i="6"/>
  <c r="O125" i="6"/>
  <c r="M126" i="6"/>
  <c r="O126" i="6"/>
  <c r="M127" i="6"/>
  <c r="O127" i="6"/>
  <c r="M128" i="6"/>
  <c r="O128" i="6"/>
  <c r="M129" i="6"/>
  <c r="O129" i="6"/>
  <c r="M130" i="6"/>
  <c r="O130" i="6"/>
  <c r="M131" i="6"/>
  <c r="O131" i="6"/>
  <c r="M132" i="6"/>
  <c r="O132" i="6"/>
  <c r="M133" i="6"/>
  <c r="O133" i="6"/>
  <c r="M134" i="6"/>
  <c r="O134" i="6"/>
  <c r="M135" i="6"/>
  <c r="O135" i="6"/>
  <c r="M136" i="6"/>
  <c r="O136" i="6"/>
  <c r="M137" i="6"/>
  <c r="O137" i="6"/>
  <c r="M138" i="6"/>
  <c r="O138" i="6"/>
  <c r="M139" i="6"/>
  <c r="O139" i="6"/>
  <c r="M140" i="6"/>
  <c r="O140" i="6"/>
  <c r="M141" i="6"/>
  <c r="O141" i="6"/>
  <c r="M142" i="6"/>
  <c r="O142" i="6"/>
  <c r="M143" i="6"/>
  <c r="O143" i="6"/>
  <c r="M144" i="6"/>
  <c r="O144" i="6"/>
  <c r="M145" i="6"/>
  <c r="O145" i="6"/>
  <c r="M146" i="6"/>
  <c r="O146" i="6"/>
  <c r="M147" i="6"/>
  <c r="O147" i="6"/>
  <c r="M148" i="6"/>
  <c r="O148" i="6"/>
  <c r="M149" i="6"/>
  <c r="O149" i="6"/>
  <c r="M150" i="6"/>
  <c r="O150" i="6"/>
  <c r="M151" i="6"/>
  <c r="O151" i="6"/>
  <c r="M152" i="6"/>
  <c r="O152" i="6"/>
  <c r="M153" i="6"/>
  <c r="O153" i="6"/>
  <c r="M154" i="6"/>
  <c r="O154" i="6"/>
  <c r="K11" i="5"/>
  <c r="I17" i="5"/>
  <c r="L17" i="5"/>
  <c r="N17" i="5"/>
  <c r="I18" i="5"/>
  <c r="I19" i="5"/>
  <c r="N28" i="5"/>
  <c r="N29" i="5"/>
  <c r="N30" i="5"/>
  <c r="N31" i="5"/>
  <c r="L33" i="5"/>
  <c r="N33" i="5"/>
  <c r="L34" i="5"/>
  <c r="N34" i="5"/>
  <c r="L35" i="5"/>
  <c r="N35" i="5"/>
  <c r="L36" i="5"/>
  <c r="N36" i="5"/>
  <c r="L37" i="5"/>
  <c r="N37" i="5"/>
  <c r="L38" i="5"/>
  <c r="N38" i="5"/>
  <c r="L39" i="5"/>
  <c r="N39" i="5"/>
  <c r="L40" i="5"/>
  <c r="N40" i="5"/>
  <c r="L41" i="5"/>
  <c r="N41" i="5"/>
  <c r="L42" i="5"/>
  <c r="N42" i="5"/>
  <c r="L43" i="5"/>
  <c r="N43" i="5"/>
  <c r="L44" i="5"/>
  <c r="N44" i="5"/>
  <c r="L45" i="5"/>
  <c r="N45" i="5"/>
  <c r="L46" i="5"/>
  <c r="N46" i="5"/>
  <c r="L47" i="5"/>
  <c r="N47" i="5"/>
  <c r="L48" i="5"/>
  <c r="N48" i="5"/>
  <c r="I49" i="5"/>
  <c r="L49" i="5"/>
  <c r="N49" i="5"/>
  <c r="O49" i="5"/>
  <c r="I50" i="5"/>
  <c r="L50" i="5"/>
  <c r="N50" i="5"/>
  <c r="O50" i="5"/>
  <c r="I51" i="5"/>
  <c r="L51" i="5"/>
  <c r="N51" i="5"/>
  <c r="O51" i="5"/>
  <c r="I52" i="5"/>
  <c r="L52" i="5"/>
  <c r="N52" i="5"/>
  <c r="O52" i="5"/>
  <c r="I53" i="5"/>
  <c r="L53" i="5"/>
  <c r="N53" i="5"/>
  <c r="O53" i="5"/>
  <c r="I54" i="5"/>
  <c r="L54" i="5"/>
  <c r="N54" i="5"/>
  <c r="O54" i="5"/>
  <c r="I55" i="5"/>
  <c r="L55" i="5"/>
  <c r="N55" i="5"/>
  <c r="O55" i="5"/>
  <c r="I56" i="5"/>
  <c r="L56" i="5"/>
  <c r="N56" i="5"/>
  <c r="O56" i="5"/>
  <c r="I57" i="5"/>
  <c r="L57" i="5"/>
  <c r="N57" i="5"/>
  <c r="O57" i="5"/>
  <c r="I58" i="5"/>
  <c r="L58" i="5"/>
  <c r="N58" i="5"/>
  <c r="O58" i="5"/>
  <c r="I59" i="5"/>
  <c r="L59" i="5"/>
  <c r="N59" i="5"/>
  <c r="O59" i="5"/>
  <c r="I60" i="5"/>
  <c r="L60" i="5"/>
  <c r="N60" i="5"/>
  <c r="O60" i="5"/>
  <c r="I61" i="5"/>
  <c r="L61" i="5"/>
  <c r="N61" i="5"/>
  <c r="O61" i="5"/>
  <c r="I62" i="5"/>
  <c r="L62" i="5"/>
  <c r="N62" i="5"/>
  <c r="O62" i="5"/>
  <c r="I63" i="5"/>
  <c r="L63" i="5"/>
  <c r="N63" i="5"/>
  <c r="O63" i="5"/>
  <c r="I64" i="5"/>
  <c r="L64" i="5"/>
  <c r="N64" i="5"/>
  <c r="O64" i="5"/>
  <c r="I65" i="5"/>
  <c r="L65" i="5"/>
  <c r="N65" i="5"/>
  <c r="O65" i="5"/>
  <c r="I66" i="5"/>
  <c r="L66" i="5"/>
  <c r="N66" i="5"/>
  <c r="O66" i="5"/>
  <c r="I67" i="5"/>
  <c r="L67" i="5"/>
  <c r="N67" i="5"/>
  <c r="O67" i="5"/>
  <c r="I68" i="5"/>
  <c r="L68" i="5"/>
  <c r="N68" i="5"/>
  <c r="O68" i="5"/>
  <c r="I69" i="5"/>
  <c r="L69" i="5"/>
  <c r="N69" i="5"/>
  <c r="O69" i="5"/>
  <c r="I70" i="5"/>
  <c r="L70" i="5"/>
  <c r="N70" i="5"/>
  <c r="O70" i="5"/>
  <c r="I71" i="5"/>
  <c r="L71" i="5"/>
  <c r="N71" i="5"/>
  <c r="O71" i="5"/>
  <c r="I72" i="5"/>
  <c r="L72" i="5"/>
  <c r="N72" i="5"/>
  <c r="O72" i="5"/>
  <c r="D89" i="5"/>
  <c r="D91" i="5"/>
  <c r="J93" i="5"/>
  <c r="L93" i="5"/>
  <c r="D96" i="5"/>
  <c r="J99" i="5"/>
  <c r="J100" i="5"/>
  <c r="O109" i="5"/>
  <c r="O110" i="5"/>
  <c r="O111" i="5"/>
  <c r="M114" i="5"/>
  <c r="O114" i="5"/>
  <c r="M115" i="5"/>
  <c r="O115" i="5"/>
  <c r="M116" i="5"/>
  <c r="O116" i="5"/>
  <c r="M117" i="5"/>
  <c r="O117" i="5"/>
  <c r="M118" i="5"/>
  <c r="O118" i="5"/>
  <c r="M119" i="5"/>
  <c r="O119" i="5"/>
  <c r="M120" i="5"/>
  <c r="O120" i="5"/>
  <c r="M121" i="5"/>
  <c r="O121" i="5"/>
  <c r="M122" i="5"/>
  <c r="O122" i="5"/>
  <c r="M123" i="5"/>
  <c r="O123" i="5"/>
  <c r="M124" i="5"/>
  <c r="O124" i="5"/>
  <c r="M125" i="5"/>
  <c r="O125" i="5"/>
  <c r="M126" i="5"/>
  <c r="O126" i="5"/>
  <c r="M127" i="5"/>
  <c r="O127" i="5"/>
  <c r="M128" i="5"/>
  <c r="O128" i="5"/>
  <c r="M129" i="5"/>
  <c r="O129" i="5"/>
  <c r="M130" i="5"/>
  <c r="O130" i="5"/>
  <c r="M131" i="5"/>
  <c r="O131" i="5"/>
  <c r="M132" i="5"/>
  <c r="O132" i="5"/>
  <c r="M133" i="5"/>
  <c r="O133" i="5"/>
  <c r="M134" i="5"/>
  <c r="O134" i="5"/>
  <c r="M135" i="5"/>
  <c r="O135" i="5"/>
  <c r="M136" i="5"/>
  <c r="O136" i="5"/>
  <c r="M137" i="5"/>
  <c r="O137" i="5"/>
  <c r="M138" i="5"/>
  <c r="O138" i="5"/>
  <c r="M139" i="5"/>
  <c r="O139" i="5"/>
  <c r="M140" i="5"/>
  <c r="O140" i="5"/>
  <c r="M141" i="5"/>
  <c r="O141" i="5"/>
  <c r="M142" i="5"/>
  <c r="O142" i="5"/>
  <c r="M143" i="5"/>
  <c r="O143" i="5"/>
  <c r="M144" i="5"/>
  <c r="O144" i="5"/>
  <c r="M145" i="5"/>
  <c r="O145" i="5"/>
  <c r="M146" i="5"/>
  <c r="O146" i="5"/>
  <c r="M147" i="5"/>
  <c r="O147" i="5"/>
  <c r="M148" i="5"/>
  <c r="O148" i="5"/>
  <c r="M149" i="5"/>
  <c r="O149" i="5"/>
  <c r="M150" i="5"/>
  <c r="O150" i="5"/>
  <c r="M151" i="5"/>
  <c r="O151" i="5"/>
  <c r="M152" i="5"/>
  <c r="O152" i="5"/>
  <c r="M153" i="5"/>
  <c r="O153" i="5"/>
  <c r="M154" i="5"/>
  <c r="O154" i="5"/>
  <c r="K11" i="4"/>
  <c r="I17" i="4"/>
  <c r="L17" i="4"/>
  <c r="N17" i="4"/>
  <c r="I18" i="4"/>
  <c r="I19" i="4"/>
  <c r="N29" i="4"/>
  <c r="N30" i="4"/>
  <c r="N31" i="4"/>
  <c r="L33" i="4"/>
  <c r="N33" i="4"/>
  <c r="L34" i="4"/>
  <c r="N34" i="4"/>
  <c r="L35" i="4"/>
  <c r="N35" i="4"/>
  <c r="L36" i="4"/>
  <c r="N36" i="4"/>
  <c r="L37" i="4"/>
  <c r="N37" i="4"/>
  <c r="L38" i="4"/>
  <c r="N38" i="4"/>
  <c r="L39" i="4"/>
  <c r="N39" i="4"/>
  <c r="L40" i="4"/>
  <c r="N40" i="4"/>
  <c r="L41" i="4"/>
  <c r="N41" i="4"/>
  <c r="L42" i="4"/>
  <c r="N42" i="4"/>
  <c r="L43" i="4"/>
  <c r="N43" i="4"/>
  <c r="L44" i="4"/>
  <c r="N44" i="4"/>
  <c r="L45" i="4"/>
  <c r="N45" i="4"/>
  <c r="L46" i="4"/>
  <c r="N46" i="4"/>
  <c r="L47" i="4"/>
  <c r="N47" i="4"/>
  <c r="L48" i="4"/>
  <c r="N48" i="4"/>
  <c r="L49" i="4"/>
  <c r="N49" i="4"/>
  <c r="L50" i="4"/>
  <c r="N50" i="4"/>
  <c r="L51" i="4"/>
  <c r="N51" i="4"/>
  <c r="L52" i="4"/>
  <c r="N52" i="4"/>
  <c r="L53" i="4"/>
  <c r="N53" i="4"/>
  <c r="L54" i="4"/>
  <c r="N54" i="4"/>
  <c r="L55" i="4"/>
  <c r="N55" i="4"/>
  <c r="L56" i="4"/>
  <c r="N56" i="4"/>
  <c r="L57" i="4"/>
  <c r="N57" i="4"/>
  <c r="L58" i="4"/>
  <c r="N58" i="4"/>
  <c r="L59" i="4"/>
  <c r="N59" i="4"/>
  <c r="L60" i="4"/>
  <c r="N60" i="4"/>
  <c r="L61" i="4"/>
  <c r="N61" i="4"/>
  <c r="L62" i="4"/>
  <c r="N62" i="4"/>
  <c r="L63" i="4"/>
  <c r="N63" i="4"/>
  <c r="L64" i="4"/>
  <c r="N64" i="4"/>
  <c r="L65" i="4"/>
  <c r="N65" i="4"/>
  <c r="L66" i="4"/>
  <c r="N66" i="4"/>
  <c r="L67" i="4"/>
  <c r="N67" i="4"/>
  <c r="L68" i="4"/>
  <c r="N68" i="4"/>
  <c r="L69" i="4"/>
  <c r="N69" i="4"/>
  <c r="L70" i="4"/>
  <c r="N70" i="4"/>
  <c r="L71" i="4"/>
  <c r="N71" i="4"/>
  <c r="L72" i="4"/>
  <c r="N72" i="4"/>
  <c r="D89" i="4"/>
  <c r="D91" i="4"/>
  <c r="J93" i="4"/>
  <c r="L93" i="4"/>
  <c r="D96" i="4"/>
  <c r="J99" i="4"/>
  <c r="J100" i="4"/>
  <c r="O109" i="4"/>
  <c r="O110" i="4"/>
  <c r="O111" i="4"/>
  <c r="M114" i="4"/>
  <c r="O114" i="4"/>
  <c r="M115" i="4"/>
  <c r="O115" i="4"/>
  <c r="M116" i="4"/>
  <c r="O116" i="4"/>
  <c r="M117" i="4"/>
  <c r="O117" i="4"/>
  <c r="M118" i="4"/>
  <c r="O118" i="4"/>
  <c r="M119" i="4"/>
  <c r="O119" i="4"/>
  <c r="M120" i="4"/>
  <c r="O120" i="4"/>
  <c r="M121" i="4"/>
  <c r="O121" i="4"/>
  <c r="M122" i="4"/>
  <c r="O122" i="4"/>
  <c r="M123" i="4"/>
  <c r="O123" i="4"/>
  <c r="M124" i="4"/>
  <c r="O124" i="4"/>
  <c r="M125" i="4"/>
  <c r="O125" i="4"/>
  <c r="M126" i="4"/>
  <c r="O126" i="4"/>
  <c r="M127" i="4"/>
  <c r="O127" i="4"/>
  <c r="M128" i="4"/>
  <c r="O128" i="4"/>
  <c r="M129" i="4"/>
  <c r="O129" i="4"/>
  <c r="M130" i="4"/>
  <c r="O130" i="4"/>
  <c r="M131" i="4"/>
  <c r="O131" i="4"/>
  <c r="M132" i="4"/>
  <c r="O132" i="4"/>
  <c r="M133" i="4"/>
  <c r="O133" i="4"/>
  <c r="M134" i="4"/>
  <c r="O134" i="4"/>
  <c r="M135" i="4"/>
  <c r="O135" i="4"/>
  <c r="M136" i="4"/>
  <c r="O136" i="4"/>
  <c r="M137" i="4"/>
  <c r="O137" i="4"/>
  <c r="M138" i="4"/>
  <c r="O138" i="4"/>
  <c r="M139" i="4"/>
  <c r="O139" i="4"/>
  <c r="M140" i="4"/>
  <c r="O140" i="4"/>
  <c r="M141" i="4"/>
  <c r="O141" i="4"/>
  <c r="M142" i="4"/>
  <c r="O142" i="4"/>
  <c r="M143" i="4"/>
  <c r="O143" i="4"/>
  <c r="M144" i="4"/>
  <c r="O144" i="4"/>
  <c r="M145" i="4"/>
  <c r="O145" i="4"/>
  <c r="M146" i="4"/>
  <c r="O146" i="4"/>
  <c r="M147" i="4"/>
  <c r="O147" i="4"/>
  <c r="M148" i="4"/>
  <c r="O148" i="4"/>
  <c r="M149" i="4"/>
  <c r="O149" i="4"/>
  <c r="M150" i="4"/>
  <c r="O150" i="4"/>
  <c r="M151" i="4"/>
  <c r="O151" i="4"/>
  <c r="M152" i="4"/>
  <c r="O152" i="4"/>
  <c r="M153" i="4"/>
  <c r="O153" i="4"/>
  <c r="M154" i="4"/>
  <c r="O154" i="4"/>
  <c r="K11" i="3"/>
  <c r="I17" i="3"/>
  <c r="L17" i="3"/>
  <c r="N17" i="3"/>
  <c r="N28" i="3"/>
  <c r="N29" i="3"/>
  <c r="N30" i="3"/>
  <c r="N31" i="3"/>
  <c r="L33" i="3"/>
  <c r="N33" i="3"/>
  <c r="L34" i="3"/>
  <c r="N34" i="3"/>
  <c r="L35" i="3"/>
  <c r="N35" i="3"/>
  <c r="L36" i="3"/>
  <c r="N36" i="3"/>
  <c r="L37" i="3"/>
  <c r="N37" i="3"/>
  <c r="L38" i="3"/>
  <c r="N38" i="3"/>
  <c r="L39" i="3"/>
  <c r="N39" i="3"/>
  <c r="L40" i="3"/>
  <c r="N40" i="3"/>
  <c r="L41" i="3"/>
  <c r="N41" i="3"/>
  <c r="L42" i="3"/>
  <c r="N42" i="3"/>
  <c r="L43" i="3"/>
  <c r="N43" i="3"/>
  <c r="L44" i="3"/>
  <c r="N44" i="3"/>
  <c r="L45" i="3"/>
  <c r="N45" i="3"/>
  <c r="L46" i="3"/>
  <c r="N46" i="3"/>
  <c r="L47" i="3"/>
  <c r="N47" i="3"/>
  <c r="L48" i="3"/>
  <c r="N48" i="3"/>
  <c r="L49" i="3"/>
  <c r="N49" i="3"/>
  <c r="L50" i="3"/>
  <c r="N50" i="3"/>
  <c r="L51" i="3"/>
  <c r="N51" i="3"/>
  <c r="L52" i="3"/>
  <c r="N52" i="3"/>
  <c r="L53" i="3"/>
  <c r="N53" i="3"/>
  <c r="L54" i="3"/>
  <c r="N54" i="3"/>
  <c r="L55" i="3"/>
  <c r="N55" i="3"/>
  <c r="L56" i="3"/>
  <c r="N56" i="3"/>
  <c r="L57" i="3"/>
  <c r="N57" i="3"/>
  <c r="L58" i="3"/>
  <c r="N58" i="3"/>
  <c r="L59" i="3"/>
  <c r="N59" i="3"/>
  <c r="L60" i="3"/>
  <c r="N60" i="3"/>
  <c r="L61" i="3"/>
  <c r="N61" i="3"/>
  <c r="L62" i="3"/>
  <c r="N62" i="3"/>
  <c r="L63" i="3"/>
  <c r="N63" i="3"/>
  <c r="L64" i="3"/>
  <c r="N64" i="3"/>
  <c r="L65" i="3"/>
  <c r="N65" i="3"/>
  <c r="L66" i="3"/>
  <c r="N66" i="3"/>
  <c r="L67" i="3"/>
  <c r="N67" i="3"/>
  <c r="L68" i="3"/>
  <c r="N68" i="3"/>
  <c r="L69" i="3"/>
  <c r="N69" i="3"/>
  <c r="L70" i="3"/>
  <c r="N70" i="3"/>
  <c r="L71" i="3"/>
  <c r="N71" i="3"/>
  <c r="L72" i="3"/>
  <c r="N72" i="3"/>
  <c r="D89" i="3"/>
  <c r="D91" i="3"/>
  <c r="J93" i="3"/>
  <c r="L93" i="3"/>
  <c r="D96" i="3"/>
  <c r="J99" i="3"/>
  <c r="J100" i="3"/>
  <c r="O109" i="3"/>
  <c r="O110" i="3"/>
  <c r="O111" i="3"/>
  <c r="M114" i="3"/>
  <c r="O114" i="3"/>
  <c r="M115" i="3"/>
  <c r="O115" i="3"/>
  <c r="M116" i="3"/>
  <c r="O116" i="3"/>
  <c r="M117" i="3"/>
  <c r="O117" i="3"/>
  <c r="M118" i="3"/>
  <c r="O118" i="3"/>
  <c r="M119" i="3"/>
  <c r="O119" i="3"/>
  <c r="M120" i="3"/>
  <c r="O120" i="3"/>
  <c r="M121" i="3"/>
  <c r="O121" i="3"/>
  <c r="M122" i="3"/>
  <c r="O122" i="3"/>
  <c r="M123" i="3"/>
  <c r="O123" i="3"/>
  <c r="M124" i="3"/>
  <c r="O124" i="3"/>
  <c r="M125" i="3"/>
  <c r="O125" i="3"/>
  <c r="M126" i="3"/>
  <c r="O126" i="3"/>
  <c r="M127" i="3"/>
  <c r="O127" i="3"/>
  <c r="M128" i="3"/>
  <c r="O128" i="3"/>
  <c r="M129" i="3"/>
  <c r="O129" i="3"/>
  <c r="M130" i="3"/>
  <c r="O130" i="3"/>
  <c r="M131" i="3"/>
  <c r="O131" i="3"/>
  <c r="M132" i="3"/>
  <c r="O132" i="3"/>
  <c r="M133" i="3"/>
  <c r="O133" i="3"/>
  <c r="M134" i="3"/>
  <c r="O134" i="3"/>
  <c r="M135" i="3"/>
  <c r="O135" i="3"/>
  <c r="M136" i="3"/>
  <c r="O136" i="3"/>
  <c r="M137" i="3"/>
  <c r="O137" i="3"/>
  <c r="M138" i="3"/>
  <c r="O138" i="3"/>
  <c r="M139" i="3"/>
  <c r="O139" i="3"/>
  <c r="M140" i="3"/>
  <c r="O140" i="3"/>
  <c r="M141" i="3"/>
  <c r="O141" i="3"/>
  <c r="M142" i="3"/>
  <c r="O142" i="3"/>
  <c r="M143" i="3"/>
  <c r="O143" i="3"/>
  <c r="M144" i="3"/>
  <c r="O144" i="3"/>
  <c r="M145" i="3"/>
  <c r="O145" i="3"/>
  <c r="M146" i="3"/>
  <c r="O146" i="3"/>
  <c r="M147" i="3"/>
  <c r="O147" i="3"/>
  <c r="M148" i="3"/>
  <c r="O148" i="3"/>
  <c r="M149" i="3"/>
  <c r="O149" i="3"/>
  <c r="M150" i="3"/>
  <c r="O150" i="3"/>
  <c r="M151" i="3"/>
  <c r="O151" i="3"/>
  <c r="M152" i="3"/>
  <c r="O152" i="3"/>
  <c r="M153" i="3"/>
  <c r="O153" i="3"/>
  <c r="M154" i="3"/>
  <c r="O154" i="3"/>
  <c r="F12" i="2"/>
  <c r="D17" i="2"/>
  <c r="E17" i="2"/>
  <c r="D18" i="2"/>
  <c r="E18" i="2"/>
  <c r="D19" i="2"/>
  <c r="C24" i="2"/>
  <c r="E24" i="2"/>
  <c r="C31" i="2"/>
  <c r="E31" i="2"/>
  <c r="E34" i="2"/>
  <c r="C40" i="2"/>
  <c r="C44" i="2"/>
  <c r="F44" i="2"/>
  <c r="C45" i="2"/>
  <c r="F45" i="2"/>
  <c r="C46" i="2"/>
  <c r="F46" i="2"/>
  <c r="C47" i="2"/>
  <c r="F47" i="2"/>
  <c r="C52" i="2"/>
  <c r="F64" i="2"/>
  <c r="C58" i="2"/>
  <c r="F58" i="2"/>
  <c r="C64" i="2"/>
  <c r="C75" i="2"/>
  <c r="F75" i="2"/>
  <c r="C81" i="2"/>
  <c r="C90" i="2"/>
  <c r="D17" i="1"/>
  <c r="E18" i="1"/>
  <c r="E24" i="1"/>
  <c r="E31" i="1"/>
  <c r="E34" i="1"/>
  <c r="C40" i="1"/>
  <c r="C44" i="1"/>
  <c r="F44" i="1"/>
  <c r="F45" i="1"/>
  <c r="F46" i="1"/>
  <c r="F47" i="1"/>
  <c r="C52" i="1"/>
  <c r="F64" i="1"/>
  <c r="F58" i="1"/>
  <c r="F75" i="1"/>
  <c r="C89" i="1"/>
  <c r="C90" i="1"/>
  <c r="S132" i="1"/>
  <c r="S133" i="1"/>
  <c r="S134" i="1"/>
  <c r="I20" i="6"/>
  <c r="I19" i="6"/>
  <c r="B21" i="8"/>
  <c r="B21" i="6"/>
  <c r="B19" i="22"/>
  <c r="B23" i="7"/>
  <c r="B21" i="5"/>
  <c r="B21" i="4"/>
  <c r="I21" i="8"/>
  <c r="B20" i="3"/>
  <c r="I20" i="5"/>
  <c r="B23" i="11"/>
  <c r="I23" i="10"/>
  <c r="I19" i="22"/>
  <c r="I22" i="11"/>
  <c r="B22" i="8"/>
  <c r="I18" i="23"/>
  <c r="B20" i="22"/>
  <c r="I23" i="7"/>
  <c r="I17" i="25"/>
  <c r="B24" i="7"/>
  <c r="I20" i="4"/>
  <c r="B22" i="6"/>
  <c r="I20" i="3"/>
  <c r="I22" i="9"/>
  <c r="I17" i="24"/>
  <c r="B100" i="23"/>
  <c r="I21" i="6"/>
  <c r="B105" i="7"/>
  <c r="B101" i="22"/>
  <c r="B103" i="8"/>
  <c r="B103" i="6"/>
  <c r="B105" i="10"/>
  <c r="B102" i="4"/>
  <c r="J104" i="7"/>
  <c r="J99" i="23"/>
  <c r="J103" i="11"/>
  <c r="J103" i="9"/>
  <c r="J104" i="10"/>
  <c r="J101" i="3"/>
  <c r="J101" i="4"/>
  <c r="J102" i="6"/>
  <c r="J100" i="22"/>
  <c r="J102" i="8"/>
  <c r="J101" i="5"/>
  <c r="B18" i="25"/>
  <c r="B104" i="11"/>
  <c r="B24" i="10"/>
  <c r="B104" i="9"/>
  <c r="B23" i="9"/>
  <c r="B102" i="5"/>
  <c r="B102" i="3"/>
  <c r="B21" i="3"/>
  <c r="B19" i="25"/>
  <c r="B20" i="25"/>
  <c r="I18" i="25"/>
  <c r="C99" i="27"/>
  <c r="C100" i="27" s="1"/>
  <c r="C101" i="27" s="1"/>
  <c r="C102" i="27" s="1"/>
  <c r="C103" i="27" s="1"/>
  <c r="C104" i="27" s="1"/>
  <c r="C105" i="27" s="1"/>
  <c r="C106" i="27" s="1"/>
  <c r="C107" i="27" s="1"/>
  <c r="C108" i="27" s="1"/>
  <c r="C109" i="27" s="1"/>
  <c r="C110" i="27" s="1"/>
  <c r="C111" i="27" s="1"/>
  <c r="C112" i="27" s="1"/>
  <c r="C113" i="27" s="1"/>
  <c r="C114" i="27" s="1"/>
  <c r="C115" i="27" s="1"/>
  <c r="C116" i="27" s="1"/>
  <c r="C117" i="27" s="1"/>
  <c r="C118" i="27" s="1"/>
  <c r="C119" i="27" s="1"/>
  <c r="C120" i="27" s="1"/>
  <c r="C121" i="27" s="1"/>
  <c r="C122" i="27" s="1"/>
  <c r="C123" i="27" s="1"/>
  <c r="C124" i="27" s="1"/>
  <c r="C125" i="27" s="1"/>
  <c r="C126" i="27" s="1"/>
  <c r="C127" i="27" s="1"/>
  <c r="C128" i="27" s="1"/>
  <c r="C129" i="27" s="1"/>
  <c r="C130" i="27" s="1"/>
  <c r="C131" i="27" s="1"/>
  <c r="C132" i="27" s="1"/>
  <c r="C133" i="27" s="1"/>
  <c r="C134" i="27" s="1"/>
  <c r="C135" i="27" s="1"/>
  <c r="C136" i="27" s="1"/>
  <c r="C137" i="27" s="1"/>
  <c r="C138" i="27" s="1"/>
  <c r="C139" i="27" s="1"/>
  <c r="C140" i="27" s="1"/>
  <c r="C141" i="27" s="1"/>
  <c r="C142" i="27" s="1"/>
  <c r="C143" i="27" s="1"/>
  <c r="C144" i="27" s="1"/>
  <c r="C145" i="27" s="1"/>
  <c r="C146" i="27" s="1"/>
  <c r="C147" i="27" s="1"/>
  <c r="C148" i="27" s="1"/>
  <c r="C149" i="27" s="1"/>
  <c r="C150" i="27" s="1"/>
  <c r="C151" i="27" s="1"/>
  <c r="C152" i="27" s="1"/>
  <c r="C153" i="27" s="1"/>
  <c r="C154" i="27" s="1"/>
  <c r="B24" i="11"/>
  <c r="B21" i="22"/>
  <c r="B102" i="25"/>
  <c r="B25" i="7"/>
  <c r="B23" i="6"/>
  <c r="B22" i="3"/>
  <c r="B22" i="4"/>
  <c r="B103" i="4"/>
  <c r="B105" i="9"/>
  <c r="B106" i="7"/>
  <c r="B102" i="22"/>
  <c r="B103" i="3"/>
  <c r="B101" i="23"/>
  <c r="B105" i="11"/>
  <c r="B104" i="8"/>
  <c r="B106" i="10"/>
  <c r="B103" i="5"/>
  <c r="B21" i="25"/>
  <c r="B18" i="27"/>
  <c r="I18" i="24"/>
  <c r="B19" i="24"/>
  <c r="K18" i="24"/>
  <c r="L18" i="24" s="1"/>
  <c r="B18" i="24"/>
  <c r="C99" i="24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C124" i="24" s="1"/>
  <c r="C125" i="24" s="1"/>
  <c r="C126" i="24" s="1"/>
  <c r="C127" i="24" s="1"/>
  <c r="C128" i="24" s="1"/>
  <c r="C129" i="24" s="1"/>
  <c r="C130" i="24" s="1"/>
  <c r="C131" i="24" s="1"/>
  <c r="C132" i="24" s="1"/>
  <c r="C133" i="24" s="1"/>
  <c r="C134" i="24" s="1"/>
  <c r="C135" i="24" s="1"/>
  <c r="C136" i="24" s="1"/>
  <c r="C137" i="24" s="1"/>
  <c r="C138" i="24" s="1"/>
  <c r="C139" i="24" s="1"/>
  <c r="C140" i="24" s="1"/>
  <c r="C141" i="24" s="1"/>
  <c r="C142" i="24" s="1"/>
  <c r="C143" i="24" s="1"/>
  <c r="C144" i="24" s="1"/>
  <c r="C145" i="24" s="1"/>
  <c r="C146" i="24" s="1"/>
  <c r="C147" i="24" s="1"/>
  <c r="C148" i="24" s="1"/>
  <c r="C149" i="24" s="1"/>
  <c r="C150" i="24" s="1"/>
  <c r="C151" i="24" s="1"/>
  <c r="C152" i="24" s="1"/>
  <c r="C153" i="24" s="1"/>
  <c r="C154" i="24" s="1"/>
  <c r="B25" i="10"/>
  <c r="B24" i="9"/>
  <c r="B23" i="8"/>
  <c r="B104" i="6"/>
  <c r="B22" i="5"/>
  <c r="M18" i="24"/>
  <c r="N18" i="24" s="1"/>
  <c r="B100" i="24"/>
  <c r="N99" i="24"/>
  <c r="O99" i="24" s="1"/>
  <c r="L99" i="24"/>
  <c r="M99" i="24" s="1"/>
  <c r="J99" i="24"/>
  <c r="B20" i="23"/>
  <c r="B23" i="5"/>
  <c r="B18" i="29"/>
  <c r="B18" i="28"/>
  <c r="B106" i="9"/>
  <c r="B103" i="22"/>
  <c r="B104" i="3"/>
  <c r="B105" i="6"/>
  <c r="B106" i="11"/>
  <c r="B104" i="5"/>
  <c r="B21" i="23"/>
  <c r="B22" i="25"/>
  <c r="B20" i="24"/>
  <c r="B23" i="3"/>
  <c r="B101" i="24"/>
  <c r="B103" i="25"/>
  <c r="B105" i="8"/>
  <c r="B23" i="4"/>
  <c r="B25" i="11"/>
  <c r="B25" i="9"/>
  <c r="B102" i="23"/>
  <c r="B22" i="22"/>
  <c r="B107" i="10"/>
  <c r="B26" i="10"/>
  <c r="B24" i="8"/>
  <c r="B107" i="7"/>
  <c r="B26" i="7"/>
  <c r="B24" i="6"/>
  <c r="B104" i="4"/>
  <c r="B18" i="31"/>
  <c r="B19" i="28"/>
  <c r="B25" i="6"/>
  <c r="B23" i="25"/>
  <c r="B22" i="23"/>
  <c r="B23" i="22"/>
  <c r="B102" i="24"/>
  <c r="B105" i="4"/>
  <c r="B104" i="25"/>
  <c r="B106" i="8"/>
  <c r="B105" i="5"/>
  <c r="B104" i="22"/>
  <c r="B26" i="11"/>
  <c r="B21" i="24"/>
  <c r="B25" i="8"/>
  <c r="B24" i="3"/>
  <c r="B27" i="10"/>
  <c r="B24" i="5"/>
  <c r="B107" i="11"/>
  <c r="B107" i="9"/>
  <c r="B108" i="7"/>
  <c r="B19" i="31"/>
  <c r="B100" i="29"/>
  <c r="B19" i="29"/>
  <c r="B108" i="10"/>
  <c r="B26" i="9"/>
  <c r="B27" i="7"/>
  <c r="B106" i="6"/>
  <c r="B24" i="4"/>
  <c r="B105" i="3"/>
  <c r="K18" i="27"/>
  <c r="L18" i="27" s="1"/>
  <c r="B103" i="23"/>
  <c r="B100" i="27"/>
  <c r="B19" i="27"/>
  <c r="I18" i="27"/>
  <c r="M18" i="27"/>
  <c r="N18" i="27" s="1"/>
  <c r="I19" i="27"/>
  <c r="B101" i="27"/>
  <c r="J100" i="27"/>
  <c r="B100" i="28"/>
  <c r="B18" i="30"/>
  <c r="B100" i="31"/>
  <c r="B106" i="4"/>
  <c r="J105" i="4"/>
  <c r="B107" i="6"/>
  <c r="J106" i="6"/>
  <c r="B106" i="5"/>
  <c r="B102" i="27"/>
  <c r="B101" i="28"/>
  <c r="B104" i="23"/>
  <c r="B100" i="30"/>
  <c r="B106" i="3"/>
  <c r="B101" i="31"/>
  <c r="B105" i="25"/>
  <c r="B25" i="5"/>
  <c r="B24" i="22"/>
  <c r="B20" i="31"/>
  <c r="B20" i="27"/>
  <c r="B25" i="4"/>
  <c r="B20" i="29"/>
  <c r="B19" i="30"/>
  <c r="B27" i="9"/>
  <c r="B25" i="3"/>
  <c r="B23" i="23"/>
  <c r="J101" i="27"/>
  <c r="B105" i="22"/>
  <c r="J105" i="5"/>
  <c r="J108" i="10"/>
  <c r="B107" i="8"/>
  <c r="J100" i="28"/>
  <c r="B109" i="7"/>
  <c r="J105" i="3"/>
  <c r="I18" i="30"/>
  <c r="I27" i="7"/>
  <c r="I26" i="9"/>
  <c r="B27" i="11"/>
  <c r="B26" i="8"/>
  <c r="I23" i="22"/>
  <c r="B22" i="24"/>
  <c r="I24" i="5"/>
  <c r="I23" i="25"/>
  <c r="I19" i="28"/>
  <c r="B26" i="6"/>
  <c r="I22" i="23"/>
  <c r="I24" i="3"/>
  <c r="I26" i="11"/>
  <c r="I25" i="8"/>
  <c r="I19" i="29"/>
  <c r="I24" i="4"/>
  <c r="I27" i="10"/>
  <c r="I19" i="31"/>
  <c r="I21" i="24"/>
  <c r="I25" i="6"/>
  <c r="J102" i="24"/>
  <c r="J106" i="8"/>
  <c r="J104" i="22"/>
  <c r="J100" i="29"/>
  <c r="J104" i="25"/>
  <c r="J108" i="7"/>
  <c r="J107" i="9"/>
  <c r="J100" i="31"/>
  <c r="J99" i="30"/>
  <c r="J107" i="11"/>
  <c r="J103" i="23"/>
  <c r="I20" i="27"/>
  <c r="B101" i="29"/>
  <c r="B108" i="9"/>
  <c r="B24" i="25"/>
  <c r="B20" i="28"/>
  <c r="B103" i="24"/>
  <c r="B108" i="11"/>
  <c r="B109" i="10"/>
  <c r="B28" i="10"/>
  <c r="B28" i="7"/>
  <c r="C99" i="13"/>
  <c r="C100" i="13" s="1"/>
  <c r="C101" i="13" s="1"/>
  <c r="C102" i="13" s="1"/>
  <c r="C103" i="13" s="1"/>
  <c r="C104" i="13" s="1"/>
  <c r="C105" i="13" s="1"/>
  <c r="C106" i="13" s="1"/>
  <c r="C107" i="13" s="1"/>
  <c r="C108" i="13" s="1"/>
  <c r="C109" i="13" s="1"/>
  <c r="C110" i="13" s="1"/>
  <c r="C111" i="13" s="1"/>
  <c r="C112" i="13" s="1"/>
  <c r="C113" i="13" s="1"/>
  <c r="C114" i="13" s="1"/>
  <c r="C115" i="13" s="1"/>
  <c r="C116" i="13" s="1"/>
  <c r="C117" i="13" s="1"/>
  <c r="C118" i="13" s="1"/>
  <c r="C119" i="13" s="1"/>
  <c r="C120" i="13" s="1"/>
  <c r="C121" i="13" s="1"/>
  <c r="C122" i="13" s="1"/>
  <c r="C123" i="13" s="1"/>
  <c r="C124" i="13" s="1"/>
  <c r="C125" i="13" s="1"/>
  <c r="C126" i="13" s="1"/>
  <c r="C127" i="13" s="1"/>
  <c r="C128" i="13" s="1"/>
  <c r="C129" i="13" s="1"/>
  <c r="C130" i="13" s="1"/>
  <c r="C131" i="13" s="1"/>
  <c r="C132" i="13" s="1"/>
  <c r="C133" i="13" s="1"/>
  <c r="C134" i="13" s="1"/>
  <c r="C135" i="13" s="1"/>
  <c r="C136" i="13" s="1"/>
  <c r="C137" i="13" s="1"/>
  <c r="C138" i="13" s="1"/>
  <c r="C139" i="13" s="1"/>
  <c r="C140" i="13" s="1"/>
  <c r="C141" i="13" s="1"/>
  <c r="C142" i="13" s="1"/>
  <c r="C143" i="13" s="1"/>
  <c r="C144" i="13" s="1"/>
  <c r="C145" i="13" s="1"/>
  <c r="C146" i="13" s="1"/>
  <c r="C147" i="13" s="1"/>
  <c r="C148" i="13" s="1"/>
  <c r="C149" i="13" s="1"/>
  <c r="C150" i="13" s="1"/>
  <c r="C151" i="13" s="1"/>
  <c r="C152" i="13" s="1"/>
  <c r="C153" i="13" s="1"/>
  <c r="C154" i="13" s="1"/>
  <c r="D18" i="1"/>
  <c r="C12" i="1"/>
  <c r="D19" i="1"/>
  <c r="B29" i="10"/>
  <c r="I24" i="25"/>
  <c r="B27" i="6"/>
  <c r="B20" i="30"/>
  <c r="B21" i="27"/>
  <c r="I17" i="39"/>
  <c r="B21" i="29"/>
  <c r="I27" i="9"/>
  <c r="B23" i="24"/>
  <c r="I22" i="24"/>
  <c r="B28" i="9"/>
  <c r="I23" i="23"/>
  <c r="B21" i="28"/>
  <c r="I20" i="28"/>
  <c r="I26" i="8"/>
  <c r="B24" i="23"/>
  <c r="I19" i="30"/>
  <c r="I26" i="6"/>
  <c r="I24" i="22"/>
  <c r="I28" i="10"/>
  <c r="I21" i="27"/>
  <c r="I20" i="29"/>
  <c r="B27" i="8"/>
  <c r="B102" i="29"/>
  <c r="B29" i="7"/>
  <c r="B26" i="4"/>
  <c r="I25" i="3"/>
  <c r="I27" i="11"/>
  <c r="B26" i="3"/>
  <c r="I25" i="4"/>
  <c r="I17" i="37"/>
  <c r="I28" i="7"/>
  <c r="B26" i="5"/>
  <c r="I25" i="5"/>
  <c r="J102" i="27"/>
  <c r="B107" i="3"/>
  <c r="B106" i="25"/>
  <c r="J105" i="25"/>
  <c r="J101" i="29"/>
  <c r="B106" i="22"/>
  <c r="B108" i="8"/>
  <c r="J106" i="3"/>
  <c r="J100" i="30"/>
  <c r="B107" i="4"/>
  <c r="J108" i="9"/>
  <c r="B110" i="10"/>
  <c r="B109" i="11"/>
  <c r="B104" i="24"/>
  <c r="B105" i="23"/>
  <c r="B102" i="28"/>
  <c r="J109" i="10"/>
  <c r="J104" i="23"/>
  <c r="J108" i="11"/>
  <c r="J106" i="4"/>
  <c r="J105" i="22"/>
  <c r="J107" i="8"/>
  <c r="J107" i="6"/>
  <c r="J101" i="28"/>
  <c r="J103" i="24"/>
  <c r="B18" i="39"/>
  <c r="B18" i="37"/>
  <c r="B103" i="27"/>
  <c r="B25" i="25"/>
  <c r="B25" i="22"/>
  <c r="B28" i="11"/>
  <c r="B109" i="9"/>
  <c r="B107" i="5"/>
  <c r="A2" i="2"/>
  <c r="I10" i="7"/>
  <c r="I10" i="25"/>
  <c r="D93" i="25" s="1"/>
  <c r="C99" i="25" s="1"/>
  <c r="I10" i="31"/>
  <c r="D94" i="31" s="1"/>
  <c r="B110" i="7"/>
  <c r="J109" i="7"/>
  <c r="J106" i="5"/>
  <c r="C99" i="40"/>
  <c r="C100" i="40" s="1"/>
  <c r="C101" i="40" s="1"/>
  <c r="C102" i="40" s="1"/>
  <c r="C103" i="40" s="1"/>
  <c r="C104" i="40" s="1"/>
  <c r="C105" i="40" s="1"/>
  <c r="C106" i="40" s="1"/>
  <c r="C107" i="40" s="1"/>
  <c r="C108" i="40" s="1"/>
  <c r="C109" i="40" s="1"/>
  <c r="C110" i="40" s="1"/>
  <c r="C111" i="40" s="1"/>
  <c r="C112" i="40" s="1"/>
  <c r="C113" i="40" s="1"/>
  <c r="C114" i="40" s="1"/>
  <c r="C115" i="40" s="1"/>
  <c r="C116" i="40" s="1"/>
  <c r="C117" i="40" s="1"/>
  <c r="C118" i="40" s="1"/>
  <c r="C119" i="40" s="1"/>
  <c r="C120" i="40" s="1"/>
  <c r="C121" i="40" s="1"/>
  <c r="C122" i="40" s="1"/>
  <c r="C123" i="40" s="1"/>
  <c r="C124" i="40" s="1"/>
  <c r="C125" i="40" s="1"/>
  <c r="C126" i="40" s="1"/>
  <c r="C127" i="40" s="1"/>
  <c r="C128" i="40" s="1"/>
  <c r="C129" i="40" s="1"/>
  <c r="C130" i="40" s="1"/>
  <c r="C131" i="40" s="1"/>
  <c r="C132" i="40" s="1"/>
  <c r="C133" i="40" s="1"/>
  <c r="C134" i="40" s="1"/>
  <c r="C135" i="40" s="1"/>
  <c r="C136" i="40" s="1"/>
  <c r="C137" i="40" s="1"/>
  <c r="C138" i="40" s="1"/>
  <c r="C139" i="40" s="1"/>
  <c r="C140" i="40" s="1"/>
  <c r="C141" i="40" s="1"/>
  <c r="C142" i="40" s="1"/>
  <c r="C143" i="40" s="1"/>
  <c r="C144" i="40" s="1"/>
  <c r="C145" i="40" s="1"/>
  <c r="C146" i="40" s="1"/>
  <c r="C147" i="40" s="1"/>
  <c r="C148" i="40" s="1"/>
  <c r="C149" i="40" s="1"/>
  <c r="C150" i="40" s="1"/>
  <c r="C151" i="40" s="1"/>
  <c r="C152" i="40" s="1"/>
  <c r="C153" i="40" s="1"/>
  <c r="C154" i="40" s="1"/>
  <c r="I10" i="40"/>
  <c r="I10" i="27"/>
  <c r="I10" i="8"/>
  <c r="I10" i="41"/>
  <c r="I10" i="22"/>
  <c r="D94" i="22" s="1"/>
  <c r="I10" i="6"/>
  <c r="D93" i="6" s="1"/>
  <c r="C99" i="6" s="1"/>
  <c r="C100" i="6" s="1"/>
  <c r="C101" i="6" s="1"/>
  <c r="C102" i="6" s="1"/>
  <c r="C103" i="6" s="1"/>
  <c r="C104" i="6" s="1"/>
  <c r="C105" i="6" s="1"/>
  <c r="C106" i="6" s="1"/>
  <c r="C107" i="6" s="1"/>
  <c r="C108" i="6" s="1"/>
  <c r="C109" i="6" s="1"/>
  <c r="C110" i="6" s="1"/>
  <c r="C111" i="6" s="1"/>
  <c r="C112" i="6" s="1"/>
  <c r="C113" i="6" s="1"/>
  <c r="C114" i="6" s="1"/>
  <c r="C115" i="6" s="1"/>
  <c r="C116" i="6" s="1"/>
  <c r="C117" i="6" s="1"/>
  <c r="C118" i="6" s="1"/>
  <c r="C119" i="6" s="1"/>
  <c r="C120" i="6" s="1"/>
  <c r="C121" i="6" s="1"/>
  <c r="C122" i="6" s="1"/>
  <c r="C123" i="6" s="1"/>
  <c r="C124" i="6" s="1"/>
  <c r="C125" i="6" s="1"/>
  <c r="C126" i="6" s="1"/>
  <c r="C127" i="6" s="1"/>
  <c r="C128" i="6" s="1"/>
  <c r="C129" i="6" s="1"/>
  <c r="C130" i="6" s="1"/>
  <c r="C131" i="6" s="1"/>
  <c r="C132" i="6" s="1"/>
  <c r="C133" i="6" s="1"/>
  <c r="C134" i="6" s="1"/>
  <c r="C135" i="6" s="1"/>
  <c r="C136" i="6" s="1"/>
  <c r="C137" i="6" s="1"/>
  <c r="C138" i="6" s="1"/>
  <c r="C139" i="6" s="1"/>
  <c r="C140" i="6" s="1"/>
  <c r="C141" i="6" s="1"/>
  <c r="C142" i="6" s="1"/>
  <c r="C143" i="6" s="1"/>
  <c r="C144" i="6" s="1"/>
  <c r="C145" i="6" s="1"/>
  <c r="C146" i="6" s="1"/>
  <c r="C147" i="6" s="1"/>
  <c r="C148" i="6" s="1"/>
  <c r="C149" i="6" s="1"/>
  <c r="C150" i="6" s="1"/>
  <c r="C151" i="6" s="1"/>
  <c r="C152" i="6" s="1"/>
  <c r="C153" i="6" s="1"/>
  <c r="C154" i="6" s="1"/>
  <c r="I10" i="37"/>
  <c r="D93" i="37" s="1"/>
  <c r="C99" i="37" s="1"/>
  <c r="C100" i="37" s="1"/>
  <c r="C101" i="37" s="1"/>
  <c r="C102" i="37" s="1"/>
  <c r="C103" i="37" s="1"/>
  <c r="C104" i="37" s="1"/>
  <c r="I10" i="28"/>
  <c r="I10" i="39"/>
  <c r="D93" i="39" s="1"/>
  <c r="C99" i="39" s="1"/>
  <c r="C100" i="39" s="1"/>
  <c r="C101" i="39" s="1"/>
  <c r="C102" i="39" s="1"/>
  <c r="C103" i="39" s="1"/>
  <c r="C104" i="39" s="1"/>
  <c r="C105" i="39" s="1"/>
  <c r="C106" i="39" s="1"/>
  <c r="C107" i="39" s="1"/>
  <c r="C108" i="39" s="1"/>
  <c r="C109" i="39" s="1"/>
  <c r="C110" i="39" s="1"/>
  <c r="C111" i="39" s="1"/>
  <c r="C112" i="39" s="1"/>
  <c r="C113" i="39" s="1"/>
  <c r="C114" i="39" s="1"/>
  <c r="C115" i="39" s="1"/>
  <c r="C116" i="39" s="1"/>
  <c r="C117" i="39" s="1"/>
  <c r="C118" i="39" s="1"/>
  <c r="C119" i="39" s="1"/>
  <c r="C120" i="39" s="1"/>
  <c r="C121" i="39" s="1"/>
  <c r="C122" i="39" s="1"/>
  <c r="C123" i="39" s="1"/>
  <c r="C124" i="39" s="1"/>
  <c r="C125" i="39" s="1"/>
  <c r="C126" i="39" s="1"/>
  <c r="C127" i="39" s="1"/>
  <c r="C128" i="39" s="1"/>
  <c r="C129" i="39" s="1"/>
  <c r="C130" i="39" s="1"/>
  <c r="C131" i="39" s="1"/>
  <c r="C132" i="39" s="1"/>
  <c r="C133" i="39" s="1"/>
  <c r="C134" i="39" s="1"/>
  <c r="C135" i="39" s="1"/>
  <c r="C136" i="39" s="1"/>
  <c r="C137" i="39" s="1"/>
  <c r="C138" i="39" s="1"/>
  <c r="C139" i="39" s="1"/>
  <c r="C140" i="39" s="1"/>
  <c r="C141" i="39" s="1"/>
  <c r="C142" i="39" s="1"/>
  <c r="C143" i="39" s="1"/>
  <c r="C144" i="39" s="1"/>
  <c r="C145" i="39" s="1"/>
  <c r="C146" i="39" s="1"/>
  <c r="C147" i="39" s="1"/>
  <c r="C148" i="39" s="1"/>
  <c r="C149" i="39" s="1"/>
  <c r="C150" i="39" s="1"/>
  <c r="C151" i="39" s="1"/>
  <c r="C152" i="39" s="1"/>
  <c r="C153" i="39" s="1"/>
  <c r="C154" i="39" s="1"/>
  <c r="I10" i="3"/>
  <c r="D94" i="3" s="1"/>
  <c r="I10" i="10"/>
  <c r="D94" i="10" s="1"/>
  <c r="I10" i="23"/>
  <c r="D93" i="23" s="1"/>
  <c r="I10" i="24"/>
  <c r="I10" i="5"/>
  <c r="D93" i="5" s="1"/>
  <c r="I10" i="11"/>
  <c r="D93" i="11" s="1"/>
  <c r="I10" i="42"/>
  <c r="I10" i="4"/>
  <c r="D93" i="4" s="1"/>
  <c r="I10" i="29"/>
  <c r="D94" i="29" s="1"/>
  <c r="I10" i="38"/>
  <c r="I10" i="30"/>
  <c r="D93" i="30" s="1"/>
  <c r="C99" i="30" s="1"/>
  <c r="I10" i="9"/>
  <c r="I10" i="13"/>
  <c r="D92" i="13" s="1"/>
  <c r="E99" i="13" s="1"/>
  <c r="B108" i="6"/>
  <c r="B21" i="31"/>
  <c r="I20" i="31"/>
  <c r="J101" i="31"/>
  <c r="B102" i="31"/>
  <c r="J92" i="41"/>
  <c r="L86" i="41" s="1"/>
  <c r="B109" i="6"/>
  <c r="B110" i="11"/>
  <c r="B18" i="38"/>
  <c r="I17" i="38"/>
  <c r="B108" i="5"/>
  <c r="B107" i="22"/>
  <c r="J103" i="27"/>
  <c r="J107" i="5"/>
  <c r="J108" i="6"/>
  <c r="B28" i="6"/>
  <c r="B27" i="4"/>
  <c r="B25" i="23"/>
  <c r="B22" i="31"/>
  <c r="B26" i="25"/>
  <c r="B18" i="40"/>
  <c r="B29" i="11"/>
  <c r="B27" i="5"/>
  <c r="B22" i="29"/>
  <c r="B30" i="7"/>
  <c r="B19" i="39"/>
  <c r="B18" i="41"/>
  <c r="J106" i="22"/>
  <c r="J102" i="28"/>
  <c r="J108" i="8"/>
  <c r="I20" i="30"/>
  <c r="I21" i="31"/>
  <c r="I27" i="8"/>
  <c r="I28" i="9"/>
  <c r="I27" i="6"/>
  <c r="I29" i="10"/>
  <c r="I26" i="3"/>
  <c r="I26" i="4"/>
  <c r="I18" i="39"/>
  <c r="I29" i="7"/>
  <c r="I17" i="40"/>
  <c r="I17" i="42"/>
  <c r="I18" i="37"/>
  <c r="B29" i="9"/>
  <c r="I23" i="24"/>
  <c r="I18" i="38"/>
  <c r="I28" i="11"/>
  <c r="I25" i="25"/>
  <c r="I21" i="28"/>
  <c r="I26" i="5"/>
  <c r="I17" i="41"/>
  <c r="I21" i="29"/>
  <c r="B21" i="30"/>
  <c r="B19" i="37"/>
  <c r="I24" i="23"/>
  <c r="I25" i="22"/>
  <c r="B19" i="38"/>
  <c r="B103" i="28"/>
  <c r="B22" i="28"/>
  <c r="B109" i="8"/>
  <c r="B27" i="3"/>
  <c r="B101" i="30"/>
  <c r="B104" i="27"/>
  <c r="B111" i="10"/>
  <c r="B100" i="38"/>
  <c r="J109" i="11"/>
  <c r="B103" i="29"/>
  <c r="J102" i="29"/>
  <c r="B22" i="27"/>
  <c r="B102" i="30"/>
  <c r="J110" i="10"/>
  <c r="B100" i="39"/>
  <c r="B103" i="31"/>
  <c r="J99" i="37"/>
  <c r="B105" i="24"/>
  <c r="J99" i="38"/>
  <c r="B111" i="7"/>
  <c r="B107" i="25"/>
  <c r="B108" i="3"/>
  <c r="B108" i="4"/>
  <c r="B106" i="23"/>
  <c r="I22" i="27"/>
  <c r="B110" i="9"/>
  <c r="J99" i="39"/>
  <c r="J109" i="9"/>
  <c r="J105" i="23"/>
  <c r="J106" i="25"/>
  <c r="J110" i="7"/>
  <c r="J104" i="24"/>
  <c r="J107" i="4"/>
  <c r="J107" i="3"/>
  <c r="J102" i="31"/>
  <c r="J101" i="30"/>
  <c r="I10" i="44"/>
  <c r="I10" i="46"/>
  <c r="I10" i="43"/>
  <c r="F61" i="17"/>
  <c r="N61" i="17"/>
  <c r="O61" i="17"/>
  <c r="C61" i="17"/>
  <c r="E61" i="17"/>
  <c r="D61" i="17"/>
  <c r="I12" i="56" l="1"/>
  <c r="I13" i="56" s="1"/>
  <c r="I12" i="51"/>
  <c r="G63" i="51" s="1"/>
  <c r="I12" i="52"/>
  <c r="I12" i="50"/>
  <c r="I13" i="50" s="1"/>
  <c r="J94" i="56"/>
  <c r="J94" i="50"/>
  <c r="J94" i="51"/>
  <c r="J94" i="52"/>
  <c r="E101" i="52"/>
  <c r="F101" i="52" s="1"/>
  <c r="B101" i="52"/>
  <c r="E101" i="51"/>
  <c r="F101" i="51" s="1"/>
  <c r="B101" i="51"/>
  <c r="D64" i="51"/>
  <c r="E64" i="51" s="1"/>
  <c r="D8" i="3"/>
  <c r="D90" i="3" s="1"/>
  <c r="D92" i="3"/>
  <c r="P99" i="31"/>
  <c r="C100" i="25"/>
  <c r="C101" i="25" s="1"/>
  <c r="C102" i="25" s="1"/>
  <c r="C103" i="25" s="1"/>
  <c r="C104" i="25" s="1"/>
  <c r="C105" i="25" s="1"/>
  <c r="C106" i="25" s="1"/>
  <c r="C107" i="25" s="1"/>
  <c r="C108" i="25" s="1"/>
  <c r="C109" i="25" s="1"/>
  <c r="C110" i="25" s="1"/>
  <c r="C111" i="25" s="1"/>
  <c r="C112" i="25" s="1"/>
  <c r="C113" i="25" s="1"/>
  <c r="C114" i="25" s="1"/>
  <c r="C115" i="25" s="1"/>
  <c r="C116" i="25" s="1"/>
  <c r="C117" i="25" s="1"/>
  <c r="C118" i="25" s="1"/>
  <c r="C119" i="25" s="1"/>
  <c r="C120" i="25" s="1"/>
  <c r="C121" i="25" s="1"/>
  <c r="C122" i="25" s="1"/>
  <c r="C123" i="25" s="1"/>
  <c r="C124" i="25" s="1"/>
  <c r="C125" i="25" s="1"/>
  <c r="C126" i="25" s="1"/>
  <c r="C127" i="25" s="1"/>
  <c r="C128" i="25" s="1"/>
  <c r="C129" i="25" s="1"/>
  <c r="C130" i="25" s="1"/>
  <c r="C131" i="25" s="1"/>
  <c r="C132" i="25" s="1"/>
  <c r="C133" i="25" s="1"/>
  <c r="C134" i="25" s="1"/>
  <c r="C135" i="25" s="1"/>
  <c r="C136" i="25" s="1"/>
  <c r="C137" i="25" s="1"/>
  <c r="C138" i="25" s="1"/>
  <c r="C139" i="25" s="1"/>
  <c r="C140" i="25" s="1"/>
  <c r="C141" i="25" s="1"/>
  <c r="C142" i="25" s="1"/>
  <c r="C143" i="25" s="1"/>
  <c r="C144" i="25" s="1"/>
  <c r="C145" i="25" s="1"/>
  <c r="C146" i="25" s="1"/>
  <c r="C147" i="25" s="1"/>
  <c r="C148" i="25" s="1"/>
  <c r="C149" i="25" s="1"/>
  <c r="C150" i="25" s="1"/>
  <c r="C151" i="25" s="1"/>
  <c r="C152" i="25" s="1"/>
  <c r="C153" i="25" s="1"/>
  <c r="C154" i="25" s="1"/>
  <c r="O23" i="23"/>
  <c r="O24" i="8"/>
  <c r="P103" i="7"/>
  <c r="P102" i="9"/>
  <c r="P102" i="11"/>
  <c r="P103" i="11"/>
  <c r="O20" i="25"/>
  <c r="P100" i="25"/>
  <c r="P103" i="8"/>
  <c r="P99" i="10"/>
  <c r="P101" i="7"/>
  <c r="P101" i="4"/>
  <c r="P104" i="7"/>
  <c r="P99" i="23"/>
  <c r="O25" i="10"/>
  <c r="O26" i="7"/>
  <c r="O25" i="9"/>
  <c r="O18" i="39"/>
  <c r="O19" i="6"/>
  <c r="P103" i="27"/>
  <c r="C59" i="1"/>
  <c r="O23" i="7"/>
  <c r="P99" i="5"/>
  <c r="P100" i="11"/>
  <c r="P102" i="24"/>
  <c r="I12" i="3"/>
  <c r="I13" i="3" s="1"/>
  <c r="O20" i="5"/>
  <c r="O21" i="11"/>
  <c r="O22" i="7"/>
  <c r="O19" i="3"/>
  <c r="P104" i="10"/>
  <c r="P109" i="10"/>
  <c r="P102" i="4"/>
  <c r="O22" i="6"/>
  <c r="O24" i="7"/>
  <c r="D99" i="24"/>
  <c r="P105" i="10"/>
  <c r="P104" i="11"/>
  <c r="P101" i="22"/>
  <c r="O27" i="9"/>
  <c r="P100" i="30"/>
  <c r="O17" i="37"/>
  <c r="P100" i="6"/>
  <c r="O20" i="4"/>
  <c r="O18" i="25"/>
  <c r="P99" i="7"/>
  <c r="O19" i="7"/>
  <c r="P100" i="5"/>
  <c r="P100" i="23"/>
  <c r="P103" i="5"/>
  <c r="P106" i="7"/>
  <c r="P102" i="22"/>
  <c r="O17" i="28"/>
  <c r="P99" i="27"/>
  <c r="O23" i="5"/>
  <c r="O24" i="6"/>
  <c r="P99" i="29"/>
  <c r="O18" i="31"/>
  <c r="O24" i="4"/>
  <c r="O24" i="25"/>
  <c r="O20" i="28"/>
  <c r="O17" i="4"/>
  <c r="O18" i="22"/>
  <c r="O23" i="6"/>
  <c r="O24" i="11"/>
  <c r="P104" i="4"/>
  <c r="P105" i="6"/>
  <c r="P103" i="24"/>
  <c r="P100" i="24"/>
  <c r="P99" i="39"/>
  <c r="O19" i="5"/>
  <c r="P102" i="10"/>
  <c r="P101" i="11"/>
  <c r="O33" i="27"/>
  <c r="P103" i="6"/>
  <c r="P102" i="25"/>
  <c r="O58" i="37"/>
  <c r="O24" i="5"/>
  <c r="O27" i="7"/>
  <c r="O26" i="9"/>
  <c r="O19" i="29"/>
  <c r="P101" i="29"/>
  <c r="P107" i="3"/>
  <c r="P108" i="8"/>
  <c r="P102" i="5"/>
  <c r="P106" i="10"/>
  <c r="P105" i="11"/>
  <c r="O26" i="10"/>
  <c r="O25" i="11"/>
  <c r="P105" i="4"/>
  <c r="P106" i="8"/>
  <c r="P102" i="27"/>
  <c r="O26" i="6"/>
  <c r="P99" i="37"/>
  <c r="I12" i="40"/>
  <c r="I13" i="40" s="1"/>
  <c r="O18" i="6"/>
  <c r="O24" i="10"/>
  <c r="P101" i="25"/>
  <c r="P107" i="7"/>
  <c r="P105" i="8"/>
  <c r="P101" i="24"/>
  <c r="P105" i="22"/>
  <c r="I12" i="38"/>
  <c r="I13" i="38" s="1"/>
  <c r="I12" i="25"/>
  <c r="I13" i="25" s="1"/>
  <c r="F18" i="1"/>
  <c r="P102" i="7"/>
  <c r="O17" i="23"/>
  <c r="P106" i="9"/>
  <c r="P109" i="7"/>
  <c r="P107" i="8"/>
  <c r="O27" i="11"/>
  <c r="O20" i="29"/>
  <c r="O20" i="31"/>
  <c r="P106" i="22"/>
  <c r="O18" i="28"/>
  <c r="P99" i="38"/>
  <c r="I12" i="13"/>
  <c r="I13" i="13" s="1"/>
  <c r="I12" i="42"/>
  <c r="I13" i="42" s="1"/>
  <c r="P102" i="6"/>
  <c r="P103" i="9"/>
  <c r="O17" i="9"/>
  <c r="O21" i="10"/>
  <c r="O17" i="25"/>
  <c r="P99" i="25"/>
  <c r="O22" i="3"/>
  <c r="O22" i="4"/>
  <c r="O22" i="5"/>
  <c r="O24" i="9"/>
  <c r="O21" i="22"/>
  <c r="P104" i="5"/>
  <c r="O22" i="25"/>
  <c r="P99" i="28"/>
  <c r="O17" i="39"/>
  <c r="P107" i="11"/>
  <c r="O23" i="25"/>
  <c r="P99" i="30"/>
  <c r="P108" i="11"/>
  <c r="O24" i="22"/>
  <c r="P99" i="4"/>
  <c r="I12" i="28"/>
  <c r="I13" i="28" s="1"/>
  <c r="O20" i="7"/>
  <c r="O17" i="7"/>
  <c r="O18" i="9"/>
  <c r="P99" i="11"/>
  <c r="O19" i="11"/>
  <c r="P100" i="22"/>
  <c r="O20" i="11"/>
  <c r="O23" i="9"/>
  <c r="O23" i="4"/>
  <c r="P103" i="23"/>
  <c r="P107" i="10"/>
  <c r="P106" i="11"/>
  <c r="P103" i="22"/>
  <c r="O21" i="23"/>
  <c r="O19" i="25"/>
  <c r="O22" i="22"/>
  <c r="P102" i="23"/>
  <c r="P101" i="5"/>
  <c r="P106" i="4"/>
  <c r="P104" i="23"/>
  <c r="D8" i="23"/>
  <c r="D90" i="23" s="1"/>
  <c r="P101" i="3"/>
  <c r="O20" i="10"/>
  <c r="P99" i="6"/>
  <c r="O18" i="4"/>
  <c r="O21" i="9"/>
  <c r="O18" i="23"/>
  <c r="O21" i="5"/>
  <c r="O22" i="8"/>
  <c r="P103" i="3"/>
  <c r="P104" i="3"/>
  <c r="O20" i="24"/>
  <c r="C77" i="1"/>
  <c r="F99" i="13"/>
  <c r="G99" i="13" s="1"/>
  <c r="O18" i="27"/>
  <c r="F14" i="2"/>
  <c r="E19" i="2" s="1"/>
  <c r="F19" i="2" s="1"/>
  <c r="O18" i="8"/>
  <c r="O19" i="9"/>
  <c r="O43" i="27"/>
  <c r="P102" i="3"/>
  <c r="O31" i="39"/>
  <c r="O35" i="39"/>
  <c r="O45" i="39"/>
  <c r="O67" i="39"/>
  <c r="P101" i="27"/>
  <c r="P106" i="25"/>
  <c r="P99" i="3"/>
  <c r="O17" i="3"/>
  <c r="O17" i="6"/>
  <c r="P101" i="9"/>
  <c r="R12" i="17"/>
  <c r="T12" i="17" s="1"/>
  <c r="P103" i="10"/>
  <c r="P99" i="22"/>
  <c r="O21" i="4"/>
  <c r="P108" i="7"/>
  <c r="O28" i="10"/>
  <c r="P102" i="29"/>
  <c r="P102" i="31"/>
  <c r="O37" i="22"/>
  <c r="J94" i="10"/>
  <c r="J95" i="10" s="1"/>
  <c r="J94" i="24"/>
  <c r="J95" i="24" s="1"/>
  <c r="J94" i="40"/>
  <c r="J95" i="40" s="1"/>
  <c r="J94" i="5"/>
  <c r="J95" i="5" s="1"/>
  <c r="J94" i="42"/>
  <c r="J95" i="42" s="1"/>
  <c r="J94" i="37"/>
  <c r="J95" i="37" s="1"/>
  <c r="I12" i="31"/>
  <c r="I13" i="31" s="1"/>
  <c r="I12" i="22"/>
  <c r="I13" i="22" s="1"/>
  <c r="I12" i="8"/>
  <c r="I13" i="8" s="1"/>
  <c r="I12" i="30"/>
  <c r="I13" i="30" s="1"/>
  <c r="I12" i="29"/>
  <c r="I13" i="29" s="1"/>
  <c r="O20" i="22"/>
  <c r="I12" i="27"/>
  <c r="I13" i="27" s="1"/>
  <c r="I12" i="23"/>
  <c r="I13" i="23" s="1"/>
  <c r="I12" i="5"/>
  <c r="I13" i="5" s="1"/>
  <c r="I12" i="11"/>
  <c r="I13" i="11" s="1"/>
  <c r="I12" i="10"/>
  <c r="I13" i="10" s="1"/>
  <c r="I12" i="24"/>
  <c r="I13" i="24" s="1"/>
  <c r="O18" i="5"/>
  <c r="P105" i="7"/>
  <c r="P110" i="10"/>
  <c r="P104" i="24"/>
  <c r="I12" i="39"/>
  <c r="I13" i="39" s="1"/>
  <c r="I12" i="7"/>
  <c r="I13" i="7" s="1"/>
  <c r="I12" i="41"/>
  <c r="I13" i="41" s="1"/>
  <c r="I12" i="9"/>
  <c r="I13" i="9" s="1"/>
  <c r="I12" i="6"/>
  <c r="I13" i="6" s="1"/>
  <c r="I12" i="4"/>
  <c r="I13" i="4" s="1"/>
  <c r="I12" i="37"/>
  <c r="I13" i="37" s="1"/>
  <c r="O19" i="4"/>
  <c r="P101" i="8"/>
  <c r="P99" i="8"/>
  <c r="O20" i="8"/>
  <c r="P101" i="10"/>
  <c r="O17" i="10"/>
  <c r="O20" i="9"/>
  <c r="O18" i="3"/>
  <c r="O21" i="3"/>
  <c r="P104" i="8"/>
  <c r="O17" i="29"/>
  <c r="O23" i="3"/>
  <c r="O17" i="38"/>
  <c r="O54" i="40"/>
  <c r="O60" i="40"/>
  <c r="O26" i="11"/>
  <c r="O25" i="3"/>
  <c r="O25" i="4"/>
  <c r="P106" i="5"/>
  <c r="O27" i="8"/>
  <c r="O25" i="22"/>
  <c r="O23" i="24"/>
  <c r="P102" i="28"/>
  <c r="O17" i="40"/>
  <c r="P100" i="3"/>
  <c r="P101" i="6"/>
  <c r="O20" i="6"/>
  <c r="O17" i="8"/>
  <c r="O22" i="10"/>
  <c r="O18" i="10"/>
  <c r="O17" i="24"/>
  <c r="P104" i="9"/>
  <c r="P103" i="4"/>
  <c r="P105" i="9"/>
  <c r="O20" i="23"/>
  <c r="P101" i="23"/>
  <c r="O17" i="31"/>
  <c r="O19" i="27"/>
  <c r="P100" i="27"/>
  <c r="P105" i="5"/>
  <c r="P106" i="6"/>
  <c r="P104" i="25"/>
  <c r="O19" i="31"/>
  <c r="O25" i="5"/>
  <c r="P108" i="9"/>
  <c r="O21" i="27"/>
  <c r="O19" i="30"/>
  <c r="P107" i="5"/>
  <c r="P99" i="24"/>
  <c r="F17" i="1"/>
  <c r="P100" i="4"/>
  <c r="O17" i="5"/>
  <c r="P100" i="7"/>
  <c r="O21" i="7"/>
  <c r="P102" i="8"/>
  <c r="O19" i="10"/>
  <c r="O17" i="11"/>
  <c r="O17" i="27"/>
  <c r="O25" i="7"/>
  <c r="O23" i="8"/>
  <c r="O55" i="31"/>
  <c r="O24" i="3"/>
  <c r="O27" i="10"/>
  <c r="O23" i="22"/>
  <c r="O22" i="24"/>
  <c r="C61" i="2"/>
  <c r="C76" i="2"/>
  <c r="J94" i="39"/>
  <c r="J95" i="39" s="1"/>
  <c r="J94" i="41"/>
  <c r="J95" i="41" s="1"/>
  <c r="J94" i="22"/>
  <c r="J95" i="22" s="1"/>
  <c r="F17" i="2"/>
  <c r="J94" i="29"/>
  <c r="J95" i="29" s="1"/>
  <c r="J94" i="23"/>
  <c r="J95" i="23" s="1"/>
  <c r="J94" i="31"/>
  <c r="J95" i="31" s="1"/>
  <c r="F18" i="2"/>
  <c r="T14" i="17"/>
  <c r="E13" i="17"/>
  <c r="O43" i="22"/>
  <c r="O31" i="9"/>
  <c r="O71" i="13"/>
  <c r="O69" i="13"/>
  <c r="O65" i="13"/>
  <c r="O63" i="13"/>
  <c r="O61" i="13"/>
  <c r="O59" i="13"/>
  <c r="O57" i="13"/>
  <c r="O45" i="13"/>
  <c r="O41" i="13"/>
  <c r="O35" i="13"/>
  <c r="O25" i="13"/>
  <c r="O23" i="13"/>
  <c r="O21" i="13"/>
  <c r="O19" i="13"/>
  <c r="O65" i="38"/>
  <c r="O69" i="11"/>
  <c r="O37" i="11"/>
  <c r="O70" i="23"/>
  <c r="O64" i="23"/>
  <c r="O60" i="23"/>
  <c r="O58" i="23"/>
  <c r="O54" i="23"/>
  <c r="O52" i="23"/>
  <c r="O50" i="23"/>
  <c r="O46" i="23"/>
  <c r="O42" i="23"/>
  <c r="O39" i="28"/>
  <c r="O53" i="28"/>
  <c r="O57" i="28"/>
  <c r="O71" i="28"/>
  <c r="O52" i="30"/>
  <c r="O30" i="37"/>
  <c r="O54" i="37"/>
  <c r="O62" i="37"/>
  <c r="O72" i="25"/>
  <c r="O25" i="44"/>
  <c r="O33" i="44"/>
  <c r="O41" i="44"/>
  <c r="O49" i="44"/>
  <c r="O57" i="44"/>
  <c r="O65" i="44"/>
  <c r="O69" i="44"/>
  <c r="O62" i="8"/>
  <c r="O58" i="8"/>
  <c r="O54" i="13"/>
  <c r="O50" i="13"/>
  <c r="O46" i="13"/>
  <c r="O67" i="29"/>
  <c r="O38" i="38"/>
  <c r="O51" i="42"/>
  <c r="O71" i="22"/>
  <c r="O67" i="22"/>
  <c r="O47" i="30"/>
  <c r="O29" i="5"/>
  <c r="O39" i="6"/>
  <c r="O58" i="9"/>
  <c r="O38" i="9"/>
  <c r="O59" i="22"/>
  <c r="O47" i="22"/>
  <c r="O41" i="22"/>
  <c r="O39" i="22"/>
  <c r="O29" i="22"/>
  <c r="O23" i="30"/>
  <c r="O37" i="31"/>
  <c r="O51" i="31"/>
  <c r="O25" i="39"/>
  <c r="O41" i="39"/>
  <c r="O51" i="39"/>
  <c r="O55" i="39"/>
  <c r="O45" i="40"/>
  <c r="O52" i="44"/>
  <c r="O38" i="5"/>
  <c r="O25" i="27"/>
  <c r="O29" i="27"/>
  <c r="O37" i="27"/>
  <c r="O39" i="27"/>
  <c r="O45" i="27"/>
  <c r="O47" i="27"/>
  <c r="O51" i="27"/>
  <c r="O53" i="27"/>
  <c r="O55" i="27"/>
  <c r="O57" i="27"/>
  <c r="O59" i="27"/>
  <c r="O61" i="27"/>
  <c r="O65" i="27"/>
  <c r="O67" i="27"/>
  <c r="O26" i="29"/>
  <c r="O34" i="29"/>
  <c r="O36" i="29"/>
  <c r="O40" i="29"/>
  <c r="O22" i="37"/>
  <c r="O26" i="37"/>
  <c r="O28" i="37"/>
  <c r="O32" i="37"/>
  <c r="O34" i="37"/>
  <c r="O36" i="37"/>
  <c r="O38" i="37"/>
  <c r="O50" i="37"/>
  <c r="O52" i="37"/>
  <c r="O56" i="37"/>
  <c r="O66" i="37"/>
  <c r="O68" i="37"/>
  <c r="O70" i="37"/>
  <c r="O24" i="40"/>
  <c r="O26" i="40"/>
  <c r="O28" i="40"/>
  <c r="O30" i="40"/>
  <c r="O32" i="40"/>
  <c r="O34" i="40"/>
  <c r="O36" i="40"/>
  <c r="O38" i="40"/>
  <c r="O40" i="40"/>
  <c r="O42" i="40"/>
  <c r="O44" i="40"/>
  <c r="O46" i="40"/>
  <c r="O50" i="40"/>
  <c r="O52" i="40"/>
  <c r="O56" i="40"/>
  <c r="O58" i="40"/>
  <c r="O62" i="40"/>
  <c r="O64" i="40"/>
  <c r="O66" i="40"/>
  <c r="O70" i="40"/>
  <c r="O72" i="40"/>
  <c r="O51" i="45"/>
  <c r="O55" i="45"/>
  <c r="O59" i="45"/>
  <c r="O67" i="45"/>
  <c r="O71" i="45"/>
  <c r="O33" i="41"/>
  <c r="O57" i="41"/>
  <c r="P101" i="31"/>
  <c r="O49" i="42"/>
  <c r="O31" i="38"/>
  <c r="O18" i="38"/>
  <c r="O60" i="37"/>
  <c r="O18" i="37"/>
  <c r="O23" i="31"/>
  <c r="O47" i="31"/>
  <c r="O50" i="29"/>
  <c r="O52" i="29"/>
  <c r="O56" i="29"/>
  <c r="O64" i="29"/>
  <c r="O22" i="27"/>
  <c r="O68" i="25"/>
  <c r="O64" i="25"/>
  <c r="O62" i="25"/>
  <c r="O60" i="25"/>
  <c r="O56" i="25"/>
  <c r="O54" i="25"/>
  <c r="O50" i="25"/>
  <c r="O48" i="25"/>
  <c r="O44" i="25"/>
  <c r="O36" i="25"/>
  <c r="O34" i="25"/>
  <c r="O30" i="25"/>
  <c r="O28" i="25"/>
  <c r="O71" i="24"/>
  <c r="O61" i="24"/>
  <c r="O37" i="24"/>
  <c r="O33" i="23"/>
  <c r="O53" i="9"/>
  <c r="O55" i="7"/>
  <c r="O49" i="7"/>
  <c r="O48" i="5"/>
  <c r="O40" i="5"/>
  <c r="O28" i="5"/>
  <c r="O26" i="5"/>
  <c r="D94" i="6"/>
  <c r="D94" i="13"/>
  <c r="D93" i="3"/>
  <c r="C99" i="3" s="1"/>
  <c r="D94" i="5"/>
  <c r="D94" i="23"/>
  <c r="O62" i="3"/>
  <c r="O34" i="3"/>
  <c r="O71" i="4"/>
  <c r="O55" i="4"/>
  <c r="O67" i="6"/>
  <c r="O47" i="6"/>
  <c r="O69" i="7"/>
  <c r="O65" i="7"/>
  <c r="O57" i="7"/>
  <c r="O51" i="7"/>
  <c r="O45" i="7"/>
  <c r="O39" i="7"/>
  <c r="O31" i="7"/>
  <c r="O25" i="31"/>
  <c r="O35" i="31"/>
  <c r="O41" i="31"/>
  <c r="O59" i="31"/>
  <c r="O67" i="31"/>
  <c r="O69" i="31"/>
  <c r="O71" i="31"/>
  <c r="O72" i="31"/>
  <c r="J92" i="25"/>
  <c r="M87" i="25" s="1"/>
  <c r="J92" i="10"/>
  <c r="N87" i="10" s="1"/>
  <c r="J92" i="42"/>
  <c r="L86" i="42" s="1"/>
  <c r="J92" i="30"/>
  <c r="L86" i="30" s="1"/>
  <c r="J92" i="40"/>
  <c r="L86" i="40" s="1"/>
  <c r="M19" i="2"/>
  <c r="J92" i="8"/>
  <c r="L86" i="8" s="1"/>
  <c r="J92" i="24"/>
  <c r="L86" i="24" s="1"/>
  <c r="J92" i="7"/>
  <c r="L86" i="7" s="1"/>
  <c r="J92" i="4"/>
  <c r="L86" i="4" s="1"/>
  <c r="J92" i="3"/>
  <c r="M87" i="3" s="1"/>
  <c r="J92" i="31"/>
  <c r="L86" i="31" s="1"/>
  <c r="J92" i="5"/>
  <c r="L86" i="5" s="1"/>
  <c r="J92" i="11"/>
  <c r="M87" i="11" s="1"/>
  <c r="J92" i="29"/>
  <c r="L86" i="29" s="1"/>
  <c r="J92" i="27"/>
  <c r="L86" i="27" s="1"/>
  <c r="J92" i="44"/>
  <c r="N87" i="44" s="1"/>
  <c r="J92" i="37"/>
  <c r="L86" i="37" s="1"/>
  <c r="J92" i="28"/>
  <c r="N87" i="28" s="1"/>
  <c r="J92" i="13"/>
  <c r="L86" i="13" s="1"/>
  <c r="J92" i="43"/>
  <c r="N87" i="43" s="1"/>
  <c r="J92" i="9"/>
  <c r="N87" i="9" s="1"/>
  <c r="J92" i="23"/>
  <c r="L86" i="23" s="1"/>
  <c r="A4" i="2"/>
  <c r="J92" i="6"/>
  <c r="L86" i="6" s="1"/>
  <c r="J92" i="38"/>
  <c r="L86" i="38" s="1"/>
  <c r="J92" i="22"/>
  <c r="M87" i="22" s="1"/>
  <c r="J92" i="39"/>
  <c r="N87" i="39" s="1"/>
  <c r="O22" i="46"/>
  <c r="O26" i="46"/>
  <c r="O28" i="46"/>
  <c r="O30" i="46"/>
  <c r="O32" i="46"/>
  <c r="O46" i="46"/>
  <c r="O58" i="46"/>
  <c r="O62" i="46"/>
  <c r="B18" i="46"/>
  <c r="O34" i="46"/>
  <c r="O35" i="46"/>
  <c r="O43" i="46"/>
  <c r="O51" i="46"/>
  <c r="O69" i="46"/>
  <c r="C45" i="46"/>
  <c r="C46" i="46" s="1"/>
  <c r="C47" i="46" s="1"/>
  <c r="C48" i="46" s="1"/>
  <c r="C49" i="46" s="1"/>
  <c r="C50" i="46" s="1"/>
  <c r="C51" i="46" s="1"/>
  <c r="C52" i="46" s="1"/>
  <c r="C53" i="46" s="1"/>
  <c r="C54" i="46" s="1"/>
  <c r="C55" i="46" s="1"/>
  <c r="C56" i="46" s="1"/>
  <c r="C57" i="46" s="1"/>
  <c r="C58" i="46" s="1"/>
  <c r="C59" i="46" s="1"/>
  <c r="C60" i="46" s="1"/>
  <c r="C61" i="46" s="1"/>
  <c r="C62" i="46" s="1"/>
  <c r="C63" i="46" s="1"/>
  <c r="C64" i="46" s="1"/>
  <c r="C65" i="46" s="1"/>
  <c r="C66" i="46" s="1"/>
  <c r="C67" i="46" s="1"/>
  <c r="C68" i="46" s="1"/>
  <c r="C69" i="46" s="1"/>
  <c r="C70" i="46" s="1"/>
  <c r="C71" i="46" s="1"/>
  <c r="C72" i="46" s="1"/>
  <c r="P54" i="17"/>
  <c r="O17" i="46"/>
  <c r="O33" i="46"/>
  <c r="O39" i="46"/>
  <c r="O41" i="46"/>
  <c r="O49" i="46"/>
  <c r="O57" i="46"/>
  <c r="O65" i="46"/>
  <c r="O71" i="46"/>
  <c r="O55" i="41"/>
  <c r="O20" i="39"/>
  <c r="O26" i="39"/>
  <c r="O32" i="39"/>
  <c r="O34" i="39"/>
  <c r="O38" i="39"/>
  <c r="O40" i="39"/>
  <c r="O44" i="39"/>
  <c r="O56" i="39"/>
  <c r="O58" i="39"/>
  <c r="O60" i="39"/>
  <c r="O64" i="39"/>
  <c r="O72" i="39"/>
  <c r="O28" i="43"/>
  <c r="O44" i="43"/>
  <c r="O17" i="41"/>
  <c r="O48" i="39"/>
  <c r="O21" i="28"/>
  <c r="O23" i="28"/>
  <c r="O25" i="28"/>
  <c r="O29" i="28"/>
  <c r="O31" i="28"/>
  <c r="O35" i="28"/>
  <c r="O45" i="28"/>
  <c r="O47" i="28"/>
  <c r="O59" i="28"/>
  <c r="O61" i="28"/>
  <c r="O65" i="28"/>
  <c r="O67" i="28"/>
  <c r="O71" i="25"/>
  <c r="O65" i="25"/>
  <c r="O63" i="25"/>
  <c r="O57" i="25"/>
  <c r="O55" i="25"/>
  <c r="O53" i="25"/>
  <c r="O51" i="25"/>
  <c r="O71" i="23"/>
  <c r="O69" i="23"/>
  <c r="O65" i="23"/>
  <c r="O63" i="23"/>
  <c r="O61" i="23"/>
  <c r="O59" i="23"/>
  <c r="O57" i="23"/>
  <c r="O55" i="23"/>
  <c r="O47" i="23"/>
  <c r="O43" i="23"/>
  <c r="O37" i="23"/>
  <c r="O28" i="11"/>
  <c r="O29" i="10"/>
  <c r="O28" i="9"/>
  <c r="O44" i="4"/>
  <c r="O26" i="3"/>
  <c r="P154" i="6"/>
  <c r="P150" i="6"/>
  <c r="P146" i="6"/>
  <c r="P144" i="6"/>
  <c r="P138" i="6"/>
  <c r="P136" i="6"/>
  <c r="P134" i="6"/>
  <c r="P132" i="6"/>
  <c r="P122" i="6"/>
  <c r="P116" i="6"/>
  <c r="O31" i="45"/>
  <c r="O33" i="45"/>
  <c r="O41" i="45"/>
  <c r="B18" i="44"/>
  <c r="O17" i="42"/>
  <c r="O21" i="42"/>
  <c r="O45" i="42"/>
  <c r="O60" i="43"/>
  <c r="O18" i="43"/>
  <c r="O26" i="43"/>
  <c r="O32" i="43"/>
  <c r="O36" i="43"/>
  <c r="O38" i="43"/>
  <c r="O48" i="43"/>
  <c r="O52" i="43"/>
  <c r="O54" i="43"/>
  <c r="O64" i="43"/>
  <c r="O68" i="43"/>
  <c r="O20" i="43"/>
  <c r="O40" i="43"/>
  <c r="O56" i="43"/>
  <c r="O70" i="43"/>
  <c r="O72" i="43"/>
  <c r="O37" i="42"/>
  <c r="O43" i="42"/>
  <c r="O53" i="42"/>
  <c r="O55" i="42"/>
  <c r="O59" i="42"/>
  <c r="O61" i="42"/>
  <c r="O21" i="41"/>
  <c r="O25" i="41"/>
  <c r="O27" i="41"/>
  <c r="O29" i="41"/>
  <c r="O31" i="41"/>
  <c r="O35" i="41"/>
  <c r="O45" i="41"/>
  <c r="O47" i="41"/>
  <c r="O59" i="41"/>
  <c r="O61" i="41"/>
  <c r="O63" i="41"/>
  <c r="O65" i="41"/>
  <c r="O67" i="41"/>
  <c r="O71" i="41"/>
  <c r="O19" i="38"/>
  <c r="O21" i="38"/>
  <c r="O29" i="38"/>
  <c r="O35" i="38"/>
  <c r="O39" i="38"/>
  <c r="O59" i="38"/>
  <c r="O61" i="38"/>
  <c r="O63" i="38"/>
  <c r="O67" i="38"/>
  <c r="O69" i="38"/>
  <c r="O71" i="38"/>
  <c r="O31" i="31"/>
  <c r="O33" i="31"/>
  <c r="O39" i="31"/>
  <c r="O43" i="31"/>
  <c r="O45" i="31"/>
  <c r="O49" i="28"/>
  <c r="O69" i="28"/>
  <c r="O72" i="28"/>
  <c r="O27" i="27"/>
  <c r="O49" i="27"/>
  <c r="O67" i="24"/>
  <c r="O65" i="24"/>
  <c r="O63" i="24"/>
  <c r="O55" i="24"/>
  <c r="O53" i="24"/>
  <c r="O47" i="24"/>
  <c r="O35" i="24"/>
  <c r="O33" i="24"/>
  <c r="O27" i="24"/>
  <c r="O25" i="24"/>
  <c r="O41" i="23"/>
  <c r="O39" i="23"/>
  <c r="O35" i="23"/>
  <c r="O31" i="23"/>
  <c r="O27" i="23"/>
  <c r="O67" i="11"/>
  <c r="O63" i="9"/>
  <c r="O61" i="9"/>
  <c r="O57" i="9"/>
  <c r="O51" i="9"/>
  <c r="O47" i="9"/>
  <c r="O72" i="8"/>
  <c r="O70" i="8"/>
  <c r="O68" i="8"/>
  <c r="O66" i="8"/>
  <c r="O60" i="8"/>
  <c r="O56" i="8"/>
  <c r="O54" i="8"/>
  <c r="O52" i="8"/>
  <c r="O50" i="8"/>
  <c r="O39" i="8"/>
  <c r="O57" i="6"/>
  <c r="O55" i="6"/>
  <c r="O51" i="6"/>
  <c r="O49" i="6"/>
  <c r="O45" i="6"/>
  <c r="O72" i="10"/>
  <c r="O66" i="10"/>
  <c r="O62" i="10"/>
  <c r="O60" i="10"/>
  <c r="O58" i="10"/>
  <c r="O56" i="10"/>
  <c r="O52" i="10"/>
  <c r="O46" i="10"/>
  <c r="O40" i="10"/>
  <c r="O38" i="10"/>
  <c r="O36" i="10"/>
  <c r="O32" i="10"/>
  <c r="O67" i="9"/>
  <c r="O65" i="9"/>
  <c r="O59" i="9"/>
  <c r="O49" i="9"/>
  <c r="O48" i="8"/>
  <c r="O67" i="7"/>
  <c r="O59" i="7"/>
  <c r="O53" i="7"/>
  <c r="O35" i="6"/>
  <c r="O31" i="6"/>
  <c r="O71" i="6"/>
  <c r="O65" i="6"/>
  <c r="O53" i="6"/>
  <c r="O68" i="3"/>
  <c r="O66" i="3"/>
  <c r="P130" i="45"/>
  <c r="P111" i="43"/>
  <c r="P115" i="43"/>
  <c r="P121" i="43"/>
  <c r="P112" i="29"/>
  <c r="P124" i="10"/>
  <c r="P123" i="5"/>
  <c r="P111" i="5"/>
  <c r="P153" i="5"/>
  <c r="P147" i="5"/>
  <c r="P145" i="5"/>
  <c r="P139" i="5"/>
  <c r="P131" i="5"/>
  <c r="D94" i="4"/>
  <c r="D94" i="25"/>
  <c r="P129" i="4"/>
  <c r="C82" i="2"/>
  <c r="C59" i="2"/>
  <c r="C14" i="2"/>
  <c r="C39" i="2"/>
  <c r="C77" i="2"/>
  <c r="C80" i="2"/>
  <c r="C28" i="2"/>
  <c r="C62" i="2"/>
  <c r="C10" i="2"/>
  <c r="C56" i="2"/>
  <c r="C8" i="2"/>
  <c r="C55" i="2"/>
  <c r="C73" i="2"/>
  <c r="C50" i="2"/>
  <c r="C22" i="2"/>
  <c r="P107" i="38"/>
  <c r="P128" i="25"/>
  <c r="O45" i="3"/>
  <c r="O51" i="29"/>
  <c r="O69" i="29"/>
  <c r="O71" i="29"/>
  <c r="O58" i="30"/>
  <c r="O52" i="31"/>
  <c r="O20" i="38"/>
  <c r="O63" i="11"/>
  <c r="O57" i="11"/>
  <c r="O62" i="13"/>
  <c r="O44" i="6"/>
  <c r="O42" i="6"/>
  <c r="O40" i="6"/>
  <c r="O38" i="6"/>
  <c r="O36" i="6"/>
  <c r="O34" i="6"/>
  <c r="O32" i="6"/>
  <c r="O30" i="6"/>
  <c r="O49" i="25"/>
  <c r="O47" i="25"/>
  <c r="O45" i="25"/>
  <c r="O43" i="25"/>
  <c r="O54" i="46"/>
  <c r="O64" i="3"/>
  <c r="O60" i="3"/>
  <c r="O50" i="3"/>
  <c r="O46" i="3"/>
  <c r="O44" i="5"/>
  <c r="O41" i="7"/>
  <c r="O37" i="7"/>
  <c r="O45" i="9"/>
  <c r="O43" i="9"/>
  <c r="O41" i="9"/>
  <c r="O37" i="9"/>
  <c r="O35" i="9"/>
  <c r="O33" i="9"/>
  <c r="O40" i="37"/>
  <c r="O25" i="46"/>
  <c r="O37" i="5"/>
  <c r="O48" i="7"/>
  <c r="O32" i="7"/>
  <c r="O64" i="7"/>
  <c r="O68" i="9"/>
  <c r="O62" i="9"/>
  <c r="O56" i="9"/>
  <c r="O42" i="9"/>
  <c r="O30" i="9"/>
  <c r="O36" i="23"/>
  <c r="O34" i="23"/>
  <c r="O32" i="23"/>
  <c r="O39" i="25"/>
  <c r="O37" i="25"/>
  <c r="O33" i="25"/>
  <c r="O29" i="25"/>
  <c r="O24" i="27"/>
  <c r="O26" i="27"/>
  <c r="O30" i="27"/>
  <c r="O32" i="27"/>
  <c r="O34" i="27"/>
  <c r="O36" i="27"/>
  <c r="O38" i="27"/>
  <c r="O40" i="27"/>
  <c r="O42" i="27"/>
  <c r="O44" i="27"/>
  <c r="O46" i="27"/>
  <c r="O52" i="27"/>
  <c r="O54" i="27"/>
  <c r="O56" i="27"/>
  <c r="O58" i="27"/>
  <c r="O60" i="27"/>
  <c r="O62" i="27"/>
  <c r="O64" i="27"/>
  <c r="O66" i="27"/>
  <c r="O68" i="27"/>
  <c r="O70" i="27"/>
  <c r="O72" i="27"/>
  <c r="O19" i="37"/>
  <c r="O21" i="37"/>
  <c r="O25" i="37"/>
  <c r="O27" i="37"/>
  <c r="O33" i="37"/>
  <c r="O37" i="37"/>
  <c r="O41" i="37"/>
  <c r="O43" i="37"/>
  <c r="O45" i="37"/>
  <c r="O47" i="37"/>
  <c r="O49" i="37"/>
  <c r="O51" i="37"/>
  <c r="O53" i="37"/>
  <c r="O55" i="37"/>
  <c r="O57" i="37"/>
  <c r="O63" i="37"/>
  <c r="O65" i="37"/>
  <c r="O67" i="37"/>
  <c r="O69" i="37"/>
  <c r="O71" i="37"/>
  <c r="O22" i="38"/>
  <c r="O26" i="38"/>
  <c r="O30" i="38"/>
  <c r="O44" i="38"/>
  <c r="O54" i="38"/>
  <c r="O58" i="38"/>
  <c r="O60" i="38"/>
  <c r="O72" i="38"/>
  <c r="O69" i="41"/>
  <c r="O42" i="3"/>
  <c r="O38" i="3"/>
  <c r="O42" i="5"/>
  <c r="O30" i="5"/>
  <c r="O33" i="7"/>
  <c r="O72" i="11"/>
  <c r="O59" i="10"/>
  <c r="O55" i="10"/>
  <c r="O39" i="10"/>
  <c r="O69" i="22"/>
  <c r="O65" i="22"/>
  <c r="O55" i="22"/>
  <c r="O27" i="22"/>
  <c r="O72" i="23"/>
  <c r="O68" i="23"/>
  <c r="O66" i="23"/>
  <c r="O62" i="23"/>
  <c r="O40" i="23"/>
  <c r="O38" i="23"/>
  <c r="O58" i="25"/>
  <c r="O52" i="25"/>
  <c r="O42" i="25"/>
  <c r="O40" i="25"/>
  <c r="O38" i="25"/>
  <c r="O32" i="25"/>
  <c r="O26" i="25"/>
  <c r="O25" i="30"/>
  <c r="O39" i="30"/>
  <c r="O45" i="30"/>
  <c r="O49" i="30"/>
  <c r="O61" i="30"/>
  <c r="O65" i="30"/>
  <c r="O67" i="30"/>
  <c r="O65" i="40"/>
  <c r="O49" i="45"/>
  <c r="O19" i="43"/>
  <c r="O39" i="43"/>
  <c r="O45" i="43"/>
  <c r="O71" i="43"/>
  <c r="O20" i="42"/>
  <c r="O26" i="42"/>
  <c r="O28" i="42"/>
  <c r="O32" i="42"/>
  <c r="O36" i="42"/>
  <c r="O38" i="42"/>
  <c r="O40" i="42"/>
  <c r="O42" i="42"/>
  <c r="O44" i="42"/>
  <c r="O46" i="42"/>
  <c r="O48" i="42"/>
  <c r="O60" i="42"/>
  <c r="O64" i="42"/>
  <c r="O66" i="42"/>
  <c r="O72" i="42"/>
  <c r="O58" i="42"/>
  <c r="O68" i="42"/>
  <c r="O31" i="42"/>
  <c r="O33" i="42"/>
  <c r="O35" i="42"/>
  <c r="O57" i="42"/>
  <c r="O63" i="42"/>
  <c r="O71" i="42"/>
  <c r="O22" i="41"/>
  <c r="O28" i="41"/>
  <c r="O38" i="41"/>
  <c r="O44" i="41"/>
  <c r="O46" i="41"/>
  <c r="O50" i="41"/>
  <c r="O56" i="41"/>
  <c r="O58" i="41"/>
  <c r="O64" i="41"/>
  <c r="O68" i="41"/>
  <c r="O70" i="41"/>
  <c r="O72" i="41"/>
  <c r="O19" i="40"/>
  <c r="O21" i="40"/>
  <c r="O25" i="40"/>
  <c r="O27" i="40"/>
  <c r="O29" i="40"/>
  <c r="O31" i="40"/>
  <c r="O33" i="40"/>
  <c r="O35" i="40"/>
  <c r="O37" i="40"/>
  <c r="O39" i="40"/>
  <c r="O41" i="40"/>
  <c r="O43" i="40"/>
  <c r="O47" i="40"/>
  <c r="O49" i="40"/>
  <c r="O51" i="40"/>
  <c r="O53" i="40"/>
  <c r="O57" i="40"/>
  <c r="O59" i="40"/>
  <c r="O61" i="40"/>
  <c r="O63" i="40"/>
  <c r="O67" i="40"/>
  <c r="O69" i="40"/>
  <c r="O71" i="40"/>
  <c r="O41" i="30"/>
  <c r="O43" i="30"/>
  <c r="O51" i="30"/>
  <c r="O53" i="30"/>
  <c r="O57" i="30"/>
  <c r="O59" i="30"/>
  <c r="O63" i="30"/>
  <c r="O69" i="30"/>
  <c r="L20" i="30"/>
  <c r="O20" i="30" s="1"/>
  <c r="O69" i="24"/>
  <c r="O59" i="24"/>
  <c r="O49" i="24"/>
  <c r="O41" i="24"/>
  <c r="O72" i="24"/>
  <c r="O70" i="24"/>
  <c r="O64" i="24"/>
  <c r="O62" i="24"/>
  <c r="O60" i="24"/>
  <c r="O54" i="24"/>
  <c r="O52" i="24"/>
  <c r="O50" i="24"/>
  <c r="O46" i="24"/>
  <c r="O44" i="24"/>
  <c r="O42" i="24"/>
  <c r="O40" i="24"/>
  <c r="O38" i="24"/>
  <c r="O36" i="24"/>
  <c r="O34" i="24"/>
  <c r="O30" i="24"/>
  <c r="O28" i="24"/>
  <c r="O26" i="24"/>
  <c r="O24" i="23"/>
  <c r="O72" i="22"/>
  <c r="O70" i="22"/>
  <c r="O68" i="22"/>
  <c r="O66" i="22"/>
  <c r="O64" i="22"/>
  <c r="O62" i="22"/>
  <c r="O54" i="22"/>
  <c r="O44" i="22"/>
  <c r="O42" i="22"/>
  <c r="O40" i="22"/>
  <c r="O38" i="22"/>
  <c r="O36" i="22"/>
  <c r="O30" i="22"/>
  <c r="O70" i="11"/>
  <c r="O64" i="11"/>
  <c r="O62" i="11"/>
  <c r="O60" i="11"/>
  <c r="O58" i="11"/>
  <c r="O56" i="11"/>
  <c r="O54" i="11"/>
  <c r="O50" i="11"/>
  <c r="O40" i="11"/>
  <c r="O38" i="11"/>
  <c r="O36" i="11"/>
  <c r="O30" i="11"/>
  <c r="O71" i="10"/>
  <c r="O69" i="10"/>
  <c r="O47" i="10"/>
  <c r="O45" i="10"/>
  <c r="O37" i="10"/>
  <c r="O31" i="10"/>
  <c r="O71" i="8"/>
  <c r="O63" i="8"/>
  <c r="O57" i="8"/>
  <c r="O53" i="8"/>
  <c r="O51" i="8"/>
  <c r="O49" i="8"/>
  <c r="O44" i="8"/>
  <c r="O40" i="8"/>
  <c r="O64" i="8"/>
  <c r="O43" i="8"/>
  <c r="O29" i="7"/>
  <c r="O40" i="7"/>
  <c r="O70" i="6"/>
  <c r="O26" i="4"/>
  <c r="O72" i="3"/>
  <c r="O58" i="3"/>
  <c r="O48" i="3"/>
  <c r="O36" i="3"/>
  <c r="O69" i="6"/>
  <c r="O55" i="9"/>
  <c r="O64" i="4"/>
  <c r="O62" i="4"/>
  <c r="O60" i="4"/>
  <c r="O58" i="4"/>
  <c r="O56" i="4"/>
  <c r="O54" i="4"/>
  <c r="O52" i="4"/>
  <c r="O50" i="4"/>
  <c r="O48" i="4"/>
  <c r="O46" i="4"/>
  <c r="O42" i="4"/>
  <c r="O40" i="4"/>
  <c r="O38" i="4"/>
  <c r="O36" i="4"/>
  <c r="O34" i="4"/>
  <c r="O30" i="4"/>
  <c r="O67" i="10"/>
  <c r="O65" i="10"/>
  <c r="O63" i="10"/>
  <c r="O61" i="10"/>
  <c r="O53" i="10"/>
  <c r="O49" i="10"/>
  <c r="O61" i="11"/>
  <c r="O51" i="11"/>
  <c r="O49" i="11"/>
  <c r="O41" i="11"/>
  <c r="O39" i="11"/>
  <c r="O33" i="11"/>
  <c r="O70" i="13"/>
  <c r="O68" i="13"/>
  <c r="O66" i="13"/>
  <c r="O64" i="13"/>
  <c r="O60" i="13"/>
  <c r="O58" i="13"/>
  <c r="O56" i="13"/>
  <c r="O52" i="13"/>
  <c r="O48" i="13"/>
  <c r="O42" i="13"/>
  <c r="O36" i="13"/>
  <c r="O34" i="13"/>
  <c r="O28" i="13"/>
  <c r="O26" i="13"/>
  <c r="O22" i="13"/>
  <c r="O20" i="13"/>
  <c r="O19" i="42"/>
  <c r="O71" i="3"/>
  <c r="O69" i="3"/>
  <c r="O67" i="3"/>
  <c r="O61" i="3"/>
  <c r="O57" i="3"/>
  <c r="O55" i="3"/>
  <c r="O53" i="3"/>
  <c r="O51" i="3"/>
  <c r="O47" i="3"/>
  <c r="O43" i="3"/>
  <c r="O41" i="3"/>
  <c r="O39" i="3"/>
  <c r="O37" i="3"/>
  <c r="O33" i="28"/>
  <c r="O63" i="28"/>
  <c r="O24" i="29"/>
  <c r="O42" i="29"/>
  <c r="O46" i="29"/>
  <c r="O48" i="29"/>
  <c r="O54" i="29"/>
  <c r="O58" i="29"/>
  <c r="O60" i="29"/>
  <c r="O62" i="29"/>
  <c r="O66" i="29"/>
  <c r="O70" i="29"/>
  <c r="O21" i="30"/>
  <c r="O29" i="30"/>
  <c r="O31" i="30"/>
  <c r="O33" i="30"/>
  <c r="O35" i="30"/>
  <c r="O37" i="30"/>
  <c r="O47" i="45"/>
  <c r="O68" i="6"/>
  <c r="O66" i="6"/>
  <c r="O36" i="28"/>
  <c r="O40" i="28"/>
  <c r="O24" i="30"/>
  <c r="O32" i="30"/>
  <c r="O40" i="30"/>
  <c r="O42" i="30"/>
  <c r="O50" i="30"/>
  <c r="O54" i="30"/>
  <c r="O56" i="30"/>
  <c r="O60" i="30"/>
  <c r="O62" i="30"/>
  <c r="O64" i="30"/>
  <c r="O66" i="30"/>
  <c r="O70" i="30"/>
  <c r="O22" i="31"/>
  <c r="O24" i="31"/>
  <c r="O26" i="31"/>
  <c r="O30" i="31"/>
  <c r="O42" i="31"/>
  <c r="O44" i="31"/>
  <c r="O48" i="31"/>
  <c r="O50" i="31"/>
  <c r="O54" i="31"/>
  <c r="O64" i="31"/>
  <c r="O66" i="31"/>
  <c r="O68" i="31"/>
  <c r="O21" i="43"/>
  <c r="O29" i="43"/>
  <c r="O31" i="43"/>
  <c r="O37" i="43"/>
  <c r="O47" i="43"/>
  <c r="O53" i="43"/>
  <c r="O55" i="43"/>
  <c r="O61" i="43"/>
  <c r="O63" i="43"/>
  <c r="O69" i="43"/>
  <c r="O20" i="44"/>
  <c r="O43" i="6"/>
  <c r="C10" i="1"/>
  <c r="C28" i="1"/>
  <c r="C61" i="1"/>
  <c r="C79" i="1"/>
  <c r="C73" i="1"/>
  <c r="C55" i="1"/>
  <c r="C8" i="1"/>
  <c r="C62" i="1"/>
  <c r="F14" i="1"/>
  <c r="E19" i="1" s="1"/>
  <c r="F19" i="1" s="1"/>
  <c r="C82" i="1"/>
  <c r="C76" i="1"/>
  <c r="C39" i="1"/>
  <c r="C50" i="1"/>
  <c r="C22" i="1"/>
  <c r="C56" i="1"/>
  <c r="C14" i="1"/>
  <c r="O24" i="28"/>
  <c r="O26" i="28"/>
  <c r="O28" i="28"/>
  <c r="O30" i="28"/>
  <c r="O34" i="28"/>
  <c r="O38" i="28"/>
  <c r="O42" i="28"/>
  <c r="O52" i="28"/>
  <c r="O54" i="28"/>
  <c r="O58" i="28"/>
  <c r="O60" i="28"/>
  <c r="O62" i="28"/>
  <c r="O64" i="28"/>
  <c r="O66" i="28"/>
  <c r="O68" i="28"/>
  <c r="O70" i="28"/>
  <c r="O23" i="29"/>
  <c r="O33" i="29"/>
  <c r="O35" i="29"/>
  <c r="O37" i="29"/>
  <c r="O39" i="29"/>
  <c r="O41" i="29"/>
  <c r="O43" i="29"/>
  <c r="O45" i="29"/>
  <c r="O47" i="29"/>
  <c r="O49" i="29"/>
  <c r="O53" i="29"/>
  <c r="O57" i="29"/>
  <c r="O59" i="29"/>
  <c r="O61" i="29"/>
  <c r="O63" i="29"/>
  <c r="O65" i="29"/>
  <c r="O30" i="30"/>
  <c r="O68" i="30"/>
  <c r="O28" i="31"/>
  <c r="O32" i="31"/>
  <c r="O36" i="31"/>
  <c r="O56" i="31"/>
  <c r="O60" i="31"/>
  <c r="O62" i="31"/>
  <c r="O70" i="31"/>
  <c r="O28" i="38"/>
  <c r="O32" i="38"/>
  <c r="O34" i="38"/>
  <c r="O40" i="38"/>
  <c r="O52" i="39"/>
  <c r="O68" i="39"/>
  <c r="O70" i="39"/>
  <c r="O41" i="43"/>
  <c r="O49" i="43"/>
  <c r="O51" i="43"/>
  <c r="O34" i="44"/>
  <c r="O62" i="44"/>
  <c r="O68" i="44"/>
  <c r="O72" i="44"/>
  <c r="O28" i="45"/>
  <c r="O44" i="45"/>
  <c r="O58" i="45"/>
  <c r="O60" i="45"/>
  <c r="O72" i="45"/>
  <c r="P153" i="4"/>
  <c r="P131" i="4"/>
  <c r="P121" i="4"/>
  <c r="P119" i="4"/>
  <c r="P117" i="4"/>
  <c r="P111" i="4"/>
  <c r="P114" i="5"/>
  <c r="O31" i="5"/>
  <c r="O72" i="6"/>
  <c r="O18" i="13"/>
  <c r="F17" i="13"/>
  <c r="O63" i="27"/>
  <c r="O65" i="4"/>
  <c r="O63" i="4"/>
  <c r="O61" i="4"/>
  <c r="O59" i="4"/>
  <c r="O57" i="4"/>
  <c r="O53" i="4"/>
  <c r="O51" i="4"/>
  <c r="O64" i="6"/>
  <c r="O56" i="6"/>
  <c r="O54" i="6"/>
  <c r="O52" i="6"/>
  <c r="O50" i="6"/>
  <c r="O48" i="6"/>
  <c r="O46" i="6"/>
  <c r="O68" i="7"/>
  <c r="O54" i="7"/>
  <c r="O52" i="7"/>
  <c r="O50" i="7"/>
  <c r="O46" i="7"/>
  <c r="O44" i="7"/>
  <c r="O42" i="7"/>
  <c r="O38" i="7"/>
  <c r="O36" i="7"/>
  <c r="O69" i="8"/>
  <c r="O65" i="8"/>
  <c r="O61" i="8"/>
  <c r="O59" i="8"/>
  <c r="O55" i="8"/>
  <c r="O38" i="8"/>
  <c r="O36" i="8"/>
  <c r="O34" i="8"/>
  <c r="O32" i="8"/>
  <c r="O30" i="8"/>
  <c r="O70" i="9"/>
  <c r="O66" i="9"/>
  <c r="O64" i="9"/>
  <c r="O60" i="9"/>
  <c r="O52" i="9"/>
  <c r="O46" i="9"/>
  <c r="O44" i="9"/>
  <c r="O40" i="9"/>
  <c r="O36" i="9"/>
  <c r="O32" i="9"/>
  <c r="O49" i="31"/>
  <c r="O53" i="31"/>
  <c r="O57" i="31"/>
  <c r="O61" i="31"/>
  <c r="O63" i="31"/>
  <c r="O65" i="31"/>
  <c r="O23" i="38"/>
  <c r="O23" i="39"/>
  <c r="O33" i="39"/>
  <c r="O37" i="39"/>
  <c r="O39" i="39"/>
  <c r="O43" i="39"/>
  <c r="O53" i="39"/>
  <c r="O57" i="39"/>
  <c r="O59" i="39"/>
  <c r="O61" i="39"/>
  <c r="O63" i="39"/>
  <c r="O69" i="39"/>
  <c r="O71" i="39"/>
  <c r="P121" i="41"/>
  <c r="P125" i="42"/>
  <c r="O53" i="44"/>
  <c r="O25" i="45"/>
  <c r="O55" i="46"/>
  <c r="O59" i="46"/>
  <c r="O26" i="41"/>
  <c r="O30" i="41"/>
  <c r="O40" i="41"/>
  <c r="O48" i="41"/>
  <c r="O50" i="42"/>
  <c r="O56" i="24"/>
  <c r="O61" i="25"/>
  <c r="O35" i="45"/>
  <c r="O37" i="45"/>
  <c r="O28" i="4"/>
  <c r="O22" i="40"/>
  <c r="O44" i="44"/>
  <c r="O35" i="3"/>
  <c r="O33" i="3"/>
  <c r="O29" i="3"/>
  <c r="O52" i="3"/>
  <c r="O33" i="10"/>
  <c r="O51" i="22"/>
  <c r="O46" i="38"/>
  <c r="O50" i="38"/>
  <c r="O62" i="38"/>
  <c r="O68" i="38"/>
  <c r="O70" i="38"/>
  <c r="O25" i="42"/>
  <c r="O39" i="42"/>
  <c r="O65" i="42"/>
  <c r="O67" i="42"/>
  <c r="O18" i="46"/>
  <c r="O39" i="4"/>
  <c r="O72" i="37"/>
  <c r="O62" i="43"/>
  <c r="O37" i="44"/>
  <c r="O61" i="44"/>
  <c r="O19" i="45"/>
  <c r="O62" i="45"/>
  <c r="O38" i="46"/>
  <c r="O56" i="46"/>
  <c r="O63" i="3"/>
  <c r="O70" i="4"/>
  <c r="O66" i="4"/>
  <c r="O50" i="10"/>
  <c r="O55" i="13"/>
  <c r="O53" i="13"/>
  <c r="O51" i="13"/>
  <c r="O49" i="13"/>
  <c r="O47" i="13"/>
  <c r="O33" i="13"/>
  <c r="O31" i="13"/>
  <c r="O39" i="24"/>
  <c r="O45" i="38"/>
  <c r="O53" i="38"/>
  <c r="O68" i="46"/>
  <c r="O49" i="39"/>
  <c r="O43" i="43"/>
  <c r="O48" i="44"/>
  <c r="O54" i="44"/>
  <c r="O29" i="46"/>
  <c r="O72" i="46"/>
  <c r="D93" i="10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C150" i="10" s="1"/>
  <c r="C151" i="10" s="1"/>
  <c r="C152" i="10" s="1"/>
  <c r="C153" i="10" s="1"/>
  <c r="C154" i="10" s="1"/>
  <c r="O67" i="4"/>
  <c r="O72" i="7"/>
  <c r="O70" i="7"/>
  <c r="O41" i="8"/>
  <c r="O37" i="8"/>
  <c r="O53" i="22"/>
  <c r="O38" i="31"/>
  <c r="O27" i="38"/>
  <c r="O52" i="38"/>
  <c r="O53" i="46"/>
  <c r="J96" i="13"/>
  <c r="F48" i="1"/>
  <c r="F52" i="1" s="1"/>
  <c r="O30" i="3"/>
  <c r="O36" i="5"/>
  <c r="O34" i="7"/>
  <c r="O59" i="11"/>
  <c r="O35" i="22"/>
  <c r="O53" i="23"/>
  <c r="O51" i="23"/>
  <c r="O45" i="23"/>
  <c r="O29" i="23"/>
  <c r="O51" i="24"/>
  <c r="O48" i="24"/>
  <c r="O32" i="24"/>
  <c r="O69" i="25"/>
  <c r="O37" i="28"/>
  <c r="O41" i="28"/>
  <c r="O55" i="28"/>
  <c r="O29" i="29"/>
  <c r="O31" i="29"/>
  <c r="O43" i="38"/>
  <c r="O22" i="39"/>
  <c r="O28" i="39"/>
  <c r="O30" i="39"/>
  <c r="O36" i="39"/>
  <c r="O24" i="41"/>
  <c r="O54" i="42"/>
  <c r="O36" i="44"/>
  <c r="O56" i="44"/>
  <c r="O58" i="44"/>
  <c r="O23" i="45"/>
  <c r="O27" i="45"/>
  <c r="O29" i="45"/>
  <c r="O36" i="45"/>
  <c r="O52" i="45"/>
  <c r="O63" i="45"/>
  <c r="O19" i="46"/>
  <c r="O42" i="46"/>
  <c r="O44" i="46"/>
  <c r="O52" i="46"/>
  <c r="O60" i="46"/>
  <c r="O64" i="46"/>
  <c r="O70" i="46"/>
  <c r="O56" i="3"/>
  <c r="O31" i="3"/>
  <c r="O72" i="4"/>
  <c r="O68" i="4"/>
  <c r="O47" i="4"/>
  <c r="O43" i="4"/>
  <c r="O41" i="4"/>
  <c r="O37" i="4"/>
  <c r="O33" i="4"/>
  <c r="O41" i="5"/>
  <c r="O39" i="5"/>
  <c r="O71" i="7"/>
  <c r="O68" i="10"/>
  <c r="O40" i="13"/>
  <c r="O38" i="13"/>
  <c r="O60" i="22"/>
  <c r="O58" i="22"/>
  <c r="O56" i="22"/>
  <c r="O52" i="22"/>
  <c r="O50" i="22"/>
  <c r="O48" i="22"/>
  <c r="O46" i="22"/>
  <c r="O34" i="22"/>
  <c r="O32" i="22"/>
  <c r="O47" i="38"/>
  <c r="O19" i="41"/>
  <c r="O34" i="41"/>
  <c r="O36" i="41"/>
  <c r="O52" i="41"/>
  <c r="O17" i="43"/>
  <c r="O25" i="43"/>
  <c r="O27" i="43"/>
  <c r="O35" i="43"/>
  <c r="O19" i="44"/>
  <c r="O21" i="44"/>
  <c r="O66" i="46"/>
  <c r="O33" i="5"/>
  <c r="O63" i="6"/>
  <c r="O42" i="8"/>
  <c r="O48" i="11"/>
  <c r="O44" i="11"/>
  <c r="O43" i="13"/>
  <c r="O29" i="13"/>
  <c r="O31" i="24"/>
  <c r="O70" i="25"/>
  <c r="O66" i="25"/>
  <c r="O41" i="27"/>
  <c r="O32" i="28"/>
  <c r="O44" i="28"/>
  <c r="O46" i="28"/>
  <c r="O48" i="28"/>
  <c r="O25" i="29"/>
  <c r="O22" i="30"/>
  <c r="O28" i="30"/>
  <c r="O21" i="39"/>
  <c r="O42" i="39"/>
  <c r="O46" i="39"/>
  <c r="O50" i="39"/>
  <c r="O62" i="39"/>
  <c r="O18" i="41"/>
  <c r="O20" i="41"/>
  <c r="O37" i="41"/>
  <c r="O51" i="41"/>
  <c r="O53" i="41"/>
  <c r="O24" i="42"/>
  <c r="O34" i="42"/>
  <c r="O34" i="43"/>
  <c r="O30" i="44"/>
  <c r="O20" i="45"/>
  <c r="O39" i="45"/>
  <c r="O43" i="45"/>
  <c r="O45" i="45"/>
  <c r="O57" i="45"/>
  <c r="O64" i="45"/>
  <c r="O66" i="45"/>
  <c r="O68" i="45"/>
  <c r="O70" i="45"/>
  <c r="O24" i="46"/>
  <c r="O45" i="46"/>
  <c r="O47" i="46"/>
  <c r="O61" i="46"/>
  <c r="O67" i="46"/>
  <c r="O35" i="8"/>
  <c r="O54" i="3"/>
  <c r="O47" i="5"/>
  <c r="D94" i="37"/>
  <c r="D92" i="37"/>
  <c r="B100" i="37" s="1"/>
  <c r="O70" i="3"/>
  <c r="O44" i="3"/>
  <c r="O40" i="3"/>
  <c r="O45" i="4"/>
  <c r="O35" i="4"/>
  <c r="O46" i="5"/>
  <c r="O35" i="5"/>
  <c r="O62" i="6"/>
  <c r="O60" i="6"/>
  <c r="O58" i="6"/>
  <c r="O66" i="7"/>
  <c r="O62" i="7"/>
  <c r="O60" i="7"/>
  <c r="O58" i="7"/>
  <c r="O56" i="7"/>
  <c r="O43" i="7"/>
  <c r="O67" i="8"/>
  <c r="O47" i="8"/>
  <c r="O72" i="9"/>
  <c r="O50" i="9"/>
  <c r="O48" i="9"/>
  <c r="O57" i="10"/>
  <c r="O51" i="10"/>
  <c r="O41" i="10"/>
  <c r="O71" i="11"/>
  <c r="O65" i="11"/>
  <c r="O52" i="11"/>
  <c r="O47" i="11"/>
  <c r="O45" i="11"/>
  <c r="O43" i="11"/>
  <c r="O32" i="11"/>
  <c r="O44" i="13"/>
  <c r="O39" i="13"/>
  <c r="O37" i="13"/>
  <c r="O32" i="13"/>
  <c r="O30" i="13"/>
  <c r="O27" i="13"/>
  <c r="O67" i="23"/>
  <c r="O56" i="23"/>
  <c r="O28" i="23"/>
  <c r="O59" i="25"/>
  <c r="O35" i="27"/>
  <c r="O50" i="27"/>
  <c r="O71" i="27"/>
  <c r="O30" i="29"/>
  <c r="O32" i="29"/>
  <c r="O34" i="31"/>
  <c r="O40" i="31"/>
  <c r="O35" i="37"/>
  <c r="O64" i="37"/>
  <c r="O51" i="38"/>
  <c r="O27" i="39"/>
  <c r="O70" i="42"/>
  <c r="O46" i="43"/>
  <c r="O43" i="10"/>
  <c r="O61" i="22"/>
  <c r="O49" i="22"/>
  <c r="O28" i="22"/>
  <c r="O48" i="23"/>
  <c r="O41" i="25"/>
  <c r="O35" i="25"/>
  <c r="O27" i="25"/>
  <c r="O43" i="28"/>
  <c r="O51" i="28"/>
  <c r="O22" i="29"/>
  <c r="O59" i="37"/>
  <c r="O65" i="3"/>
  <c r="O28" i="3"/>
  <c r="O69" i="4"/>
  <c r="O31" i="4"/>
  <c r="O29" i="4"/>
  <c r="O45" i="5"/>
  <c r="O43" i="5"/>
  <c r="O34" i="5"/>
  <c r="O61" i="6"/>
  <c r="O59" i="6"/>
  <c r="O41" i="6"/>
  <c r="O37" i="6"/>
  <c r="O29" i="6"/>
  <c r="O63" i="7"/>
  <c r="O61" i="7"/>
  <c r="O46" i="8"/>
  <c r="O45" i="8"/>
  <c r="O31" i="8"/>
  <c r="O29" i="8"/>
  <c r="O71" i="9"/>
  <c r="O69" i="9"/>
  <c r="O54" i="9"/>
  <c r="O54" i="10"/>
  <c r="O44" i="10"/>
  <c r="O42" i="10"/>
  <c r="O34" i="10"/>
  <c r="O68" i="11"/>
  <c r="O55" i="11"/>
  <c r="O42" i="11"/>
  <c r="O31" i="11"/>
  <c r="O72" i="13"/>
  <c r="O24" i="13"/>
  <c r="O33" i="22"/>
  <c r="O66" i="24"/>
  <c r="O57" i="24"/>
  <c r="O22" i="28"/>
  <c r="O50" i="28"/>
  <c r="O56" i="28"/>
  <c r="O28" i="29"/>
  <c r="O55" i="30"/>
  <c r="O33" i="38"/>
  <c r="O55" i="44"/>
  <c r="O47" i="39"/>
  <c r="O54" i="39"/>
  <c r="O20" i="40"/>
  <c r="O55" i="40"/>
  <c r="O49" i="41"/>
  <c r="O30" i="42"/>
  <c r="O41" i="42"/>
  <c r="O47" i="42"/>
  <c r="O57" i="43"/>
  <c r="O59" i="43"/>
  <c r="O65" i="43"/>
  <c r="O67" i="43"/>
  <c r="O23" i="44"/>
  <c r="O27" i="44"/>
  <c r="O31" i="44"/>
  <c r="O38" i="44"/>
  <c r="O40" i="44"/>
  <c r="O42" i="44"/>
  <c r="O46" i="44"/>
  <c r="O66" i="44"/>
  <c r="O17" i="45"/>
  <c r="O30" i="45"/>
  <c r="O38" i="45"/>
  <c r="O46" i="45"/>
  <c r="O53" i="45"/>
  <c r="O36" i="46"/>
  <c r="O50" i="46"/>
  <c r="O38" i="29"/>
  <c r="O44" i="29"/>
  <c r="O55" i="29"/>
  <c r="O68" i="29"/>
  <c r="O72" i="29"/>
  <c r="O34" i="30"/>
  <c r="O36" i="30"/>
  <c r="O38" i="30"/>
  <c r="O44" i="30"/>
  <c r="O46" i="30"/>
  <c r="O48" i="30"/>
  <c r="O71" i="30"/>
  <c r="O29" i="31"/>
  <c r="O46" i="31"/>
  <c r="O58" i="31"/>
  <c r="O29" i="37"/>
  <c r="O31" i="37"/>
  <c r="O44" i="37"/>
  <c r="O46" i="37"/>
  <c r="O48" i="37"/>
  <c r="O61" i="37"/>
  <c r="O41" i="38"/>
  <c r="O48" i="38"/>
  <c r="O55" i="38"/>
  <c r="O64" i="38"/>
  <c r="O66" i="38"/>
  <c r="O29" i="39"/>
  <c r="O66" i="39"/>
  <c r="O60" i="41"/>
  <c r="O69" i="42"/>
  <c r="O24" i="43"/>
  <c r="O30" i="43"/>
  <c r="O50" i="43"/>
  <c r="O35" i="44"/>
  <c r="O59" i="44"/>
  <c r="O70" i="44"/>
  <c r="O24" i="45"/>
  <c r="O32" i="45"/>
  <c r="O40" i="45"/>
  <c r="O48" i="45"/>
  <c r="O50" i="45"/>
  <c r="O69" i="45"/>
  <c r="O27" i="46"/>
  <c r="O40" i="46"/>
  <c r="O27" i="30"/>
  <c r="O72" i="30"/>
  <c r="O25" i="38"/>
  <c r="O36" i="38"/>
  <c r="O42" i="38"/>
  <c r="O49" i="38"/>
  <c r="O56" i="38"/>
  <c r="O65" i="39"/>
  <c r="O48" i="40"/>
  <c r="O32" i="41"/>
  <c r="O39" i="41"/>
  <c r="O41" i="41"/>
  <c r="O43" i="41"/>
  <c r="O27" i="42"/>
  <c r="O52" i="42"/>
  <c r="O56" i="42"/>
  <c r="O62" i="42"/>
  <c r="O42" i="43"/>
  <c r="O58" i="43"/>
  <c r="O66" i="43"/>
  <c r="O17" i="44"/>
  <c r="O24" i="44"/>
  <c r="O26" i="44"/>
  <c r="O32" i="44"/>
  <c r="O39" i="44"/>
  <c r="O43" i="44"/>
  <c r="O45" i="44"/>
  <c r="O47" i="44"/>
  <c r="O51" i="44"/>
  <c r="O63" i="44"/>
  <c r="O71" i="44"/>
  <c r="O18" i="45"/>
  <c r="O26" i="45"/>
  <c r="O34" i="45"/>
  <c r="O42" i="45"/>
  <c r="O54" i="45"/>
  <c r="O56" i="45"/>
  <c r="O48" i="46"/>
  <c r="O63" i="46"/>
  <c r="C105" i="37"/>
  <c r="C106" i="37" s="1"/>
  <c r="C107" i="37" s="1"/>
  <c r="C108" i="37" s="1"/>
  <c r="C109" i="37" s="1"/>
  <c r="C110" i="37" s="1"/>
  <c r="C111" i="37" s="1"/>
  <c r="C112" i="37" s="1"/>
  <c r="C113" i="37" s="1"/>
  <c r="C114" i="37" s="1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99" i="38"/>
  <c r="D94" i="39"/>
  <c r="C100" i="30"/>
  <c r="C101" i="30" s="1"/>
  <c r="C102" i="30" s="1"/>
  <c r="C103" i="30" s="1"/>
  <c r="C104" i="30" s="1"/>
  <c r="C105" i="30" s="1"/>
  <c r="C106" i="30" s="1"/>
  <c r="C107" i="30" s="1"/>
  <c r="C108" i="30" s="1"/>
  <c r="C109" i="30" s="1"/>
  <c r="C110" i="30" s="1"/>
  <c r="C111" i="30" s="1"/>
  <c r="C112" i="30" s="1"/>
  <c r="C113" i="30" s="1"/>
  <c r="C114" i="30" s="1"/>
  <c r="C115" i="30" s="1"/>
  <c r="C116" i="30" s="1"/>
  <c r="C117" i="30" s="1"/>
  <c r="C118" i="30" s="1"/>
  <c r="C119" i="30" s="1"/>
  <c r="C120" i="30" s="1"/>
  <c r="C121" i="30" s="1"/>
  <c r="C122" i="30" s="1"/>
  <c r="C123" i="30" s="1"/>
  <c r="C124" i="30" s="1"/>
  <c r="C125" i="30" s="1"/>
  <c r="C126" i="30" s="1"/>
  <c r="C127" i="30" s="1"/>
  <c r="C128" i="30" s="1"/>
  <c r="C129" i="30" s="1"/>
  <c r="C130" i="30" s="1"/>
  <c r="C131" i="30" s="1"/>
  <c r="C132" i="30" s="1"/>
  <c r="C133" i="30" s="1"/>
  <c r="C134" i="30" s="1"/>
  <c r="C135" i="30" s="1"/>
  <c r="C136" i="30" s="1"/>
  <c r="C137" i="30" s="1"/>
  <c r="C138" i="30" s="1"/>
  <c r="C139" i="30" s="1"/>
  <c r="C140" i="30" s="1"/>
  <c r="C141" i="30" s="1"/>
  <c r="C142" i="30" s="1"/>
  <c r="C143" i="30" s="1"/>
  <c r="C144" i="30" s="1"/>
  <c r="C145" i="30" s="1"/>
  <c r="C146" i="30" s="1"/>
  <c r="C147" i="30" s="1"/>
  <c r="C148" i="30" s="1"/>
  <c r="C149" i="30" s="1"/>
  <c r="C150" i="30" s="1"/>
  <c r="C151" i="30" s="1"/>
  <c r="C152" i="30" s="1"/>
  <c r="C153" i="30" s="1"/>
  <c r="C154" i="30" s="1"/>
  <c r="D94" i="30"/>
  <c r="D93" i="22"/>
  <c r="D93" i="31"/>
  <c r="C99" i="31" s="1"/>
  <c r="C100" i="31" s="1"/>
  <c r="C101" i="31" s="1"/>
  <c r="C102" i="31" s="1"/>
  <c r="C103" i="31" s="1"/>
  <c r="C104" i="31" s="1"/>
  <c r="C105" i="31" s="1"/>
  <c r="C106" i="31" s="1"/>
  <c r="C107" i="31" s="1"/>
  <c r="C108" i="31" s="1"/>
  <c r="C109" i="31" s="1"/>
  <c r="C110" i="31" s="1"/>
  <c r="C111" i="31" s="1"/>
  <c r="C112" i="31" s="1"/>
  <c r="C113" i="31" s="1"/>
  <c r="C114" i="31" s="1"/>
  <c r="C115" i="31" s="1"/>
  <c r="C116" i="31" s="1"/>
  <c r="C117" i="31" s="1"/>
  <c r="C118" i="31" s="1"/>
  <c r="C119" i="31" s="1"/>
  <c r="C120" i="31" s="1"/>
  <c r="C121" i="31" s="1"/>
  <c r="C122" i="31" s="1"/>
  <c r="C123" i="31" s="1"/>
  <c r="C124" i="31" s="1"/>
  <c r="C125" i="31" s="1"/>
  <c r="C126" i="31" s="1"/>
  <c r="C127" i="31" s="1"/>
  <c r="C128" i="31" s="1"/>
  <c r="C129" i="31" s="1"/>
  <c r="C130" i="31" s="1"/>
  <c r="C131" i="31" s="1"/>
  <c r="C132" i="31" s="1"/>
  <c r="C133" i="31" s="1"/>
  <c r="C134" i="31" s="1"/>
  <c r="C135" i="31" s="1"/>
  <c r="C136" i="31" s="1"/>
  <c r="C137" i="31" s="1"/>
  <c r="C138" i="31" s="1"/>
  <c r="C139" i="31" s="1"/>
  <c r="C140" i="31" s="1"/>
  <c r="C141" i="31" s="1"/>
  <c r="C142" i="31" s="1"/>
  <c r="C143" i="31" s="1"/>
  <c r="C144" i="31" s="1"/>
  <c r="C145" i="31" s="1"/>
  <c r="C146" i="31" s="1"/>
  <c r="C147" i="31" s="1"/>
  <c r="C148" i="31" s="1"/>
  <c r="C149" i="31" s="1"/>
  <c r="C150" i="31" s="1"/>
  <c r="C151" i="31" s="1"/>
  <c r="C152" i="31" s="1"/>
  <c r="C153" i="31" s="1"/>
  <c r="C154" i="31" s="1"/>
  <c r="C99" i="5"/>
  <c r="C100" i="5" s="1"/>
  <c r="C101" i="5" s="1"/>
  <c r="C102" i="5" s="1"/>
  <c r="C103" i="5" s="1"/>
  <c r="C104" i="5" s="1"/>
  <c r="C105" i="5" s="1"/>
  <c r="C106" i="5" s="1"/>
  <c r="C107" i="5" s="1"/>
  <c r="C108" i="5" s="1"/>
  <c r="C109" i="5" s="1"/>
  <c r="C110" i="5" s="1"/>
  <c r="C111" i="5" s="1"/>
  <c r="C112" i="5" s="1"/>
  <c r="C113" i="5" s="1"/>
  <c r="C114" i="5" s="1"/>
  <c r="C115" i="5" s="1"/>
  <c r="C116" i="5" s="1"/>
  <c r="C117" i="5" s="1"/>
  <c r="C118" i="5" s="1"/>
  <c r="C119" i="5" s="1"/>
  <c r="C120" i="5" s="1"/>
  <c r="C121" i="5" s="1"/>
  <c r="C122" i="5" s="1"/>
  <c r="C123" i="5" s="1"/>
  <c r="C124" i="5" s="1"/>
  <c r="C125" i="5" s="1"/>
  <c r="C126" i="5" s="1"/>
  <c r="C127" i="5" s="1"/>
  <c r="C128" i="5" s="1"/>
  <c r="C129" i="5" s="1"/>
  <c r="C130" i="5" s="1"/>
  <c r="C131" i="5" s="1"/>
  <c r="C132" i="5" s="1"/>
  <c r="C133" i="5" s="1"/>
  <c r="C134" i="5" s="1"/>
  <c r="C135" i="5" s="1"/>
  <c r="C136" i="5" s="1"/>
  <c r="C137" i="5" s="1"/>
  <c r="C138" i="5" s="1"/>
  <c r="C139" i="5" s="1"/>
  <c r="C140" i="5" s="1"/>
  <c r="C141" i="5" s="1"/>
  <c r="C142" i="5" s="1"/>
  <c r="C143" i="5" s="1"/>
  <c r="C144" i="5" s="1"/>
  <c r="C145" i="5" s="1"/>
  <c r="C146" i="5" s="1"/>
  <c r="C147" i="5" s="1"/>
  <c r="C148" i="5" s="1"/>
  <c r="C149" i="5" s="1"/>
  <c r="C150" i="5" s="1"/>
  <c r="C151" i="5" s="1"/>
  <c r="C152" i="5" s="1"/>
  <c r="C153" i="5" s="1"/>
  <c r="C154" i="5" s="1"/>
  <c r="C99" i="23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C138" i="23" s="1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P130" i="31"/>
  <c r="P120" i="11"/>
  <c r="P104" i="28"/>
  <c r="P116" i="28"/>
  <c r="P126" i="28"/>
  <c r="P126" i="31"/>
  <c r="P102" i="39"/>
  <c r="P106" i="39"/>
  <c r="P114" i="39"/>
  <c r="P120" i="39"/>
  <c r="P124" i="39"/>
  <c r="P126" i="39"/>
  <c r="P128" i="39"/>
  <c r="P130" i="39"/>
  <c r="P100" i="40"/>
  <c r="P102" i="40"/>
  <c r="P106" i="40"/>
  <c r="P128" i="40"/>
  <c r="P110" i="41"/>
  <c r="P112" i="41"/>
  <c r="P114" i="41"/>
  <c r="P116" i="41"/>
  <c r="P118" i="41"/>
  <c r="P100" i="42"/>
  <c r="P102" i="42"/>
  <c r="P114" i="42"/>
  <c r="P126" i="42"/>
  <c r="P128" i="42"/>
  <c r="P130" i="42"/>
  <c r="P110" i="43"/>
  <c r="P109" i="44"/>
  <c r="P125" i="44"/>
  <c r="P137" i="3"/>
  <c r="P111" i="3"/>
  <c r="P109" i="3"/>
  <c r="P139" i="4"/>
  <c r="P135" i="4"/>
  <c r="P133" i="4"/>
  <c r="P127" i="4"/>
  <c r="P125" i="4"/>
  <c r="P123" i="4"/>
  <c r="P115" i="4"/>
  <c r="P133" i="7"/>
  <c r="P138" i="8"/>
  <c r="P136" i="8"/>
  <c r="P134" i="8"/>
  <c r="P132" i="8"/>
  <c r="P130" i="8"/>
  <c r="P128" i="8"/>
  <c r="P124" i="8"/>
  <c r="P122" i="8"/>
  <c r="P120" i="8"/>
  <c r="P118" i="8"/>
  <c r="P116" i="8"/>
  <c r="P112" i="8"/>
  <c r="P110" i="8"/>
  <c r="P152" i="10"/>
  <c r="P125" i="13"/>
  <c r="P126" i="22"/>
  <c r="P151" i="4"/>
  <c r="P149" i="4"/>
  <c r="P141" i="4"/>
  <c r="P109" i="4"/>
  <c r="P126" i="8"/>
  <c r="P134" i="3"/>
  <c r="P130" i="3"/>
  <c r="P132" i="7"/>
  <c r="P118" i="28"/>
  <c r="P118" i="39"/>
  <c r="P122" i="39"/>
  <c r="P120" i="40"/>
  <c r="P119" i="22"/>
  <c r="P118" i="9"/>
  <c r="P130" i="11"/>
  <c r="P124" i="46"/>
  <c r="P117" i="5"/>
  <c r="P126" i="24"/>
  <c r="P122" i="24"/>
  <c r="P114" i="24"/>
  <c r="P112" i="24"/>
  <c r="P108" i="24"/>
  <c r="P129" i="22"/>
  <c r="P125" i="22"/>
  <c r="P117" i="22"/>
  <c r="P115" i="22"/>
  <c r="P117" i="25"/>
  <c r="P112" i="27"/>
  <c r="P122" i="27"/>
  <c r="P111" i="29"/>
  <c r="P117" i="29"/>
  <c r="P129" i="29"/>
  <c r="P118" i="30"/>
  <c r="P126" i="30"/>
  <c r="P106" i="38"/>
  <c r="P108" i="38"/>
  <c r="P112" i="38"/>
  <c r="P114" i="38"/>
  <c r="P116" i="38"/>
  <c r="P118" i="38"/>
  <c r="P122" i="38"/>
  <c r="P124" i="38"/>
  <c r="P128" i="5"/>
  <c r="P126" i="5"/>
  <c r="P120" i="5"/>
  <c r="P118" i="5"/>
  <c r="P116" i="5"/>
  <c r="P128" i="11"/>
  <c r="P126" i="11"/>
  <c r="P124" i="11"/>
  <c r="P122" i="11"/>
  <c r="P118" i="11"/>
  <c r="P112" i="11"/>
  <c r="P125" i="24"/>
  <c r="P119" i="24"/>
  <c r="P117" i="24"/>
  <c r="P115" i="24"/>
  <c r="P113" i="24"/>
  <c r="P111" i="24"/>
  <c r="P101" i="37"/>
  <c r="P109" i="37"/>
  <c r="P154" i="3"/>
  <c r="P150" i="3"/>
  <c r="P146" i="3"/>
  <c r="P144" i="3"/>
  <c r="P142" i="3"/>
  <c r="P140" i="3"/>
  <c r="P136" i="3"/>
  <c r="P132" i="3"/>
  <c r="P128" i="3"/>
  <c r="P126" i="3"/>
  <c r="P124" i="3"/>
  <c r="P120" i="3"/>
  <c r="P150" i="7"/>
  <c r="P138" i="7"/>
  <c r="P128" i="7"/>
  <c r="P126" i="7"/>
  <c r="P122" i="7"/>
  <c r="P114" i="7"/>
  <c r="P137" i="8"/>
  <c r="P137" i="10"/>
  <c r="P126" i="13"/>
  <c r="P117" i="23"/>
  <c r="P129" i="25"/>
  <c r="P123" i="25"/>
  <c r="P115" i="25"/>
  <c r="P117" i="28"/>
  <c r="P122" i="37"/>
  <c r="P128" i="37"/>
  <c r="P115" i="39"/>
  <c r="P101" i="40"/>
  <c r="P105" i="40"/>
  <c r="P109" i="40"/>
  <c r="P113" i="40"/>
  <c r="P127" i="40"/>
  <c r="P129" i="40"/>
  <c r="P110" i="29"/>
  <c r="P109" i="38"/>
  <c r="P111" i="38"/>
  <c r="P113" i="38"/>
  <c r="P117" i="38"/>
  <c r="P119" i="38"/>
  <c r="P123" i="38"/>
  <c r="P109" i="42"/>
  <c r="P114" i="28"/>
  <c r="P124" i="28"/>
  <c r="P128" i="28"/>
  <c r="P104" i="31"/>
  <c r="P116" i="31"/>
  <c r="P120" i="31"/>
  <c r="P124" i="31"/>
  <c r="P128" i="31"/>
  <c r="P103" i="37"/>
  <c r="P107" i="37"/>
  <c r="P111" i="37"/>
  <c r="P113" i="37"/>
  <c r="P115" i="37"/>
  <c r="P119" i="37"/>
  <c r="P125" i="37"/>
  <c r="P129" i="37"/>
  <c r="P126" i="45"/>
  <c r="P101" i="46"/>
  <c r="P129" i="46"/>
  <c r="J92" i="46"/>
  <c r="P105" i="28"/>
  <c r="P111" i="28"/>
  <c r="P111" i="40"/>
  <c r="P121" i="40"/>
  <c r="P102" i="37"/>
  <c r="P125" i="9"/>
  <c r="P115" i="31"/>
  <c r="P110" i="37"/>
  <c r="P114" i="37"/>
  <c r="P118" i="37"/>
  <c r="P126" i="37"/>
  <c r="P149" i="7"/>
  <c r="P145" i="7"/>
  <c r="P141" i="7"/>
  <c r="P137" i="7"/>
  <c r="P117" i="7"/>
  <c r="P105" i="27"/>
  <c r="P111" i="27"/>
  <c r="P113" i="27"/>
  <c r="P115" i="27"/>
  <c r="P119" i="27"/>
  <c r="P121" i="27"/>
  <c r="P125" i="27"/>
  <c r="P127" i="27"/>
  <c r="P129" i="27"/>
  <c r="P106" i="29"/>
  <c r="P116" i="29"/>
  <c r="P118" i="29"/>
  <c r="P120" i="29"/>
  <c r="P118" i="31"/>
  <c r="P122" i="44"/>
  <c r="P108" i="37"/>
  <c r="P120" i="37"/>
  <c r="P124" i="37"/>
  <c r="P130" i="37"/>
  <c r="P148" i="3"/>
  <c r="P138" i="3"/>
  <c r="P122" i="3"/>
  <c r="P110" i="3"/>
  <c r="P144" i="4"/>
  <c r="P140" i="4"/>
  <c r="P136" i="4"/>
  <c r="P124" i="4"/>
  <c r="P129" i="10"/>
  <c r="P127" i="10"/>
  <c r="P125" i="10"/>
  <c r="P123" i="10"/>
  <c r="P121" i="10"/>
  <c r="P119" i="10"/>
  <c r="P117" i="10"/>
  <c r="P130" i="13"/>
  <c r="P128" i="13"/>
  <c r="P120" i="13"/>
  <c r="P116" i="13"/>
  <c r="P114" i="13"/>
  <c r="P112" i="13"/>
  <c r="P110" i="13"/>
  <c r="P108" i="13"/>
  <c r="P106" i="13"/>
  <c r="P104" i="13"/>
  <c r="P102" i="13"/>
  <c r="P100" i="13"/>
  <c r="P118" i="27"/>
  <c r="P124" i="27"/>
  <c r="P112" i="30"/>
  <c r="P116" i="30"/>
  <c r="P120" i="30"/>
  <c r="P124" i="30"/>
  <c r="P128" i="30"/>
  <c r="P100" i="41"/>
  <c r="P106" i="41"/>
  <c r="P122" i="41"/>
  <c r="P107" i="44"/>
  <c r="P111" i="44"/>
  <c r="C99" i="11"/>
  <c r="C100" i="11" s="1"/>
  <c r="C101" i="11" s="1"/>
  <c r="C102" i="11" s="1"/>
  <c r="C103" i="11" s="1"/>
  <c r="C104" i="11" s="1"/>
  <c r="C105" i="11" s="1"/>
  <c r="C106" i="11" s="1"/>
  <c r="C107" i="11" s="1"/>
  <c r="C108" i="11" s="1"/>
  <c r="C109" i="11" s="1"/>
  <c r="C110" i="11" s="1"/>
  <c r="C111" i="11" s="1"/>
  <c r="C112" i="11" s="1"/>
  <c r="C113" i="11" s="1"/>
  <c r="C114" i="11" s="1"/>
  <c r="C115" i="11" s="1"/>
  <c r="C116" i="11" s="1"/>
  <c r="C117" i="11" s="1"/>
  <c r="C118" i="11" s="1"/>
  <c r="C119" i="11" s="1"/>
  <c r="C120" i="11" s="1"/>
  <c r="C121" i="11" s="1"/>
  <c r="C122" i="11" s="1"/>
  <c r="C123" i="11" s="1"/>
  <c r="C124" i="11" s="1"/>
  <c r="C125" i="11" s="1"/>
  <c r="C126" i="11" s="1"/>
  <c r="C127" i="11" s="1"/>
  <c r="C128" i="11" s="1"/>
  <c r="C129" i="11" s="1"/>
  <c r="C130" i="11" s="1"/>
  <c r="C131" i="11" s="1"/>
  <c r="C132" i="11" s="1"/>
  <c r="C133" i="11" s="1"/>
  <c r="C134" i="11" s="1"/>
  <c r="C135" i="11" s="1"/>
  <c r="C136" i="11" s="1"/>
  <c r="C137" i="11" s="1"/>
  <c r="C138" i="11" s="1"/>
  <c r="C139" i="11" s="1"/>
  <c r="C140" i="11" s="1"/>
  <c r="C141" i="11" s="1"/>
  <c r="C142" i="11" s="1"/>
  <c r="C143" i="11" s="1"/>
  <c r="C144" i="11" s="1"/>
  <c r="C145" i="11" s="1"/>
  <c r="C146" i="11" s="1"/>
  <c r="C147" i="11" s="1"/>
  <c r="C148" i="11" s="1"/>
  <c r="C149" i="11" s="1"/>
  <c r="C150" i="11" s="1"/>
  <c r="C151" i="11" s="1"/>
  <c r="C152" i="11" s="1"/>
  <c r="C153" i="11" s="1"/>
  <c r="C154" i="11" s="1"/>
  <c r="C45" i="5"/>
  <c r="C46" i="5" s="1"/>
  <c r="C47" i="5" s="1"/>
  <c r="C48" i="5" s="1"/>
  <c r="C49" i="5" s="1"/>
  <c r="C50" i="5" s="1"/>
  <c r="C51" i="5" s="1"/>
  <c r="C52" i="5" s="1"/>
  <c r="C53" i="5" s="1"/>
  <c r="C54" i="5" s="1"/>
  <c r="C55" i="5" s="1"/>
  <c r="C56" i="5" s="1"/>
  <c r="C57" i="5" s="1"/>
  <c r="C58" i="5" s="1"/>
  <c r="C59" i="5" s="1"/>
  <c r="C60" i="5" s="1"/>
  <c r="C61" i="5" s="1"/>
  <c r="C62" i="5" s="1"/>
  <c r="C63" i="5" s="1"/>
  <c r="C64" i="5" s="1"/>
  <c r="C65" i="5" s="1"/>
  <c r="C66" i="5" s="1"/>
  <c r="C67" i="5" s="1"/>
  <c r="C68" i="5" s="1"/>
  <c r="C69" i="5" s="1"/>
  <c r="C70" i="5" s="1"/>
  <c r="C71" i="5" s="1"/>
  <c r="C72" i="5" s="1"/>
  <c r="C45" i="37"/>
  <c r="C46" i="37" s="1"/>
  <c r="C47" i="37" s="1"/>
  <c r="C48" i="37" s="1"/>
  <c r="C49" i="37" s="1"/>
  <c r="C50" i="37" s="1"/>
  <c r="C51" i="37" s="1"/>
  <c r="C52" i="37" s="1"/>
  <c r="C53" i="37" s="1"/>
  <c r="C54" i="37" s="1"/>
  <c r="C55" i="37" s="1"/>
  <c r="C56" i="37" s="1"/>
  <c r="C57" i="37" s="1"/>
  <c r="C58" i="37" s="1"/>
  <c r="C59" i="37" s="1"/>
  <c r="C60" i="37" s="1"/>
  <c r="C61" i="37" s="1"/>
  <c r="C62" i="37" s="1"/>
  <c r="C63" i="37" s="1"/>
  <c r="C64" i="37" s="1"/>
  <c r="C65" i="37" s="1"/>
  <c r="C66" i="37" s="1"/>
  <c r="C67" i="37" s="1"/>
  <c r="C68" i="37" s="1"/>
  <c r="C69" i="37" s="1"/>
  <c r="C70" i="37" s="1"/>
  <c r="C71" i="37" s="1"/>
  <c r="C72" i="37" s="1"/>
  <c r="C45" i="11"/>
  <c r="C46" i="11" s="1"/>
  <c r="C47" i="11" s="1"/>
  <c r="C48" i="11" s="1"/>
  <c r="C49" i="11" s="1"/>
  <c r="C50" i="11" s="1"/>
  <c r="C51" i="11" s="1"/>
  <c r="C52" i="11" s="1"/>
  <c r="C53" i="11" s="1"/>
  <c r="C54" i="11" s="1"/>
  <c r="C55" i="11" s="1"/>
  <c r="C56" i="11" s="1"/>
  <c r="C57" i="11" s="1"/>
  <c r="C58" i="11" s="1"/>
  <c r="C59" i="11" s="1"/>
  <c r="C60" i="11" s="1"/>
  <c r="C61" i="11" s="1"/>
  <c r="C62" i="11" s="1"/>
  <c r="C63" i="11" s="1"/>
  <c r="C64" i="11" s="1"/>
  <c r="C65" i="11" s="1"/>
  <c r="C66" i="11" s="1"/>
  <c r="C67" i="11" s="1"/>
  <c r="C68" i="11" s="1"/>
  <c r="C69" i="11" s="1"/>
  <c r="C70" i="11" s="1"/>
  <c r="C71" i="11" s="1"/>
  <c r="C72" i="11" s="1"/>
  <c r="C45" i="7"/>
  <c r="C46" i="7" s="1"/>
  <c r="C47" i="7" s="1"/>
  <c r="C48" i="7" s="1"/>
  <c r="C49" i="7" s="1"/>
  <c r="C50" i="7" s="1"/>
  <c r="C51" i="7" s="1"/>
  <c r="C52" i="7" s="1"/>
  <c r="C53" i="7" s="1"/>
  <c r="C54" i="7" s="1"/>
  <c r="C55" i="7" s="1"/>
  <c r="C56" i="7" s="1"/>
  <c r="C57" i="7" s="1"/>
  <c r="C58" i="7" s="1"/>
  <c r="C59" i="7" s="1"/>
  <c r="C60" i="7" s="1"/>
  <c r="C61" i="7" s="1"/>
  <c r="C62" i="7" s="1"/>
  <c r="C63" i="7" s="1"/>
  <c r="C64" i="7" s="1"/>
  <c r="C65" i="7" s="1"/>
  <c r="C66" i="7" s="1"/>
  <c r="C67" i="7" s="1"/>
  <c r="C68" i="7" s="1"/>
  <c r="C69" i="7" s="1"/>
  <c r="C70" i="7" s="1"/>
  <c r="C71" i="7" s="1"/>
  <c r="C72" i="7" s="1"/>
  <c r="C45" i="40"/>
  <c r="C46" i="40" s="1"/>
  <c r="C47" i="40" s="1"/>
  <c r="C48" i="40" s="1"/>
  <c r="C49" i="40" s="1"/>
  <c r="C50" i="40" s="1"/>
  <c r="C51" i="40" s="1"/>
  <c r="C52" i="40" s="1"/>
  <c r="C53" i="40" s="1"/>
  <c r="C54" i="40" s="1"/>
  <c r="C55" i="40" s="1"/>
  <c r="C56" i="40" s="1"/>
  <c r="C57" i="40" s="1"/>
  <c r="C58" i="40" s="1"/>
  <c r="C59" i="40" s="1"/>
  <c r="C60" i="40" s="1"/>
  <c r="C61" i="40" s="1"/>
  <c r="C62" i="40" s="1"/>
  <c r="C63" i="40" s="1"/>
  <c r="C64" i="40" s="1"/>
  <c r="C65" i="40" s="1"/>
  <c r="C66" i="40" s="1"/>
  <c r="C67" i="40" s="1"/>
  <c r="C68" i="40" s="1"/>
  <c r="C69" i="40" s="1"/>
  <c r="C70" i="40" s="1"/>
  <c r="C71" i="40" s="1"/>
  <c r="C72" i="40" s="1"/>
  <c r="N87" i="41"/>
  <c r="C45" i="41"/>
  <c r="C46" i="41" s="1"/>
  <c r="C47" i="41" s="1"/>
  <c r="C48" i="41" s="1"/>
  <c r="C49" i="41" s="1"/>
  <c r="C50" i="41" s="1"/>
  <c r="C51" i="41" s="1"/>
  <c r="C52" i="41" s="1"/>
  <c r="C53" i="41" s="1"/>
  <c r="C54" i="41" s="1"/>
  <c r="C55" i="41" s="1"/>
  <c r="C56" i="41" s="1"/>
  <c r="C57" i="41" s="1"/>
  <c r="C58" i="41" s="1"/>
  <c r="C59" i="41" s="1"/>
  <c r="C60" i="41" s="1"/>
  <c r="C61" i="41" s="1"/>
  <c r="C62" i="41" s="1"/>
  <c r="C63" i="41" s="1"/>
  <c r="C64" i="41" s="1"/>
  <c r="C65" i="41" s="1"/>
  <c r="C66" i="41" s="1"/>
  <c r="C67" i="41" s="1"/>
  <c r="C68" i="41" s="1"/>
  <c r="C69" i="41" s="1"/>
  <c r="C70" i="41" s="1"/>
  <c r="C71" i="41" s="1"/>
  <c r="C72" i="41" s="1"/>
  <c r="M87" i="41"/>
  <c r="C45" i="42"/>
  <c r="C46" i="42" s="1"/>
  <c r="C47" i="42" s="1"/>
  <c r="C48" i="42" s="1"/>
  <c r="C49" i="42" s="1"/>
  <c r="C50" i="42" s="1"/>
  <c r="C51" i="42" s="1"/>
  <c r="C52" i="42" s="1"/>
  <c r="C53" i="42" s="1"/>
  <c r="C54" i="42" s="1"/>
  <c r="C55" i="42" s="1"/>
  <c r="C56" i="42" s="1"/>
  <c r="C57" i="42" s="1"/>
  <c r="C58" i="42" s="1"/>
  <c r="C59" i="42" s="1"/>
  <c r="C60" i="42" s="1"/>
  <c r="C61" i="42" s="1"/>
  <c r="C62" i="42" s="1"/>
  <c r="C63" i="42" s="1"/>
  <c r="C64" i="42" s="1"/>
  <c r="C65" i="42" s="1"/>
  <c r="C66" i="42" s="1"/>
  <c r="C67" i="42" s="1"/>
  <c r="C68" i="42" s="1"/>
  <c r="C69" i="42" s="1"/>
  <c r="C70" i="42" s="1"/>
  <c r="C71" i="42" s="1"/>
  <c r="C72" i="42" s="1"/>
  <c r="D94" i="11"/>
  <c r="C99" i="4"/>
  <c r="C100" i="4" s="1"/>
  <c r="C101" i="4" s="1"/>
  <c r="C102" i="4" s="1"/>
  <c r="C103" i="4" s="1"/>
  <c r="C104" i="4" s="1"/>
  <c r="C105" i="4" s="1"/>
  <c r="C106" i="4" s="1"/>
  <c r="C107" i="4" s="1"/>
  <c r="C108" i="4" s="1"/>
  <c r="C109" i="4" s="1"/>
  <c r="C110" i="4" s="1"/>
  <c r="C111" i="4" s="1"/>
  <c r="C112" i="4" s="1"/>
  <c r="C113" i="4" s="1"/>
  <c r="C114" i="4" s="1"/>
  <c r="C115" i="4" s="1"/>
  <c r="C116" i="4" s="1"/>
  <c r="C117" i="4" s="1"/>
  <c r="C118" i="4" s="1"/>
  <c r="C119" i="4" s="1"/>
  <c r="C120" i="4" s="1"/>
  <c r="C121" i="4" s="1"/>
  <c r="C122" i="4" s="1"/>
  <c r="C123" i="4" s="1"/>
  <c r="C124" i="4" s="1"/>
  <c r="C125" i="4" s="1"/>
  <c r="C126" i="4" s="1"/>
  <c r="C127" i="4" s="1"/>
  <c r="C128" i="4" s="1"/>
  <c r="C129" i="4" s="1"/>
  <c r="C130" i="4" s="1"/>
  <c r="C131" i="4" s="1"/>
  <c r="C132" i="4" s="1"/>
  <c r="C133" i="4" s="1"/>
  <c r="C134" i="4" s="1"/>
  <c r="C135" i="4" s="1"/>
  <c r="C136" i="4" s="1"/>
  <c r="C137" i="4" s="1"/>
  <c r="C138" i="4" s="1"/>
  <c r="C139" i="4" s="1"/>
  <c r="C140" i="4" s="1"/>
  <c r="C141" i="4" s="1"/>
  <c r="C142" i="4" s="1"/>
  <c r="C143" i="4" s="1"/>
  <c r="C144" i="4" s="1"/>
  <c r="C145" i="4" s="1"/>
  <c r="C146" i="4" s="1"/>
  <c r="C147" i="4" s="1"/>
  <c r="C148" i="4" s="1"/>
  <c r="C149" i="4" s="1"/>
  <c r="C150" i="4" s="1"/>
  <c r="C151" i="4" s="1"/>
  <c r="C152" i="4" s="1"/>
  <c r="C153" i="4" s="1"/>
  <c r="C154" i="4" s="1"/>
  <c r="B30" i="10"/>
  <c r="C45" i="22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C60" i="22" s="1"/>
  <c r="C61" i="22" s="1"/>
  <c r="C62" i="22" s="1"/>
  <c r="C63" i="22" s="1"/>
  <c r="C64" i="22" s="1"/>
  <c r="C65" i="22" s="1"/>
  <c r="C66" i="22" s="1"/>
  <c r="C67" i="22" s="1"/>
  <c r="C68" i="22" s="1"/>
  <c r="C69" i="22" s="1"/>
  <c r="C70" i="22" s="1"/>
  <c r="C71" i="22" s="1"/>
  <c r="C72" i="22" s="1"/>
  <c r="C45" i="10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B24" i="24"/>
  <c r="B18" i="42"/>
  <c r="D94" i="9"/>
  <c r="D93" i="9"/>
  <c r="D94" i="8"/>
  <c r="D93" i="8"/>
  <c r="D93" i="7"/>
  <c r="D94" i="7"/>
  <c r="O18" i="24"/>
  <c r="O19" i="8"/>
  <c r="B28" i="8"/>
  <c r="B26" i="22"/>
  <c r="O59" i="3"/>
  <c r="O49" i="3"/>
  <c r="O49" i="4"/>
  <c r="O20" i="3"/>
  <c r="P99" i="9"/>
  <c r="O39" i="9"/>
  <c r="O70" i="10"/>
  <c r="O64" i="10"/>
  <c r="O18" i="11"/>
  <c r="O67" i="13"/>
  <c r="O17" i="13"/>
  <c r="O63" i="22"/>
  <c r="O45" i="22"/>
  <c r="P100" i="8"/>
  <c r="O47" i="7"/>
  <c r="O18" i="7"/>
  <c r="P100" i="9"/>
  <c r="P100" i="10"/>
  <c r="O48" i="10"/>
  <c r="O66" i="11"/>
  <c r="O53" i="11"/>
  <c r="O46" i="11"/>
  <c r="O35" i="11"/>
  <c r="O29" i="11"/>
  <c r="O57" i="22"/>
  <c r="P124" i="6"/>
  <c r="P118" i="6"/>
  <c r="O17" i="22"/>
  <c r="O21" i="6"/>
  <c r="P110" i="5"/>
  <c r="P153" i="6"/>
  <c r="P151" i="6"/>
  <c r="P149" i="6"/>
  <c r="P143" i="6"/>
  <c r="P137" i="6"/>
  <c r="P117" i="6"/>
  <c r="P115" i="6"/>
  <c r="P111" i="6"/>
  <c r="P151" i="8"/>
  <c r="P147" i="8"/>
  <c r="P145" i="8"/>
  <c r="P141" i="8"/>
  <c r="P139" i="8"/>
  <c r="P133" i="8"/>
  <c r="P131" i="8"/>
  <c r="P154" i="10"/>
  <c r="P150" i="10"/>
  <c r="P148" i="10"/>
  <c r="P144" i="10"/>
  <c r="P142" i="10"/>
  <c r="P140" i="10"/>
  <c r="P136" i="10"/>
  <c r="P118" i="10"/>
  <c r="P129" i="11"/>
  <c r="P117" i="11"/>
  <c r="P119" i="13"/>
  <c r="P109" i="13"/>
  <c r="P101" i="13"/>
  <c r="P127" i="23"/>
  <c r="P119" i="23"/>
  <c r="P107" i="23"/>
  <c r="O44" i="23"/>
  <c r="O58" i="24"/>
  <c r="O21" i="8"/>
  <c r="O22" i="9"/>
  <c r="O23" i="10"/>
  <c r="O31" i="27"/>
  <c r="O48" i="27"/>
  <c r="O69" i="27"/>
  <c r="P154" i="7"/>
  <c r="P152" i="7"/>
  <c r="P146" i="7"/>
  <c r="P144" i="7"/>
  <c r="P142" i="7"/>
  <c r="P140" i="7"/>
  <c r="P136" i="7"/>
  <c r="P124" i="7"/>
  <c r="P122" i="23"/>
  <c r="P118" i="23"/>
  <c r="O49" i="23"/>
  <c r="O26" i="23"/>
  <c r="O68" i="24"/>
  <c r="O45" i="24"/>
  <c r="O43" i="24"/>
  <c r="O67" i="25"/>
  <c r="O46" i="25"/>
  <c r="O22" i="11"/>
  <c r="O19" i="22"/>
  <c r="P119" i="25"/>
  <c r="I12" i="46"/>
  <c r="I12" i="45"/>
  <c r="I12" i="43"/>
  <c r="I13" i="43" s="1"/>
  <c r="P114" i="27"/>
  <c r="P116" i="27"/>
  <c r="P120" i="27"/>
  <c r="P126" i="27"/>
  <c r="P128" i="27"/>
  <c r="P130" i="27"/>
  <c r="O23" i="11"/>
  <c r="P104" i="6"/>
  <c r="O19" i="24"/>
  <c r="O21" i="25"/>
  <c r="O18" i="29"/>
  <c r="O17" i="30"/>
  <c r="O23" i="37"/>
  <c r="O42" i="37"/>
  <c r="P100" i="28"/>
  <c r="I12" i="44"/>
  <c r="J94" i="46"/>
  <c r="J95" i="46" s="1"/>
  <c r="J94" i="45"/>
  <c r="J95" i="45" s="1"/>
  <c r="J94" i="44"/>
  <c r="J95" i="44" s="1"/>
  <c r="O19" i="23"/>
  <c r="P103" i="25"/>
  <c r="O39" i="37"/>
  <c r="P109" i="28"/>
  <c r="P113" i="28"/>
  <c r="P119" i="28"/>
  <c r="P125" i="28"/>
  <c r="P113" i="29"/>
  <c r="P119" i="29"/>
  <c r="P121" i="29"/>
  <c r="P108" i="10"/>
  <c r="O22" i="23"/>
  <c r="O21" i="24"/>
  <c r="O19" i="28"/>
  <c r="O18" i="30"/>
  <c r="P100" i="31"/>
  <c r="O42" i="41"/>
  <c r="O54" i="41"/>
  <c r="P106" i="3"/>
  <c r="O28" i="7"/>
  <c r="O26" i="8"/>
  <c r="O68" i="40"/>
  <c r="P105" i="3"/>
  <c r="O25" i="6"/>
  <c r="O25" i="8"/>
  <c r="P107" i="9"/>
  <c r="P104" i="22"/>
  <c r="O20" i="27"/>
  <c r="P100" i="29"/>
  <c r="O62" i="41"/>
  <c r="O66" i="41"/>
  <c r="O18" i="42"/>
  <c r="P107" i="6"/>
  <c r="O25" i="25"/>
  <c r="P106" i="28"/>
  <c r="P112" i="28"/>
  <c r="P122" i="28"/>
  <c r="O37" i="38"/>
  <c r="O57" i="38"/>
  <c r="O29" i="42"/>
  <c r="O27" i="6"/>
  <c r="P101" i="30"/>
  <c r="P108" i="6"/>
  <c r="P110" i="7"/>
  <c r="P109" i="11"/>
  <c r="O21" i="31"/>
  <c r="O33" i="43"/>
  <c r="O18" i="44"/>
  <c r="P128" i="38"/>
  <c r="P130" i="38"/>
  <c r="P101" i="41"/>
  <c r="P127" i="41"/>
  <c r="P101" i="42"/>
  <c r="P113" i="42"/>
  <c r="P119" i="42"/>
  <c r="P123" i="42"/>
  <c r="P105" i="25"/>
  <c r="P101" i="28"/>
  <c r="P107" i="4"/>
  <c r="P109" i="9"/>
  <c r="P105" i="23"/>
  <c r="O21" i="29"/>
  <c r="P106" i="43"/>
  <c r="P112" i="43"/>
  <c r="P116" i="43"/>
  <c r="P122" i="43"/>
  <c r="O28" i="44"/>
  <c r="O50" i="44"/>
  <c r="O60" i="44"/>
  <c r="O67" i="44"/>
  <c r="O61" i="45"/>
  <c r="O23" i="46"/>
  <c r="O37" i="46"/>
  <c r="O29" i="44"/>
  <c r="O64" i="44"/>
  <c r="O65" i="45"/>
  <c r="O31" i="46"/>
  <c r="C18" i="45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C38" i="45" s="1"/>
  <c r="C39" i="45" s="1"/>
  <c r="C40" i="45" s="1"/>
  <c r="C41" i="45" s="1"/>
  <c r="C42" i="45" s="1"/>
  <c r="C43" i="45" s="1"/>
  <c r="C44" i="45" s="1"/>
  <c r="M87" i="45" s="1"/>
  <c r="P123" i="46"/>
  <c r="P122" i="45"/>
  <c r="P125" i="46"/>
  <c r="P120" i="28"/>
  <c r="P124" i="43"/>
  <c r="P114" i="45"/>
  <c r="P116" i="45"/>
  <c r="P118" i="45"/>
  <c r="P120" i="45"/>
  <c r="P128" i="45"/>
  <c r="P118" i="3"/>
  <c r="P148" i="6"/>
  <c r="P140" i="6"/>
  <c r="P112" i="7"/>
  <c r="P130" i="9"/>
  <c r="P126" i="9"/>
  <c r="P124" i="9"/>
  <c r="P120" i="9"/>
  <c r="P116" i="9"/>
  <c r="P112" i="9"/>
  <c r="P124" i="22"/>
  <c r="P122" i="22"/>
  <c r="P125" i="25"/>
  <c r="P130" i="28"/>
  <c r="P115" i="44"/>
  <c r="P119" i="44"/>
  <c r="P121" i="44"/>
  <c r="P123" i="44"/>
  <c r="P127" i="44"/>
  <c r="P129" i="44"/>
  <c r="P123" i="28"/>
  <c r="P127" i="28"/>
  <c r="P122" i="29"/>
  <c r="P124" i="29"/>
  <c r="P126" i="29"/>
  <c r="P130" i="29"/>
  <c r="P109" i="30"/>
  <c r="P113" i="30"/>
  <c r="P117" i="30"/>
  <c r="P119" i="30"/>
  <c r="P123" i="30"/>
  <c r="P125" i="30"/>
  <c r="P127" i="30"/>
  <c r="P129" i="30"/>
  <c r="P105" i="31"/>
  <c r="P109" i="31"/>
  <c r="P119" i="43"/>
  <c r="P123" i="43"/>
  <c r="P149" i="3"/>
  <c r="P130" i="46"/>
  <c r="P147" i="3"/>
  <c r="P145" i="3"/>
  <c r="P143" i="3"/>
  <c r="P135" i="3"/>
  <c r="P133" i="3"/>
  <c r="P131" i="3"/>
  <c r="P127" i="3"/>
  <c r="P125" i="3"/>
  <c r="P121" i="3"/>
  <c r="P117" i="3"/>
  <c r="P115" i="3"/>
  <c r="P154" i="4"/>
  <c r="P152" i="4"/>
  <c r="P150" i="4"/>
  <c r="P148" i="4"/>
  <c r="P130" i="4"/>
  <c r="P122" i="4"/>
  <c r="P118" i="4"/>
  <c r="P116" i="4"/>
  <c r="P114" i="4"/>
  <c r="P110" i="4"/>
  <c r="P142" i="5"/>
  <c r="P140" i="5"/>
  <c r="P136" i="5"/>
  <c r="P130" i="5"/>
  <c r="P148" i="7"/>
  <c r="P153" i="8"/>
  <c r="P130" i="10"/>
  <c r="P127" i="11"/>
  <c r="P119" i="11"/>
  <c r="P113" i="11"/>
  <c r="P111" i="13"/>
  <c r="P103" i="13"/>
  <c r="P116" i="22"/>
  <c r="P114" i="22"/>
  <c r="P110" i="22"/>
  <c r="P116" i="23"/>
  <c r="P120" i="25"/>
  <c r="P116" i="25"/>
  <c r="P114" i="25"/>
  <c r="P110" i="28"/>
  <c r="P105" i="41"/>
  <c r="P107" i="41"/>
  <c r="P111" i="41"/>
  <c r="P113" i="41"/>
  <c r="P125" i="41"/>
  <c r="P129" i="41"/>
  <c r="P105" i="42"/>
  <c r="P121" i="42"/>
  <c r="P127" i="42"/>
  <c r="P102" i="43"/>
  <c r="P114" i="43"/>
  <c r="P118" i="43"/>
  <c r="P127" i="43"/>
  <c r="P99" i="44"/>
  <c r="P100" i="44"/>
  <c r="P104" i="44"/>
  <c r="P106" i="44"/>
  <c r="P108" i="44"/>
  <c r="P110" i="44"/>
  <c r="P112" i="44"/>
  <c r="P114" i="44"/>
  <c r="P116" i="44"/>
  <c r="P120" i="44"/>
  <c r="P128" i="44"/>
  <c r="P130" i="44"/>
  <c r="P100" i="46"/>
  <c r="P106" i="46"/>
  <c r="P108" i="46"/>
  <c r="P120" i="46"/>
  <c r="P126" i="46"/>
  <c r="P145" i="4"/>
  <c r="P123" i="7"/>
  <c r="P121" i="7"/>
  <c r="P119" i="7"/>
  <c r="P113" i="7"/>
  <c r="P154" i="8"/>
  <c r="P150" i="8"/>
  <c r="P146" i="8"/>
  <c r="P144" i="8"/>
  <c r="P142" i="8"/>
  <c r="P121" i="9"/>
  <c r="P119" i="9"/>
  <c r="P111" i="9"/>
  <c r="P107" i="39"/>
  <c r="P123" i="39"/>
  <c r="P127" i="39"/>
  <c r="P120" i="41"/>
  <c r="P124" i="41"/>
  <c r="P126" i="41"/>
  <c r="P128" i="41"/>
  <c r="P130" i="41"/>
  <c r="P106" i="42"/>
  <c r="P108" i="42"/>
  <c r="P110" i="42"/>
  <c r="P118" i="42"/>
  <c r="P120" i="42"/>
  <c r="P122" i="42"/>
  <c r="P99" i="46"/>
  <c r="P117" i="46"/>
  <c r="P147" i="4"/>
  <c r="P147" i="6"/>
  <c r="P145" i="6"/>
  <c r="P141" i="6"/>
  <c r="P139" i="6"/>
  <c r="P135" i="6"/>
  <c r="P133" i="6"/>
  <c r="P131" i="6"/>
  <c r="P129" i="6"/>
  <c r="P127" i="6"/>
  <c r="P125" i="6"/>
  <c r="P123" i="6"/>
  <c r="P121" i="6"/>
  <c r="P145" i="10"/>
  <c r="P111" i="31"/>
  <c r="P117" i="31"/>
  <c r="P119" i="31"/>
  <c r="P121" i="31"/>
  <c r="P129" i="31"/>
  <c r="P102" i="38"/>
  <c r="P126" i="38"/>
  <c r="P110" i="39"/>
  <c r="P112" i="39"/>
  <c r="P116" i="39"/>
  <c r="P115" i="42"/>
  <c r="P117" i="42"/>
  <c r="P109" i="46"/>
  <c r="P152" i="3"/>
  <c r="P116" i="3"/>
  <c r="P114" i="3"/>
  <c r="P137" i="4"/>
  <c r="P141" i="5"/>
  <c r="P149" i="8"/>
  <c r="P127" i="9"/>
  <c r="P121" i="22"/>
  <c r="P129" i="23"/>
  <c r="P125" i="23"/>
  <c r="P123" i="23"/>
  <c r="P121" i="23"/>
  <c r="P113" i="23"/>
  <c r="P152" i="5"/>
  <c r="P148" i="5"/>
  <c r="P138" i="5"/>
  <c r="P134" i="5"/>
  <c r="P132" i="5"/>
  <c r="P127" i="5"/>
  <c r="P121" i="5"/>
  <c r="P119" i="5"/>
  <c r="P115" i="5"/>
  <c r="P152" i="6"/>
  <c r="P153" i="7"/>
  <c r="P143" i="7"/>
  <c r="P139" i="7"/>
  <c r="P125" i="7"/>
  <c r="P120" i="7"/>
  <c r="P118" i="7"/>
  <c r="P152" i="8"/>
  <c r="P148" i="8"/>
  <c r="P140" i="8"/>
  <c r="P129" i="8"/>
  <c r="P115" i="8"/>
  <c r="P128" i="9"/>
  <c r="P122" i="9"/>
  <c r="P146" i="10"/>
  <c r="P128" i="22"/>
  <c r="P120" i="22"/>
  <c r="P118" i="22"/>
  <c r="P101" i="38"/>
  <c r="P105" i="38"/>
  <c r="P127" i="38"/>
  <c r="P129" i="38"/>
  <c r="P101" i="39"/>
  <c r="P103" i="39"/>
  <c r="P111" i="39"/>
  <c r="P117" i="39"/>
  <c r="P119" i="39"/>
  <c r="P121" i="39"/>
  <c r="P125" i="39"/>
  <c r="P129" i="39"/>
  <c r="P108" i="40"/>
  <c r="P110" i="40"/>
  <c r="P112" i="40"/>
  <c r="P114" i="40"/>
  <c r="P116" i="40"/>
  <c r="P118" i="40"/>
  <c r="P122" i="40"/>
  <c r="P115" i="41"/>
  <c r="P117" i="41"/>
  <c r="P119" i="45"/>
  <c r="L86" i="45"/>
  <c r="F48" i="2"/>
  <c r="F52" i="2" s="1"/>
  <c r="P120" i="6"/>
  <c r="P127" i="8"/>
  <c r="P123" i="8"/>
  <c r="P121" i="8"/>
  <c r="P117" i="8"/>
  <c r="P113" i="9"/>
  <c r="P138" i="10"/>
  <c r="P123" i="11"/>
  <c r="P121" i="11"/>
  <c r="P129" i="13"/>
  <c r="P127" i="13"/>
  <c r="P115" i="13"/>
  <c r="P107" i="13"/>
  <c r="P105" i="13"/>
  <c r="P99" i="13"/>
  <c r="P113" i="22"/>
  <c r="P109" i="22"/>
  <c r="P114" i="23"/>
  <c r="P125" i="38"/>
  <c r="P113" i="39"/>
  <c r="P109" i="45"/>
  <c r="P113" i="45"/>
  <c r="P121" i="45"/>
  <c r="P123" i="45"/>
  <c r="P125" i="45"/>
  <c r="P127" i="45"/>
  <c r="P153" i="3"/>
  <c r="P151" i="3"/>
  <c r="P141" i="3"/>
  <c r="P139" i="3"/>
  <c r="P129" i="3"/>
  <c r="P123" i="3"/>
  <c r="P119" i="3"/>
  <c r="P146" i="4"/>
  <c r="P138" i="4"/>
  <c r="P134" i="4"/>
  <c r="P128" i="4"/>
  <c r="P126" i="4"/>
  <c r="P120" i="4"/>
  <c r="P135" i="7"/>
  <c r="P147" i="10"/>
  <c r="P141" i="10"/>
  <c r="P139" i="10"/>
  <c r="P126" i="25"/>
  <c r="P124" i="25"/>
  <c r="P122" i="25"/>
  <c r="P118" i="25"/>
  <c r="J94" i="43"/>
  <c r="J94" i="13"/>
  <c r="J94" i="30"/>
  <c r="J95" i="30" s="1"/>
  <c r="J94" i="27"/>
  <c r="J95" i="27" s="1"/>
  <c r="J94" i="8"/>
  <c r="J95" i="8" s="1"/>
  <c r="J94" i="3"/>
  <c r="J95" i="3" s="1"/>
  <c r="J94" i="38"/>
  <c r="J94" i="25"/>
  <c r="J95" i="25" s="1"/>
  <c r="J94" i="28"/>
  <c r="J95" i="28" s="1"/>
  <c r="J94" i="7"/>
  <c r="J95" i="7" s="1"/>
  <c r="J94" i="9"/>
  <c r="J95" i="9" s="1"/>
  <c r="J94" i="4"/>
  <c r="J95" i="4" s="1"/>
  <c r="J94" i="6"/>
  <c r="J95" i="6" s="1"/>
  <c r="J94" i="11"/>
  <c r="J95" i="11" s="1"/>
  <c r="P107" i="27"/>
  <c r="P114" i="29"/>
  <c r="P110" i="30"/>
  <c r="P114" i="31"/>
  <c r="P100" i="43"/>
  <c r="P108" i="43"/>
  <c r="P108" i="45"/>
  <c r="P144" i="5"/>
  <c r="P108" i="23"/>
  <c r="P129" i="24"/>
  <c r="P113" i="25"/>
  <c r="P109" i="25"/>
  <c r="P128" i="29"/>
  <c r="P105" i="30"/>
  <c r="P123" i="37"/>
  <c r="P107" i="40"/>
  <c r="P115" i="40"/>
  <c r="P117" i="40"/>
  <c r="P108" i="41"/>
  <c r="P124" i="42"/>
  <c r="P101" i="43"/>
  <c r="P107" i="43"/>
  <c r="P109" i="43"/>
  <c r="P128" i="43"/>
  <c r="P124" i="44"/>
  <c r="P126" i="44"/>
  <c r="P100" i="45"/>
  <c r="P102" i="45"/>
  <c r="P104" i="45"/>
  <c r="P106" i="45"/>
  <c r="P105" i="46"/>
  <c r="P107" i="46"/>
  <c r="P113" i="46"/>
  <c r="P115" i="46"/>
  <c r="P149" i="5"/>
  <c r="P133" i="5"/>
  <c r="P129" i="5"/>
  <c r="P124" i="5"/>
  <c r="P110" i="6"/>
  <c r="P143" i="8"/>
  <c r="P129" i="9"/>
  <c r="P153" i="10"/>
  <c r="P151" i="10"/>
  <c r="P149" i="10"/>
  <c r="P134" i="10"/>
  <c r="P126" i="10"/>
  <c r="P125" i="11"/>
  <c r="P124" i="13"/>
  <c r="P122" i="13"/>
  <c r="P127" i="22"/>
  <c r="P123" i="22"/>
  <c r="P108" i="22"/>
  <c r="P126" i="23"/>
  <c r="P128" i="24"/>
  <c r="P124" i="24"/>
  <c r="P120" i="24"/>
  <c r="P118" i="24"/>
  <c r="P116" i="24"/>
  <c r="P105" i="29"/>
  <c r="P109" i="29"/>
  <c r="P115" i="29"/>
  <c r="P123" i="31"/>
  <c r="P106" i="37"/>
  <c r="P116" i="37"/>
  <c r="P120" i="38"/>
  <c r="P107" i="42"/>
  <c r="P129" i="42"/>
  <c r="P129" i="43"/>
  <c r="P103" i="45"/>
  <c r="P107" i="45"/>
  <c r="P116" i="46"/>
  <c r="P143" i="4"/>
  <c r="P130" i="6"/>
  <c r="P127" i="25"/>
  <c r="P106" i="24"/>
  <c r="P105" i="44"/>
  <c r="P112" i="45"/>
  <c r="P142" i="4"/>
  <c r="P132" i="4"/>
  <c r="P154" i="5"/>
  <c r="P125" i="29"/>
  <c r="P124" i="40"/>
  <c r="P130" i="40"/>
  <c r="P143" i="5"/>
  <c r="P122" i="5"/>
  <c r="P109" i="5"/>
  <c r="P134" i="7"/>
  <c r="P130" i="7"/>
  <c r="P125" i="8"/>
  <c r="P143" i="10"/>
  <c r="P132" i="10"/>
  <c r="P128" i="10"/>
  <c r="P123" i="13"/>
  <c r="P121" i="13"/>
  <c r="P117" i="13"/>
  <c r="P130" i="23"/>
  <c r="P128" i="23"/>
  <c r="P124" i="23"/>
  <c r="P107" i="24"/>
  <c r="P130" i="25"/>
  <c r="P123" i="29"/>
  <c r="P127" i="29"/>
  <c r="P111" i="30"/>
  <c r="P115" i="30"/>
  <c r="P110" i="31"/>
  <c r="P112" i="31"/>
  <c r="P125" i="31"/>
  <c r="P127" i="31"/>
  <c r="P112" i="37"/>
  <c r="P109" i="39"/>
  <c r="P119" i="40"/>
  <c r="P123" i="40"/>
  <c r="P126" i="40"/>
  <c r="P109" i="41"/>
  <c r="P112" i="42"/>
  <c r="P116" i="42"/>
  <c r="P105" i="43"/>
  <c r="P101" i="44"/>
  <c r="P113" i="44"/>
  <c r="P101" i="45"/>
  <c r="P110" i="45"/>
  <c r="P117" i="45"/>
  <c r="P124" i="45"/>
  <c r="P103" i="46"/>
  <c r="P110" i="46"/>
  <c r="P112" i="46"/>
  <c r="P119" i="46"/>
  <c r="P121" i="46"/>
  <c r="P150" i="5"/>
  <c r="P117" i="27"/>
  <c r="P104" i="30"/>
  <c r="P121" i="30"/>
  <c r="P113" i="43"/>
  <c r="P117" i="43"/>
  <c r="P117" i="44"/>
  <c r="P105" i="45"/>
  <c r="P111" i="45"/>
  <c r="P114" i="46"/>
  <c r="P127" i="46"/>
  <c r="P151" i="5"/>
  <c r="P146" i="5"/>
  <c r="P137" i="5"/>
  <c r="P135" i="5"/>
  <c r="P125" i="5"/>
  <c r="P142" i="6"/>
  <c r="P128" i="6"/>
  <c r="P119" i="6"/>
  <c r="P112" i="6"/>
  <c r="P151" i="7"/>
  <c r="P147" i="7"/>
  <c r="P131" i="7"/>
  <c r="P127" i="7"/>
  <c r="P135" i="8"/>
  <c r="P119" i="8"/>
  <c r="P111" i="8"/>
  <c r="P117" i="9"/>
  <c r="P135" i="10"/>
  <c r="P133" i="10"/>
  <c r="P114" i="10"/>
  <c r="P112" i="10"/>
  <c r="P130" i="22"/>
  <c r="P109" i="23"/>
  <c r="P130" i="24"/>
  <c r="P127" i="24"/>
  <c r="P123" i="24"/>
  <c r="P121" i="24"/>
  <c r="P121" i="25"/>
  <c r="P106" i="27"/>
  <c r="P110" i="27"/>
  <c r="P115" i="28"/>
  <c r="P103" i="30"/>
  <c r="P114" i="30"/>
  <c r="P122" i="30"/>
  <c r="P130" i="30"/>
  <c r="P106" i="31"/>
  <c r="P113" i="31"/>
  <c r="P122" i="31"/>
  <c r="P117" i="37"/>
  <c r="P121" i="37"/>
  <c r="P127" i="37"/>
  <c r="P115" i="38"/>
  <c r="P121" i="38"/>
  <c r="P125" i="40"/>
  <c r="P119" i="41"/>
  <c r="P123" i="41"/>
  <c r="P125" i="43"/>
  <c r="P99" i="45"/>
  <c r="P115" i="45"/>
  <c r="P129" i="45"/>
  <c r="P102" i="46"/>
  <c r="P104" i="46"/>
  <c r="P111" i="46"/>
  <c r="P118" i="46"/>
  <c r="P122" i="46"/>
  <c r="P128" i="46"/>
  <c r="P126" i="6"/>
  <c r="P129" i="7"/>
  <c r="P123" i="9"/>
  <c r="P131" i="10"/>
  <c r="P120" i="23"/>
  <c r="P123" i="27"/>
  <c r="P121" i="28"/>
  <c r="P108" i="39"/>
  <c r="P102" i="41"/>
  <c r="P126" i="43"/>
  <c r="P122" i="10"/>
  <c r="P120" i="10"/>
  <c r="P113" i="10"/>
  <c r="P118" i="13"/>
  <c r="P113" i="13"/>
  <c r="P104" i="29"/>
  <c r="P111" i="42"/>
  <c r="P116" i="11"/>
  <c r="P111" i="11"/>
  <c r="P115" i="23"/>
  <c r="P112" i="23"/>
  <c r="P129" i="28"/>
  <c r="P108" i="30"/>
  <c r="P110" i="38"/>
  <c r="P120" i="43"/>
  <c r="P130" i="43"/>
  <c r="P118" i="44"/>
  <c r="C20" i="17"/>
  <c r="C44" i="17"/>
  <c r="C38" i="17"/>
  <c r="C26" i="17"/>
  <c r="C35" i="17"/>
  <c r="C47" i="17"/>
  <c r="D19" i="17"/>
  <c r="C28" i="17"/>
  <c r="D37" i="17"/>
  <c r="D44" i="17"/>
  <c r="C36" i="17"/>
  <c r="D45" i="17"/>
  <c r="C29" i="17"/>
  <c r="D47" i="17"/>
  <c r="C51" i="17"/>
  <c r="D29" i="17"/>
  <c r="D26" i="17"/>
  <c r="D36" i="17"/>
  <c r="D50" i="17"/>
  <c r="C39" i="17"/>
  <c r="D48" i="17"/>
  <c r="C27" i="17"/>
  <c r="C46" i="17"/>
  <c r="C45" i="17"/>
  <c r="D49" i="17"/>
  <c r="C49" i="17"/>
  <c r="C19" i="17"/>
  <c r="D51" i="17"/>
  <c r="C50" i="17"/>
  <c r="C30" i="17"/>
  <c r="D40" i="17"/>
  <c r="C32" i="17"/>
  <c r="C48" i="17"/>
  <c r="C33" i="17"/>
  <c r="C52" i="17"/>
  <c r="D20" i="17"/>
  <c r="D43" i="17"/>
  <c r="D52" i="17"/>
  <c r="D46" i="17"/>
  <c r="C18" i="17"/>
  <c r="C37" i="17"/>
  <c r="C23" i="17"/>
  <c r="D32" i="17"/>
  <c r="J95" i="52" l="1"/>
  <c r="H100" i="52"/>
  <c r="H99" i="52"/>
  <c r="J95" i="51"/>
  <c r="H100" i="51"/>
  <c r="H99" i="51"/>
  <c r="J95" i="56"/>
  <c r="J95" i="50"/>
  <c r="H99" i="50"/>
  <c r="M88" i="50" s="1"/>
  <c r="G101" i="52"/>
  <c r="H101" i="52" s="1"/>
  <c r="D102" i="52"/>
  <c r="D102" i="51"/>
  <c r="G101" i="51"/>
  <c r="H101" i="51" s="1"/>
  <c r="I13" i="52"/>
  <c r="H17" i="52" s="1"/>
  <c r="G17" i="52"/>
  <c r="I13" i="51"/>
  <c r="G17" i="51"/>
  <c r="G18" i="51"/>
  <c r="G19" i="51"/>
  <c r="G20" i="51"/>
  <c r="G21" i="51"/>
  <c r="G22" i="51"/>
  <c r="G23" i="51"/>
  <c r="G24" i="51"/>
  <c r="G25" i="51"/>
  <c r="G26" i="51"/>
  <c r="G27" i="51"/>
  <c r="G28" i="51"/>
  <c r="G29" i="51"/>
  <c r="G30" i="51"/>
  <c r="G31" i="51"/>
  <c r="G32" i="51"/>
  <c r="G33" i="51"/>
  <c r="G34" i="51"/>
  <c r="G35" i="51"/>
  <c r="G36" i="51"/>
  <c r="G37" i="51"/>
  <c r="G38" i="51"/>
  <c r="G39" i="51"/>
  <c r="G40" i="51"/>
  <c r="G41" i="51"/>
  <c r="G42" i="51"/>
  <c r="G43" i="51"/>
  <c r="G44" i="51"/>
  <c r="G45" i="51"/>
  <c r="G46" i="51"/>
  <c r="G47" i="51"/>
  <c r="G48" i="51"/>
  <c r="G49" i="51"/>
  <c r="G50" i="51"/>
  <c r="G51" i="51"/>
  <c r="G52" i="51"/>
  <c r="G53" i="51"/>
  <c r="G54" i="51"/>
  <c r="G55" i="51"/>
  <c r="G56" i="51"/>
  <c r="G57" i="51"/>
  <c r="G58" i="51"/>
  <c r="G59" i="51"/>
  <c r="G60" i="51"/>
  <c r="G61" i="51"/>
  <c r="G62" i="51"/>
  <c r="F64" i="51"/>
  <c r="G64" i="51" s="1"/>
  <c r="B64" i="51"/>
  <c r="H17" i="13"/>
  <c r="C100" i="3"/>
  <c r="C101" i="3" s="1"/>
  <c r="C102" i="3" s="1"/>
  <c r="C103" i="3" s="1"/>
  <c r="C104" i="3" s="1"/>
  <c r="C105" i="3" s="1"/>
  <c r="C106" i="3" s="1"/>
  <c r="C107" i="3" s="1"/>
  <c r="C108" i="3" s="1"/>
  <c r="C109" i="3" s="1"/>
  <c r="C110" i="3" s="1"/>
  <c r="C111" i="3" s="1"/>
  <c r="C112" i="3" s="1"/>
  <c r="C113" i="3" s="1"/>
  <c r="C114" i="3" s="1"/>
  <c r="C115" i="3" s="1"/>
  <c r="C116" i="3" s="1"/>
  <c r="C117" i="3" s="1"/>
  <c r="C118" i="3" s="1"/>
  <c r="C119" i="3" s="1"/>
  <c r="C120" i="3" s="1"/>
  <c r="C121" i="3" s="1"/>
  <c r="C122" i="3" s="1"/>
  <c r="C123" i="3" s="1"/>
  <c r="C124" i="3" s="1"/>
  <c r="C125" i="3" s="1"/>
  <c r="C126" i="3" s="1"/>
  <c r="C127" i="3" s="1"/>
  <c r="C128" i="3" s="1"/>
  <c r="C129" i="3" s="1"/>
  <c r="C130" i="3" s="1"/>
  <c r="C131" i="3" s="1"/>
  <c r="C132" i="3" s="1"/>
  <c r="C133" i="3" s="1"/>
  <c r="C134" i="3" s="1"/>
  <c r="C135" i="3" s="1"/>
  <c r="C136" i="3" s="1"/>
  <c r="C137" i="3" s="1"/>
  <c r="C138" i="3" s="1"/>
  <c r="C139" i="3" s="1"/>
  <c r="C140" i="3" s="1"/>
  <c r="C141" i="3" s="1"/>
  <c r="C142" i="3" s="1"/>
  <c r="C143" i="3" s="1"/>
  <c r="C144" i="3" s="1"/>
  <c r="C145" i="3" s="1"/>
  <c r="C146" i="3" s="1"/>
  <c r="C147" i="3" s="1"/>
  <c r="C148" i="3" s="1"/>
  <c r="C149" i="3" s="1"/>
  <c r="C150" i="3" s="1"/>
  <c r="C151" i="3" s="1"/>
  <c r="C152" i="3" s="1"/>
  <c r="C153" i="3" s="1"/>
  <c r="C154" i="3" s="1"/>
  <c r="F20" i="1"/>
  <c r="E32" i="1" s="1"/>
  <c r="N87" i="11"/>
  <c r="O87" i="11" s="1"/>
  <c r="D100" i="13"/>
  <c r="B100" i="13" s="1"/>
  <c r="M87" i="10"/>
  <c r="O87" i="10" s="1"/>
  <c r="N87" i="25"/>
  <c r="O87" i="25" s="1"/>
  <c r="L86" i="25"/>
  <c r="F20" i="2"/>
  <c r="E32" i="2" s="1"/>
  <c r="M87" i="9"/>
  <c r="O87" i="9" s="1"/>
  <c r="L86" i="10"/>
  <c r="N87" i="37"/>
  <c r="N87" i="4"/>
  <c r="M87" i="28"/>
  <c r="O87" i="28" s="1"/>
  <c r="L86" i="28"/>
  <c r="N87" i="23"/>
  <c r="N87" i="42"/>
  <c r="N87" i="3"/>
  <c r="O87" i="3" s="1"/>
  <c r="M87" i="23"/>
  <c r="M87" i="40"/>
  <c r="M87" i="5"/>
  <c r="N87" i="13"/>
  <c r="M87" i="31"/>
  <c r="N87" i="22"/>
  <c r="O87" i="22" s="1"/>
  <c r="L86" i="3"/>
  <c r="N87" i="31"/>
  <c r="M87" i="42"/>
  <c r="L86" i="39"/>
  <c r="M87" i="8"/>
  <c r="N87" i="8"/>
  <c r="M87" i="29"/>
  <c r="N87" i="29"/>
  <c r="L86" i="22"/>
  <c r="M87" i="13"/>
  <c r="L86" i="44"/>
  <c r="M87" i="7"/>
  <c r="N87" i="5"/>
  <c r="N87" i="27"/>
  <c r="M87" i="27"/>
  <c r="N87" i="24"/>
  <c r="N87" i="30"/>
  <c r="N87" i="40"/>
  <c r="M87" i="44"/>
  <c r="O87" i="44" s="1"/>
  <c r="N87" i="7"/>
  <c r="M87" i="43"/>
  <c r="O87" i="43" s="1"/>
  <c r="M87" i="24"/>
  <c r="L86" i="43"/>
  <c r="M87" i="30"/>
  <c r="M87" i="39"/>
  <c r="O87" i="39" s="1"/>
  <c r="L86" i="9"/>
  <c r="N87" i="38"/>
  <c r="M87" i="38"/>
  <c r="M87" i="6"/>
  <c r="N87" i="6"/>
  <c r="L86" i="11"/>
  <c r="M87" i="37"/>
  <c r="M87" i="4"/>
  <c r="B19" i="44"/>
  <c r="D18" i="13"/>
  <c r="G17" i="13"/>
  <c r="B18" i="45"/>
  <c r="C100" i="38"/>
  <c r="C101" i="38" s="1"/>
  <c r="C102" i="38" s="1"/>
  <c r="C103" i="38" s="1"/>
  <c r="C104" i="38" s="1"/>
  <c r="C105" i="38" s="1"/>
  <c r="C106" i="38" s="1"/>
  <c r="C107" i="38" s="1"/>
  <c r="C108" i="38" s="1"/>
  <c r="C109" i="38" s="1"/>
  <c r="C110" i="38" s="1"/>
  <c r="C111" i="38" s="1"/>
  <c r="C112" i="38" s="1"/>
  <c r="C113" i="38" s="1"/>
  <c r="C114" i="38" s="1"/>
  <c r="C115" i="38" s="1"/>
  <c r="C116" i="38" s="1"/>
  <c r="C117" i="38" s="1"/>
  <c r="C118" i="38" s="1"/>
  <c r="C119" i="38" s="1"/>
  <c r="C120" i="38" s="1"/>
  <c r="C121" i="38" s="1"/>
  <c r="C122" i="38" s="1"/>
  <c r="C123" i="38" s="1"/>
  <c r="C124" i="38" s="1"/>
  <c r="C125" i="38" s="1"/>
  <c r="C126" i="38" s="1"/>
  <c r="C127" i="38" s="1"/>
  <c r="C128" i="38" s="1"/>
  <c r="C129" i="38" s="1"/>
  <c r="C130" i="38" s="1"/>
  <c r="C131" i="38" s="1"/>
  <c r="C132" i="38" s="1"/>
  <c r="C133" i="38" s="1"/>
  <c r="C134" i="38" s="1"/>
  <c r="C135" i="38" s="1"/>
  <c r="C136" i="38" s="1"/>
  <c r="C137" i="38" s="1"/>
  <c r="C138" i="38" s="1"/>
  <c r="C139" i="38" s="1"/>
  <c r="C140" i="38" s="1"/>
  <c r="C141" i="38" s="1"/>
  <c r="C142" i="38" s="1"/>
  <c r="C143" i="38" s="1"/>
  <c r="C144" i="38" s="1"/>
  <c r="C145" i="38" s="1"/>
  <c r="C146" i="38" s="1"/>
  <c r="C147" i="38" s="1"/>
  <c r="C148" i="38" s="1"/>
  <c r="C149" i="38" s="1"/>
  <c r="C150" i="38" s="1"/>
  <c r="C151" i="38" s="1"/>
  <c r="C152" i="38" s="1"/>
  <c r="C153" i="38" s="1"/>
  <c r="C154" i="38" s="1"/>
  <c r="C99" i="22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C135" i="22" s="1"/>
  <c r="C136" i="22" s="1"/>
  <c r="C137" i="22" s="1"/>
  <c r="C138" i="22" s="1"/>
  <c r="C139" i="22" s="1"/>
  <c r="C140" i="22" s="1"/>
  <c r="C141" i="22" s="1"/>
  <c r="C142" i="22" s="1"/>
  <c r="C143" i="22" s="1"/>
  <c r="C144" i="22" s="1"/>
  <c r="C145" i="22" s="1"/>
  <c r="C146" i="22" s="1"/>
  <c r="C147" i="22" s="1"/>
  <c r="C148" i="22" s="1"/>
  <c r="C149" i="22" s="1"/>
  <c r="C150" i="22" s="1"/>
  <c r="C151" i="22" s="1"/>
  <c r="C152" i="22" s="1"/>
  <c r="C153" i="22" s="1"/>
  <c r="C154" i="22" s="1"/>
  <c r="M87" i="46"/>
  <c r="N87" i="46"/>
  <c r="L86" i="46"/>
  <c r="O87" i="41"/>
  <c r="C99" i="29"/>
  <c r="C100" i="29" s="1"/>
  <c r="C101" i="29" s="1"/>
  <c r="C102" i="29" s="1"/>
  <c r="C103" i="29" s="1"/>
  <c r="C104" i="29" s="1"/>
  <c r="C105" i="29" s="1"/>
  <c r="C106" i="29" s="1"/>
  <c r="C107" i="29" s="1"/>
  <c r="C108" i="29" s="1"/>
  <c r="C109" i="29" s="1"/>
  <c r="C110" i="29" s="1"/>
  <c r="C111" i="29" s="1"/>
  <c r="C112" i="29" s="1"/>
  <c r="C113" i="29" s="1"/>
  <c r="C114" i="29" s="1"/>
  <c r="C115" i="29" s="1"/>
  <c r="C116" i="29" s="1"/>
  <c r="C117" i="29" s="1"/>
  <c r="C118" i="29" s="1"/>
  <c r="C119" i="29" s="1"/>
  <c r="C120" i="29" s="1"/>
  <c r="C121" i="29" s="1"/>
  <c r="C122" i="29" s="1"/>
  <c r="C123" i="29" s="1"/>
  <c r="C124" i="29" s="1"/>
  <c r="C125" i="29" s="1"/>
  <c r="C126" i="29" s="1"/>
  <c r="C127" i="29" s="1"/>
  <c r="C128" i="29" s="1"/>
  <c r="C129" i="29" s="1"/>
  <c r="C130" i="29" s="1"/>
  <c r="C131" i="29" s="1"/>
  <c r="C132" i="29" s="1"/>
  <c r="C133" i="29" s="1"/>
  <c r="C134" i="29" s="1"/>
  <c r="C135" i="29" s="1"/>
  <c r="C136" i="29" s="1"/>
  <c r="C137" i="29" s="1"/>
  <c r="C138" i="29" s="1"/>
  <c r="C139" i="29" s="1"/>
  <c r="C140" i="29" s="1"/>
  <c r="C141" i="29" s="1"/>
  <c r="C142" i="29" s="1"/>
  <c r="C143" i="29" s="1"/>
  <c r="C144" i="29" s="1"/>
  <c r="C145" i="29" s="1"/>
  <c r="C146" i="29" s="1"/>
  <c r="C147" i="29" s="1"/>
  <c r="C148" i="29" s="1"/>
  <c r="C149" i="29" s="1"/>
  <c r="C150" i="29" s="1"/>
  <c r="C151" i="29" s="1"/>
  <c r="C152" i="29" s="1"/>
  <c r="C153" i="29" s="1"/>
  <c r="C154" i="29" s="1"/>
  <c r="I13" i="44"/>
  <c r="I13" i="45"/>
  <c r="C99" i="7"/>
  <c r="C100" i="7" s="1"/>
  <c r="C101" i="7" s="1"/>
  <c r="C102" i="7" s="1"/>
  <c r="C103" i="7" s="1"/>
  <c r="C104" i="7" s="1"/>
  <c r="C105" i="7" s="1"/>
  <c r="C106" i="7" s="1"/>
  <c r="C107" i="7" s="1"/>
  <c r="C108" i="7" s="1"/>
  <c r="C109" i="7" s="1"/>
  <c r="C110" i="7" s="1"/>
  <c r="C111" i="7" s="1"/>
  <c r="C112" i="7" s="1"/>
  <c r="C113" i="7" s="1"/>
  <c r="C114" i="7" s="1"/>
  <c r="C115" i="7" s="1"/>
  <c r="C116" i="7" s="1"/>
  <c r="C117" i="7" s="1"/>
  <c r="C118" i="7" s="1"/>
  <c r="C119" i="7" s="1"/>
  <c r="C120" i="7" s="1"/>
  <c r="C121" i="7" s="1"/>
  <c r="C122" i="7" s="1"/>
  <c r="C123" i="7" s="1"/>
  <c r="C124" i="7" s="1"/>
  <c r="C125" i="7" s="1"/>
  <c r="C126" i="7" s="1"/>
  <c r="C127" i="7" s="1"/>
  <c r="C128" i="7" s="1"/>
  <c r="C129" i="7" s="1"/>
  <c r="C130" i="7" s="1"/>
  <c r="C131" i="7" s="1"/>
  <c r="C132" i="7" s="1"/>
  <c r="C133" i="7" s="1"/>
  <c r="C134" i="7" s="1"/>
  <c r="C135" i="7" s="1"/>
  <c r="C136" i="7" s="1"/>
  <c r="C137" i="7" s="1"/>
  <c r="C138" i="7" s="1"/>
  <c r="C139" i="7" s="1"/>
  <c r="C140" i="7" s="1"/>
  <c r="C141" i="7" s="1"/>
  <c r="C142" i="7" s="1"/>
  <c r="C143" i="7" s="1"/>
  <c r="C144" i="7" s="1"/>
  <c r="C145" i="7" s="1"/>
  <c r="C146" i="7" s="1"/>
  <c r="C147" i="7" s="1"/>
  <c r="C148" i="7" s="1"/>
  <c r="C149" i="7" s="1"/>
  <c r="C150" i="7" s="1"/>
  <c r="C151" i="7" s="1"/>
  <c r="C152" i="7" s="1"/>
  <c r="C153" i="7" s="1"/>
  <c r="C154" i="7" s="1"/>
  <c r="C99" i="8"/>
  <c r="C100" i="8" s="1"/>
  <c r="C101" i="8" s="1"/>
  <c r="C102" i="8" s="1"/>
  <c r="C103" i="8" s="1"/>
  <c r="C104" i="8" s="1"/>
  <c r="C105" i="8" s="1"/>
  <c r="C106" i="8" s="1"/>
  <c r="C107" i="8" s="1"/>
  <c r="C108" i="8" s="1"/>
  <c r="C109" i="8" s="1"/>
  <c r="C110" i="8" s="1"/>
  <c r="C111" i="8" s="1"/>
  <c r="C112" i="8" s="1"/>
  <c r="C113" i="8" s="1"/>
  <c r="C114" i="8" s="1"/>
  <c r="C115" i="8" s="1"/>
  <c r="C116" i="8" s="1"/>
  <c r="C117" i="8" s="1"/>
  <c r="C118" i="8" s="1"/>
  <c r="C119" i="8" s="1"/>
  <c r="C120" i="8" s="1"/>
  <c r="C121" i="8" s="1"/>
  <c r="C122" i="8" s="1"/>
  <c r="C123" i="8" s="1"/>
  <c r="C124" i="8" s="1"/>
  <c r="C125" i="8" s="1"/>
  <c r="C126" i="8" s="1"/>
  <c r="C127" i="8" s="1"/>
  <c r="C128" i="8" s="1"/>
  <c r="C129" i="8" s="1"/>
  <c r="C130" i="8" s="1"/>
  <c r="C131" i="8" s="1"/>
  <c r="C132" i="8" s="1"/>
  <c r="C133" i="8" s="1"/>
  <c r="C134" i="8" s="1"/>
  <c r="C135" i="8" s="1"/>
  <c r="C136" i="8" s="1"/>
  <c r="C137" i="8" s="1"/>
  <c r="C138" i="8" s="1"/>
  <c r="C139" i="8" s="1"/>
  <c r="C140" i="8" s="1"/>
  <c r="C141" i="8" s="1"/>
  <c r="C142" i="8" s="1"/>
  <c r="C143" i="8" s="1"/>
  <c r="C144" i="8" s="1"/>
  <c r="C145" i="8" s="1"/>
  <c r="C146" i="8" s="1"/>
  <c r="C147" i="8" s="1"/>
  <c r="C148" i="8" s="1"/>
  <c r="C149" i="8" s="1"/>
  <c r="C150" i="8" s="1"/>
  <c r="C151" i="8" s="1"/>
  <c r="C152" i="8" s="1"/>
  <c r="C153" i="8" s="1"/>
  <c r="C154" i="8" s="1"/>
  <c r="C45" i="45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N87" i="45"/>
  <c r="I13" i="46"/>
  <c r="N6" i="46" s="1"/>
  <c r="N5" i="46"/>
  <c r="C99" i="9"/>
  <c r="C100" i="9" s="1"/>
  <c r="C101" i="9" s="1"/>
  <c r="C102" i="9" s="1"/>
  <c r="C103" i="9" s="1"/>
  <c r="C104" i="9" s="1"/>
  <c r="C105" i="9" s="1"/>
  <c r="C106" i="9" s="1"/>
  <c r="C107" i="9" s="1"/>
  <c r="C108" i="9" s="1"/>
  <c r="C109" i="9" s="1"/>
  <c r="C110" i="9" s="1"/>
  <c r="C111" i="9" s="1"/>
  <c r="C112" i="9" s="1"/>
  <c r="C113" i="9" s="1"/>
  <c r="C114" i="9" s="1"/>
  <c r="C115" i="9" s="1"/>
  <c r="C116" i="9" s="1"/>
  <c r="C117" i="9" s="1"/>
  <c r="C118" i="9" s="1"/>
  <c r="C119" i="9" s="1"/>
  <c r="C120" i="9" s="1"/>
  <c r="C121" i="9" s="1"/>
  <c r="C122" i="9" s="1"/>
  <c r="C123" i="9" s="1"/>
  <c r="C124" i="9" s="1"/>
  <c r="C125" i="9" s="1"/>
  <c r="C126" i="9" s="1"/>
  <c r="C127" i="9" s="1"/>
  <c r="C128" i="9" s="1"/>
  <c r="C129" i="9" s="1"/>
  <c r="C130" i="9" s="1"/>
  <c r="C131" i="9" s="1"/>
  <c r="C132" i="9" s="1"/>
  <c r="C133" i="9" s="1"/>
  <c r="C134" i="9" s="1"/>
  <c r="C135" i="9" s="1"/>
  <c r="C136" i="9" s="1"/>
  <c r="C137" i="9" s="1"/>
  <c r="C138" i="9" s="1"/>
  <c r="C139" i="9" s="1"/>
  <c r="C140" i="9" s="1"/>
  <c r="C141" i="9" s="1"/>
  <c r="C142" i="9" s="1"/>
  <c r="C143" i="9" s="1"/>
  <c r="C144" i="9" s="1"/>
  <c r="C145" i="9" s="1"/>
  <c r="C146" i="9" s="1"/>
  <c r="C147" i="9" s="1"/>
  <c r="C148" i="9" s="1"/>
  <c r="C149" i="9" s="1"/>
  <c r="C150" i="9" s="1"/>
  <c r="C151" i="9" s="1"/>
  <c r="C152" i="9" s="1"/>
  <c r="C153" i="9" s="1"/>
  <c r="C154" i="9" s="1"/>
  <c r="J95" i="43"/>
  <c r="J95" i="38"/>
  <c r="J95" i="13"/>
  <c r="I99" i="13" s="1"/>
  <c r="H99" i="13"/>
  <c r="D30" i="17"/>
  <c r="C22" i="17"/>
  <c r="C41" i="17"/>
  <c r="C25" i="17"/>
  <c r="D22" i="17"/>
  <c r="C34" i="17"/>
  <c r="C24" i="17"/>
  <c r="D28" i="17"/>
  <c r="D41" i="17"/>
  <c r="C31" i="17"/>
  <c r="D27" i="17"/>
  <c r="D42" i="17"/>
  <c r="C21" i="17"/>
  <c r="D21" i="17"/>
  <c r="C42" i="17"/>
  <c r="C43" i="17"/>
  <c r="D33" i="17"/>
  <c r="D39" i="17"/>
  <c r="C40" i="17"/>
  <c r="D38" i="17"/>
  <c r="D18" i="17"/>
  <c r="D25" i="17"/>
  <c r="D34" i="17"/>
  <c r="D24" i="17"/>
  <c r="D23" i="17"/>
  <c r="D31" i="17"/>
  <c r="D35" i="17"/>
  <c r="I17" i="52" l="1"/>
  <c r="I99" i="51"/>
  <c r="J99" i="51" s="1"/>
  <c r="I100" i="51"/>
  <c r="J100" i="51" s="1"/>
  <c r="I101" i="51"/>
  <c r="J101" i="51" s="1"/>
  <c r="B102" i="51"/>
  <c r="I99" i="50"/>
  <c r="H17" i="51"/>
  <c r="I17" i="51" s="1"/>
  <c r="H18" i="51"/>
  <c r="I18" i="51" s="1"/>
  <c r="H19" i="51"/>
  <c r="I19" i="51" s="1"/>
  <c r="H20" i="51"/>
  <c r="I20" i="51" s="1"/>
  <c r="H21" i="51"/>
  <c r="I21" i="51" s="1"/>
  <c r="H22" i="51"/>
  <c r="I22" i="51" s="1"/>
  <c r="H23" i="51"/>
  <c r="I23" i="51" s="1"/>
  <c r="H24" i="51"/>
  <c r="I24" i="51" s="1"/>
  <c r="H25" i="51"/>
  <c r="I25" i="51" s="1"/>
  <c r="H26" i="51"/>
  <c r="I26" i="51" s="1"/>
  <c r="H27" i="51"/>
  <c r="I27" i="51" s="1"/>
  <c r="H28" i="51"/>
  <c r="I28" i="51" s="1"/>
  <c r="H29" i="51"/>
  <c r="I29" i="51" s="1"/>
  <c r="H30" i="51"/>
  <c r="I30" i="51" s="1"/>
  <c r="H31" i="51"/>
  <c r="I31" i="51" s="1"/>
  <c r="H32" i="51"/>
  <c r="I32" i="51" s="1"/>
  <c r="H33" i="51"/>
  <c r="I33" i="51" s="1"/>
  <c r="H34" i="51"/>
  <c r="I34" i="51" s="1"/>
  <c r="H35" i="51"/>
  <c r="I35" i="51" s="1"/>
  <c r="H36" i="51"/>
  <c r="I36" i="51" s="1"/>
  <c r="H37" i="51"/>
  <c r="I37" i="51" s="1"/>
  <c r="H38" i="51"/>
  <c r="I38" i="51" s="1"/>
  <c r="H39" i="51"/>
  <c r="I39" i="51" s="1"/>
  <c r="H40" i="51"/>
  <c r="I40" i="51" s="1"/>
  <c r="H41" i="51"/>
  <c r="I41" i="51" s="1"/>
  <c r="H42" i="51"/>
  <c r="I42" i="51" s="1"/>
  <c r="H43" i="51"/>
  <c r="I43" i="51" s="1"/>
  <c r="H44" i="51"/>
  <c r="I44" i="51" s="1"/>
  <c r="H45" i="51"/>
  <c r="I45" i="51" s="1"/>
  <c r="H46" i="51"/>
  <c r="I46" i="51" s="1"/>
  <c r="H47" i="51"/>
  <c r="I47" i="51" s="1"/>
  <c r="H48" i="51"/>
  <c r="I48" i="51" s="1"/>
  <c r="H49" i="51"/>
  <c r="I49" i="51" s="1"/>
  <c r="H50" i="51"/>
  <c r="I50" i="51" s="1"/>
  <c r="H51" i="51"/>
  <c r="I51" i="51" s="1"/>
  <c r="H52" i="51"/>
  <c r="I52" i="51" s="1"/>
  <c r="H53" i="51"/>
  <c r="I53" i="51" s="1"/>
  <c r="H54" i="51"/>
  <c r="I54" i="51" s="1"/>
  <c r="H55" i="51"/>
  <c r="I55" i="51" s="1"/>
  <c r="H56" i="51"/>
  <c r="I56" i="51" s="1"/>
  <c r="H57" i="51"/>
  <c r="I57" i="51" s="1"/>
  <c r="H58" i="51"/>
  <c r="I58" i="51" s="1"/>
  <c r="H59" i="51"/>
  <c r="I59" i="51" s="1"/>
  <c r="H60" i="51"/>
  <c r="I60" i="51" s="1"/>
  <c r="H61" i="51"/>
  <c r="I61" i="51" s="1"/>
  <c r="H62" i="51"/>
  <c r="I62" i="51" s="1"/>
  <c r="H63" i="51"/>
  <c r="I63" i="51" s="1"/>
  <c r="E102" i="52"/>
  <c r="F102" i="52" s="1"/>
  <c r="B102" i="52"/>
  <c r="E102" i="51"/>
  <c r="F102" i="51" s="1"/>
  <c r="I99" i="52"/>
  <c r="J99" i="52" s="1"/>
  <c r="I100" i="52"/>
  <c r="J100" i="52" s="1"/>
  <c r="I101" i="52"/>
  <c r="J101" i="52" s="1"/>
  <c r="H64" i="51"/>
  <c r="I64" i="51" s="1"/>
  <c r="D65" i="51"/>
  <c r="O87" i="5"/>
  <c r="O87" i="13"/>
  <c r="O87" i="7"/>
  <c r="I17" i="13"/>
  <c r="E25" i="1"/>
  <c r="E26" i="1" s="1"/>
  <c r="E30" i="1" s="1"/>
  <c r="E33" i="1" s="1"/>
  <c r="E25" i="2"/>
  <c r="E26" i="2" s="1"/>
  <c r="E30" i="2" s="1"/>
  <c r="E33" i="2" s="1"/>
  <c r="E37" i="2" s="1"/>
  <c r="F54" i="2" s="1"/>
  <c r="E100" i="13"/>
  <c r="F100" i="13" s="1"/>
  <c r="D101" i="13" s="1"/>
  <c r="E101" i="13" s="1"/>
  <c r="O87" i="23"/>
  <c r="O87" i="4"/>
  <c r="O87" i="37"/>
  <c r="O87" i="42"/>
  <c r="O87" i="24"/>
  <c r="O87" i="40"/>
  <c r="O87" i="8"/>
  <c r="O87" i="31"/>
  <c r="O87" i="30"/>
  <c r="O87" i="29"/>
  <c r="B100" i="44"/>
  <c r="O87" i="27"/>
  <c r="O87" i="6"/>
  <c r="O87" i="38"/>
  <c r="J99" i="44"/>
  <c r="B19" i="45"/>
  <c r="B18" i="13"/>
  <c r="E18" i="13"/>
  <c r="F18" i="13" s="1"/>
  <c r="D19" i="13" s="1"/>
  <c r="B23" i="27"/>
  <c r="D99" i="7"/>
  <c r="O87" i="46"/>
  <c r="O87" i="45"/>
  <c r="B20" i="37"/>
  <c r="I17" i="46"/>
  <c r="I19" i="37"/>
  <c r="N6" i="37"/>
  <c r="N5" i="37"/>
  <c r="B31" i="10"/>
  <c r="I30" i="10"/>
  <c r="I18" i="44"/>
  <c r="J99" i="13"/>
  <c r="D103" i="51" l="1"/>
  <c r="G102" i="51"/>
  <c r="D103" i="52"/>
  <c r="G102" i="52"/>
  <c r="J99" i="50"/>
  <c r="N88" i="50"/>
  <c r="B65" i="51"/>
  <c r="E65" i="51"/>
  <c r="F65" i="51" s="1"/>
  <c r="F53" i="1"/>
  <c r="F101" i="13"/>
  <c r="G101" i="13" s="1"/>
  <c r="I101" i="13" s="1"/>
  <c r="G100" i="13"/>
  <c r="H100" i="13" s="1"/>
  <c r="B101" i="13"/>
  <c r="F53" i="2"/>
  <c r="F55" i="2" s="1"/>
  <c r="F62" i="2" s="1"/>
  <c r="F65" i="2" s="1"/>
  <c r="F67" i="2" s="1"/>
  <c r="F69" i="2" s="1"/>
  <c r="F70" i="2" s="1"/>
  <c r="F71" i="2" s="1"/>
  <c r="F56" i="2" s="1"/>
  <c r="F57" i="2" s="1"/>
  <c r="E37" i="1"/>
  <c r="F54" i="1" s="1"/>
  <c r="I18" i="45"/>
  <c r="G18" i="13"/>
  <c r="H18" i="13"/>
  <c r="I18" i="46"/>
  <c r="E19" i="13"/>
  <c r="F19" i="13" s="1"/>
  <c r="B19" i="13"/>
  <c r="B100" i="45"/>
  <c r="N5" i="27"/>
  <c r="N6" i="44"/>
  <c r="B30" i="9"/>
  <c r="N5" i="9"/>
  <c r="B19" i="46"/>
  <c r="I29" i="9"/>
  <c r="N6" i="9"/>
  <c r="I17" i="45"/>
  <c r="N7" i="37"/>
  <c r="I17" i="44"/>
  <c r="I20" i="37"/>
  <c r="F36" i="17"/>
  <c r="O88" i="50" l="1"/>
  <c r="H102" i="52"/>
  <c r="I102" i="52"/>
  <c r="H102" i="51"/>
  <c r="I102" i="51"/>
  <c r="E103" i="52"/>
  <c r="F103" i="52" s="1"/>
  <c r="B103" i="52"/>
  <c r="E103" i="51"/>
  <c r="F103" i="51" s="1"/>
  <c r="B103" i="51"/>
  <c r="D66" i="51"/>
  <c r="E66" i="51" s="1"/>
  <c r="G65" i="51"/>
  <c r="H65" i="51"/>
  <c r="F55" i="1"/>
  <c r="F76" i="1" s="1"/>
  <c r="F77" i="1" s="1"/>
  <c r="I100" i="13"/>
  <c r="J100" i="13" s="1"/>
  <c r="D102" i="13"/>
  <c r="B102" i="13" s="1"/>
  <c r="H101" i="13"/>
  <c r="J101" i="13" s="1"/>
  <c r="I18" i="13"/>
  <c r="I19" i="44"/>
  <c r="N5" i="44"/>
  <c r="N7" i="44" s="1"/>
  <c r="B20" i="44"/>
  <c r="I19" i="45"/>
  <c r="G19" i="13"/>
  <c r="D20" i="13"/>
  <c r="H19" i="13"/>
  <c r="J99" i="45"/>
  <c r="I23" i="27"/>
  <c r="N6" i="27"/>
  <c r="N7" i="27" s="1"/>
  <c r="B24" i="27"/>
  <c r="G36" i="17"/>
  <c r="N5" i="41"/>
  <c r="N5" i="7"/>
  <c r="B28" i="5"/>
  <c r="I19" i="38"/>
  <c r="N6" i="38"/>
  <c r="B23" i="31"/>
  <c r="I26" i="25"/>
  <c r="N6" i="25"/>
  <c r="I24" i="24"/>
  <c r="N6" i="24"/>
  <c r="B19" i="41"/>
  <c r="N5" i="43"/>
  <c r="N6" i="6"/>
  <c r="I28" i="6"/>
  <c r="N6" i="8"/>
  <c r="I28" i="8"/>
  <c r="I29" i="11"/>
  <c r="N6" i="11"/>
  <c r="I27" i="5"/>
  <c r="N6" i="5"/>
  <c r="I19" i="39"/>
  <c r="N6" i="39"/>
  <c r="I22" i="29"/>
  <c r="N6" i="29"/>
  <c r="I27" i="3"/>
  <c r="N6" i="3"/>
  <c r="N5" i="40"/>
  <c r="I18" i="42"/>
  <c r="N6" i="42"/>
  <c r="B23" i="28"/>
  <c r="B22" i="30"/>
  <c r="N5" i="23"/>
  <c r="N5" i="28"/>
  <c r="I26" i="22"/>
  <c r="N6" i="22"/>
  <c r="N5" i="30"/>
  <c r="N5" i="25"/>
  <c r="B25" i="24"/>
  <c r="I25" i="23"/>
  <c r="N6" i="23"/>
  <c r="N6" i="41"/>
  <c r="I18" i="41"/>
  <c r="N5" i="4"/>
  <c r="N5" i="45"/>
  <c r="N6" i="43"/>
  <c r="I17" i="43"/>
  <c r="I30" i="7"/>
  <c r="N6" i="7"/>
  <c r="N5" i="8"/>
  <c r="N5" i="11"/>
  <c r="B20" i="39"/>
  <c r="N5" i="29"/>
  <c r="N5" i="3"/>
  <c r="B19" i="40"/>
  <c r="B19" i="42"/>
  <c r="B32" i="10"/>
  <c r="N5" i="38"/>
  <c r="N5" i="22"/>
  <c r="N5" i="31"/>
  <c r="B28" i="4"/>
  <c r="B18" i="43"/>
  <c r="B29" i="6"/>
  <c r="B27" i="25"/>
  <c r="N5" i="24"/>
  <c r="B26" i="23"/>
  <c r="I27" i="4"/>
  <c r="N6" i="4"/>
  <c r="N6" i="45"/>
  <c r="B21" i="37"/>
  <c r="B31" i="7"/>
  <c r="N5" i="6"/>
  <c r="B29" i="8"/>
  <c r="B30" i="11"/>
  <c r="N7" i="9"/>
  <c r="N5" i="5"/>
  <c r="N5" i="39"/>
  <c r="B23" i="29"/>
  <c r="B28" i="3"/>
  <c r="I18" i="40"/>
  <c r="N6" i="40"/>
  <c r="N5" i="42"/>
  <c r="I31" i="10"/>
  <c r="I22" i="28"/>
  <c r="N6" i="28"/>
  <c r="B20" i="38"/>
  <c r="B27" i="22"/>
  <c r="I22" i="31"/>
  <c r="N6" i="31"/>
  <c r="N6" i="30"/>
  <c r="I21" i="30"/>
  <c r="F59" i="2"/>
  <c r="F79" i="2" s="1"/>
  <c r="F80" i="2" s="1"/>
  <c r="F82" i="2" s="1"/>
  <c r="F76" i="2"/>
  <c r="F77" i="2" s="1"/>
  <c r="F31" i="17"/>
  <c r="F43" i="17"/>
  <c r="F24" i="17"/>
  <c r="J102" i="51" l="1"/>
  <c r="G103" i="52"/>
  <c r="D104" i="52"/>
  <c r="E104" i="52" s="1"/>
  <c r="G103" i="51"/>
  <c r="D104" i="51"/>
  <c r="J102" i="52"/>
  <c r="I65" i="51"/>
  <c r="B66" i="51"/>
  <c r="F66" i="51"/>
  <c r="H66" i="51" s="1"/>
  <c r="F62" i="1"/>
  <c r="F65" i="1" s="1"/>
  <c r="F67" i="1" s="1"/>
  <c r="F69" i="1" s="1"/>
  <c r="F70" i="1" s="1"/>
  <c r="F71" i="1" s="1"/>
  <c r="F56" i="1" s="1"/>
  <c r="F57" i="1" s="1"/>
  <c r="F59" i="1" s="1"/>
  <c r="F79" i="1" s="1"/>
  <c r="F80" i="1" s="1"/>
  <c r="F82" i="1" s="1"/>
  <c r="E102" i="13"/>
  <c r="F102" i="13" s="1"/>
  <c r="G102" i="13" s="1"/>
  <c r="B20" i="45"/>
  <c r="N7" i="45"/>
  <c r="G43" i="17"/>
  <c r="N7" i="41"/>
  <c r="I19" i="13"/>
  <c r="E20" i="13"/>
  <c r="F20" i="13" s="1"/>
  <c r="B20" i="13"/>
  <c r="G31" i="17"/>
  <c r="I18" i="43"/>
  <c r="I20" i="38"/>
  <c r="I20" i="39"/>
  <c r="N7" i="23"/>
  <c r="N7" i="4"/>
  <c r="N7" i="31"/>
  <c r="N7" i="40"/>
  <c r="N7" i="30"/>
  <c r="N7" i="7"/>
  <c r="N7" i="29"/>
  <c r="N7" i="25"/>
  <c r="G24" i="17"/>
  <c r="I19" i="46"/>
  <c r="N7" i="46"/>
  <c r="N7" i="3"/>
  <c r="N7" i="24"/>
  <c r="N7" i="38"/>
  <c r="N7" i="22"/>
  <c r="N7" i="5"/>
  <c r="N7" i="11"/>
  <c r="N7" i="8"/>
  <c r="N7" i="6"/>
  <c r="B31" i="9"/>
  <c r="N7" i="42"/>
  <c r="N7" i="28"/>
  <c r="I30" i="9"/>
  <c r="N7" i="43"/>
  <c r="B20" i="46"/>
  <c r="N7" i="39"/>
  <c r="F33" i="17"/>
  <c r="F38" i="17"/>
  <c r="F37" i="17"/>
  <c r="F40" i="17"/>
  <c r="F29" i="17"/>
  <c r="F39" i="17"/>
  <c r="F27" i="17"/>
  <c r="F42" i="17"/>
  <c r="F20" i="17"/>
  <c r="F45" i="17"/>
  <c r="F41" i="17"/>
  <c r="F35" i="17"/>
  <c r="F30" i="17"/>
  <c r="F22" i="17"/>
  <c r="F21" i="17"/>
  <c r="F26" i="17"/>
  <c r="F18" i="17"/>
  <c r="F28" i="17"/>
  <c r="F34" i="17"/>
  <c r="F23" i="17"/>
  <c r="F44" i="17"/>
  <c r="F32" i="17"/>
  <c r="F19" i="17"/>
  <c r="E104" i="51" l="1"/>
  <c r="F104" i="51" s="1"/>
  <c r="B104" i="51"/>
  <c r="H103" i="51"/>
  <c r="I103" i="51"/>
  <c r="F104" i="52"/>
  <c r="B104" i="52"/>
  <c r="H103" i="52"/>
  <c r="I103" i="52"/>
  <c r="D67" i="51"/>
  <c r="E67" i="51" s="1"/>
  <c r="G66" i="51"/>
  <c r="I66" i="51" s="1"/>
  <c r="D103" i="13"/>
  <c r="E103" i="13" s="1"/>
  <c r="F103" i="13" s="1"/>
  <c r="I20" i="45"/>
  <c r="G45" i="17"/>
  <c r="G44" i="17"/>
  <c r="G42" i="17"/>
  <c r="G40" i="17"/>
  <c r="I20" i="44"/>
  <c r="B21" i="44"/>
  <c r="I20" i="46"/>
  <c r="D21" i="13"/>
  <c r="H20" i="13"/>
  <c r="G20" i="13"/>
  <c r="B25" i="27"/>
  <c r="I24" i="27"/>
  <c r="G28" i="17"/>
  <c r="G34" i="17"/>
  <c r="G39" i="17"/>
  <c r="G35" i="17"/>
  <c r="G22" i="17"/>
  <c r="G19" i="17"/>
  <c r="G30" i="17"/>
  <c r="G33" i="17"/>
  <c r="G41" i="17"/>
  <c r="G23" i="17"/>
  <c r="G29" i="17"/>
  <c r="G21" i="17"/>
  <c r="G38" i="17"/>
  <c r="G26" i="17"/>
  <c r="G27" i="17"/>
  <c r="G18" i="17"/>
  <c r="G32" i="17"/>
  <c r="G20" i="17"/>
  <c r="G37" i="17"/>
  <c r="B20" i="41"/>
  <c r="B24" i="29"/>
  <c r="I31" i="7"/>
  <c r="I29" i="8"/>
  <c r="B29" i="5"/>
  <c r="B33" i="10"/>
  <c r="B26" i="24"/>
  <c r="I27" i="25"/>
  <c r="I26" i="23"/>
  <c r="I30" i="11"/>
  <c r="B30" i="6"/>
  <c r="I23" i="28"/>
  <c r="I22" i="30"/>
  <c r="I28" i="4"/>
  <c r="B30" i="8"/>
  <c r="B28" i="22"/>
  <c r="I19" i="41"/>
  <c r="B19" i="43"/>
  <c r="I23" i="31"/>
  <c r="I28" i="3"/>
  <c r="I19" i="42"/>
  <c r="I25" i="24"/>
  <c r="B24" i="31"/>
  <c r="B21" i="39"/>
  <c r="B27" i="23"/>
  <c r="B23" i="30"/>
  <c r="B20" i="42"/>
  <c r="B29" i="4"/>
  <c r="B32" i="7"/>
  <c r="B22" i="37"/>
  <c r="I28" i="5"/>
  <c r="I32" i="10"/>
  <c r="B28" i="25"/>
  <c r="B31" i="11"/>
  <c r="B20" i="40"/>
  <c r="I29" i="6"/>
  <c r="I23" i="29"/>
  <c r="B24" i="28"/>
  <c r="B29" i="3"/>
  <c r="B21" i="38"/>
  <c r="I27" i="22"/>
  <c r="I19" i="40"/>
  <c r="I21" i="37"/>
  <c r="I102" i="13"/>
  <c r="H102" i="13"/>
  <c r="J103" i="51" l="1"/>
  <c r="G104" i="52"/>
  <c r="D105" i="52"/>
  <c r="E105" i="52" s="1"/>
  <c r="G104" i="51"/>
  <c r="D105" i="51"/>
  <c r="E105" i="51" s="1"/>
  <c r="J103" i="52"/>
  <c r="B67" i="51"/>
  <c r="F67" i="51"/>
  <c r="H67" i="51" s="1"/>
  <c r="B103" i="13"/>
  <c r="B21" i="45"/>
  <c r="I20" i="13"/>
  <c r="E21" i="13"/>
  <c r="F21" i="13" s="1"/>
  <c r="G21" i="13" s="1"/>
  <c r="B21" i="13"/>
  <c r="I20" i="42"/>
  <c r="I20" i="40"/>
  <c r="I20" i="41"/>
  <c r="B32" i="9"/>
  <c r="I22" i="37"/>
  <c r="I31" i="9"/>
  <c r="G103" i="13"/>
  <c r="D104" i="13"/>
  <c r="E104" i="13" s="1"/>
  <c r="J102" i="13"/>
  <c r="H104" i="51" l="1"/>
  <c r="I104" i="51"/>
  <c r="F105" i="51"/>
  <c r="B105" i="51"/>
  <c r="F105" i="52"/>
  <c r="B105" i="52"/>
  <c r="H104" i="52"/>
  <c r="I104" i="52"/>
  <c r="G67" i="51"/>
  <c r="I67" i="51" s="1"/>
  <c r="D68" i="51"/>
  <c r="E68" i="51" s="1"/>
  <c r="B22" i="44"/>
  <c r="I21" i="44"/>
  <c r="H21" i="13"/>
  <c r="D22" i="13"/>
  <c r="I25" i="27"/>
  <c r="B26" i="27"/>
  <c r="B31" i="6"/>
  <c r="B25" i="31"/>
  <c r="B25" i="28"/>
  <c r="I21" i="45"/>
  <c r="I30" i="6"/>
  <c r="I28" i="22"/>
  <c r="I24" i="31"/>
  <c r="I29" i="4"/>
  <c r="B30" i="3"/>
  <c r="I30" i="8"/>
  <c r="B22" i="39"/>
  <c r="B23" i="37"/>
  <c r="B30" i="4"/>
  <c r="I28" i="25"/>
  <c r="B21" i="40"/>
  <c r="B22" i="45"/>
  <c r="B24" i="30"/>
  <c r="B21" i="41"/>
  <c r="B34" i="10"/>
  <c r="B27" i="24"/>
  <c r="I21" i="39"/>
  <c r="B28" i="23"/>
  <c r="B21" i="42"/>
  <c r="I24" i="29"/>
  <c r="I31" i="11"/>
  <c r="B22" i="38"/>
  <c r="B29" i="22"/>
  <c r="B33" i="7"/>
  <c r="I21" i="38"/>
  <c r="I27" i="23"/>
  <c r="B25" i="29"/>
  <c r="I19" i="43"/>
  <c r="B32" i="11"/>
  <c r="I29" i="5"/>
  <c r="B30" i="5"/>
  <c r="I32" i="7"/>
  <c r="B29" i="25"/>
  <c r="I23" i="30"/>
  <c r="I33" i="10"/>
  <c r="I26" i="24"/>
  <c r="B20" i="43"/>
  <c r="I24" i="28"/>
  <c r="I29" i="3"/>
  <c r="B31" i="8"/>
  <c r="I103" i="13"/>
  <c r="H103" i="13"/>
  <c r="F104" i="13"/>
  <c r="B104" i="13"/>
  <c r="J104" i="52" l="1"/>
  <c r="J104" i="51"/>
  <c r="G105" i="52"/>
  <c r="D106" i="52"/>
  <c r="G105" i="51"/>
  <c r="D106" i="51"/>
  <c r="B68" i="51"/>
  <c r="F68" i="51"/>
  <c r="H68" i="51" s="1"/>
  <c r="I21" i="13"/>
  <c r="B22" i="13"/>
  <c r="E22" i="13"/>
  <c r="F22" i="13" s="1"/>
  <c r="I22" i="39"/>
  <c r="I21" i="41"/>
  <c r="I22" i="38"/>
  <c r="I20" i="43"/>
  <c r="I21" i="42"/>
  <c r="I21" i="40"/>
  <c r="B33" i="9"/>
  <c r="I32" i="9"/>
  <c r="I23" i="37"/>
  <c r="J103" i="13"/>
  <c r="G104" i="13"/>
  <c r="D105" i="13"/>
  <c r="E105" i="13" s="1"/>
  <c r="G68" i="51" l="1"/>
  <c r="E106" i="51"/>
  <c r="F106" i="51" s="1"/>
  <c r="B106" i="51"/>
  <c r="E106" i="52"/>
  <c r="F106" i="52" s="1"/>
  <c r="B106" i="52"/>
  <c r="H105" i="51"/>
  <c r="I105" i="51"/>
  <c r="H105" i="52"/>
  <c r="I105" i="52"/>
  <c r="D69" i="51"/>
  <c r="E69" i="51" s="1"/>
  <c r="I68" i="51"/>
  <c r="G22" i="13"/>
  <c r="H22" i="13"/>
  <c r="D23" i="13"/>
  <c r="B23" i="13" s="1"/>
  <c r="I26" i="27"/>
  <c r="B27" i="27"/>
  <c r="B28" i="24"/>
  <c r="I32" i="11"/>
  <c r="B26" i="29"/>
  <c r="B22" i="42"/>
  <c r="B30" i="25"/>
  <c r="B32" i="8"/>
  <c r="B22" i="40"/>
  <c r="B35" i="10"/>
  <c r="B21" i="43"/>
  <c r="B32" i="6"/>
  <c r="B24" i="37"/>
  <c r="B26" i="28"/>
  <c r="B25" i="30"/>
  <c r="I28" i="23"/>
  <c r="B23" i="38"/>
  <c r="B31" i="5"/>
  <c r="I34" i="10"/>
  <c r="I30" i="4"/>
  <c r="B33" i="11"/>
  <c r="I31" i="6"/>
  <c r="B26" i="31"/>
  <c r="B23" i="39"/>
  <c r="I29" i="22"/>
  <c r="I31" i="8"/>
  <c r="I33" i="7"/>
  <c r="B31" i="3"/>
  <c r="I25" i="31"/>
  <c r="B30" i="22"/>
  <c r="I24" i="30"/>
  <c r="B29" i="23"/>
  <c r="I29" i="25"/>
  <c r="I27" i="24"/>
  <c r="I30" i="5"/>
  <c r="B22" i="41"/>
  <c r="B34" i="7"/>
  <c r="I30" i="3"/>
  <c r="B31" i="4"/>
  <c r="I25" i="28"/>
  <c r="I25" i="29"/>
  <c r="H104" i="13"/>
  <c r="I104" i="13"/>
  <c r="B105" i="13"/>
  <c r="F105" i="13"/>
  <c r="J105" i="51" l="1"/>
  <c r="J105" i="52"/>
  <c r="D107" i="52"/>
  <c r="G106" i="52"/>
  <c r="D107" i="51"/>
  <c r="G106" i="51"/>
  <c r="B69" i="51"/>
  <c r="F69" i="51"/>
  <c r="H69" i="51" s="1"/>
  <c r="E23" i="13"/>
  <c r="F23" i="13" s="1"/>
  <c r="H23" i="13" s="1"/>
  <c r="I21" i="43"/>
  <c r="I23" i="38"/>
  <c r="I22" i="13"/>
  <c r="I22" i="40"/>
  <c r="B34" i="9"/>
  <c r="I33" i="9"/>
  <c r="J104" i="13"/>
  <c r="G105" i="13"/>
  <c r="D106" i="13"/>
  <c r="E106" i="13" s="1"/>
  <c r="H106" i="51" l="1"/>
  <c r="I106" i="51"/>
  <c r="E107" i="51"/>
  <c r="F107" i="51" s="1"/>
  <c r="B107" i="51"/>
  <c r="H106" i="52"/>
  <c r="I106" i="52"/>
  <c r="E107" i="52"/>
  <c r="F107" i="52" s="1"/>
  <c r="B107" i="52"/>
  <c r="D70" i="51"/>
  <c r="E70" i="51" s="1"/>
  <c r="G69" i="51"/>
  <c r="I69" i="51" s="1"/>
  <c r="G23" i="13"/>
  <c r="D24" i="13"/>
  <c r="I27" i="27"/>
  <c r="I23" i="39"/>
  <c r="B27" i="28"/>
  <c r="B23" i="41"/>
  <c r="I32" i="6"/>
  <c r="B35" i="7"/>
  <c r="B34" i="11"/>
  <c r="B31" i="22"/>
  <c r="B33" i="8"/>
  <c r="B22" i="43"/>
  <c r="I26" i="31"/>
  <c r="B31" i="25"/>
  <c r="B32" i="5"/>
  <c r="I30" i="25"/>
  <c r="B32" i="4"/>
  <c r="I28" i="24"/>
  <c r="B27" i="29"/>
  <c r="B23" i="42"/>
  <c r="I32" i="8"/>
  <c r="B32" i="3"/>
  <c r="B30" i="23"/>
  <c r="I34" i="7"/>
  <c r="B24" i="39"/>
  <c r="B26" i="30"/>
  <c r="B29" i="24"/>
  <c r="B23" i="40"/>
  <c r="I26" i="28"/>
  <c r="I25" i="30"/>
  <c r="I31" i="5"/>
  <c r="I33" i="11"/>
  <c r="I30" i="22"/>
  <c r="I22" i="41"/>
  <c r="I31" i="4"/>
  <c r="I26" i="29"/>
  <c r="B33" i="6"/>
  <c r="B24" i="38"/>
  <c r="B27" i="31"/>
  <c r="I31" i="3"/>
  <c r="I29" i="23"/>
  <c r="I105" i="13"/>
  <c r="H105" i="13"/>
  <c r="B106" i="13"/>
  <c r="F106" i="13"/>
  <c r="J106" i="51" l="1"/>
  <c r="J106" i="52"/>
  <c r="D108" i="51"/>
  <c r="E108" i="51" s="1"/>
  <c r="G107" i="51"/>
  <c r="G107" i="52"/>
  <c r="D108" i="52"/>
  <c r="B70" i="51"/>
  <c r="F70" i="51"/>
  <c r="H70" i="51" s="1"/>
  <c r="I23" i="13"/>
  <c r="B24" i="13"/>
  <c r="E24" i="13"/>
  <c r="F24" i="13" s="1"/>
  <c r="H24" i="13" s="1"/>
  <c r="N6" i="13" s="1"/>
  <c r="I22" i="43"/>
  <c r="D107" i="13"/>
  <c r="E107" i="13" s="1"/>
  <c r="G106" i="13"/>
  <c r="J105" i="13"/>
  <c r="H107" i="52" l="1"/>
  <c r="I107" i="52"/>
  <c r="H107" i="51"/>
  <c r="I107" i="51"/>
  <c r="F108" i="51"/>
  <c r="B108" i="51"/>
  <c r="E108" i="52"/>
  <c r="F108" i="52" s="1"/>
  <c r="B108" i="52"/>
  <c r="D71" i="51"/>
  <c r="G70" i="51"/>
  <c r="I70" i="51" s="1"/>
  <c r="D25" i="13"/>
  <c r="G24" i="13"/>
  <c r="B23" i="43"/>
  <c r="H106" i="13"/>
  <c r="I106" i="13"/>
  <c r="F107" i="13"/>
  <c r="B107" i="13"/>
  <c r="J107" i="52" l="1"/>
  <c r="D109" i="52"/>
  <c r="G108" i="52"/>
  <c r="D109" i="51"/>
  <c r="G108" i="51"/>
  <c r="J107" i="51"/>
  <c r="I24" i="13"/>
  <c r="N5" i="13"/>
  <c r="N7" i="13" s="1"/>
  <c r="B71" i="51"/>
  <c r="E71" i="51"/>
  <c r="F71" i="51" s="1"/>
  <c r="G71" i="51" s="1"/>
  <c r="B25" i="13"/>
  <c r="E25" i="13"/>
  <c r="F25" i="13" s="1"/>
  <c r="J106" i="13"/>
  <c r="G107" i="13"/>
  <c r="D108" i="13"/>
  <c r="E108" i="13" s="1"/>
  <c r="H108" i="51" l="1"/>
  <c r="I108" i="51"/>
  <c r="H108" i="52"/>
  <c r="I108" i="52"/>
  <c r="E109" i="51"/>
  <c r="F109" i="51" s="1"/>
  <c r="B109" i="51"/>
  <c r="E109" i="52"/>
  <c r="F109" i="52" s="1"/>
  <c r="B109" i="52"/>
  <c r="D72" i="51"/>
  <c r="E72" i="51" s="1"/>
  <c r="E73" i="51" s="1"/>
  <c r="H71" i="51"/>
  <c r="I71" i="51" s="1"/>
  <c r="D26" i="13"/>
  <c r="H25" i="13"/>
  <c r="G25" i="13"/>
  <c r="H107" i="13"/>
  <c r="I107" i="13"/>
  <c r="B108" i="13"/>
  <c r="F108" i="13"/>
  <c r="J108" i="51" l="1"/>
  <c r="J108" i="52"/>
  <c r="D110" i="52"/>
  <c r="G109" i="52"/>
  <c r="D110" i="51"/>
  <c r="G109" i="51"/>
  <c r="F72" i="51"/>
  <c r="G72" i="51" s="1"/>
  <c r="G73" i="51" s="1"/>
  <c r="B72" i="51"/>
  <c r="H72" i="51"/>
  <c r="I25" i="13"/>
  <c r="E26" i="13"/>
  <c r="F26" i="13" s="1"/>
  <c r="B26" i="13"/>
  <c r="J107" i="13"/>
  <c r="G108" i="13"/>
  <c r="D109" i="13"/>
  <c r="E109" i="13" s="1"/>
  <c r="H109" i="51" l="1"/>
  <c r="I109" i="51"/>
  <c r="E110" i="51"/>
  <c r="F110" i="51" s="1"/>
  <c r="B110" i="51"/>
  <c r="H109" i="52"/>
  <c r="I109" i="52"/>
  <c r="E110" i="52"/>
  <c r="F110" i="52" s="1"/>
  <c r="B110" i="52"/>
  <c r="I72" i="51"/>
  <c r="I73" i="51" s="1"/>
  <c r="H73" i="51"/>
  <c r="G26" i="13"/>
  <c r="D27" i="13"/>
  <c r="H26" i="13"/>
  <c r="I108" i="13"/>
  <c r="N88" i="13" s="1"/>
  <c r="H108" i="13"/>
  <c r="M88" i="13" s="1"/>
  <c r="M89" i="13" s="1"/>
  <c r="F109" i="13"/>
  <c r="B109" i="13"/>
  <c r="J109" i="51" l="1"/>
  <c r="J109" i="52"/>
  <c r="D111" i="52"/>
  <c r="G110" i="52"/>
  <c r="G110" i="51"/>
  <c r="D111" i="51"/>
  <c r="O88" i="13"/>
  <c r="O89" i="13" s="1"/>
  <c r="N89" i="13"/>
  <c r="I26" i="13"/>
  <c r="E27" i="13"/>
  <c r="F27" i="13" s="1"/>
  <c r="B27" i="13"/>
  <c r="G109" i="13"/>
  <c r="D110" i="13"/>
  <c r="E110" i="13" s="1"/>
  <c r="J108" i="13"/>
  <c r="E111" i="51" l="1"/>
  <c r="B111" i="51"/>
  <c r="F111" i="51"/>
  <c r="H110" i="51"/>
  <c r="I110" i="51"/>
  <c r="J110" i="51" s="1"/>
  <c r="H110" i="52"/>
  <c r="I110" i="52"/>
  <c r="E111" i="52"/>
  <c r="F111" i="52" s="1"/>
  <c r="B111" i="52"/>
  <c r="D28" i="13"/>
  <c r="H27" i="13"/>
  <c r="G27" i="13"/>
  <c r="F110" i="13"/>
  <c r="B110" i="13"/>
  <c r="H109" i="13"/>
  <c r="I109" i="13"/>
  <c r="J110" i="52" l="1"/>
  <c r="G111" i="52"/>
  <c r="D112" i="52"/>
  <c r="E112" i="52" s="1"/>
  <c r="D112" i="51"/>
  <c r="G111" i="51"/>
  <c r="I27" i="13"/>
  <c r="B28" i="13"/>
  <c r="E28" i="13"/>
  <c r="F28" i="13" s="1"/>
  <c r="J109" i="13"/>
  <c r="G110" i="13"/>
  <c r="D111" i="13"/>
  <c r="E111" i="13" s="1"/>
  <c r="E112" i="51" l="1"/>
  <c r="F112" i="51" s="1"/>
  <c r="B112" i="51"/>
  <c r="F112" i="52"/>
  <c r="B112" i="52"/>
  <c r="H111" i="51"/>
  <c r="I111" i="51"/>
  <c r="H111" i="52"/>
  <c r="I111" i="52"/>
  <c r="H28" i="13"/>
  <c r="D29" i="13"/>
  <c r="G28" i="13"/>
  <c r="H110" i="13"/>
  <c r="I110" i="13"/>
  <c r="B111" i="13"/>
  <c r="F111" i="13"/>
  <c r="J111" i="51" l="1"/>
  <c r="D113" i="52"/>
  <c r="E113" i="52" s="1"/>
  <c r="G112" i="52"/>
  <c r="D113" i="51"/>
  <c r="G112" i="51"/>
  <c r="J111" i="52"/>
  <c r="I28" i="13"/>
  <c r="E29" i="13"/>
  <c r="F29" i="13" s="1"/>
  <c r="B29" i="13"/>
  <c r="J110" i="13"/>
  <c r="G111" i="13"/>
  <c r="D112" i="13"/>
  <c r="E112" i="13" s="1"/>
  <c r="H112" i="51" l="1"/>
  <c r="I112" i="51"/>
  <c r="B113" i="51"/>
  <c r="E113" i="51"/>
  <c r="F113" i="51" s="1"/>
  <c r="H112" i="52"/>
  <c r="I112" i="52"/>
  <c r="F113" i="52"/>
  <c r="B113" i="52"/>
  <c r="D30" i="13"/>
  <c r="G29" i="13"/>
  <c r="H29" i="13"/>
  <c r="B112" i="13"/>
  <c r="F112" i="13"/>
  <c r="I111" i="13"/>
  <c r="H111" i="13"/>
  <c r="J112" i="52" l="1"/>
  <c r="D114" i="51"/>
  <c r="G113" i="51"/>
  <c r="G113" i="52"/>
  <c r="D114" i="52"/>
  <c r="J112" i="51"/>
  <c r="I29" i="13"/>
  <c r="E30" i="13"/>
  <c r="F30" i="13" s="1"/>
  <c r="B30" i="13"/>
  <c r="J111" i="13"/>
  <c r="G112" i="13"/>
  <c r="D113" i="13"/>
  <c r="E113" i="13" s="1"/>
  <c r="E114" i="52" l="1"/>
  <c r="F114" i="52"/>
  <c r="B114" i="52"/>
  <c r="H113" i="51"/>
  <c r="I113" i="51"/>
  <c r="H113" i="52"/>
  <c r="I113" i="52"/>
  <c r="E114" i="51"/>
  <c r="F114" i="51" s="1"/>
  <c r="B114" i="51"/>
  <c r="H30" i="13"/>
  <c r="D31" i="13"/>
  <c r="G30" i="13"/>
  <c r="I112" i="13"/>
  <c r="H112" i="13"/>
  <c r="B113" i="13"/>
  <c r="F113" i="13"/>
  <c r="J113" i="51" l="1"/>
  <c r="J113" i="52"/>
  <c r="G114" i="51"/>
  <c r="D115" i="51"/>
  <c r="G114" i="52"/>
  <c r="D115" i="52"/>
  <c r="I30" i="13"/>
  <c r="E31" i="13"/>
  <c r="F31" i="13" s="1"/>
  <c r="B31" i="13"/>
  <c r="J112" i="13"/>
  <c r="G113" i="13"/>
  <c r="D114" i="13"/>
  <c r="E115" i="52" l="1"/>
  <c r="F115" i="52" s="1"/>
  <c r="B115" i="52"/>
  <c r="E115" i="51"/>
  <c r="F115" i="51" s="1"/>
  <c r="B115" i="51"/>
  <c r="H114" i="52"/>
  <c r="I114" i="52"/>
  <c r="J114" i="52" s="1"/>
  <c r="H114" i="51"/>
  <c r="I114" i="51"/>
  <c r="H31" i="13"/>
  <c r="G31" i="13"/>
  <c r="D32" i="13"/>
  <c r="B114" i="13"/>
  <c r="H113" i="13"/>
  <c r="I113" i="13"/>
  <c r="E114" i="13"/>
  <c r="F114" i="13" s="1"/>
  <c r="J114" i="51" l="1"/>
  <c r="D116" i="51"/>
  <c r="G115" i="51"/>
  <c r="D116" i="52"/>
  <c r="G115" i="52"/>
  <c r="I31" i="13"/>
  <c r="E32" i="13"/>
  <c r="F32" i="13" s="1"/>
  <c r="B32" i="13"/>
  <c r="J113" i="13"/>
  <c r="G114" i="13"/>
  <c r="D115" i="13"/>
  <c r="E115" i="13" s="1"/>
  <c r="H115" i="51" l="1"/>
  <c r="I115" i="51"/>
  <c r="H115" i="52"/>
  <c r="I115" i="52"/>
  <c r="E116" i="52"/>
  <c r="F116" i="52" s="1"/>
  <c r="B116" i="52"/>
  <c r="E116" i="51"/>
  <c r="F116" i="51" s="1"/>
  <c r="B116" i="51"/>
  <c r="H32" i="13"/>
  <c r="D33" i="13"/>
  <c r="G32" i="13"/>
  <c r="B115" i="13"/>
  <c r="F115" i="13"/>
  <c r="H114" i="13"/>
  <c r="I114" i="13"/>
  <c r="J115" i="51" l="1"/>
  <c r="J115" i="52"/>
  <c r="G116" i="51"/>
  <c r="D117" i="51"/>
  <c r="D117" i="52"/>
  <c r="E117" i="52" s="1"/>
  <c r="G116" i="52"/>
  <c r="I32" i="13"/>
  <c r="E33" i="13"/>
  <c r="F33" i="13" s="1"/>
  <c r="B33" i="13"/>
  <c r="D116" i="13"/>
  <c r="G115" i="13"/>
  <c r="J114" i="13"/>
  <c r="E117" i="51" l="1"/>
  <c r="B117" i="51"/>
  <c r="F117" i="51"/>
  <c r="H116" i="52"/>
  <c r="I116" i="52"/>
  <c r="F117" i="52"/>
  <c r="B117" i="52"/>
  <c r="H116" i="51"/>
  <c r="I116" i="51"/>
  <c r="G33" i="13"/>
  <c r="H33" i="13"/>
  <c r="D34" i="13"/>
  <c r="H115" i="13"/>
  <c r="I115" i="13"/>
  <c r="B116" i="13"/>
  <c r="E116" i="13"/>
  <c r="F116" i="13" s="1"/>
  <c r="J116" i="52" l="1"/>
  <c r="G117" i="52"/>
  <c r="D118" i="52"/>
  <c r="D118" i="51"/>
  <c r="G117" i="51"/>
  <c r="J116" i="51"/>
  <c r="I33" i="13"/>
  <c r="E34" i="13"/>
  <c r="F34" i="13" s="1"/>
  <c r="B34" i="13"/>
  <c r="J115" i="13"/>
  <c r="G116" i="13"/>
  <c r="D117" i="13"/>
  <c r="E117" i="13" s="1"/>
  <c r="H117" i="51" l="1"/>
  <c r="I117" i="51"/>
  <c r="E118" i="52"/>
  <c r="F118" i="52" s="1"/>
  <c r="B118" i="52"/>
  <c r="E118" i="51"/>
  <c r="F118" i="51" s="1"/>
  <c r="B118" i="51"/>
  <c r="H117" i="52"/>
  <c r="I117" i="52"/>
  <c r="G34" i="13"/>
  <c r="H34" i="13"/>
  <c r="D35" i="13"/>
  <c r="I116" i="13"/>
  <c r="H116" i="13"/>
  <c r="B117" i="13"/>
  <c r="F117" i="13"/>
  <c r="J117" i="52" l="1"/>
  <c r="J117" i="51"/>
  <c r="D119" i="51"/>
  <c r="G118" i="51"/>
  <c r="D119" i="52"/>
  <c r="G118" i="52"/>
  <c r="I34" i="13"/>
  <c r="B35" i="13"/>
  <c r="E35" i="13"/>
  <c r="F35" i="13" s="1"/>
  <c r="H35" i="13" s="1"/>
  <c r="G117" i="13"/>
  <c r="D118" i="13"/>
  <c r="E118" i="13" s="1"/>
  <c r="J116" i="13"/>
  <c r="H118" i="52" l="1"/>
  <c r="I118" i="52"/>
  <c r="H118" i="51"/>
  <c r="I118" i="51"/>
  <c r="E119" i="52"/>
  <c r="B119" i="52"/>
  <c r="F119" i="52"/>
  <c r="E119" i="51"/>
  <c r="F119" i="51" s="1"/>
  <c r="B119" i="51"/>
  <c r="D36" i="13"/>
  <c r="G35" i="13"/>
  <c r="I35" i="13" s="1"/>
  <c r="F118" i="13"/>
  <c r="B118" i="13"/>
  <c r="H117" i="13"/>
  <c r="I117" i="13"/>
  <c r="J118" i="51" l="1"/>
  <c r="J118" i="52"/>
  <c r="D120" i="51"/>
  <c r="G119" i="51"/>
  <c r="G119" i="52"/>
  <c r="D120" i="52"/>
  <c r="E36" i="13"/>
  <c r="F36" i="13" s="1"/>
  <c r="B36" i="13"/>
  <c r="J117" i="13"/>
  <c r="G118" i="13"/>
  <c r="D119" i="13"/>
  <c r="E120" i="52" l="1"/>
  <c r="F120" i="52" s="1"/>
  <c r="B120" i="52"/>
  <c r="H119" i="51"/>
  <c r="I119" i="51"/>
  <c r="J119" i="51" s="1"/>
  <c r="H119" i="52"/>
  <c r="I119" i="52"/>
  <c r="E120" i="51"/>
  <c r="F120" i="51" s="1"/>
  <c r="B120" i="51"/>
  <c r="G36" i="13"/>
  <c r="H36" i="13"/>
  <c r="D37" i="13"/>
  <c r="B119" i="13"/>
  <c r="E119" i="13"/>
  <c r="F119" i="13" s="1"/>
  <c r="H118" i="13"/>
  <c r="I118" i="13"/>
  <c r="J119" i="52" l="1"/>
  <c r="D121" i="51"/>
  <c r="G120" i="51"/>
  <c r="G120" i="52"/>
  <c r="D121" i="52"/>
  <c r="I36" i="13"/>
  <c r="E37" i="13"/>
  <c r="F37" i="13" s="1"/>
  <c r="B37" i="13"/>
  <c r="J118" i="13"/>
  <c r="D120" i="13"/>
  <c r="G119" i="13"/>
  <c r="H120" i="52" l="1"/>
  <c r="I120" i="52"/>
  <c r="B121" i="52"/>
  <c r="H120" i="51"/>
  <c r="I120" i="51"/>
  <c r="E121" i="52"/>
  <c r="F121" i="52" s="1"/>
  <c r="E121" i="51"/>
  <c r="F121" i="51" s="1"/>
  <c r="B121" i="51"/>
  <c r="G37" i="13"/>
  <c r="D38" i="13"/>
  <c r="H37" i="13"/>
  <c r="H119" i="13"/>
  <c r="I119" i="13"/>
  <c r="B120" i="13"/>
  <c r="E120" i="13"/>
  <c r="F120" i="13" s="1"/>
  <c r="J120" i="51" l="1"/>
  <c r="D122" i="51"/>
  <c r="G121" i="51"/>
  <c r="G121" i="52"/>
  <c r="D122" i="52"/>
  <c r="J120" i="52"/>
  <c r="I37" i="13"/>
  <c r="E38" i="13"/>
  <c r="F38" i="13" s="1"/>
  <c r="B38" i="13"/>
  <c r="J119" i="13"/>
  <c r="G120" i="13"/>
  <c r="D121" i="13"/>
  <c r="E122" i="52" l="1"/>
  <c r="F122" i="52" s="1"/>
  <c r="B122" i="52"/>
  <c r="H121" i="52"/>
  <c r="I121" i="52"/>
  <c r="J121" i="52" s="1"/>
  <c r="H121" i="51"/>
  <c r="I121" i="51"/>
  <c r="E122" i="51"/>
  <c r="F122" i="51" s="1"/>
  <c r="B122" i="51"/>
  <c r="G38" i="13"/>
  <c r="D39" i="13"/>
  <c r="H38" i="13"/>
  <c r="B121" i="13"/>
  <c r="I120" i="13"/>
  <c r="H120" i="13"/>
  <c r="E121" i="13"/>
  <c r="F121" i="13" s="1"/>
  <c r="J121" i="51" l="1"/>
  <c r="G122" i="51"/>
  <c r="D123" i="51"/>
  <c r="D123" i="52"/>
  <c r="G122" i="52"/>
  <c r="I38" i="13"/>
  <c r="E39" i="13"/>
  <c r="F39" i="13" s="1"/>
  <c r="B39" i="13"/>
  <c r="J120" i="13"/>
  <c r="D122" i="13"/>
  <c r="E122" i="13" s="1"/>
  <c r="G121" i="13"/>
  <c r="E123" i="52" l="1"/>
  <c r="F123" i="52" s="1"/>
  <c r="B123" i="52"/>
  <c r="E123" i="51"/>
  <c r="F123" i="51" s="1"/>
  <c r="B123" i="51"/>
  <c r="H122" i="52"/>
  <c r="I122" i="52"/>
  <c r="J122" i="52" s="1"/>
  <c r="H122" i="51"/>
  <c r="I122" i="51"/>
  <c r="D40" i="13"/>
  <c r="H39" i="13"/>
  <c r="G39" i="13"/>
  <c r="H121" i="13"/>
  <c r="I121" i="13"/>
  <c r="F122" i="13"/>
  <c r="B122" i="13"/>
  <c r="J122" i="51" l="1"/>
  <c r="D124" i="51"/>
  <c r="G123" i="51"/>
  <c r="D124" i="52"/>
  <c r="G123" i="52"/>
  <c r="I39" i="13"/>
  <c r="E40" i="13"/>
  <c r="F40" i="13" s="1"/>
  <c r="B40" i="13"/>
  <c r="J121" i="13"/>
  <c r="D123" i="13"/>
  <c r="E123" i="13" s="1"/>
  <c r="G122" i="13"/>
  <c r="E124" i="52" l="1"/>
  <c r="F124" i="52" s="1"/>
  <c r="B124" i="52"/>
  <c r="H123" i="52"/>
  <c r="I123" i="52"/>
  <c r="J123" i="52" s="1"/>
  <c r="H123" i="51"/>
  <c r="I123" i="51"/>
  <c r="E124" i="51"/>
  <c r="F124" i="51" s="1"/>
  <c r="B124" i="51"/>
  <c r="H40" i="13"/>
  <c r="G40" i="13"/>
  <c r="D41" i="13"/>
  <c r="I122" i="13"/>
  <c r="H122" i="13"/>
  <c r="F123" i="13"/>
  <c r="B123" i="13"/>
  <c r="J123" i="51" l="1"/>
  <c r="D125" i="51"/>
  <c r="G124" i="51"/>
  <c r="D125" i="52"/>
  <c r="E125" i="52" s="1"/>
  <c r="G124" i="52"/>
  <c r="I40" i="13"/>
  <c r="E41" i="13"/>
  <c r="F41" i="13" s="1"/>
  <c r="B41" i="13"/>
  <c r="G123" i="13"/>
  <c r="D124" i="13"/>
  <c r="J122" i="13"/>
  <c r="H124" i="52" l="1"/>
  <c r="I124" i="52"/>
  <c r="H124" i="51"/>
  <c r="I124" i="51"/>
  <c r="F125" i="52"/>
  <c r="B125" i="52"/>
  <c r="E125" i="51"/>
  <c r="F125" i="51" s="1"/>
  <c r="B125" i="51"/>
  <c r="G41" i="13"/>
  <c r="H41" i="13"/>
  <c r="D42" i="13"/>
  <c r="H123" i="13"/>
  <c r="I123" i="13"/>
  <c r="B124" i="13"/>
  <c r="E124" i="13"/>
  <c r="F124" i="13" s="1"/>
  <c r="J124" i="52" l="1"/>
  <c r="J124" i="51"/>
  <c r="D126" i="51"/>
  <c r="G125" i="51"/>
  <c r="D126" i="52"/>
  <c r="E126" i="52" s="1"/>
  <c r="G125" i="52"/>
  <c r="I41" i="13"/>
  <c r="B42" i="13"/>
  <c r="E42" i="13"/>
  <c r="F42" i="13" s="1"/>
  <c r="J123" i="13"/>
  <c r="G124" i="13"/>
  <c r="D125" i="13"/>
  <c r="E125" i="13" s="1"/>
  <c r="H125" i="52" l="1"/>
  <c r="I125" i="52"/>
  <c r="B126" i="52"/>
  <c r="F126" i="52"/>
  <c r="H125" i="51"/>
  <c r="I125" i="51"/>
  <c r="E126" i="51"/>
  <c r="F126" i="51" s="1"/>
  <c r="B126" i="51"/>
  <c r="G42" i="13"/>
  <c r="D43" i="13"/>
  <c r="H42" i="13"/>
  <c r="B125" i="13"/>
  <c r="F125" i="13"/>
  <c r="I124" i="13"/>
  <c r="H124" i="13"/>
  <c r="J125" i="52" l="1"/>
  <c r="J125" i="51"/>
  <c r="G126" i="51"/>
  <c r="D127" i="51"/>
  <c r="E127" i="51" s="1"/>
  <c r="D127" i="52"/>
  <c r="G126" i="52"/>
  <c r="I42" i="13"/>
  <c r="B43" i="13"/>
  <c r="E43" i="13"/>
  <c r="F43" i="13" s="1"/>
  <c r="D126" i="13"/>
  <c r="G125" i="13"/>
  <c r="J124" i="13"/>
  <c r="E127" i="52" l="1"/>
  <c r="F127" i="52" s="1"/>
  <c r="B127" i="52"/>
  <c r="H126" i="52"/>
  <c r="I126" i="52"/>
  <c r="B127" i="51"/>
  <c r="F127" i="51"/>
  <c r="H126" i="51"/>
  <c r="I126" i="51"/>
  <c r="G43" i="13"/>
  <c r="H43" i="13"/>
  <c r="D44" i="13"/>
  <c r="I125" i="13"/>
  <c r="H125" i="13"/>
  <c r="B126" i="13"/>
  <c r="E126" i="13"/>
  <c r="F126" i="13" s="1"/>
  <c r="J126" i="52" l="1"/>
  <c r="D128" i="51"/>
  <c r="G127" i="51"/>
  <c r="G127" i="52"/>
  <c r="D128" i="52"/>
  <c r="J126" i="51"/>
  <c r="I43" i="13"/>
  <c r="B44" i="13"/>
  <c r="E44" i="13"/>
  <c r="F44" i="13" s="1"/>
  <c r="J125" i="13"/>
  <c r="D127" i="13"/>
  <c r="G126" i="13"/>
  <c r="E128" i="52" l="1"/>
  <c r="F128" i="52" s="1"/>
  <c r="B128" i="52"/>
  <c r="H127" i="52"/>
  <c r="I127" i="52"/>
  <c r="H127" i="51"/>
  <c r="I127" i="51"/>
  <c r="J127" i="51" s="1"/>
  <c r="E128" i="51"/>
  <c r="F128" i="51" s="1"/>
  <c r="B128" i="51"/>
  <c r="G44" i="13"/>
  <c r="H44" i="13"/>
  <c r="D45" i="13"/>
  <c r="B127" i="13"/>
  <c r="H126" i="13"/>
  <c r="I126" i="13"/>
  <c r="E127" i="13"/>
  <c r="F127" i="13" s="1"/>
  <c r="J127" i="52" l="1"/>
  <c r="G128" i="51"/>
  <c r="D129" i="51"/>
  <c r="G128" i="52"/>
  <c r="D129" i="52"/>
  <c r="I44" i="13"/>
  <c r="E45" i="13"/>
  <c r="F45" i="13" s="1"/>
  <c r="D46" i="13" s="1"/>
  <c r="E46" i="13" s="1"/>
  <c r="B45" i="13"/>
  <c r="J126" i="13"/>
  <c r="G127" i="13"/>
  <c r="D128" i="13"/>
  <c r="E128" i="13" s="1"/>
  <c r="E129" i="52" l="1"/>
  <c r="F129" i="52" s="1"/>
  <c r="B129" i="52"/>
  <c r="H128" i="52"/>
  <c r="I128" i="52"/>
  <c r="J128" i="52" s="1"/>
  <c r="E129" i="51"/>
  <c r="F129" i="51" s="1"/>
  <c r="B129" i="51"/>
  <c r="H128" i="51"/>
  <c r="I128" i="51"/>
  <c r="B46" i="13"/>
  <c r="F46" i="13"/>
  <c r="G46" i="13" s="1"/>
  <c r="G45" i="13"/>
  <c r="H45" i="13"/>
  <c r="F128" i="13"/>
  <c r="B128" i="13"/>
  <c r="H127" i="13"/>
  <c r="I127" i="13"/>
  <c r="J128" i="51" l="1"/>
  <c r="G129" i="51"/>
  <c r="D130" i="51"/>
  <c r="G129" i="52"/>
  <c r="D130" i="52"/>
  <c r="D47" i="13"/>
  <c r="E47" i="13" s="1"/>
  <c r="H46" i="13"/>
  <c r="I46" i="13" s="1"/>
  <c r="I45" i="13"/>
  <c r="J127" i="13"/>
  <c r="G128" i="13"/>
  <c r="D129" i="13"/>
  <c r="E129" i="13" s="1"/>
  <c r="H129" i="52" l="1"/>
  <c r="I129" i="52"/>
  <c r="E130" i="52"/>
  <c r="F130" i="52" s="1"/>
  <c r="B130" i="52"/>
  <c r="E130" i="51"/>
  <c r="F130" i="51" s="1"/>
  <c r="B130" i="51"/>
  <c r="H129" i="51"/>
  <c r="I129" i="51"/>
  <c r="F47" i="13"/>
  <c r="G47" i="13" s="1"/>
  <c r="B47" i="13"/>
  <c r="F129" i="13"/>
  <c r="B129" i="13"/>
  <c r="H128" i="13"/>
  <c r="I128" i="13"/>
  <c r="J129" i="52" l="1"/>
  <c r="J129" i="51"/>
  <c r="G130" i="51"/>
  <c r="D131" i="51"/>
  <c r="D131" i="52"/>
  <c r="G130" i="52"/>
  <c r="H47" i="13"/>
  <c r="I47" i="13" s="1"/>
  <c r="D48" i="13"/>
  <c r="E48" i="13" s="1"/>
  <c r="J128" i="13"/>
  <c r="G129" i="13"/>
  <c r="D130" i="13"/>
  <c r="E130" i="13" s="1"/>
  <c r="B131" i="52" l="1"/>
  <c r="H130" i="51"/>
  <c r="I130" i="51"/>
  <c r="H130" i="52"/>
  <c r="I130" i="52"/>
  <c r="E131" i="52"/>
  <c r="F131" i="52" s="1"/>
  <c r="B131" i="51"/>
  <c r="E131" i="51"/>
  <c r="F131" i="51" s="1"/>
  <c r="B48" i="13"/>
  <c r="F48" i="13"/>
  <c r="G48" i="13" s="1"/>
  <c r="B130" i="13"/>
  <c r="F130" i="13"/>
  <c r="H129" i="13"/>
  <c r="I129" i="13"/>
  <c r="J130" i="52" l="1"/>
  <c r="J155" i="52" s="1"/>
  <c r="D132" i="51"/>
  <c r="G131" i="51"/>
  <c r="G131" i="52"/>
  <c r="D132" i="52"/>
  <c r="J130" i="51"/>
  <c r="J155" i="51" s="1"/>
  <c r="H48" i="13"/>
  <c r="I48" i="13" s="1"/>
  <c r="D49" i="13"/>
  <c r="E49" i="13" s="1"/>
  <c r="J129" i="13"/>
  <c r="G130" i="13"/>
  <c r="D131" i="13"/>
  <c r="H131" i="52" l="1"/>
  <c r="I131" i="52"/>
  <c r="H131" i="51"/>
  <c r="I131" i="51"/>
  <c r="E132" i="52"/>
  <c r="F132" i="52" s="1"/>
  <c r="B132" i="52"/>
  <c r="E132" i="51"/>
  <c r="F132" i="51" s="1"/>
  <c r="B132" i="51"/>
  <c r="F49" i="13"/>
  <c r="G49" i="13" s="1"/>
  <c r="B49" i="13"/>
  <c r="H130" i="13"/>
  <c r="I130" i="13"/>
  <c r="B131" i="13"/>
  <c r="E131" i="13"/>
  <c r="F131" i="13" s="1"/>
  <c r="D133" i="51" l="1"/>
  <c r="G132" i="51"/>
  <c r="D133" i="52"/>
  <c r="G132" i="52"/>
  <c r="H49" i="13"/>
  <c r="I49" i="13" s="1"/>
  <c r="D50" i="13"/>
  <c r="B50" i="13" s="1"/>
  <c r="J130" i="13"/>
  <c r="J155" i="13" s="1"/>
  <c r="G131" i="13"/>
  <c r="D132" i="13"/>
  <c r="E133" i="52" l="1"/>
  <c r="F133" i="52" s="1"/>
  <c r="B133" i="52"/>
  <c r="H132" i="51"/>
  <c r="I132" i="51"/>
  <c r="H132" i="52"/>
  <c r="I132" i="52"/>
  <c r="E133" i="51"/>
  <c r="F133" i="51" s="1"/>
  <c r="B133" i="51"/>
  <c r="E50" i="13"/>
  <c r="F50" i="13" s="1"/>
  <c r="G50" i="13" s="1"/>
  <c r="B132" i="13"/>
  <c r="I131" i="13"/>
  <c r="H131" i="13"/>
  <c r="E132" i="13"/>
  <c r="F132" i="13" s="1"/>
  <c r="G133" i="51" l="1"/>
  <c r="D134" i="51"/>
  <c r="D134" i="52"/>
  <c r="G133" i="52"/>
  <c r="H50" i="13"/>
  <c r="I50" i="13" s="1"/>
  <c r="D51" i="13"/>
  <c r="E51" i="13" s="1"/>
  <c r="D133" i="13"/>
  <c r="E133" i="13" s="1"/>
  <c r="G132" i="13"/>
  <c r="H133" i="52" l="1"/>
  <c r="I133" i="52"/>
  <c r="E134" i="52"/>
  <c r="F134" i="52" s="1"/>
  <c r="B134" i="52"/>
  <c r="E134" i="51"/>
  <c r="F134" i="51" s="1"/>
  <c r="B134" i="51"/>
  <c r="H133" i="51"/>
  <c r="I133" i="51"/>
  <c r="F51" i="13"/>
  <c r="G51" i="13" s="1"/>
  <c r="B51" i="13"/>
  <c r="B133" i="13"/>
  <c r="F133" i="13"/>
  <c r="I132" i="13"/>
  <c r="H132" i="13"/>
  <c r="D135" i="52" l="1"/>
  <c r="E135" i="52" s="1"/>
  <c r="G134" i="52"/>
  <c r="G134" i="51"/>
  <c r="D135" i="51"/>
  <c r="H51" i="13"/>
  <c r="I51" i="13" s="1"/>
  <c r="D52" i="13"/>
  <c r="B52" i="13" s="1"/>
  <c r="G133" i="13"/>
  <c r="D134" i="13"/>
  <c r="B135" i="51" l="1"/>
  <c r="H134" i="52"/>
  <c r="I134" i="52"/>
  <c r="H134" i="51"/>
  <c r="I134" i="51"/>
  <c r="E135" i="51"/>
  <c r="F135" i="51" s="1"/>
  <c r="F135" i="52"/>
  <c r="B135" i="52"/>
  <c r="E52" i="13"/>
  <c r="F52" i="13" s="1"/>
  <c r="G52" i="13" s="1"/>
  <c r="B134" i="13"/>
  <c r="E134" i="13"/>
  <c r="F134" i="13" s="1"/>
  <c r="H133" i="13"/>
  <c r="I133" i="13"/>
  <c r="H52" i="13" l="1"/>
  <c r="I52" i="13" s="1"/>
  <c r="G135" i="51"/>
  <c r="D136" i="51"/>
  <c r="E136" i="51" s="1"/>
  <c r="D136" i="52"/>
  <c r="G135" i="52"/>
  <c r="D53" i="13"/>
  <c r="E53" i="13" s="1"/>
  <c r="D135" i="13"/>
  <c r="G134" i="13"/>
  <c r="H135" i="52" l="1"/>
  <c r="I135" i="52"/>
  <c r="B136" i="51"/>
  <c r="F136" i="51"/>
  <c r="B53" i="13"/>
  <c r="E136" i="52"/>
  <c r="F136" i="52" s="1"/>
  <c r="B136" i="52"/>
  <c r="F53" i="13"/>
  <c r="H53" i="13" s="1"/>
  <c r="H135" i="51"/>
  <c r="I135" i="51"/>
  <c r="B135" i="13"/>
  <c r="I134" i="13"/>
  <c r="H134" i="13"/>
  <c r="E135" i="13"/>
  <c r="F135" i="13" s="1"/>
  <c r="G53" i="13" l="1"/>
  <c r="I53" i="13" s="1"/>
  <c r="D54" i="13"/>
  <c r="E54" i="13" s="1"/>
  <c r="F54" i="13" s="1"/>
  <c r="H54" i="13" s="1"/>
  <c r="D137" i="52"/>
  <c r="G136" i="52"/>
  <c r="D137" i="51"/>
  <c r="G136" i="51"/>
  <c r="B54" i="13"/>
  <c r="G135" i="13"/>
  <c r="D136" i="13"/>
  <c r="E137" i="52" l="1"/>
  <c r="F137" i="52" s="1"/>
  <c r="B137" i="52"/>
  <c r="H136" i="51"/>
  <c r="I136" i="51"/>
  <c r="E137" i="51"/>
  <c r="B137" i="51"/>
  <c r="F137" i="51"/>
  <c r="H136" i="52"/>
  <c r="I136" i="52"/>
  <c r="D55" i="13"/>
  <c r="E55" i="13" s="1"/>
  <c r="G54" i="13"/>
  <c r="I54" i="13" s="1"/>
  <c r="B136" i="13"/>
  <c r="E136" i="13"/>
  <c r="F136" i="13" s="1"/>
  <c r="H135" i="13"/>
  <c r="I135" i="13"/>
  <c r="D138" i="52" l="1"/>
  <c r="G137" i="52"/>
  <c r="G137" i="51"/>
  <c r="D138" i="51"/>
  <c r="B55" i="13"/>
  <c r="F55" i="13"/>
  <c r="G55" i="13" s="1"/>
  <c r="G136" i="13"/>
  <c r="D137" i="13"/>
  <c r="E138" i="51" l="1"/>
  <c r="F138" i="51" s="1"/>
  <c r="B138" i="51"/>
  <c r="H137" i="52"/>
  <c r="I137" i="52"/>
  <c r="H137" i="51"/>
  <c r="I137" i="51"/>
  <c r="E138" i="52"/>
  <c r="F138" i="52" s="1"/>
  <c r="B138" i="52"/>
  <c r="H55" i="13"/>
  <c r="I55" i="13" s="1"/>
  <c r="D56" i="13"/>
  <c r="E56" i="13" s="1"/>
  <c r="B137" i="13"/>
  <c r="H136" i="13"/>
  <c r="I136" i="13"/>
  <c r="E137" i="13"/>
  <c r="F137" i="13" s="1"/>
  <c r="D139" i="52" l="1"/>
  <c r="G138" i="52"/>
  <c r="D139" i="51"/>
  <c r="G138" i="51"/>
  <c r="B56" i="13"/>
  <c r="F56" i="13"/>
  <c r="H56" i="13" s="1"/>
  <c r="G137" i="13"/>
  <c r="D138" i="13"/>
  <c r="E139" i="51" l="1"/>
  <c r="F139" i="51" s="1"/>
  <c r="B139" i="51"/>
  <c r="H138" i="51"/>
  <c r="I138" i="51"/>
  <c r="H138" i="52"/>
  <c r="I138" i="52"/>
  <c r="E139" i="52"/>
  <c r="F139" i="52" s="1"/>
  <c r="B139" i="52"/>
  <c r="G56" i="13"/>
  <c r="I56" i="13" s="1"/>
  <c r="D57" i="13"/>
  <c r="E57" i="13" s="1"/>
  <c r="B138" i="13"/>
  <c r="H137" i="13"/>
  <c r="I137" i="13"/>
  <c r="E138" i="13"/>
  <c r="F138" i="13" s="1"/>
  <c r="G139" i="52" l="1"/>
  <c r="D140" i="52"/>
  <c r="D140" i="51"/>
  <c r="G139" i="51"/>
  <c r="F57" i="13"/>
  <c r="H57" i="13" s="1"/>
  <c r="B57" i="13"/>
  <c r="G138" i="13"/>
  <c r="D139" i="13"/>
  <c r="E139" i="13" s="1"/>
  <c r="E140" i="51" l="1"/>
  <c r="F140" i="51" s="1"/>
  <c r="B140" i="51"/>
  <c r="H139" i="51"/>
  <c r="I139" i="51"/>
  <c r="E140" i="52"/>
  <c r="F140" i="52" s="1"/>
  <c r="B140" i="52"/>
  <c r="H139" i="52"/>
  <c r="I139" i="52"/>
  <c r="D58" i="13"/>
  <c r="G57" i="13"/>
  <c r="I57" i="13" s="1"/>
  <c r="I138" i="13"/>
  <c r="H138" i="13"/>
  <c r="B139" i="13"/>
  <c r="F139" i="13"/>
  <c r="D141" i="52" l="1"/>
  <c r="G140" i="52"/>
  <c r="D141" i="51"/>
  <c r="G140" i="51"/>
  <c r="B58" i="13"/>
  <c r="E58" i="13"/>
  <c r="F58" i="13" s="1"/>
  <c r="G139" i="13"/>
  <c r="D140" i="13"/>
  <c r="E140" i="13" s="1"/>
  <c r="E141" i="52" l="1"/>
  <c r="F141" i="52" s="1"/>
  <c r="B141" i="52"/>
  <c r="H140" i="51"/>
  <c r="I140" i="51"/>
  <c r="E141" i="51"/>
  <c r="F141" i="51" s="1"/>
  <c r="B141" i="51"/>
  <c r="H140" i="52"/>
  <c r="I140" i="52"/>
  <c r="D59" i="13"/>
  <c r="E59" i="13" s="1"/>
  <c r="G58" i="13"/>
  <c r="H58" i="13"/>
  <c r="H139" i="13"/>
  <c r="I139" i="13"/>
  <c r="F140" i="13"/>
  <c r="B140" i="13"/>
  <c r="D142" i="52" l="1"/>
  <c r="G141" i="52"/>
  <c r="D142" i="51"/>
  <c r="G141" i="51"/>
  <c r="I58" i="13"/>
  <c r="B59" i="13"/>
  <c r="F59" i="13"/>
  <c r="G59" i="13" s="1"/>
  <c r="D141" i="13"/>
  <c r="G140" i="13"/>
  <c r="H141" i="51" l="1"/>
  <c r="I141" i="51"/>
  <c r="H141" i="52"/>
  <c r="I141" i="52"/>
  <c r="E142" i="51"/>
  <c r="F142" i="51" s="1"/>
  <c r="B142" i="51"/>
  <c r="E142" i="52"/>
  <c r="F142" i="52" s="1"/>
  <c r="B142" i="52"/>
  <c r="H59" i="13"/>
  <c r="I59" i="13" s="1"/>
  <c r="D60" i="13"/>
  <c r="E60" i="13" s="1"/>
  <c r="B141" i="13"/>
  <c r="H140" i="13"/>
  <c r="I140" i="13"/>
  <c r="E141" i="13"/>
  <c r="F141" i="13" s="1"/>
  <c r="D143" i="52" l="1"/>
  <c r="G142" i="52"/>
  <c r="G142" i="51"/>
  <c r="D143" i="51"/>
  <c r="B143" i="51" s="1"/>
  <c r="B60" i="13"/>
  <c r="F60" i="13"/>
  <c r="H60" i="13" s="1"/>
  <c r="G141" i="13"/>
  <c r="D142" i="13"/>
  <c r="E142" i="13" s="1"/>
  <c r="E143" i="51" l="1"/>
  <c r="F143" i="51" s="1"/>
  <c r="D144" i="51"/>
  <c r="E144" i="51" s="1"/>
  <c r="G143" i="51"/>
  <c r="H142" i="51"/>
  <c r="I142" i="51"/>
  <c r="H142" i="52"/>
  <c r="I142" i="52"/>
  <c r="E143" i="52"/>
  <c r="F143" i="52" s="1"/>
  <c r="B143" i="52"/>
  <c r="D61" i="13"/>
  <c r="E61" i="13" s="1"/>
  <c r="G60" i="13"/>
  <c r="I60" i="13" s="1"/>
  <c r="I141" i="13"/>
  <c r="H141" i="13"/>
  <c r="B142" i="13"/>
  <c r="F142" i="13"/>
  <c r="D144" i="52" l="1"/>
  <c r="B144" i="52" s="1"/>
  <c r="G143" i="52"/>
  <c r="H143" i="51"/>
  <c r="I143" i="51"/>
  <c r="F144" i="51"/>
  <c r="B144" i="51"/>
  <c r="F61" i="13"/>
  <c r="H61" i="13" s="1"/>
  <c r="B61" i="13"/>
  <c r="D143" i="13"/>
  <c r="E143" i="13" s="1"/>
  <c r="G142" i="13"/>
  <c r="E144" i="52" l="1"/>
  <c r="F144" i="52" s="1"/>
  <c r="G144" i="52" s="1"/>
  <c r="D145" i="51"/>
  <c r="G144" i="51"/>
  <c r="H143" i="52"/>
  <c r="I143" i="52"/>
  <c r="G61" i="13"/>
  <c r="I61" i="13" s="1"/>
  <c r="D62" i="13"/>
  <c r="E62" i="13" s="1"/>
  <c r="I142" i="13"/>
  <c r="H142" i="13"/>
  <c r="B143" i="13"/>
  <c r="F143" i="13"/>
  <c r="D145" i="52" l="1"/>
  <c r="E145" i="52" s="1"/>
  <c r="F145" i="52" s="1"/>
  <c r="H144" i="52"/>
  <c r="I144" i="52"/>
  <c r="B145" i="52"/>
  <c r="H144" i="51"/>
  <c r="I144" i="51"/>
  <c r="E145" i="51"/>
  <c r="F145" i="51" s="1"/>
  <c r="B145" i="51"/>
  <c r="F62" i="13"/>
  <c r="G62" i="13" s="1"/>
  <c r="B62" i="13"/>
  <c r="D144" i="13"/>
  <c r="G143" i="13"/>
  <c r="D146" i="51" l="1"/>
  <c r="G145" i="51"/>
  <c r="D146" i="52"/>
  <c r="G145" i="52"/>
  <c r="D63" i="13"/>
  <c r="E63" i="13" s="1"/>
  <c r="H62" i="13"/>
  <c r="I62" i="13" s="1"/>
  <c r="H143" i="13"/>
  <c r="I143" i="13"/>
  <c r="B144" i="13"/>
  <c r="E144" i="13"/>
  <c r="F144" i="13" s="1"/>
  <c r="H145" i="52" l="1"/>
  <c r="I145" i="52"/>
  <c r="E146" i="52"/>
  <c r="F146" i="52" s="1"/>
  <c r="B146" i="52"/>
  <c r="H145" i="51"/>
  <c r="I145" i="51"/>
  <c r="E146" i="51"/>
  <c r="F146" i="51" s="1"/>
  <c r="B146" i="51"/>
  <c r="B63" i="13"/>
  <c r="F63" i="13"/>
  <c r="G63" i="13" s="1"/>
  <c r="G144" i="13"/>
  <c r="D145" i="13"/>
  <c r="E145" i="13" s="1"/>
  <c r="G146" i="51" l="1"/>
  <c r="D147" i="51"/>
  <c r="D147" i="52"/>
  <c r="G146" i="52"/>
  <c r="H63" i="13"/>
  <c r="I63" i="13" s="1"/>
  <c r="D64" i="13"/>
  <c r="E64" i="13" s="1"/>
  <c r="F145" i="13"/>
  <c r="B145" i="13"/>
  <c r="H144" i="13"/>
  <c r="I144" i="13"/>
  <c r="E147" i="52" l="1"/>
  <c r="F147" i="52" s="1"/>
  <c r="B147" i="52"/>
  <c r="H146" i="52"/>
  <c r="I146" i="52"/>
  <c r="E147" i="51"/>
  <c r="F147" i="51" s="1"/>
  <c r="B147" i="51"/>
  <c r="I146" i="51"/>
  <c r="H146" i="51"/>
  <c r="F64" i="13"/>
  <c r="H64" i="13" s="1"/>
  <c r="B64" i="13"/>
  <c r="G145" i="13"/>
  <c r="D146" i="13"/>
  <c r="E146" i="13" s="1"/>
  <c r="G147" i="52" l="1"/>
  <c r="D148" i="52"/>
  <c r="G147" i="51"/>
  <c r="D148" i="51"/>
  <c r="E148" i="51" s="1"/>
  <c r="D65" i="13"/>
  <c r="E65" i="13" s="1"/>
  <c r="G64" i="13"/>
  <c r="I64" i="13" s="1"/>
  <c r="H145" i="13"/>
  <c r="I145" i="13"/>
  <c r="B146" i="13"/>
  <c r="F146" i="13"/>
  <c r="B148" i="51" l="1"/>
  <c r="F148" i="51"/>
  <c r="E148" i="52"/>
  <c r="B148" i="52"/>
  <c r="F148" i="52"/>
  <c r="H147" i="51"/>
  <c r="I147" i="51"/>
  <c r="I147" i="52"/>
  <c r="H147" i="52"/>
  <c r="F65" i="13"/>
  <c r="G65" i="13" s="1"/>
  <c r="B65" i="13"/>
  <c r="G146" i="13"/>
  <c r="D147" i="13"/>
  <c r="E147" i="13" s="1"/>
  <c r="D149" i="52" l="1"/>
  <c r="E149" i="52" s="1"/>
  <c r="G148" i="52"/>
  <c r="D149" i="51"/>
  <c r="G148" i="51"/>
  <c r="H65" i="13"/>
  <c r="I65" i="13" s="1"/>
  <c r="D66" i="13"/>
  <c r="F147" i="13"/>
  <c r="B147" i="13"/>
  <c r="H146" i="13"/>
  <c r="I146" i="13"/>
  <c r="H148" i="52" l="1"/>
  <c r="I148" i="52"/>
  <c r="E149" i="51"/>
  <c r="B149" i="51"/>
  <c r="F149" i="51"/>
  <c r="H148" i="51"/>
  <c r="I148" i="51"/>
  <c r="B149" i="52"/>
  <c r="F149" i="52"/>
  <c r="B66" i="13"/>
  <c r="E66" i="13"/>
  <c r="F66" i="13" s="1"/>
  <c r="D148" i="13"/>
  <c r="G147" i="13"/>
  <c r="G149" i="51" l="1"/>
  <c r="D150" i="51"/>
  <c r="G149" i="52"/>
  <c r="D150" i="52"/>
  <c r="D67" i="13"/>
  <c r="H66" i="13"/>
  <c r="G66" i="13"/>
  <c r="I147" i="13"/>
  <c r="H147" i="13"/>
  <c r="B148" i="13"/>
  <c r="E148" i="13"/>
  <c r="F148" i="13" s="1"/>
  <c r="H149" i="52" l="1"/>
  <c r="I149" i="52"/>
  <c r="E150" i="52"/>
  <c r="F150" i="52" s="1"/>
  <c r="B150" i="52"/>
  <c r="E150" i="51"/>
  <c r="F150" i="51" s="1"/>
  <c r="B150" i="51"/>
  <c r="H149" i="51"/>
  <c r="I149" i="51"/>
  <c r="I66" i="13"/>
  <c r="B67" i="13"/>
  <c r="E67" i="13"/>
  <c r="F67" i="13" s="1"/>
  <c r="D149" i="13"/>
  <c r="G148" i="13"/>
  <c r="D151" i="52" l="1"/>
  <c r="G150" i="52"/>
  <c r="D151" i="51"/>
  <c r="G150" i="51"/>
  <c r="D68" i="13"/>
  <c r="E68" i="13" s="1"/>
  <c r="G67" i="13"/>
  <c r="H67" i="13"/>
  <c r="B149" i="13"/>
  <c r="E149" i="13"/>
  <c r="F149" i="13" s="1"/>
  <c r="I148" i="13"/>
  <c r="H148" i="13"/>
  <c r="I150" i="51" l="1"/>
  <c r="H150" i="51"/>
  <c r="I150" i="52"/>
  <c r="H150" i="52"/>
  <c r="E151" i="51"/>
  <c r="F151" i="51" s="1"/>
  <c r="B151" i="51"/>
  <c r="E151" i="52"/>
  <c r="F151" i="52" s="1"/>
  <c r="B151" i="52"/>
  <c r="I67" i="13"/>
  <c r="F68" i="13"/>
  <c r="H68" i="13" s="1"/>
  <c r="B68" i="13"/>
  <c r="D150" i="13"/>
  <c r="G149" i="13"/>
  <c r="D152" i="51" l="1"/>
  <c r="G151" i="51"/>
  <c r="D152" i="52"/>
  <c r="G151" i="52"/>
  <c r="G68" i="13"/>
  <c r="I68" i="13" s="1"/>
  <c r="D69" i="13"/>
  <c r="E69" i="13" s="1"/>
  <c r="B150" i="13"/>
  <c r="H149" i="13"/>
  <c r="I149" i="13"/>
  <c r="E150" i="13"/>
  <c r="F150" i="13" s="1"/>
  <c r="E152" i="52" l="1"/>
  <c r="F152" i="52" s="1"/>
  <c r="B152" i="52"/>
  <c r="H151" i="51"/>
  <c r="I151" i="51"/>
  <c r="I151" i="52"/>
  <c r="H151" i="52"/>
  <c r="E152" i="51"/>
  <c r="F152" i="51" s="1"/>
  <c r="B152" i="51"/>
  <c r="B69" i="13"/>
  <c r="F69" i="13"/>
  <c r="G69" i="13" s="1"/>
  <c r="G150" i="13"/>
  <c r="D151" i="13"/>
  <c r="D153" i="51" l="1"/>
  <c r="B153" i="51" s="1"/>
  <c r="G152" i="51"/>
  <c r="D153" i="52"/>
  <c r="G152" i="52"/>
  <c r="H69" i="13"/>
  <c r="I69" i="13" s="1"/>
  <c r="D70" i="13"/>
  <c r="B151" i="13"/>
  <c r="H150" i="13"/>
  <c r="I150" i="13"/>
  <c r="E151" i="13"/>
  <c r="F151" i="13" s="1"/>
  <c r="E153" i="51" l="1"/>
  <c r="F153" i="51" s="1"/>
  <c r="D154" i="51" s="1"/>
  <c r="E153" i="52"/>
  <c r="F153" i="52" s="1"/>
  <c r="B153" i="52"/>
  <c r="H152" i="51"/>
  <c r="I152" i="51"/>
  <c r="H152" i="52"/>
  <c r="I152" i="52"/>
  <c r="B70" i="13"/>
  <c r="E70" i="13"/>
  <c r="F70" i="13" s="1"/>
  <c r="D152" i="13"/>
  <c r="G151" i="13"/>
  <c r="G153" i="51" l="1"/>
  <c r="H153" i="51"/>
  <c r="I153" i="51"/>
  <c r="G153" i="52"/>
  <c r="D154" i="52"/>
  <c r="E154" i="51"/>
  <c r="E155" i="51" s="1"/>
  <c r="B154" i="51"/>
  <c r="D71" i="13"/>
  <c r="G70" i="13"/>
  <c r="H70" i="13"/>
  <c r="B152" i="13"/>
  <c r="H151" i="13"/>
  <c r="I151" i="13"/>
  <c r="E152" i="13"/>
  <c r="F152" i="13" s="1"/>
  <c r="F154" i="51" l="1"/>
  <c r="G154" i="51" s="1"/>
  <c r="E154" i="52"/>
  <c r="E155" i="52" s="1"/>
  <c r="B154" i="52"/>
  <c r="H153" i="52"/>
  <c r="I153" i="52"/>
  <c r="I70" i="13"/>
  <c r="B71" i="13"/>
  <c r="E71" i="13"/>
  <c r="F71" i="13" s="1"/>
  <c r="D153" i="13"/>
  <c r="E153" i="13" s="1"/>
  <c r="G152" i="13"/>
  <c r="F154" i="52" l="1"/>
  <c r="G154" i="52" s="1"/>
  <c r="H154" i="51"/>
  <c r="H155" i="51" s="1"/>
  <c r="I154" i="51"/>
  <c r="I155" i="51" s="1"/>
  <c r="D72" i="13"/>
  <c r="G71" i="13"/>
  <c r="H71" i="13"/>
  <c r="I152" i="13"/>
  <c r="H152" i="13"/>
  <c r="B153" i="13"/>
  <c r="F153" i="13"/>
  <c r="H154" i="52" l="1"/>
  <c r="H155" i="52" s="1"/>
  <c r="I154" i="52"/>
  <c r="I155" i="52" s="1"/>
  <c r="I71" i="13"/>
  <c r="B72" i="13"/>
  <c r="E72" i="13"/>
  <c r="E73" i="13" s="1"/>
  <c r="D154" i="13"/>
  <c r="E154" i="13" s="1"/>
  <c r="E155" i="13" s="1"/>
  <c r="G153" i="13"/>
  <c r="F72" i="13" l="1"/>
  <c r="I153" i="13"/>
  <c r="H153" i="13"/>
  <c r="F154" i="13"/>
  <c r="G154" i="13" s="1"/>
  <c r="B154" i="13"/>
  <c r="H72" i="13" l="1"/>
  <c r="G72" i="13"/>
  <c r="G73" i="13" s="1"/>
  <c r="H154" i="13"/>
  <c r="H155" i="13" s="1"/>
  <c r="I154" i="13"/>
  <c r="I155" i="13" s="1"/>
  <c r="I72" i="13" l="1"/>
  <c r="I73" i="13" s="1"/>
  <c r="H73" i="13"/>
  <c r="F90" i="2" l="1"/>
  <c r="N100" i="38" l="1"/>
  <c r="O100" i="38" s="1"/>
  <c r="L100" i="38"/>
  <c r="M100" i="38" s="1"/>
  <c r="B100" i="42"/>
  <c r="B100" i="43"/>
  <c r="B100" i="41"/>
  <c r="B100" i="46" l="1"/>
  <c r="P100" i="38"/>
  <c r="J99" i="41"/>
  <c r="J99" i="43"/>
  <c r="B101" i="45" l="1"/>
  <c r="J100" i="45"/>
  <c r="B101" i="44"/>
  <c r="J99" i="42"/>
  <c r="B101" i="41"/>
  <c r="B101" i="42"/>
  <c r="B101" i="38"/>
  <c r="B101" i="46" l="1"/>
  <c r="J99" i="46"/>
  <c r="J100" i="44"/>
  <c r="J100" i="38"/>
  <c r="J100" i="42"/>
  <c r="J100" i="41"/>
  <c r="B106" i="24"/>
  <c r="B101" i="37"/>
  <c r="B111" i="11"/>
  <c r="B107" i="23"/>
  <c r="B104" i="31"/>
  <c r="B100" i="40"/>
  <c r="B109" i="5"/>
  <c r="B105" i="27"/>
  <c r="B108" i="22"/>
  <c r="B109" i="3"/>
  <c r="B104" i="29"/>
  <c r="B110" i="8"/>
  <c r="B101" i="39"/>
  <c r="B103" i="30"/>
  <c r="B110" i="6"/>
  <c r="B101" i="43"/>
  <c r="B109" i="4"/>
  <c r="B111" i="9"/>
  <c r="B104" i="28"/>
  <c r="B108" i="25"/>
  <c r="B112" i="10"/>
  <c r="B112" i="7"/>
  <c r="J100" i="46" l="1"/>
  <c r="B102" i="45"/>
  <c r="B102" i="44"/>
  <c r="B102" i="38"/>
  <c r="B102" i="42"/>
  <c r="B102" i="41"/>
  <c r="J100" i="43"/>
  <c r="J102" i="30"/>
  <c r="J103" i="29"/>
  <c r="J108" i="3"/>
  <c r="J100" i="37"/>
  <c r="J107" i="25"/>
  <c r="J103" i="28"/>
  <c r="J99" i="40"/>
  <c r="J100" i="39"/>
  <c r="J107" i="22"/>
  <c r="J109" i="8"/>
  <c r="J103" i="31"/>
  <c r="J111" i="7"/>
  <c r="J111" i="10"/>
  <c r="J110" i="9"/>
  <c r="J109" i="6"/>
  <c r="J105" i="24"/>
  <c r="J104" i="27"/>
  <c r="J106" i="23"/>
  <c r="J110" i="11"/>
  <c r="J108" i="5"/>
  <c r="J108" i="4"/>
  <c r="J101" i="44" l="1"/>
  <c r="J101" i="45"/>
  <c r="J101" i="42"/>
  <c r="J101" i="38"/>
  <c r="J101" i="41"/>
  <c r="B107" i="24"/>
  <c r="B101" i="40"/>
  <c r="B106" i="27"/>
  <c r="B104" i="30"/>
  <c r="B109" i="25"/>
  <c r="B109" i="22"/>
  <c r="B111" i="8"/>
  <c r="B113" i="7"/>
  <c r="B105" i="31"/>
  <c r="B105" i="29"/>
  <c r="B105" i="28"/>
  <c r="B110" i="4"/>
  <c r="B113" i="10"/>
  <c r="B108" i="23"/>
  <c r="B110" i="3"/>
  <c r="B102" i="43"/>
  <c r="B112" i="11"/>
  <c r="B111" i="6"/>
  <c r="B112" i="9"/>
  <c r="B102" i="39"/>
  <c r="B102" i="37"/>
  <c r="B110" i="5"/>
  <c r="B103" i="42" l="1"/>
  <c r="B103" i="38"/>
  <c r="B103" i="41"/>
  <c r="J111" i="9"/>
  <c r="J101" i="43"/>
  <c r="J112" i="10"/>
  <c r="J104" i="29"/>
  <c r="J109" i="5"/>
  <c r="J106" i="24"/>
  <c r="J109" i="3"/>
  <c r="J104" i="28"/>
  <c r="J105" i="27"/>
  <c r="J100" i="40"/>
  <c r="J101" i="37"/>
  <c r="J101" i="39"/>
  <c r="J110" i="6"/>
  <c r="J111" i="11"/>
  <c r="J110" i="8"/>
  <c r="J108" i="25"/>
  <c r="J107" i="23"/>
  <c r="J109" i="4"/>
  <c r="J104" i="31"/>
  <c r="J112" i="7"/>
  <c r="J108" i="22"/>
  <c r="J103" i="30"/>
  <c r="J102" i="38" l="1"/>
  <c r="J102" i="41"/>
  <c r="J102" i="42"/>
  <c r="B106" i="28"/>
  <c r="B109" i="23"/>
  <c r="B103" i="39"/>
  <c r="B108" i="24"/>
  <c r="B111" i="3"/>
  <c r="B111" i="4"/>
  <c r="B107" i="27"/>
  <c r="B114" i="7"/>
  <c r="B106" i="29"/>
  <c r="B103" i="43"/>
  <c r="B110" i="22"/>
  <c r="B114" i="10"/>
  <c r="B112" i="6"/>
  <c r="B105" i="30"/>
  <c r="B106" i="31"/>
  <c r="B112" i="8"/>
  <c r="B110" i="25"/>
  <c r="B113" i="11"/>
  <c r="B111" i="5"/>
  <c r="B102" i="40"/>
  <c r="B103" i="37"/>
  <c r="B113" i="9"/>
  <c r="J105" i="29" l="1"/>
  <c r="J102" i="37"/>
  <c r="J109" i="25"/>
  <c r="J109" i="22"/>
  <c r="J110" i="4"/>
  <c r="J107" i="24"/>
  <c r="J108" i="23"/>
  <c r="J101" i="40"/>
  <c r="J110" i="5"/>
  <c r="J112" i="11"/>
  <c r="J111" i="8"/>
  <c r="J104" i="30"/>
  <c r="J113" i="10"/>
  <c r="J102" i="43"/>
  <c r="J106" i="27"/>
  <c r="J105" i="28"/>
  <c r="J110" i="3"/>
  <c r="J105" i="31"/>
  <c r="J111" i="6"/>
  <c r="J113" i="7"/>
  <c r="J102" i="39"/>
  <c r="J112" i="9"/>
  <c r="P108" i="25" l="1"/>
  <c r="B104" i="39"/>
  <c r="B107" i="28"/>
  <c r="B108" i="27"/>
  <c r="B112" i="3"/>
  <c r="B115" i="10"/>
  <c r="B107" i="31"/>
  <c r="B115" i="7"/>
  <c r="B103" i="40"/>
  <c r="B112" i="4"/>
  <c r="B113" i="6"/>
  <c r="B114" i="9"/>
  <c r="B106" i="30"/>
  <c r="B112" i="5"/>
  <c r="B113" i="8"/>
  <c r="B104" i="37"/>
  <c r="B109" i="24"/>
  <c r="B110" i="23"/>
  <c r="B111" i="22"/>
  <c r="B107" i="29"/>
  <c r="B114" i="11"/>
  <c r="J112" i="8" l="1"/>
  <c r="J113" i="9"/>
  <c r="J103" i="39"/>
  <c r="J111" i="3"/>
  <c r="J108" i="24"/>
  <c r="J111" i="4"/>
  <c r="J103" i="37"/>
  <c r="J102" i="40"/>
  <c r="J114" i="10"/>
  <c r="J107" i="27"/>
  <c r="J106" i="28"/>
  <c r="J110" i="22"/>
  <c r="J105" i="30"/>
  <c r="J106" i="31"/>
  <c r="J106" i="29"/>
  <c r="J111" i="5"/>
  <c r="J112" i="6"/>
  <c r="J114" i="7"/>
  <c r="J113" i="11"/>
  <c r="J109" i="23"/>
  <c r="L99" i="47" l="1"/>
  <c r="M99" i="47" s="1"/>
  <c r="L86" i="49"/>
  <c r="L86" i="47" l="1"/>
  <c r="I17" i="49"/>
  <c r="M17" i="49"/>
  <c r="N6" i="49"/>
  <c r="L99" i="49"/>
  <c r="M99" i="49" s="1"/>
  <c r="K17" i="49"/>
  <c r="N5" i="49"/>
  <c r="L86" i="48"/>
  <c r="J99" i="47" l="1"/>
  <c r="N99" i="47"/>
  <c r="O99" i="47" s="1"/>
  <c r="P99" i="47" s="1"/>
  <c r="N17" i="49"/>
  <c r="N87" i="49"/>
  <c r="L17" i="49"/>
  <c r="M87" i="49"/>
  <c r="N99" i="49"/>
  <c r="O99" i="49" s="1"/>
  <c r="P99" i="49" s="1"/>
  <c r="J99" i="49"/>
  <c r="N7" i="49"/>
  <c r="L99" i="48"/>
  <c r="M99" i="48" s="1"/>
  <c r="O17" i="49" l="1"/>
  <c r="O87" i="49"/>
  <c r="N99" i="48"/>
  <c r="O99" i="48" s="1"/>
  <c r="P99" i="48" s="1"/>
  <c r="J99" i="48"/>
  <c r="M17" i="47" l="1"/>
  <c r="I17" i="47"/>
  <c r="N6" i="47"/>
  <c r="K17" i="47"/>
  <c r="N5" i="47"/>
  <c r="B18" i="48"/>
  <c r="K17" i="48"/>
  <c r="N5" i="48"/>
  <c r="I17" i="48"/>
  <c r="M17" i="48"/>
  <c r="N6" i="48"/>
  <c r="L17" i="48" l="1"/>
  <c r="M87" i="48"/>
  <c r="N17" i="47"/>
  <c r="N87" i="47"/>
  <c r="N17" i="48"/>
  <c r="N87" i="48"/>
  <c r="L17" i="47"/>
  <c r="M87" i="47"/>
  <c r="N7" i="47"/>
  <c r="I18" i="48"/>
  <c r="I18" i="49"/>
  <c r="N7" i="48"/>
  <c r="O17" i="48" l="1"/>
  <c r="O17" i="47"/>
  <c r="O87" i="47"/>
  <c r="O87" i="48"/>
  <c r="B104" i="38" l="1"/>
  <c r="B104" i="41"/>
  <c r="J110" i="25" l="1"/>
  <c r="B109" i="27"/>
  <c r="B112" i="22"/>
  <c r="B114" i="6"/>
  <c r="B111" i="23"/>
  <c r="J112" i="5"/>
  <c r="B113" i="4"/>
  <c r="J103" i="41"/>
  <c r="B108" i="31"/>
  <c r="J103" i="40"/>
  <c r="J103" i="38"/>
  <c r="J114" i="11"/>
  <c r="B108" i="28"/>
  <c r="J106" i="30"/>
  <c r="B116" i="7"/>
  <c r="B108" i="29"/>
  <c r="J102" i="45"/>
  <c r="B111" i="25"/>
  <c r="J113" i="8"/>
  <c r="J102" i="44"/>
  <c r="J115" i="10"/>
  <c r="J112" i="3"/>
  <c r="B103" i="45"/>
  <c r="B105" i="39"/>
  <c r="J110" i="23"/>
  <c r="J112" i="4"/>
  <c r="J114" i="9"/>
  <c r="J107" i="31"/>
  <c r="B114" i="8"/>
  <c r="J107" i="28"/>
  <c r="B107" i="30"/>
  <c r="B103" i="44"/>
  <c r="B116" i="10"/>
  <c r="J115" i="7"/>
  <c r="J107" i="29"/>
  <c r="B113" i="3"/>
  <c r="J104" i="39"/>
  <c r="B110" i="24"/>
  <c r="B115" i="9"/>
  <c r="B105" i="37"/>
  <c r="J113" i="6"/>
  <c r="B113" i="5"/>
  <c r="J108" i="27"/>
  <c r="J111" i="22"/>
  <c r="J109" i="24"/>
  <c r="B104" i="40"/>
  <c r="J101" i="46"/>
  <c r="B115" i="11"/>
  <c r="J104" i="37"/>
  <c r="B112" i="25" l="1"/>
  <c r="J111" i="25"/>
  <c r="D92" i="46" l="1"/>
  <c r="B102" i="46" s="1"/>
  <c r="D92" i="49" l="1"/>
  <c r="D92" i="48"/>
  <c r="D92" i="47"/>
  <c r="B100" i="49" l="1"/>
  <c r="J96" i="49"/>
  <c r="B100" i="48"/>
  <c r="J96" i="48"/>
  <c r="B100" i="47"/>
  <c r="J96" i="47"/>
  <c r="I14" i="47"/>
  <c r="I14" i="48"/>
  <c r="I14" i="49"/>
  <c r="B21" i="46"/>
  <c r="E101" i="49" l="1"/>
  <c r="B19" i="49"/>
  <c r="B19" i="48"/>
  <c r="D20" i="49"/>
  <c r="B18" i="47"/>
  <c r="D101" i="49" l="1"/>
  <c r="B101" i="49" s="1"/>
  <c r="E101" i="47"/>
  <c r="D101" i="47"/>
  <c r="E20" i="49"/>
  <c r="F20" i="49" s="1"/>
  <c r="D21" i="49" s="1"/>
  <c r="B20" i="49"/>
  <c r="F101" i="49" l="1"/>
  <c r="L100" i="48"/>
  <c r="M100" i="48" s="1"/>
  <c r="B101" i="48"/>
  <c r="B101" i="47"/>
  <c r="F101" i="47"/>
  <c r="I19" i="49"/>
  <c r="B19" i="47"/>
  <c r="E21" i="49"/>
  <c r="F21" i="49" s="1"/>
  <c r="G21" i="49" s="1"/>
  <c r="B21" i="49"/>
  <c r="I19" i="48"/>
  <c r="I18" i="47"/>
  <c r="G20" i="49"/>
  <c r="B20" i="48"/>
  <c r="H20" i="49"/>
  <c r="D102" i="49" l="1"/>
  <c r="B102" i="49" s="1"/>
  <c r="G101" i="49"/>
  <c r="E102" i="49"/>
  <c r="N100" i="49"/>
  <c r="O100" i="49" s="1"/>
  <c r="J100" i="49"/>
  <c r="L100" i="49"/>
  <c r="M100" i="49" s="1"/>
  <c r="D102" i="48"/>
  <c r="B102" i="48" s="1"/>
  <c r="E102" i="48"/>
  <c r="N100" i="48"/>
  <c r="O100" i="48" s="1"/>
  <c r="P100" i="48" s="1"/>
  <c r="J100" i="48"/>
  <c r="G101" i="47"/>
  <c r="D102" i="47"/>
  <c r="B102" i="47" s="1"/>
  <c r="E102" i="47"/>
  <c r="J100" i="47"/>
  <c r="I20" i="48"/>
  <c r="D20" i="47"/>
  <c r="E20" i="47"/>
  <c r="D21" i="48"/>
  <c r="E21" i="48"/>
  <c r="H21" i="49"/>
  <c r="I21" i="49" s="1"/>
  <c r="D22" i="49"/>
  <c r="E22" i="49"/>
  <c r="I20" i="49"/>
  <c r="F102" i="48" l="1"/>
  <c r="D103" i="48" s="1"/>
  <c r="B103" i="48" s="1"/>
  <c r="F102" i="49"/>
  <c r="G102" i="49" s="1"/>
  <c r="P100" i="49"/>
  <c r="H101" i="49"/>
  <c r="M88" i="49" s="1"/>
  <c r="M89" i="49" s="1"/>
  <c r="I101" i="49"/>
  <c r="N88" i="49" s="1"/>
  <c r="N89" i="49" s="1"/>
  <c r="F102" i="47"/>
  <c r="E103" i="47" s="1"/>
  <c r="I101" i="47"/>
  <c r="N88" i="47" s="1"/>
  <c r="H101" i="47"/>
  <c r="M88" i="47" s="1"/>
  <c r="M89" i="47" s="1"/>
  <c r="B22" i="49"/>
  <c r="F22" i="49"/>
  <c r="H22" i="49" s="1"/>
  <c r="I19" i="47"/>
  <c r="F21" i="48"/>
  <c r="G21" i="48" s="1"/>
  <c r="B21" i="48"/>
  <c r="F20" i="47"/>
  <c r="H20" i="47" s="1"/>
  <c r="B20" i="47"/>
  <c r="I46" i="17"/>
  <c r="I48" i="17"/>
  <c r="O88" i="47" l="1"/>
  <c r="O89" i="47" s="1"/>
  <c r="N89" i="47"/>
  <c r="O88" i="49"/>
  <c r="O89" i="49" s="1"/>
  <c r="G102" i="47"/>
  <c r="I102" i="47" s="1"/>
  <c r="E103" i="49"/>
  <c r="D103" i="49"/>
  <c r="B103" i="49" s="1"/>
  <c r="E103" i="48"/>
  <c r="F103" i="48" s="1"/>
  <c r="G103" i="48" s="1"/>
  <c r="G102" i="48"/>
  <c r="H102" i="48" s="1"/>
  <c r="M88" i="48" s="1"/>
  <c r="M89" i="48" s="1"/>
  <c r="H102" i="49"/>
  <c r="I102" i="49"/>
  <c r="D103" i="47"/>
  <c r="F103" i="47" s="1"/>
  <c r="J101" i="49"/>
  <c r="J101" i="48"/>
  <c r="J101" i="47"/>
  <c r="G20" i="47"/>
  <c r="I20" i="47" s="1"/>
  <c r="D21" i="47"/>
  <c r="G22" i="49"/>
  <c r="I22" i="49" s="1"/>
  <c r="D23" i="49"/>
  <c r="E23" i="49"/>
  <c r="H21" i="48"/>
  <c r="I21" i="48" s="1"/>
  <c r="D22" i="48"/>
  <c r="E22" i="48"/>
  <c r="I47" i="17"/>
  <c r="H102" i="47" l="1"/>
  <c r="J102" i="47" s="1"/>
  <c r="I102" i="48"/>
  <c r="D104" i="48"/>
  <c r="B104" i="48" s="1"/>
  <c r="E104" i="48"/>
  <c r="F103" i="49"/>
  <c r="G103" i="49" s="1"/>
  <c r="B103" i="47"/>
  <c r="J102" i="49"/>
  <c r="H103" i="48"/>
  <c r="I103" i="48"/>
  <c r="D104" i="47"/>
  <c r="B104" i="47" s="1"/>
  <c r="G103" i="47"/>
  <c r="E104" i="47"/>
  <c r="E21" i="47"/>
  <c r="F21" i="47" s="1"/>
  <c r="B21" i="47"/>
  <c r="F22" i="48"/>
  <c r="B22" i="48"/>
  <c r="B23" i="49"/>
  <c r="F23" i="49"/>
  <c r="G23" i="49" s="1"/>
  <c r="J102" i="48" l="1"/>
  <c r="N88" i="48"/>
  <c r="F104" i="48"/>
  <c r="G104" i="48" s="1"/>
  <c r="H104" i="48" s="1"/>
  <c r="D104" i="49"/>
  <c r="B104" i="49" s="1"/>
  <c r="J103" i="48"/>
  <c r="E104" i="49"/>
  <c r="F104" i="47"/>
  <c r="D105" i="47" s="1"/>
  <c r="B105" i="47" s="1"/>
  <c r="I103" i="49"/>
  <c r="H103" i="49"/>
  <c r="H103" i="47"/>
  <c r="I103" i="47"/>
  <c r="D22" i="47"/>
  <c r="B22" i="47" s="1"/>
  <c r="H21" i="47"/>
  <c r="G21" i="47"/>
  <c r="H23" i="49"/>
  <c r="I23" i="49" s="1"/>
  <c r="D24" i="49"/>
  <c r="E24" i="49"/>
  <c r="H22" i="48"/>
  <c r="D23" i="48"/>
  <c r="E23" i="48"/>
  <c r="E22" i="47"/>
  <c r="G22" i="48"/>
  <c r="N89" i="48" l="1"/>
  <c r="O88" i="48"/>
  <c r="O89" i="48" s="1"/>
  <c r="D105" i="48"/>
  <c r="B105" i="48" s="1"/>
  <c r="E105" i="48"/>
  <c r="I104" i="48"/>
  <c r="J104" i="48" s="1"/>
  <c r="F104" i="49"/>
  <c r="G104" i="49" s="1"/>
  <c r="E105" i="47"/>
  <c r="F105" i="47" s="1"/>
  <c r="D106" i="47" s="1"/>
  <c r="G104" i="47"/>
  <c r="I104" i="47" s="1"/>
  <c r="J103" i="49"/>
  <c r="J103" i="47"/>
  <c r="F22" i="47"/>
  <c r="H22" i="47" s="1"/>
  <c r="I21" i="47"/>
  <c r="I22" i="48"/>
  <c r="F23" i="48"/>
  <c r="G23" i="48" s="1"/>
  <c r="B23" i="48"/>
  <c r="F24" i="49"/>
  <c r="G24" i="49" s="1"/>
  <c r="B24" i="49"/>
  <c r="E105" i="49" l="1"/>
  <c r="H104" i="47"/>
  <c r="J104" i="47" s="1"/>
  <c r="D105" i="49"/>
  <c r="B105" i="49" s="1"/>
  <c r="F105" i="48"/>
  <c r="D106" i="48" s="1"/>
  <c r="B106" i="48" s="1"/>
  <c r="E106" i="47"/>
  <c r="F106" i="47" s="1"/>
  <c r="G105" i="47"/>
  <c r="I105" i="47" s="1"/>
  <c r="I104" i="49"/>
  <c r="H104" i="49"/>
  <c r="E23" i="47"/>
  <c r="G22" i="47"/>
  <c r="I22" i="47" s="1"/>
  <c r="D23" i="47"/>
  <c r="B23" i="47" s="1"/>
  <c r="B106" i="47"/>
  <c r="H23" i="48"/>
  <c r="I23" i="48" s="1"/>
  <c r="H24" i="49"/>
  <c r="I24" i="49" s="1"/>
  <c r="D25" i="49"/>
  <c r="E25" i="49"/>
  <c r="D24" i="48"/>
  <c r="E24" i="48"/>
  <c r="H105" i="47" l="1"/>
  <c r="J105" i="47" s="1"/>
  <c r="F105" i="49"/>
  <c r="G105" i="49" s="1"/>
  <c r="I105" i="49" s="1"/>
  <c r="E106" i="48"/>
  <c r="F106" i="48" s="1"/>
  <c r="G105" i="48"/>
  <c r="I105" i="48" s="1"/>
  <c r="J104" i="49"/>
  <c r="F23" i="47"/>
  <c r="H23" i="47" s="1"/>
  <c r="H105" i="49"/>
  <c r="G106" i="47"/>
  <c r="D107" i="47"/>
  <c r="E107" i="47"/>
  <c r="F24" i="48"/>
  <c r="H24" i="48" s="1"/>
  <c r="B24" i="48"/>
  <c r="B25" i="49"/>
  <c r="F25" i="49"/>
  <c r="H25" i="49" s="1"/>
  <c r="H105" i="48" l="1"/>
  <c r="D106" i="49"/>
  <c r="B106" i="49" s="1"/>
  <c r="E106" i="49"/>
  <c r="F106" i="49" s="1"/>
  <c r="G106" i="49" s="1"/>
  <c r="E24" i="47"/>
  <c r="D24" i="47"/>
  <c r="B24" i="47" s="1"/>
  <c r="E107" i="48"/>
  <c r="G106" i="48"/>
  <c r="D107" i="48"/>
  <c r="G23" i="47"/>
  <c r="I23" i="47" s="1"/>
  <c r="J105" i="48"/>
  <c r="J105" i="49"/>
  <c r="B107" i="47"/>
  <c r="F107" i="47"/>
  <c r="H106" i="47"/>
  <c r="I106" i="47"/>
  <c r="G24" i="48"/>
  <c r="I24" i="48" s="1"/>
  <c r="G25" i="49"/>
  <c r="I25" i="49" s="1"/>
  <c r="D26" i="49"/>
  <c r="E26" i="49"/>
  <c r="D25" i="48"/>
  <c r="E25" i="48"/>
  <c r="E107" i="49" l="1"/>
  <c r="D107" i="49"/>
  <c r="B107" i="49" s="1"/>
  <c r="F24" i="47"/>
  <c r="G24" i="47" s="1"/>
  <c r="I106" i="48"/>
  <c r="H106" i="48"/>
  <c r="J106" i="47"/>
  <c r="B107" i="48"/>
  <c r="F107" i="48"/>
  <c r="H106" i="49"/>
  <c r="I106" i="49"/>
  <c r="G107" i="47"/>
  <c r="D108" i="47"/>
  <c r="E108" i="47"/>
  <c r="B25" i="48"/>
  <c r="F25" i="48"/>
  <c r="G25" i="48" s="1"/>
  <c r="B26" i="49"/>
  <c r="F26" i="49"/>
  <c r="H26" i="49" s="1"/>
  <c r="F107" i="49" l="1"/>
  <c r="E108" i="49" s="1"/>
  <c r="H24" i="47"/>
  <c r="I24" i="47" s="1"/>
  <c r="E25" i="47"/>
  <c r="D25" i="47"/>
  <c r="B25" i="47" s="1"/>
  <c r="J106" i="49"/>
  <c r="J106" i="48"/>
  <c r="G107" i="48"/>
  <c r="D108" i="48"/>
  <c r="E108" i="48"/>
  <c r="B108" i="47"/>
  <c r="F108" i="47"/>
  <c r="H107" i="47"/>
  <c r="I107" i="47"/>
  <c r="H25" i="48"/>
  <c r="I25" i="48" s="1"/>
  <c r="G26" i="49"/>
  <c r="I26" i="49" s="1"/>
  <c r="D27" i="49"/>
  <c r="E27" i="49"/>
  <c r="D26" i="48"/>
  <c r="E26" i="48"/>
  <c r="D108" i="49" l="1"/>
  <c r="B108" i="49" s="1"/>
  <c r="G107" i="49"/>
  <c r="H107" i="49" s="1"/>
  <c r="F25" i="47"/>
  <c r="G25" i="47" s="1"/>
  <c r="I107" i="48"/>
  <c r="H107" i="48"/>
  <c r="B108" i="48"/>
  <c r="F108" i="48"/>
  <c r="J107" i="47"/>
  <c r="D109" i="47"/>
  <c r="B109" i="47" s="1"/>
  <c r="G108" i="47"/>
  <c r="E109" i="47"/>
  <c r="B26" i="48"/>
  <c r="F26" i="48"/>
  <c r="G26" i="48" s="1"/>
  <c r="D26" i="47"/>
  <c r="F27" i="49"/>
  <c r="H27" i="49" s="1"/>
  <c r="B27" i="49"/>
  <c r="H25" i="47" l="1"/>
  <c r="I25" i="47" s="1"/>
  <c r="I107" i="49"/>
  <c r="J107" i="49" s="1"/>
  <c r="F108" i="49"/>
  <c r="E109" i="49" s="1"/>
  <c r="E26" i="47"/>
  <c r="F26" i="47" s="1"/>
  <c r="G108" i="48"/>
  <c r="D109" i="48"/>
  <c r="E109" i="48"/>
  <c r="J107" i="48"/>
  <c r="F109" i="47"/>
  <c r="G109" i="47" s="1"/>
  <c r="I108" i="47"/>
  <c r="H108" i="47"/>
  <c r="B26" i="47"/>
  <c r="G27" i="49"/>
  <c r="I27" i="49" s="1"/>
  <c r="D28" i="49"/>
  <c r="E28" i="49"/>
  <c r="H26" i="48"/>
  <c r="I26" i="48" s="1"/>
  <c r="D27" i="48"/>
  <c r="E27" i="48"/>
  <c r="G108" i="49" l="1"/>
  <c r="H108" i="49" s="1"/>
  <c r="D109" i="49"/>
  <c r="F109" i="49" s="1"/>
  <c r="B109" i="48"/>
  <c r="F109" i="48"/>
  <c r="I108" i="48"/>
  <c r="H108" i="48"/>
  <c r="E110" i="47"/>
  <c r="D110" i="47"/>
  <c r="B110" i="47" s="1"/>
  <c r="J108" i="47"/>
  <c r="H109" i="47"/>
  <c r="I109" i="47"/>
  <c r="F28" i="49"/>
  <c r="G28" i="49" s="1"/>
  <c r="B28" i="49"/>
  <c r="H26" i="47"/>
  <c r="D27" i="47"/>
  <c r="F27" i="48"/>
  <c r="G27" i="48" s="1"/>
  <c r="B27" i="48"/>
  <c r="G26" i="47"/>
  <c r="B109" i="49" l="1"/>
  <c r="I108" i="49"/>
  <c r="J108" i="49" s="1"/>
  <c r="J108" i="48"/>
  <c r="D110" i="49"/>
  <c r="G109" i="49"/>
  <c r="E110" i="49"/>
  <c r="E110" i="48"/>
  <c r="G109" i="48"/>
  <c r="D110" i="48"/>
  <c r="J109" i="47"/>
  <c r="F110" i="47"/>
  <c r="E111" i="47" s="1"/>
  <c r="I26" i="47"/>
  <c r="H27" i="48"/>
  <c r="I27" i="48" s="1"/>
  <c r="D28" i="48"/>
  <c r="E28" i="48"/>
  <c r="E27" i="47"/>
  <c r="F27" i="47" s="1"/>
  <c r="B27" i="47"/>
  <c r="H28" i="49"/>
  <c r="I28" i="49" s="1"/>
  <c r="D29" i="49"/>
  <c r="E29" i="49"/>
  <c r="B110" i="49" l="1"/>
  <c r="F110" i="49"/>
  <c r="I109" i="49"/>
  <c r="H109" i="49"/>
  <c r="B110" i="48"/>
  <c r="F110" i="48"/>
  <c r="I109" i="48"/>
  <c r="H109" i="48"/>
  <c r="G110" i="47"/>
  <c r="D111" i="47"/>
  <c r="G27" i="47"/>
  <c r="D28" i="47"/>
  <c r="H27" i="47"/>
  <c r="F28" i="48"/>
  <c r="G28" i="48" s="1"/>
  <c r="B28" i="48"/>
  <c r="B29" i="49"/>
  <c r="F29" i="49"/>
  <c r="D111" i="49" l="1"/>
  <c r="G110" i="49"/>
  <c r="E111" i="49"/>
  <c r="J109" i="49"/>
  <c r="J109" i="48"/>
  <c r="G110" i="48"/>
  <c r="D111" i="48"/>
  <c r="E111" i="48"/>
  <c r="B111" i="47"/>
  <c r="F111" i="47"/>
  <c r="H110" i="47"/>
  <c r="I110" i="47"/>
  <c r="I27" i="47"/>
  <c r="D30" i="49"/>
  <c r="E30" i="49"/>
  <c r="H28" i="48"/>
  <c r="I28" i="48" s="1"/>
  <c r="D29" i="48"/>
  <c r="E29" i="48"/>
  <c r="H29" i="49"/>
  <c r="E28" i="47"/>
  <c r="F28" i="47" s="1"/>
  <c r="H28" i="47" s="1"/>
  <c r="B28" i="47"/>
  <c r="G29" i="49"/>
  <c r="B111" i="49" l="1"/>
  <c r="F111" i="49"/>
  <c r="H110" i="49"/>
  <c r="I110" i="49"/>
  <c r="B111" i="48"/>
  <c r="F111" i="48"/>
  <c r="J110" i="47"/>
  <c r="I110" i="48"/>
  <c r="H110" i="48"/>
  <c r="E112" i="47"/>
  <c r="D112" i="47"/>
  <c r="G111" i="47"/>
  <c r="G28" i="47"/>
  <c r="I28" i="47" s="1"/>
  <c r="D29" i="47"/>
  <c r="E29" i="47"/>
  <c r="B30" i="49"/>
  <c r="F30" i="49"/>
  <c r="H30" i="49" s="1"/>
  <c r="I29" i="49"/>
  <c r="F29" i="48"/>
  <c r="H29" i="48" s="1"/>
  <c r="B29" i="48"/>
  <c r="J110" i="49" l="1"/>
  <c r="D112" i="49"/>
  <c r="B112" i="49" s="1"/>
  <c r="G111" i="49"/>
  <c r="E112" i="49"/>
  <c r="J110" i="48"/>
  <c r="G111" i="48"/>
  <c r="E112" i="48"/>
  <c r="D112" i="48"/>
  <c r="I111" i="47"/>
  <c r="H111" i="47"/>
  <c r="B112" i="47"/>
  <c r="F112" i="47"/>
  <c r="D30" i="48"/>
  <c r="E30" i="48"/>
  <c r="G30" i="49"/>
  <c r="I30" i="49" s="1"/>
  <c r="D31" i="49"/>
  <c r="E31" i="49"/>
  <c r="F29" i="47"/>
  <c r="H29" i="47" s="1"/>
  <c r="B29" i="47"/>
  <c r="G29" i="48"/>
  <c r="I29" i="48" s="1"/>
  <c r="F112" i="49" l="1"/>
  <c r="E113" i="49" s="1"/>
  <c r="H111" i="49"/>
  <c r="I111" i="49"/>
  <c r="B112" i="48"/>
  <c r="F112" i="48"/>
  <c r="I111" i="48"/>
  <c r="H111" i="48"/>
  <c r="G112" i="47"/>
  <c r="D113" i="47"/>
  <c r="E113" i="47"/>
  <c r="J111" i="47"/>
  <c r="F30" i="48"/>
  <c r="H30" i="48" s="1"/>
  <c r="B30" i="48"/>
  <c r="G29" i="47"/>
  <c r="I29" i="47" s="1"/>
  <c r="D30" i="47"/>
  <c r="F31" i="49"/>
  <c r="G31" i="49" s="1"/>
  <c r="B31" i="49"/>
  <c r="G112" i="49" l="1"/>
  <c r="I112" i="49" s="1"/>
  <c r="D113" i="49"/>
  <c r="B113" i="49" s="1"/>
  <c r="J111" i="49"/>
  <c r="J111" i="48"/>
  <c r="E113" i="48"/>
  <c r="D113" i="48"/>
  <c r="B113" i="48" s="1"/>
  <c r="G112" i="48"/>
  <c r="B113" i="47"/>
  <c r="F113" i="47"/>
  <c r="I112" i="47"/>
  <c r="H112" i="47"/>
  <c r="E30" i="47"/>
  <c r="F30" i="47" s="1"/>
  <c r="B30" i="47"/>
  <c r="H31" i="49"/>
  <c r="I31" i="49" s="1"/>
  <c r="D32" i="49"/>
  <c r="E32" i="49"/>
  <c r="G30" i="48"/>
  <c r="I30" i="48" s="1"/>
  <c r="D31" i="48"/>
  <c r="E31" i="48"/>
  <c r="H112" i="49" l="1"/>
  <c r="J112" i="49" s="1"/>
  <c r="F113" i="49"/>
  <c r="F113" i="48"/>
  <c r="E114" i="48" s="1"/>
  <c r="H112" i="48"/>
  <c r="I112" i="48"/>
  <c r="J112" i="47"/>
  <c r="G113" i="47"/>
  <c r="D114" i="47"/>
  <c r="B114" i="47" s="1"/>
  <c r="E114" i="47"/>
  <c r="D31" i="47"/>
  <c r="E31" i="47"/>
  <c r="G30" i="47"/>
  <c r="H30" i="47"/>
  <c r="F31" i="48"/>
  <c r="H31" i="48" s="1"/>
  <c r="B31" i="48"/>
  <c r="B32" i="49"/>
  <c r="F32" i="49"/>
  <c r="G113" i="49" l="1"/>
  <c r="D114" i="49"/>
  <c r="E114" i="49"/>
  <c r="J112" i="48"/>
  <c r="G113" i="48"/>
  <c r="H113" i="48" s="1"/>
  <c r="D114" i="48"/>
  <c r="B114" i="48" s="1"/>
  <c r="F114" i="47"/>
  <c r="H113" i="47"/>
  <c r="I113" i="47"/>
  <c r="I30" i="47"/>
  <c r="H32" i="49"/>
  <c r="D33" i="49"/>
  <c r="E33" i="49"/>
  <c r="G31" i="48"/>
  <c r="I31" i="48" s="1"/>
  <c r="D32" i="48"/>
  <c r="E32" i="48"/>
  <c r="G32" i="49"/>
  <c r="B31" i="47"/>
  <c r="F31" i="47"/>
  <c r="B114" i="49" l="1"/>
  <c r="F114" i="49"/>
  <c r="H113" i="49"/>
  <c r="I113" i="49"/>
  <c r="J113" i="47"/>
  <c r="F114" i="48"/>
  <c r="D115" i="48" s="1"/>
  <c r="B115" i="48" s="1"/>
  <c r="I113" i="48"/>
  <c r="J113" i="48" s="1"/>
  <c r="E115" i="47"/>
  <c r="G114" i="47"/>
  <c r="D115" i="47"/>
  <c r="I32" i="49"/>
  <c r="F33" i="49"/>
  <c r="G33" i="49" s="1"/>
  <c r="B33" i="49"/>
  <c r="G31" i="47"/>
  <c r="D32" i="47"/>
  <c r="H31" i="47"/>
  <c r="F32" i="48"/>
  <c r="G32" i="48" s="1"/>
  <c r="B32" i="48"/>
  <c r="J113" i="49" l="1"/>
  <c r="E115" i="49"/>
  <c r="G114" i="49"/>
  <c r="D115" i="49"/>
  <c r="G114" i="48"/>
  <c r="I114" i="48" s="1"/>
  <c r="E115" i="48"/>
  <c r="F115" i="48" s="1"/>
  <c r="D116" i="48" s="1"/>
  <c r="B116" i="48" s="1"/>
  <c r="B115" i="47"/>
  <c r="F115" i="47"/>
  <c r="I114" i="47"/>
  <c r="H114" i="47"/>
  <c r="I31" i="47"/>
  <c r="H32" i="48"/>
  <c r="I32" i="48" s="1"/>
  <c r="E32" i="47"/>
  <c r="F32" i="47" s="1"/>
  <c r="D33" i="47" s="1"/>
  <c r="B32" i="47"/>
  <c r="D33" i="48"/>
  <c r="E33" i="48"/>
  <c r="H33" i="49"/>
  <c r="I33" i="49" s="1"/>
  <c r="D34" i="49"/>
  <c r="E34" i="49"/>
  <c r="H114" i="49" l="1"/>
  <c r="I114" i="49"/>
  <c r="B115" i="49"/>
  <c r="F115" i="49"/>
  <c r="H114" i="48"/>
  <c r="J114" i="48" s="1"/>
  <c r="E116" i="48"/>
  <c r="F116" i="48" s="1"/>
  <c r="D117" i="48" s="1"/>
  <c r="G115" i="48"/>
  <c r="H115" i="48" s="1"/>
  <c r="J114" i="47"/>
  <c r="D116" i="47"/>
  <c r="E116" i="47"/>
  <c r="G115" i="47"/>
  <c r="H32" i="47"/>
  <c r="B34" i="49"/>
  <c r="F34" i="49"/>
  <c r="G34" i="49" s="1"/>
  <c r="E33" i="47"/>
  <c r="F33" i="47" s="1"/>
  <c r="G33" i="47" s="1"/>
  <c r="B33" i="47"/>
  <c r="B33" i="48"/>
  <c r="F33" i="48"/>
  <c r="G33" i="48" s="1"/>
  <c r="G32" i="47"/>
  <c r="J114" i="49" l="1"/>
  <c r="E116" i="49"/>
  <c r="D116" i="49"/>
  <c r="G115" i="49"/>
  <c r="E117" i="48"/>
  <c r="F117" i="48" s="1"/>
  <c r="G116" i="48"/>
  <c r="I116" i="48" s="1"/>
  <c r="I115" i="48"/>
  <c r="J115" i="48" s="1"/>
  <c r="B117" i="48"/>
  <c r="H115" i="47"/>
  <c r="I115" i="47"/>
  <c r="B116" i="47"/>
  <c r="F116" i="47"/>
  <c r="H33" i="48"/>
  <c r="I33" i="48" s="1"/>
  <c r="H33" i="47"/>
  <c r="I33" i="47" s="1"/>
  <c r="D34" i="47"/>
  <c r="H34" i="49"/>
  <c r="I34" i="49" s="1"/>
  <c r="D35" i="49"/>
  <c r="E35" i="49"/>
  <c r="D34" i="48"/>
  <c r="E34" i="48"/>
  <c r="I32" i="47"/>
  <c r="H115" i="49" l="1"/>
  <c r="I115" i="49"/>
  <c r="B116" i="49"/>
  <c r="F116" i="49"/>
  <c r="H116" i="48"/>
  <c r="J116" i="48" s="1"/>
  <c r="D118" i="48"/>
  <c r="B118" i="48" s="1"/>
  <c r="E118" i="48"/>
  <c r="G117" i="48"/>
  <c r="E117" i="47"/>
  <c r="D117" i="47"/>
  <c r="G116" i="47"/>
  <c r="J115" i="47"/>
  <c r="F34" i="48"/>
  <c r="G34" i="48" s="1"/>
  <c r="B34" i="48"/>
  <c r="F35" i="49"/>
  <c r="H35" i="49" s="1"/>
  <c r="B35" i="49"/>
  <c r="E34" i="47"/>
  <c r="F34" i="47" s="1"/>
  <c r="B34" i="47"/>
  <c r="J115" i="49" l="1"/>
  <c r="D117" i="49"/>
  <c r="E117" i="49"/>
  <c r="G116" i="49"/>
  <c r="F118" i="48"/>
  <c r="G118" i="48" s="1"/>
  <c r="I117" i="48"/>
  <c r="H117" i="48"/>
  <c r="B117" i="47"/>
  <c r="F117" i="47"/>
  <c r="H116" i="47"/>
  <c r="I116" i="47"/>
  <c r="H34" i="47"/>
  <c r="D35" i="47"/>
  <c r="G34" i="47"/>
  <c r="G35" i="49"/>
  <c r="I35" i="49" s="1"/>
  <c r="D36" i="49"/>
  <c r="E36" i="49"/>
  <c r="H34" i="48"/>
  <c r="I34" i="48" s="1"/>
  <c r="D35" i="48"/>
  <c r="E35" i="48"/>
  <c r="H116" i="49" l="1"/>
  <c r="I116" i="49"/>
  <c r="B117" i="49"/>
  <c r="F117" i="49"/>
  <c r="J116" i="47"/>
  <c r="E119" i="48"/>
  <c r="D119" i="48"/>
  <c r="H118" i="48"/>
  <c r="I118" i="48"/>
  <c r="J117" i="48"/>
  <c r="G117" i="47"/>
  <c r="D118" i="47"/>
  <c r="B118" i="47" s="1"/>
  <c r="E118" i="47"/>
  <c r="I34" i="47"/>
  <c r="F35" i="48"/>
  <c r="G35" i="48" s="1"/>
  <c r="B35" i="48"/>
  <c r="E35" i="47"/>
  <c r="F35" i="47" s="1"/>
  <c r="G35" i="47" s="1"/>
  <c r="B35" i="47"/>
  <c r="F36" i="49"/>
  <c r="G36" i="49" s="1"/>
  <c r="B36" i="49"/>
  <c r="E118" i="49" l="1"/>
  <c r="G117" i="49"/>
  <c r="D118" i="49"/>
  <c r="J116" i="49"/>
  <c r="F119" i="48"/>
  <c r="G119" i="48" s="1"/>
  <c r="J118" i="48"/>
  <c r="B119" i="48"/>
  <c r="F118" i="47"/>
  <c r="E119" i="47" s="1"/>
  <c r="I117" i="47"/>
  <c r="H117" i="47"/>
  <c r="H35" i="47"/>
  <c r="I35" i="47" s="1"/>
  <c r="D36" i="47"/>
  <c r="H36" i="49"/>
  <c r="I36" i="49" s="1"/>
  <c r="D37" i="49"/>
  <c r="E37" i="49"/>
  <c r="H35" i="48"/>
  <c r="I35" i="48" s="1"/>
  <c r="D36" i="48"/>
  <c r="E36" i="48"/>
  <c r="D120" i="48" l="1"/>
  <c r="B120" i="48" s="1"/>
  <c r="E120" i="48"/>
  <c r="B118" i="49"/>
  <c r="F118" i="49"/>
  <c r="I117" i="49"/>
  <c r="H117" i="49"/>
  <c r="D119" i="47"/>
  <c r="B119" i="47" s="1"/>
  <c r="G118" i="47"/>
  <c r="H118" i="47" s="1"/>
  <c r="I119" i="48"/>
  <c r="H119" i="48"/>
  <c r="J117" i="47"/>
  <c r="E36" i="47"/>
  <c r="F36" i="47" s="1"/>
  <c r="G36" i="47" s="1"/>
  <c r="B36" i="47"/>
  <c r="B37" i="49"/>
  <c r="F37" i="49"/>
  <c r="H37" i="49" s="1"/>
  <c r="F36" i="48"/>
  <c r="H36" i="48" s="1"/>
  <c r="B36" i="48"/>
  <c r="F120" i="48" l="1"/>
  <c r="D121" i="48" s="1"/>
  <c r="J117" i="49"/>
  <c r="D119" i="49"/>
  <c r="G118" i="49"/>
  <c r="E119" i="49"/>
  <c r="I118" i="47"/>
  <c r="J118" i="47" s="1"/>
  <c r="F119" i="47"/>
  <c r="E120" i="47" s="1"/>
  <c r="J119" i="48"/>
  <c r="G120" i="48"/>
  <c r="G36" i="48"/>
  <c r="I36" i="48" s="1"/>
  <c r="D37" i="48"/>
  <c r="E37" i="48"/>
  <c r="H36" i="47"/>
  <c r="I36" i="47" s="1"/>
  <c r="D37" i="47"/>
  <c r="G37" i="49"/>
  <c r="I37" i="49" s="1"/>
  <c r="D38" i="49"/>
  <c r="E38" i="49"/>
  <c r="E121" i="48" l="1"/>
  <c r="F121" i="48" s="1"/>
  <c r="D120" i="47"/>
  <c r="B120" i="47" s="1"/>
  <c r="B119" i="49"/>
  <c r="F119" i="49"/>
  <c r="H118" i="49"/>
  <c r="I118" i="49"/>
  <c r="G119" i="47"/>
  <c r="I119" i="47" s="1"/>
  <c r="H120" i="48"/>
  <c r="I120" i="48"/>
  <c r="B121" i="48"/>
  <c r="F38" i="49"/>
  <c r="H38" i="49" s="1"/>
  <c r="B38" i="49"/>
  <c r="B37" i="48"/>
  <c r="F37" i="48"/>
  <c r="G37" i="48" s="1"/>
  <c r="E37" i="47"/>
  <c r="F37" i="47" s="1"/>
  <c r="D38" i="47" s="1"/>
  <c r="B37" i="47"/>
  <c r="F120" i="47" l="1"/>
  <c r="J118" i="49"/>
  <c r="H119" i="47"/>
  <c r="J119" i="47" s="1"/>
  <c r="D120" i="49"/>
  <c r="G119" i="49"/>
  <c r="E120" i="49"/>
  <c r="J120" i="48"/>
  <c r="G121" i="48"/>
  <c r="D122" i="48"/>
  <c r="B122" i="48" s="1"/>
  <c r="E122" i="48"/>
  <c r="D121" i="47"/>
  <c r="B121" i="47" s="1"/>
  <c r="E121" i="47"/>
  <c r="G120" i="47"/>
  <c r="G38" i="49"/>
  <c r="I38" i="49" s="1"/>
  <c r="D39" i="49"/>
  <c r="E39" i="49"/>
  <c r="E38" i="47"/>
  <c r="F38" i="47" s="1"/>
  <c r="G38" i="47" s="1"/>
  <c r="B38" i="47"/>
  <c r="G37" i="47"/>
  <c r="H37" i="47"/>
  <c r="H37" i="48"/>
  <c r="I37" i="48" s="1"/>
  <c r="D38" i="48"/>
  <c r="E38" i="48"/>
  <c r="I119" i="49" l="1"/>
  <c r="H119" i="49"/>
  <c r="B120" i="49"/>
  <c r="F120" i="49"/>
  <c r="F122" i="48"/>
  <c r="G122" i="48" s="1"/>
  <c r="F121" i="47"/>
  <c r="E122" i="47" s="1"/>
  <c r="H121" i="48"/>
  <c r="I121" i="48"/>
  <c r="H120" i="47"/>
  <c r="I120" i="47"/>
  <c r="I37" i="47"/>
  <c r="H38" i="47"/>
  <c r="I38" i="47" s="1"/>
  <c r="D39" i="47"/>
  <c r="F38" i="48"/>
  <c r="G38" i="48" s="1"/>
  <c r="B38" i="48"/>
  <c r="F39" i="49"/>
  <c r="G39" i="49" s="1"/>
  <c r="B39" i="49"/>
  <c r="E123" i="48" l="1"/>
  <c r="D123" i="48"/>
  <c r="B123" i="48" s="1"/>
  <c r="D121" i="49"/>
  <c r="E121" i="49"/>
  <c r="G120" i="49"/>
  <c r="J119" i="49"/>
  <c r="J120" i="47"/>
  <c r="G121" i="47"/>
  <c r="H121" i="47" s="1"/>
  <c r="D122" i="47"/>
  <c r="B122" i="47" s="1"/>
  <c r="H122" i="48"/>
  <c r="I122" i="48"/>
  <c r="J121" i="48"/>
  <c r="H39" i="49"/>
  <c r="I39" i="49" s="1"/>
  <c r="D40" i="49"/>
  <c r="E40" i="49"/>
  <c r="E39" i="47"/>
  <c r="F39" i="47" s="1"/>
  <c r="D40" i="47" s="1"/>
  <c r="B39" i="47"/>
  <c r="H38" i="48"/>
  <c r="I38" i="48" s="1"/>
  <c r="D39" i="48"/>
  <c r="E39" i="48"/>
  <c r="F123" i="48" l="1"/>
  <c r="D124" i="48" s="1"/>
  <c r="I120" i="49"/>
  <c r="H120" i="49"/>
  <c r="F121" i="49"/>
  <c r="B121" i="49"/>
  <c r="F122" i="47"/>
  <c r="D123" i="47" s="1"/>
  <c r="J122" i="48"/>
  <c r="I121" i="47"/>
  <c r="J121" i="47" s="1"/>
  <c r="E124" i="48"/>
  <c r="G123" i="48"/>
  <c r="E40" i="47"/>
  <c r="F40" i="47" s="1"/>
  <c r="B40" i="47"/>
  <c r="F39" i="48"/>
  <c r="H39" i="48" s="1"/>
  <c r="B39" i="48"/>
  <c r="H39" i="47"/>
  <c r="F40" i="49"/>
  <c r="G40" i="49" s="1"/>
  <c r="B40" i="49"/>
  <c r="G39" i="47"/>
  <c r="E123" i="47" l="1"/>
  <c r="F123" i="47" s="1"/>
  <c r="G121" i="49"/>
  <c r="E122" i="49"/>
  <c r="D122" i="49"/>
  <c r="B122" i="49" s="1"/>
  <c r="J120" i="49"/>
  <c r="G122" i="47"/>
  <c r="I122" i="47" s="1"/>
  <c r="H123" i="48"/>
  <c r="I123" i="48"/>
  <c r="B124" i="48"/>
  <c r="F124" i="48"/>
  <c r="B123" i="47"/>
  <c r="I39" i="47"/>
  <c r="G40" i="47"/>
  <c r="D41" i="47"/>
  <c r="G39" i="48"/>
  <c r="I39" i="48" s="1"/>
  <c r="D40" i="48"/>
  <c r="E40" i="48"/>
  <c r="H40" i="49"/>
  <c r="I40" i="49" s="1"/>
  <c r="D41" i="49"/>
  <c r="E41" i="49"/>
  <c r="H40" i="47"/>
  <c r="F122" i="49" l="1"/>
  <c r="I121" i="49"/>
  <c r="H121" i="49"/>
  <c r="H122" i="47"/>
  <c r="J122" i="47" s="1"/>
  <c r="J123" i="48"/>
  <c r="D125" i="48"/>
  <c r="B125" i="48" s="1"/>
  <c r="G124" i="48"/>
  <c r="E125" i="48"/>
  <c r="D124" i="47"/>
  <c r="G123" i="47"/>
  <c r="E124" i="47"/>
  <c r="I40" i="47"/>
  <c r="F40" i="48"/>
  <c r="H40" i="48" s="1"/>
  <c r="B40" i="48"/>
  <c r="B41" i="49"/>
  <c r="F41" i="49"/>
  <c r="E41" i="47"/>
  <c r="F41" i="47" s="1"/>
  <c r="H41" i="47" s="1"/>
  <c r="B41" i="47"/>
  <c r="J121" i="49" l="1"/>
  <c r="E123" i="49"/>
  <c r="G122" i="49"/>
  <c r="D123" i="49"/>
  <c r="F125" i="48"/>
  <c r="E126" i="48" s="1"/>
  <c r="H124" i="48"/>
  <c r="I124" i="48"/>
  <c r="I123" i="47"/>
  <c r="H123" i="47"/>
  <c r="B124" i="47"/>
  <c r="F124" i="47"/>
  <c r="G40" i="48"/>
  <c r="I40" i="48" s="1"/>
  <c r="D41" i="48"/>
  <c r="E41" i="48"/>
  <c r="D42" i="49"/>
  <c r="E42" i="49"/>
  <c r="G41" i="47"/>
  <c r="I41" i="47" s="1"/>
  <c r="D42" i="47"/>
  <c r="H41" i="49"/>
  <c r="G41" i="49"/>
  <c r="B123" i="49" l="1"/>
  <c r="F123" i="49"/>
  <c r="H122" i="49"/>
  <c r="I122" i="49"/>
  <c r="G125" i="48"/>
  <c r="H125" i="48" s="1"/>
  <c r="D126" i="48"/>
  <c r="F126" i="48" s="1"/>
  <c r="J124" i="48"/>
  <c r="G124" i="47"/>
  <c r="D125" i="47"/>
  <c r="E125" i="47"/>
  <c r="J123" i="47"/>
  <c r="I41" i="49"/>
  <c r="F41" i="48"/>
  <c r="B41" i="48"/>
  <c r="E42" i="47"/>
  <c r="F42" i="47" s="1"/>
  <c r="B42" i="47"/>
  <c r="B42" i="49"/>
  <c r="F42" i="49"/>
  <c r="H42" i="49" s="1"/>
  <c r="J122" i="49" l="1"/>
  <c r="B126" i="48"/>
  <c r="D124" i="49"/>
  <c r="E124" i="49"/>
  <c r="G123" i="49"/>
  <c r="I125" i="48"/>
  <c r="J125" i="48" s="1"/>
  <c r="G126" i="48"/>
  <c r="E127" i="48"/>
  <c r="D127" i="48"/>
  <c r="B127" i="48" s="1"/>
  <c r="F125" i="47"/>
  <c r="B125" i="47"/>
  <c r="I124" i="47"/>
  <c r="H124" i="47"/>
  <c r="D43" i="47"/>
  <c r="B43" i="47" s="1"/>
  <c r="H42" i="47"/>
  <c r="G42" i="47"/>
  <c r="H41" i="48"/>
  <c r="D42" i="48"/>
  <c r="E42" i="48"/>
  <c r="G42" i="49"/>
  <c r="I42" i="49" s="1"/>
  <c r="D43" i="49"/>
  <c r="G41" i="48"/>
  <c r="I123" i="49" l="1"/>
  <c r="H123" i="49"/>
  <c r="B124" i="49"/>
  <c r="F124" i="49"/>
  <c r="J124" i="47"/>
  <c r="F127" i="48"/>
  <c r="I126" i="48"/>
  <c r="H126" i="48"/>
  <c r="G125" i="47"/>
  <c r="E126" i="47"/>
  <c r="D126" i="47"/>
  <c r="B126" i="47" s="1"/>
  <c r="E43" i="47"/>
  <c r="F43" i="47" s="1"/>
  <c r="D44" i="47" s="1"/>
  <c r="E44" i="47" s="1"/>
  <c r="F44" i="47" s="1"/>
  <c r="H44" i="47" s="1"/>
  <c r="I41" i="48"/>
  <c r="I42" i="47"/>
  <c r="E43" i="49"/>
  <c r="F43" i="49" s="1"/>
  <c r="H43" i="49" s="1"/>
  <c r="B43" i="49"/>
  <c r="B42" i="48"/>
  <c r="F42" i="48"/>
  <c r="D125" i="49" l="1"/>
  <c r="G124" i="49"/>
  <c r="E125" i="49"/>
  <c r="J123" i="49"/>
  <c r="J126" i="48"/>
  <c r="G127" i="48"/>
  <c r="D128" i="48"/>
  <c r="B128" i="48" s="1"/>
  <c r="E128" i="48"/>
  <c r="F126" i="47"/>
  <c r="H125" i="47"/>
  <c r="I125" i="47"/>
  <c r="H43" i="47"/>
  <c r="B44" i="47"/>
  <c r="G43" i="47"/>
  <c r="G42" i="48"/>
  <c r="D43" i="48"/>
  <c r="E43" i="48"/>
  <c r="G44" i="47"/>
  <c r="I44" i="47" s="1"/>
  <c r="D45" i="47"/>
  <c r="G43" i="49"/>
  <c r="I43" i="49" s="1"/>
  <c r="D44" i="49"/>
  <c r="E44" i="49"/>
  <c r="H42" i="48"/>
  <c r="I124" i="49" l="1"/>
  <c r="H124" i="49"/>
  <c r="B125" i="49"/>
  <c r="F125" i="49"/>
  <c r="F128" i="48"/>
  <c r="E129" i="48" s="1"/>
  <c r="J125" i="47"/>
  <c r="I127" i="48"/>
  <c r="H127" i="48"/>
  <c r="D127" i="47"/>
  <c r="E127" i="47"/>
  <c r="G126" i="47"/>
  <c r="I43" i="47"/>
  <c r="I42" i="48"/>
  <c r="B44" i="49"/>
  <c r="F44" i="49"/>
  <c r="G44" i="49" s="1"/>
  <c r="F43" i="48"/>
  <c r="G43" i="48" s="1"/>
  <c r="B43" i="48"/>
  <c r="E45" i="47"/>
  <c r="F45" i="47" s="1"/>
  <c r="B45" i="47"/>
  <c r="D126" i="49" l="1"/>
  <c r="E126" i="49"/>
  <c r="G125" i="49"/>
  <c r="D129" i="48"/>
  <c r="F129" i="48" s="1"/>
  <c r="G128" i="48"/>
  <c r="H128" i="48" s="1"/>
  <c r="J124" i="49"/>
  <c r="J127" i="48"/>
  <c r="B129" i="48"/>
  <c r="H126" i="47"/>
  <c r="I126" i="47"/>
  <c r="B127" i="47"/>
  <c r="F127" i="47"/>
  <c r="G45" i="47"/>
  <c r="D46" i="47"/>
  <c r="H45" i="47"/>
  <c r="H43" i="48"/>
  <c r="I43" i="48" s="1"/>
  <c r="D44" i="48"/>
  <c r="E44" i="48"/>
  <c r="H44" i="49"/>
  <c r="I44" i="49" s="1"/>
  <c r="D45" i="49"/>
  <c r="E45" i="49"/>
  <c r="I128" i="48" l="1"/>
  <c r="J128" i="48" s="1"/>
  <c r="H125" i="49"/>
  <c r="I125" i="49"/>
  <c r="F126" i="49"/>
  <c r="B126" i="49"/>
  <c r="J126" i="47"/>
  <c r="D130" i="48"/>
  <c r="E130" i="48"/>
  <c r="G129" i="48"/>
  <c r="D128" i="47"/>
  <c r="G127" i="47"/>
  <c r="E128" i="47"/>
  <c r="I45" i="47"/>
  <c r="B45" i="49"/>
  <c r="F45" i="49"/>
  <c r="G45" i="49" s="1"/>
  <c r="F44" i="48"/>
  <c r="B44" i="48"/>
  <c r="E46" i="47"/>
  <c r="F46" i="47" s="1"/>
  <c r="B46" i="47"/>
  <c r="J125" i="49" l="1"/>
  <c r="G126" i="49"/>
  <c r="D127" i="49"/>
  <c r="E127" i="49"/>
  <c r="I129" i="48"/>
  <c r="H129" i="48"/>
  <c r="B130" i="48"/>
  <c r="F130" i="48"/>
  <c r="H127" i="47"/>
  <c r="I127" i="47"/>
  <c r="B128" i="47"/>
  <c r="F128" i="47"/>
  <c r="H45" i="49"/>
  <c r="I45" i="49" s="1"/>
  <c r="H46" i="47"/>
  <c r="D47" i="47"/>
  <c r="G46" i="47"/>
  <c r="D45" i="48"/>
  <c r="E45" i="48"/>
  <c r="G44" i="48"/>
  <c r="D46" i="49"/>
  <c r="E46" i="49"/>
  <c r="H44" i="48"/>
  <c r="F127" i="49" l="1"/>
  <c r="B127" i="49"/>
  <c r="I126" i="49"/>
  <c r="H126" i="49"/>
  <c r="J129" i="48"/>
  <c r="G130" i="48"/>
  <c r="D131" i="48"/>
  <c r="B131" i="48" s="1"/>
  <c r="E131" i="48"/>
  <c r="J127" i="47"/>
  <c r="D129" i="47"/>
  <c r="B129" i="47" s="1"/>
  <c r="G128" i="47"/>
  <c r="E129" i="47"/>
  <c r="I44" i="48"/>
  <c r="I46" i="47"/>
  <c r="B45" i="48"/>
  <c r="F45" i="48"/>
  <c r="H45" i="48" s="1"/>
  <c r="B46" i="49"/>
  <c r="F46" i="49"/>
  <c r="H46" i="49" s="1"/>
  <c r="E47" i="47"/>
  <c r="F47" i="47" s="1"/>
  <c r="B47" i="47"/>
  <c r="J126" i="49" l="1"/>
  <c r="G127" i="49"/>
  <c r="E128" i="49"/>
  <c r="D128" i="49"/>
  <c r="F131" i="48"/>
  <c r="H130" i="48"/>
  <c r="I130" i="48"/>
  <c r="F129" i="47"/>
  <c r="H128" i="47"/>
  <c r="I128" i="47"/>
  <c r="H47" i="47"/>
  <c r="D48" i="47"/>
  <c r="G47" i="47"/>
  <c r="G46" i="49"/>
  <c r="I46" i="49" s="1"/>
  <c r="D47" i="49"/>
  <c r="E47" i="49"/>
  <c r="G45" i="48"/>
  <c r="I45" i="48" s="1"/>
  <c r="D46" i="48"/>
  <c r="E46" i="48"/>
  <c r="F128" i="49" l="1"/>
  <c r="B128" i="49"/>
  <c r="I127" i="49"/>
  <c r="H127" i="49"/>
  <c r="J130" i="48"/>
  <c r="J155" i="48" s="1"/>
  <c r="J128" i="47"/>
  <c r="I47" i="47"/>
  <c r="D132" i="48"/>
  <c r="E132" i="48"/>
  <c r="G131" i="48"/>
  <c r="G129" i="47"/>
  <c r="D130" i="47"/>
  <c r="B130" i="47" s="1"/>
  <c r="E130" i="47"/>
  <c r="B46" i="48"/>
  <c r="F46" i="48"/>
  <c r="E48" i="47"/>
  <c r="F48" i="47" s="1"/>
  <c r="H48" i="47" s="1"/>
  <c r="B48" i="47"/>
  <c r="B47" i="49"/>
  <c r="F47" i="49"/>
  <c r="D48" i="49" s="1"/>
  <c r="J127" i="49" l="1"/>
  <c r="D129" i="49"/>
  <c r="G128" i="49"/>
  <c r="E129" i="49"/>
  <c r="H131" i="48"/>
  <c r="I131" i="48"/>
  <c r="B132" i="48"/>
  <c r="F132" i="48"/>
  <c r="F130" i="47"/>
  <c r="I129" i="47"/>
  <c r="H129" i="47"/>
  <c r="H47" i="49"/>
  <c r="E48" i="49"/>
  <c r="F48" i="49" s="1"/>
  <c r="B48" i="49"/>
  <c r="H46" i="48"/>
  <c r="D47" i="48"/>
  <c r="E47" i="48"/>
  <c r="G48" i="47"/>
  <c r="I48" i="47" s="1"/>
  <c r="D49" i="47"/>
  <c r="G47" i="49"/>
  <c r="G46" i="48"/>
  <c r="I128" i="49" l="1"/>
  <c r="H128" i="49"/>
  <c r="F129" i="49"/>
  <c r="B129" i="49"/>
  <c r="J129" i="47"/>
  <c r="D133" i="48"/>
  <c r="G132" i="48"/>
  <c r="E133" i="48"/>
  <c r="G130" i="47"/>
  <c r="D131" i="47"/>
  <c r="E131" i="47"/>
  <c r="I47" i="49"/>
  <c r="D49" i="49"/>
  <c r="B49" i="49" s="1"/>
  <c r="H48" i="49"/>
  <c r="F47" i="48"/>
  <c r="H47" i="48" s="1"/>
  <c r="B47" i="48"/>
  <c r="G48" i="49"/>
  <c r="E49" i="47"/>
  <c r="F49" i="47" s="1"/>
  <c r="H49" i="47" s="1"/>
  <c r="B49" i="47"/>
  <c r="E49" i="49"/>
  <c r="I46" i="48"/>
  <c r="G129" i="49" l="1"/>
  <c r="D130" i="49"/>
  <c r="E130" i="49"/>
  <c r="J128" i="49"/>
  <c r="B133" i="48"/>
  <c r="F133" i="48"/>
  <c r="H132" i="48"/>
  <c r="I132" i="48"/>
  <c r="B131" i="47"/>
  <c r="F131" i="47"/>
  <c r="H130" i="47"/>
  <c r="I130" i="47"/>
  <c r="I48" i="49"/>
  <c r="F49" i="49"/>
  <c r="G49" i="49" s="1"/>
  <c r="G47" i="48"/>
  <c r="I47" i="48" s="1"/>
  <c r="G49" i="47"/>
  <c r="I49" i="47" s="1"/>
  <c r="D50" i="47"/>
  <c r="D48" i="48"/>
  <c r="E48" i="48"/>
  <c r="B130" i="49" l="1"/>
  <c r="F130" i="49"/>
  <c r="I129" i="49"/>
  <c r="H129" i="49"/>
  <c r="J130" i="47"/>
  <c r="J155" i="47" s="1"/>
  <c r="G133" i="48"/>
  <c r="E134" i="48"/>
  <c r="D134" i="48"/>
  <c r="B134" i="48" s="1"/>
  <c r="D132" i="47"/>
  <c r="B132" i="47" s="1"/>
  <c r="G131" i="47"/>
  <c r="E132" i="47"/>
  <c r="D50" i="49"/>
  <c r="B50" i="49" s="1"/>
  <c r="H49" i="49"/>
  <c r="I49" i="49" s="1"/>
  <c r="E50" i="49"/>
  <c r="B48" i="48"/>
  <c r="F48" i="48"/>
  <c r="G48" i="48" s="1"/>
  <c r="E50" i="47"/>
  <c r="F50" i="47" s="1"/>
  <c r="B50" i="47"/>
  <c r="J129" i="49" l="1"/>
  <c r="G130" i="49"/>
  <c r="D131" i="49"/>
  <c r="E131" i="49"/>
  <c r="H133" i="48"/>
  <c r="I133" i="48"/>
  <c r="F134" i="48"/>
  <c r="F132" i="47"/>
  <c r="E133" i="47" s="1"/>
  <c r="H131" i="47"/>
  <c r="I131" i="47"/>
  <c r="F50" i="49"/>
  <c r="H50" i="49" s="1"/>
  <c r="H50" i="47"/>
  <c r="D51" i="47"/>
  <c r="H48" i="48"/>
  <c r="I48" i="48" s="1"/>
  <c r="D49" i="48"/>
  <c r="E49" i="48"/>
  <c r="G50" i="47"/>
  <c r="B131" i="49" l="1"/>
  <c r="F131" i="49"/>
  <c r="I130" i="49"/>
  <c r="H130" i="49"/>
  <c r="G132" i="47"/>
  <c r="I132" i="47" s="1"/>
  <c r="D133" i="47"/>
  <c r="B133" i="47" s="1"/>
  <c r="E135" i="48"/>
  <c r="G134" i="48"/>
  <c r="D135" i="48"/>
  <c r="B135" i="48" s="1"/>
  <c r="E51" i="49"/>
  <c r="D51" i="49"/>
  <c r="B51" i="49" s="1"/>
  <c r="G50" i="49"/>
  <c r="I50" i="49" s="1"/>
  <c r="E51" i="47"/>
  <c r="F51" i="47" s="1"/>
  <c r="H51" i="47" s="1"/>
  <c r="B51" i="47"/>
  <c r="I50" i="47"/>
  <c r="F49" i="48"/>
  <c r="G49" i="48" s="1"/>
  <c r="B49" i="48"/>
  <c r="H132" i="47" l="1"/>
  <c r="J130" i="49"/>
  <c r="J155" i="49" s="1"/>
  <c r="E132" i="49"/>
  <c r="D132" i="49"/>
  <c r="G131" i="49"/>
  <c r="F133" i="47"/>
  <c r="E134" i="47" s="1"/>
  <c r="I134" i="48"/>
  <c r="H134" i="48"/>
  <c r="F135" i="48"/>
  <c r="F51" i="49"/>
  <c r="G51" i="49" s="1"/>
  <c r="G51" i="47"/>
  <c r="I51" i="47" s="1"/>
  <c r="D52" i="47"/>
  <c r="H49" i="48"/>
  <c r="I49" i="48" s="1"/>
  <c r="D50" i="48"/>
  <c r="E50" i="48"/>
  <c r="H131" i="49" l="1"/>
  <c r="I131" i="49"/>
  <c r="F132" i="49"/>
  <c r="B132" i="49"/>
  <c r="G133" i="47"/>
  <c r="I133" i="47" s="1"/>
  <c r="D134" i="47"/>
  <c r="B134" i="47" s="1"/>
  <c r="H51" i="49"/>
  <c r="I51" i="49" s="1"/>
  <c r="G135" i="48"/>
  <c r="E136" i="48"/>
  <c r="D136" i="48"/>
  <c r="E52" i="49"/>
  <c r="D52" i="49"/>
  <c r="E52" i="47"/>
  <c r="F52" i="47" s="1"/>
  <c r="B52" i="47"/>
  <c r="F50" i="48"/>
  <c r="G50" i="48" s="1"/>
  <c r="B50" i="48"/>
  <c r="F134" i="47" l="1"/>
  <c r="G134" i="47" s="1"/>
  <c r="D133" i="49"/>
  <c r="E133" i="49"/>
  <c r="G132" i="49"/>
  <c r="H133" i="47"/>
  <c r="F52" i="49"/>
  <c r="G52" i="49" s="1"/>
  <c r="B136" i="48"/>
  <c r="F136" i="48"/>
  <c r="I135" i="48"/>
  <c r="H135" i="48"/>
  <c r="B52" i="49"/>
  <c r="G52" i="47"/>
  <c r="D53" i="47"/>
  <c r="H52" i="47"/>
  <c r="H50" i="48"/>
  <c r="I50" i="48" s="1"/>
  <c r="D51" i="48"/>
  <c r="E51" i="48"/>
  <c r="D135" i="47" l="1"/>
  <c r="B135" i="47" s="1"/>
  <c r="E135" i="47"/>
  <c r="I132" i="49"/>
  <c r="H132" i="49"/>
  <c r="F133" i="49"/>
  <c r="B133" i="49"/>
  <c r="E53" i="49"/>
  <c r="D53" i="49"/>
  <c r="H52" i="49"/>
  <c r="I52" i="49" s="1"/>
  <c r="D137" i="48"/>
  <c r="B137" i="48" s="1"/>
  <c r="G136" i="48"/>
  <c r="E137" i="48"/>
  <c r="I134" i="47"/>
  <c r="H134" i="47"/>
  <c r="I52" i="47"/>
  <c r="F51" i="48"/>
  <c r="G51" i="48" s="1"/>
  <c r="B51" i="48"/>
  <c r="E53" i="47"/>
  <c r="F53" i="47" s="1"/>
  <c r="B53" i="47"/>
  <c r="F53" i="49" l="1"/>
  <c r="H53" i="49" s="1"/>
  <c r="F135" i="47"/>
  <c r="E136" i="47" s="1"/>
  <c r="D134" i="49"/>
  <c r="G133" i="49"/>
  <c r="E134" i="49"/>
  <c r="B53" i="49"/>
  <c r="F137" i="48"/>
  <c r="G137" i="48" s="1"/>
  <c r="H136" i="48"/>
  <c r="I136" i="48"/>
  <c r="H53" i="47"/>
  <c r="D54" i="47"/>
  <c r="G53" i="47"/>
  <c r="H51" i="48"/>
  <c r="I51" i="48" s="1"/>
  <c r="D52" i="48"/>
  <c r="E52" i="48"/>
  <c r="G53" i="49" l="1"/>
  <c r="E54" i="49"/>
  <c r="D54" i="49"/>
  <c r="G135" i="47"/>
  <c r="D136" i="47"/>
  <c r="F136" i="47" s="1"/>
  <c r="H133" i="49"/>
  <c r="I133" i="49"/>
  <c r="B134" i="49"/>
  <c r="F134" i="49"/>
  <c r="E138" i="48"/>
  <c r="D138" i="48"/>
  <c r="H137" i="48"/>
  <c r="I137" i="48"/>
  <c r="H135" i="47"/>
  <c r="I135" i="47"/>
  <c r="B52" i="48"/>
  <c r="F52" i="48"/>
  <c r="G52" i="48" s="1"/>
  <c r="I53" i="47"/>
  <c r="E54" i="47"/>
  <c r="F54" i="47" s="1"/>
  <c r="G54" i="47" s="1"/>
  <c r="B54" i="47"/>
  <c r="F54" i="49"/>
  <c r="G54" i="49" s="1"/>
  <c r="B54" i="49"/>
  <c r="I53" i="49"/>
  <c r="B136" i="47" l="1"/>
  <c r="F138" i="48"/>
  <c r="D139" i="48" s="1"/>
  <c r="B138" i="48"/>
  <c r="G134" i="49"/>
  <c r="E135" i="49"/>
  <c r="D135" i="49"/>
  <c r="E137" i="47"/>
  <c r="D137" i="47"/>
  <c r="G136" i="47"/>
  <c r="H54" i="49"/>
  <c r="I54" i="49" s="1"/>
  <c r="D55" i="49"/>
  <c r="E55" i="49"/>
  <c r="H52" i="48"/>
  <c r="I52" i="48" s="1"/>
  <c r="D53" i="48"/>
  <c r="E53" i="48"/>
  <c r="H54" i="47"/>
  <c r="I54" i="47" s="1"/>
  <c r="D55" i="47"/>
  <c r="E139" i="48" l="1"/>
  <c r="F139" i="48" s="1"/>
  <c r="G138" i="48"/>
  <c r="H138" i="48" s="1"/>
  <c r="B135" i="49"/>
  <c r="F135" i="49"/>
  <c r="I134" i="49"/>
  <c r="H134" i="49"/>
  <c r="B139" i="48"/>
  <c r="I138" i="48"/>
  <c r="H136" i="47"/>
  <c r="I136" i="47"/>
  <c r="F137" i="47"/>
  <c r="B137" i="47"/>
  <c r="B53" i="48"/>
  <c r="F53" i="48"/>
  <c r="G53" i="48" s="1"/>
  <c r="F55" i="49"/>
  <c r="G55" i="49" s="1"/>
  <c r="B55" i="49"/>
  <c r="E55" i="47"/>
  <c r="F55" i="47" s="1"/>
  <c r="B55" i="47"/>
  <c r="D136" i="49" l="1"/>
  <c r="E136" i="49"/>
  <c r="G135" i="49"/>
  <c r="G139" i="48"/>
  <c r="E140" i="48"/>
  <c r="D140" i="48"/>
  <c r="G137" i="47"/>
  <c r="D138" i="47"/>
  <c r="B138" i="47" s="1"/>
  <c r="E138" i="47"/>
  <c r="D56" i="47"/>
  <c r="G55" i="47"/>
  <c r="H55" i="47"/>
  <c r="H55" i="49"/>
  <c r="I55" i="49" s="1"/>
  <c r="D56" i="49"/>
  <c r="E56" i="49"/>
  <c r="H53" i="48"/>
  <c r="I53" i="48" s="1"/>
  <c r="D54" i="48"/>
  <c r="E54" i="48"/>
  <c r="H135" i="49" l="1"/>
  <c r="I135" i="49"/>
  <c r="B136" i="49"/>
  <c r="F136" i="49"/>
  <c r="F138" i="47"/>
  <c r="G138" i="47" s="1"/>
  <c r="B140" i="48"/>
  <c r="F140" i="48"/>
  <c r="H139" i="48"/>
  <c r="I139" i="48"/>
  <c r="H137" i="47"/>
  <c r="I137" i="47"/>
  <c r="I55" i="47"/>
  <c r="E56" i="47"/>
  <c r="F56" i="47" s="1"/>
  <c r="B56" i="47"/>
  <c r="B54" i="48"/>
  <c r="F54" i="48"/>
  <c r="G54" i="48" s="1"/>
  <c r="F56" i="49"/>
  <c r="G56" i="49" s="1"/>
  <c r="B56" i="49"/>
  <c r="E139" i="47" l="1"/>
  <c r="D139" i="47"/>
  <c r="B139" i="47" s="1"/>
  <c r="G136" i="49"/>
  <c r="E137" i="49"/>
  <c r="D137" i="49"/>
  <c r="D141" i="48"/>
  <c r="B141" i="48" s="1"/>
  <c r="G140" i="48"/>
  <c r="H138" i="47"/>
  <c r="I138" i="47"/>
  <c r="G56" i="47"/>
  <c r="D57" i="47"/>
  <c r="H56" i="47"/>
  <c r="H56" i="49"/>
  <c r="I56" i="49" s="1"/>
  <c r="D57" i="49"/>
  <c r="E57" i="49"/>
  <c r="H54" i="48"/>
  <c r="I54" i="48" s="1"/>
  <c r="D55" i="48"/>
  <c r="E55" i="48"/>
  <c r="F139" i="47" l="1"/>
  <c r="D140" i="47" s="1"/>
  <c r="B140" i="47" s="1"/>
  <c r="B137" i="49"/>
  <c r="F137" i="49"/>
  <c r="E141" i="48"/>
  <c r="F141" i="48" s="1"/>
  <c r="G141" i="48" s="1"/>
  <c r="H136" i="49"/>
  <c r="I136" i="49"/>
  <c r="I140" i="48"/>
  <c r="H140" i="48"/>
  <c r="I56" i="47"/>
  <c r="F55" i="48"/>
  <c r="H55" i="48" s="1"/>
  <c r="B55" i="48"/>
  <c r="E57" i="47"/>
  <c r="F57" i="47" s="1"/>
  <c r="B57" i="47"/>
  <c r="B57" i="49"/>
  <c r="F57" i="49"/>
  <c r="H57" i="49" s="1"/>
  <c r="E140" i="47" l="1"/>
  <c r="F140" i="47" s="1"/>
  <c r="G140" i="47" s="1"/>
  <c r="G139" i="47"/>
  <c r="H139" i="47" s="1"/>
  <c r="D142" i="48"/>
  <c r="B142" i="48" s="1"/>
  <c r="G137" i="49"/>
  <c r="E138" i="49"/>
  <c r="D138" i="49"/>
  <c r="I139" i="47"/>
  <c r="I141" i="48"/>
  <c r="H141" i="48"/>
  <c r="G55" i="48"/>
  <c r="I55" i="48" s="1"/>
  <c r="D58" i="47"/>
  <c r="H57" i="47"/>
  <c r="G57" i="47"/>
  <c r="G57" i="49"/>
  <c r="I57" i="49" s="1"/>
  <c r="D58" i="49"/>
  <c r="D56" i="48"/>
  <c r="E56" i="48"/>
  <c r="E142" i="48" l="1"/>
  <c r="F142" i="48" s="1"/>
  <c r="D141" i="47"/>
  <c r="B141" i="47" s="1"/>
  <c r="E141" i="47"/>
  <c r="B138" i="49"/>
  <c r="F138" i="49"/>
  <c r="H137" i="49"/>
  <c r="I137" i="49"/>
  <c r="G142" i="48"/>
  <c r="D143" i="48"/>
  <c r="B143" i="48" s="1"/>
  <c r="I140" i="47"/>
  <c r="H140" i="47"/>
  <c r="E58" i="49"/>
  <c r="F58" i="49" s="1"/>
  <c r="B58" i="49"/>
  <c r="B56" i="48"/>
  <c r="F56" i="48"/>
  <c r="G56" i="48" s="1"/>
  <c r="I57" i="47"/>
  <c r="E58" i="47"/>
  <c r="F58" i="47" s="1"/>
  <c r="B58" i="47"/>
  <c r="F141" i="47" l="1"/>
  <c r="E139" i="49"/>
  <c r="D139" i="49"/>
  <c r="G138" i="49"/>
  <c r="E143" i="48"/>
  <c r="F143" i="48" s="1"/>
  <c r="I142" i="48"/>
  <c r="H142" i="48"/>
  <c r="D142" i="47"/>
  <c r="B142" i="47" s="1"/>
  <c r="G141" i="47"/>
  <c r="H58" i="47"/>
  <c r="D59" i="47"/>
  <c r="G58" i="47"/>
  <c r="D59" i="49"/>
  <c r="G58" i="49"/>
  <c r="H58" i="49"/>
  <c r="H56" i="48"/>
  <c r="I56" i="48" s="1"/>
  <c r="D57" i="48"/>
  <c r="E57" i="48"/>
  <c r="I138" i="49" l="1"/>
  <c r="H138" i="49"/>
  <c r="F139" i="49"/>
  <c r="B139" i="49"/>
  <c r="E142" i="47"/>
  <c r="F142" i="47" s="1"/>
  <c r="G142" i="47" s="1"/>
  <c r="G143" i="48"/>
  <c r="D144" i="48"/>
  <c r="B144" i="48" s="1"/>
  <c r="I141" i="47"/>
  <c r="H141" i="47"/>
  <c r="I58" i="47"/>
  <c r="I58" i="49"/>
  <c r="E59" i="49"/>
  <c r="F59" i="49" s="1"/>
  <c r="G59" i="49" s="1"/>
  <c r="B59" i="49"/>
  <c r="B57" i="48"/>
  <c r="F57" i="48"/>
  <c r="D58" i="48" s="1"/>
  <c r="E59" i="47"/>
  <c r="F59" i="47" s="1"/>
  <c r="G59" i="47" s="1"/>
  <c r="B59" i="47"/>
  <c r="D140" i="49" l="1"/>
  <c r="G139" i="49"/>
  <c r="E140" i="49"/>
  <c r="I143" i="48"/>
  <c r="H143" i="48"/>
  <c r="D143" i="47"/>
  <c r="B143" i="47" s="1"/>
  <c r="E144" i="48"/>
  <c r="F144" i="48" s="1"/>
  <c r="I142" i="47"/>
  <c r="H142" i="47"/>
  <c r="G57" i="48"/>
  <c r="H57" i="48"/>
  <c r="E58" i="48"/>
  <c r="F58" i="48" s="1"/>
  <c r="B58" i="48"/>
  <c r="H59" i="47"/>
  <c r="I59" i="47" s="1"/>
  <c r="D60" i="47"/>
  <c r="H59" i="49"/>
  <c r="I59" i="49" s="1"/>
  <c r="D60" i="49"/>
  <c r="I139" i="49" l="1"/>
  <c r="H139" i="49"/>
  <c r="B140" i="49"/>
  <c r="F140" i="49"/>
  <c r="G144" i="48"/>
  <c r="D145" i="48"/>
  <c r="B145" i="48" s="1"/>
  <c r="E143" i="47"/>
  <c r="F143" i="47" s="1"/>
  <c r="I57" i="48"/>
  <c r="H58" i="48"/>
  <c r="D59" i="48"/>
  <c r="E59" i="48" s="1"/>
  <c r="F59" i="48" s="1"/>
  <c r="D60" i="48" s="1"/>
  <c r="G58" i="48"/>
  <c r="B60" i="47"/>
  <c r="E60" i="49"/>
  <c r="F60" i="49" s="1"/>
  <c r="G60" i="49" s="1"/>
  <c r="B60" i="49"/>
  <c r="E60" i="47"/>
  <c r="F60" i="47" s="1"/>
  <c r="D61" i="47" s="1"/>
  <c r="G140" i="49" l="1"/>
  <c r="D141" i="49"/>
  <c r="B141" i="49" s="1"/>
  <c r="G143" i="47"/>
  <c r="D144" i="47"/>
  <c r="B144" i="47" s="1"/>
  <c r="E145" i="48"/>
  <c r="F145" i="48" s="1"/>
  <c r="I144" i="48"/>
  <c r="H144" i="48"/>
  <c r="G60" i="47"/>
  <c r="H60" i="47"/>
  <c r="B59" i="48"/>
  <c r="H59" i="48"/>
  <c r="G59" i="48"/>
  <c r="H60" i="49"/>
  <c r="I60" i="49" s="1"/>
  <c r="D61" i="49"/>
  <c r="E61" i="49" s="1"/>
  <c r="F61" i="49" s="1"/>
  <c r="D62" i="49" s="1"/>
  <c r="E61" i="47"/>
  <c r="F61" i="47" s="1"/>
  <c r="B61" i="47"/>
  <c r="I58" i="48"/>
  <c r="E60" i="48"/>
  <c r="F60" i="48" s="1"/>
  <c r="B60" i="48"/>
  <c r="E141" i="49" l="1"/>
  <c r="F141" i="49" s="1"/>
  <c r="G141" i="49" s="1"/>
  <c r="I140" i="49"/>
  <c r="H140" i="49"/>
  <c r="E144" i="47"/>
  <c r="F144" i="47" s="1"/>
  <c r="D145" i="47" s="1"/>
  <c r="B145" i="47" s="1"/>
  <c r="G145" i="48"/>
  <c r="D146" i="48"/>
  <c r="B146" i="48" s="1"/>
  <c r="H143" i="47"/>
  <c r="I143" i="47"/>
  <c r="I60" i="47"/>
  <c r="I59" i="48"/>
  <c r="D61" i="48"/>
  <c r="E61" i="48" s="1"/>
  <c r="G60" i="48"/>
  <c r="H61" i="47"/>
  <c r="D62" i="47"/>
  <c r="G61" i="47"/>
  <c r="E62" i="49"/>
  <c r="F62" i="49" s="1"/>
  <c r="B62" i="49"/>
  <c r="B61" i="49"/>
  <c r="G61" i="49"/>
  <c r="H61" i="49"/>
  <c r="H60" i="48"/>
  <c r="D142" i="49" l="1"/>
  <c r="B142" i="49" s="1"/>
  <c r="I141" i="49"/>
  <c r="H141" i="49"/>
  <c r="G144" i="47"/>
  <c r="I144" i="47" s="1"/>
  <c r="E145" i="47"/>
  <c r="F145" i="47" s="1"/>
  <c r="E146" i="48"/>
  <c r="F146" i="48" s="1"/>
  <c r="H145" i="48"/>
  <c r="I145" i="48"/>
  <c r="I61" i="47"/>
  <c r="I61" i="49"/>
  <c r="I60" i="48"/>
  <c r="D63" i="49"/>
  <c r="B63" i="49" s="1"/>
  <c r="G62" i="49"/>
  <c r="H62" i="49"/>
  <c r="B61" i="48"/>
  <c r="F61" i="48"/>
  <c r="H61" i="48" s="1"/>
  <c r="E62" i="47"/>
  <c r="F62" i="47" s="1"/>
  <c r="G62" i="47" s="1"/>
  <c r="B62" i="47"/>
  <c r="E142" i="49" l="1"/>
  <c r="F142" i="49" s="1"/>
  <c r="G142" i="49" s="1"/>
  <c r="I142" i="49" s="1"/>
  <c r="H144" i="47"/>
  <c r="G146" i="48"/>
  <c r="D147" i="48"/>
  <c r="B147" i="48" s="1"/>
  <c r="D146" i="47"/>
  <c r="B146" i="47" s="1"/>
  <c r="G145" i="47"/>
  <c r="G61" i="48"/>
  <c r="I61" i="48" s="1"/>
  <c r="E63" i="49"/>
  <c r="F63" i="49" s="1"/>
  <c r="G63" i="49" s="1"/>
  <c r="I62" i="49"/>
  <c r="D62" i="48"/>
  <c r="E62" i="48" s="1"/>
  <c r="F62" i="48" s="1"/>
  <c r="H62" i="47"/>
  <c r="I62" i="47" s="1"/>
  <c r="D63" i="47"/>
  <c r="H142" i="49" l="1"/>
  <c r="D143" i="49"/>
  <c r="B143" i="49" s="1"/>
  <c r="E147" i="48"/>
  <c r="F147" i="48" s="1"/>
  <c r="D148" i="48" s="1"/>
  <c r="B148" i="48" s="1"/>
  <c r="E146" i="47"/>
  <c r="F146" i="47" s="1"/>
  <c r="G146" i="47" s="1"/>
  <c r="H145" i="47"/>
  <c r="I145" i="47"/>
  <c r="I146" i="48"/>
  <c r="H146" i="48"/>
  <c r="D64" i="49"/>
  <c r="E64" i="49" s="1"/>
  <c r="F64" i="49" s="1"/>
  <c r="D65" i="49" s="1"/>
  <c r="B65" i="49" s="1"/>
  <c r="H63" i="49"/>
  <c r="I63" i="49" s="1"/>
  <c r="D63" i="48"/>
  <c r="E63" i="48" s="1"/>
  <c r="G62" i="48"/>
  <c r="H62" i="48"/>
  <c r="B62" i="48"/>
  <c r="E63" i="47"/>
  <c r="F63" i="47" s="1"/>
  <c r="G63" i="47" s="1"/>
  <c r="B63" i="47"/>
  <c r="E143" i="49" l="1"/>
  <c r="F143" i="49" s="1"/>
  <c r="D144" i="49" s="1"/>
  <c r="B144" i="49" s="1"/>
  <c r="D147" i="47"/>
  <c r="B147" i="47" s="1"/>
  <c r="G147" i="48"/>
  <c r="I147" i="48" s="1"/>
  <c r="H146" i="47"/>
  <c r="I146" i="47"/>
  <c r="E148" i="48"/>
  <c r="F148" i="48" s="1"/>
  <c r="G64" i="49"/>
  <c r="H64" i="49"/>
  <c r="B64" i="49"/>
  <c r="E65" i="49"/>
  <c r="F65" i="49" s="1"/>
  <c r="G65" i="49" s="1"/>
  <c r="I62" i="48"/>
  <c r="F63" i="48"/>
  <c r="B63" i="48"/>
  <c r="H63" i="47"/>
  <c r="I63" i="47" s="1"/>
  <c r="D64" i="47"/>
  <c r="G143" i="49" l="1"/>
  <c r="I143" i="49" s="1"/>
  <c r="E144" i="49"/>
  <c r="F144" i="49" s="1"/>
  <c r="G144" i="49" s="1"/>
  <c r="E147" i="47"/>
  <c r="F147" i="47" s="1"/>
  <c r="D148" i="47" s="1"/>
  <c r="B148" i="47" s="1"/>
  <c r="H147" i="48"/>
  <c r="I64" i="49"/>
  <c r="D149" i="48"/>
  <c r="B149" i="48" s="1"/>
  <c r="G148" i="48"/>
  <c r="H65" i="49"/>
  <c r="I65" i="49" s="1"/>
  <c r="D66" i="49"/>
  <c r="E66" i="49" s="1"/>
  <c r="D64" i="48"/>
  <c r="G63" i="48"/>
  <c r="H63" i="48"/>
  <c r="E64" i="47"/>
  <c r="F64" i="47" s="1"/>
  <c r="B64" i="47"/>
  <c r="H143" i="49" l="1"/>
  <c r="D145" i="49"/>
  <c r="B145" i="49" s="1"/>
  <c r="G147" i="47"/>
  <c r="H147" i="47" s="1"/>
  <c r="H144" i="49"/>
  <c r="I144" i="49"/>
  <c r="E149" i="48"/>
  <c r="F149" i="48" s="1"/>
  <c r="G149" i="48" s="1"/>
  <c r="E148" i="47"/>
  <c r="F148" i="47" s="1"/>
  <c r="H148" i="48"/>
  <c r="I148" i="48"/>
  <c r="B66" i="49"/>
  <c r="F66" i="49"/>
  <c r="H66" i="49" s="1"/>
  <c r="I63" i="48"/>
  <c r="E64" i="48"/>
  <c r="F64" i="48" s="1"/>
  <c r="B64" i="48"/>
  <c r="H64" i="47"/>
  <c r="D65" i="47"/>
  <c r="G64" i="47"/>
  <c r="I147" i="47" l="1"/>
  <c r="E145" i="49"/>
  <c r="F145" i="49" s="1"/>
  <c r="D146" i="49" s="1"/>
  <c r="D150" i="48"/>
  <c r="B150" i="48" s="1"/>
  <c r="D149" i="47"/>
  <c r="B149" i="47" s="1"/>
  <c r="G148" i="47"/>
  <c r="H149" i="48"/>
  <c r="I149" i="48"/>
  <c r="D67" i="49"/>
  <c r="E67" i="49" s="1"/>
  <c r="F67" i="49" s="1"/>
  <c r="D68" i="49" s="1"/>
  <c r="B68" i="49" s="1"/>
  <c r="I64" i="47"/>
  <c r="G66" i="49"/>
  <c r="I66" i="49" s="1"/>
  <c r="G64" i="48"/>
  <c r="H64" i="48"/>
  <c r="D65" i="48"/>
  <c r="B65" i="48" s="1"/>
  <c r="E65" i="47"/>
  <c r="F65" i="47" s="1"/>
  <c r="B65" i="47"/>
  <c r="G145" i="49" l="1"/>
  <c r="H145" i="49" s="1"/>
  <c r="E150" i="48"/>
  <c r="F150" i="48" s="1"/>
  <c r="D151" i="48" s="1"/>
  <c r="B151" i="48" s="1"/>
  <c r="B146" i="49"/>
  <c r="E146" i="49"/>
  <c r="F146" i="49" s="1"/>
  <c r="E149" i="47"/>
  <c r="F149" i="47" s="1"/>
  <c r="D150" i="47" s="1"/>
  <c r="B150" i="47" s="1"/>
  <c r="H148" i="47"/>
  <c r="I148" i="47"/>
  <c r="B67" i="49"/>
  <c r="E68" i="49"/>
  <c r="F68" i="49" s="1"/>
  <c r="H68" i="49" s="1"/>
  <c r="G67" i="49"/>
  <c r="H67" i="49"/>
  <c r="I64" i="48"/>
  <c r="E65" i="48"/>
  <c r="F65" i="48" s="1"/>
  <c r="G65" i="47"/>
  <c r="D66" i="47"/>
  <c r="E66" i="47" s="1"/>
  <c r="F66" i="47" s="1"/>
  <c r="D67" i="47" s="1"/>
  <c r="H65" i="47"/>
  <c r="I145" i="49" l="1"/>
  <c r="E151" i="48"/>
  <c r="F151" i="48" s="1"/>
  <c r="G151" i="48" s="1"/>
  <c r="H151" i="48" s="1"/>
  <c r="G150" i="48"/>
  <c r="I150" i="48" s="1"/>
  <c r="G146" i="49"/>
  <c r="D147" i="49"/>
  <c r="B147" i="49" s="1"/>
  <c r="E150" i="47"/>
  <c r="F150" i="47" s="1"/>
  <c r="D151" i="47" s="1"/>
  <c r="B151" i="47" s="1"/>
  <c r="G149" i="47"/>
  <c r="I149" i="47" s="1"/>
  <c r="D69" i="49"/>
  <c r="B69" i="49" s="1"/>
  <c r="I67" i="49"/>
  <c r="G68" i="49"/>
  <c r="I68" i="49" s="1"/>
  <c r="D66" i="48"/>
  <c r="H65" i="48"/>
  <c r="G65" i="48"/>
  <c r="I65" i="47"/>
  <c r="E67" i="47"/>
  <c r="F67" i="47" s="1"/>
  <c r="B67" i="47"/>
  <c r="B66" i="47"/>
  <c r="G66" i="47"/>
  <c r="H66" i="47"/>
  <c r="I151" i="48" l="1"/>
  <c r="D152" i="48"/>
  <c r="B152" i="48" s="1"/>
  <c r="H150" i="48"/>
  <c r="E147" i="49"/>
  <c r="F147" i="49" s="1"/>
  <c r="D148" i="49" s="1"/>
  <c r="B148" i="49" s="1"/>
  <c r="G150" i="47"/>
  <c r="I150" i="47" s="1"/>
  <c r="H146" i="49"/>
  <c r="I146" i="49"/>
  <c r="E69" i="49"/>
  <c r="F69" i="49" s="1"/>
  <c r="H69" i="49" s="1"/>
  <c r="H149" i="47"/>
  <c r="E152" i="48"/>
  <c r="F152" i="48" s="1"/>
  <c r="E151" i="47"/>
  <c r="F151" i="47" s="1"/>
  <c r="I66" i="47"/>
  <c r="B66" i="48"/>
  <c r="E66" i="48"/>
  <c r="F66" i="48" s="1"/>
  <c r="I65" i="48"/>
  <c r="D68" i="47"/>
  <c r="H67" i="47"/>
  <c r="G67" i="47"/>
  <c r="G147" i="49" l="1"/>
  <c r="I147" i="49" s="1"/>
  <c r="H150" i="47"/>
  <c r="G69" i="49"/>
  <c r="I69" i="49" s="1"/>
  <c r="D70" i="49"/>
  <c r="E70" i="49" s="1"/>
  <c r="F70" i="49" s="1"/>
  <c r="H70" i="49" s="1"/>
  <c r="E148" i="49"/>
  <c r="F148" i="49" s="1"/>
  <c r="D153" i="48"/>
  <c r="G152" i="48"/>
  <c r="G151" i="47"/>
  <c r="D152" i="47"/>
  <c r="B152" i="47" s="1"/>
  <c r="D67" i="48"/>
  <c r="H66" i="48"/>
  <c r="G66" i="48"/>
  <c r="I67" i="47"/>
  <c r="E68" i="47"/>
  <c r="F68" i="47" s="1"/>
  <c r="H68" i="47" s="1"/>
  <c r="B68" i="47"/>
  <c r="B70" i="49" l="1"/>
  <c r="H147" i="49"/>
  <c r="D149" i="49"/>
  <c r="B149" i="49" s="1"/>
  <c r="G148" i="49"/>
  <c r="I152" i="48"/>
  <c r="H152" i="48"/>
  <c r="B153" i="48"/>
  <c r="E153" i="48"/>
  <c r="F153" i="48" s="1"/>
  <c r="E152" i="47"/>
  <c r="F152" i="47" s="1"/>
  <c r="D153" i="47" s="1"/>
  <c r="B153" i="47" s="1"/>
  <c r="I151" i="47"/>
  <c r="H151" i="47"/>
  <c r="I66" i="48"/>
  <c r="B67" i="48"/>
  <c r="E67" i="48"/>
  <c r="F67" i="48" s="1"/>
  <c r="G70" i="49"/>
  <c r="I70" i="49" s="1"/>
  <c r="D71" i="49"/>
  <c r="G68" i="47"/>
  <c r="I68" i="47" s="1"/>
  <c r="D69" i="47"/>
  <c r="E149" i="49" l="1"/>
  <c r="F149" i="49" s="1"/>
  <c r="D150" i="49" s="1"/>
  <c r="B150" i="49" s="1"/>
  <c r="I148" i="49"/>
  <c r="H148" i="49"/>
  <c r="G152" i="47"/>
  <c r="H152" i="47" s="1"/>
  <c r="G153" i="48"/>
  <c r="D154" i="48"/>
  <c r="E153" i="47"/>
  <c r="F153" i="47" s="1"/>
  <c r="D68" i="48"/>
  <c r="E68" i="48" s="1"/>
  <c r="F68" i="48" s="1"/>
  <c r="H67" i="48"/>
  <c r="G67" i="48"/>
  <c r="E69" i="47"/>
  <c r="F69" i="47" s="1"/>
  <c r="B69" i="47"/>
  <c r="E71" i="49"/>
  <c r="F71" i="49" s="1"/>
  <c r="H71" i="49" s="1"/>
  <c r="B71" i="49"/>
  <c r="E150" i="49" l="1"/>
  <c r="F150" i="49" s="1"/>
  <c r="D151" i="49" s="1"/>
  <c r="B151" i="49" s="1"/>
  <c r="G149" i="49"/>
  <c r="H149" i="49" s="1"/>
  <c r="I152" i="47"/>
  <c r="E154" i="48"/>
  <c r="E155" i="48" s="1"/>
  <c r="B154" i="48"/>
  <c r="I153" i="48"/>
  <c r="H153" i="48"/>
  <c r="G153" i="47"/>
  <c r="D154" i="47"/>
  <c r="E154" i="47" s="1"/>
  <c r="E155" i="47" s="1"/>
  <c r="I67" i="48"/>
  <c r="D69" i="48"/>
  <c r="E69" i="48" s="1"/>
  <c r="B68" i="48"/>
  <c r="G68" i="48"/>
  <c r="H68" i="48"/>
  <c r="H69" i="47"/>
  <c r="D70" i="47"/>
  <c r="G69" i="47"/>
  <c r="G71" i="49"/>
  <c r="I71" i="49" s="1"/>
  <c r="D72" i="49"/>
  <c r="I149" i="49" l="1"/>
  <c r="G150" i="49"/>
  <c r="H150" i="49" s="1"/>
  <c r="F154" i="48"/>
  <c r="G154" i="48" s="1"/>
  <c r="I154" i="48" s="1"/>
  <c r="I155" i="48" s="1"/>
  <c r="E151" i="49"/>
  <c r="F151" i="49" s="1"/>
  <c r="B154" i="47"/>
  <c r="F154" i="47"/>
  <c r="G154" i="47" s="1"/>
  <c r="H153" i="47"/>
  <c r="I153" i="47"/>
  <c r="I68" i="48"/>
  <c r="F69" i="48"/>
  <c r="G69" i="48" s="1"/>
  <c r="B69" i="48"/>
  <c r="I69" i="47"/>
  <c r="E72" i="49"/>
  <c r="E73" i="49" s="1"/>
  <c r="B72" i="49"/>
  <c r="E70" i="47"/>
  <c r="F70" i="47" s="1"/>
  <c r="B70" i="47"/>
  <c r="I150" i="49" l="1"/>
  <c r="H154" i="48"/>
  <c r="H155" i="48" s="1"/>
  <c r="D152" i="49"/>
  <c r="B152" i="49" s="1"/>
  <c r="G151" i="49"/>
  <c r="I154" i="47"/>
  <c r="I155" i="47" s="1"/>
  <c r="H154" i="47"/>
  <c r="H155" i="47" s="1"/>
  <c r="H69" i="48"/>
  <c r="I69" i="48" s="1"/>
  <c r="F72" i="49"/>
  <c r="G72" i="49" s="1"/>
  <c r="G73" i="49" s="1"/>
  <c r="D70" i="48"/>
  <c r="H70" i="47"/>
  <c r="D71" i="47"/>
  <c r="G70" i="47"/>
  <c r="E152" i="49" l="1"/>
  <c r="F152" i="49" s="1"/>
  <c r="G152" i="49" s="1"/>
  <c r="H151" i="49"/>
  <c r="I151" i="49"/>
  <c r="H72" i="49"/>
  <c r="I70" i="47"/>
  <c r="B70" i="48"/>
  <c r="E70" i="48"/>
  <c r="F70" i="48" s="1"/>
  <c r="E71" i="47"/>
  <c r="F71" i="47" s="1"/>
  <c r="H71" i="47" s="1"/>
  <c r="B71" i="47"/>
  <c r="D153" i="49" l="1"/>
  <c r="B153" i="49" s="1"/>
  <c r="H152" i="49"/>
  <c r="I152" i="49"/>
  <c r="I72" i="49"/>
  <c r="I73" i="49" s="1"/>
  <c r="H73" i="49"/>
  <c r="G70" i="48"/>
  <c r="D71" i="48"/>
  <c r="E71" i="48" s="1"/>
  <c r="H70" i="48"/>
  <c r="G71" i="47"/>
  <c r="I71" i="47" s="1"/>
  <c r="D72" i="47"/>
  <c r="E153" i="49" l="1"/>
  <c r="F153" i="49" s="1"/>
  <c r="G153" i="49" s="1"/>
  <c r="I70" i="48"/>
  <c r="B71" i="48"/>
  <c r="F71" i="48"/>
  <c r="H71" i="48" s="1"/>
  <c r="E72" i="47"/>
  <c r="E73" i="47" s="1"/>
  <c r="B72" i="47"/>
  <c r="D154" i="49" l="1"/>
  <c r="E154" i="49" s="1"/>
  <c r="E155" i="49" s="1"/>
  <c r="I153" i="49"/>
  <c r="H153" i="49"/>
  <c r="G71" i="48"/>
  <c r="I71" i="48" s="1"/>
  <c r="F72" i="47"/>
  <c r="H72" i="47" s="1"/>
  <c r="D72" i="48"/>
  <c r="E72" i="48" s="1"/>
  <c r="E73" i="48" s="1"/>
  <c r="B154" i="49" l="1"/>
  <c r="F154" i="49"/>
  <c r="G154" i="49" s="1"/>
  <c r="I154" i="49" s="1"/>
  <c r="I155" i="49" s="1"/>
  <c r="H73" i="47"/>
  <c r="G72" i="47"/>
  <c r="G73" i="47" s="1"/>
  <c r="B72" i="48"/>
  <c r="F72" i="48"/>
  <c r="G72" i="48" s="1"/>
  <c r="G73" i="48" s="1"/>
  <c r="H154" i="49" l="1"/>
  <c r="H155" i="49" s="1"/>
  <c r="I72" i="47"/>
  <c r="I73" i="47" s="1"/>
  <c r="H72" i="48"/>
  <c r="I72" i="48" s="1"/>
  <c r="I73" i="48" s="1"/>
  <c r="H73" i="48" l="1"/>
  <c r="F87" i="1" l="1"/>
  <c r="F86" i="1"/>
  <c r="F88" i="1" l="1"/>
  <c r="F89" i="1" s="1"/>
  <c r="F91" i="1" s="1"/>
  <c r="F92" i="1" s="1"/>
  <c r="F93" i="1" s="1"/>
  <c r="D13" i="5" l="1"/>
  <c r="I14" i="5" s="1"/>
  <c r="E33" i="5" s="1"/>
  <c r="D13" i="56"/>
  <c r="D13" i="50"/>
  <c r="I14" i="50" s="1"/>
  <c r="D13" i="51"/>
  <c r="D13" i="52"/>
  <c r="I14" i="52" s="1"/>
  <c r="D13" i="10"/>
  <c r="I14" i="10" s="1"/>
  <c r="E36" i="10" s="1"/>
  <c r="D13" i="8"/>
  <c r="I14" i="8" s="1"/>
  <c r="E34" i="8" s="1"/>
  <c r="D13" i="40"/>
  <c r="I14" i="40" s="1"/>
  <c r="E24" i="40" s="1"/>
  <c r="D13" i="4"/>
  <c r="I14" i="4" s="1"/>
  <c r="E33" i="4" s="1"/>
  <c r="D13" i="7"/>
  <c r="I14" i="7" s="1"/>
  <c r="D13" i="6"/>
  <c r="I14" i="6" s="1"/>
  <c r="E34" i="6" s="1"/>
  <c r="D13" i="11"/>
  <c r="I14" i="11" s="1"/>
  <c r="E35" i="11" s="1"/>
  <c r="D13" i="46"/>
  <c r="I14" i="46" s="1"/>
  <c r="E22" i="46" s="1"/>
  <c r="D13" i="43"/>
  <c r="I14" i="43" s="1"/>
  <c r="D13" i="13"/>
  <c r="D13" i="41"/>
  <c r="I14" i="41" s="1"/>
  <c r="E24" i="41" s="1"/>
  <c r="D13" i="45"/>
  <c r="I14" i="45" s="1"/>
  <c r="D13" i="28"/>
  <c r="I14" i="28" s="1"/>
  <c r="D13" i="23"/>
  <c r="I14" i="23" s="1"/>
  <c r="E31" i="23" s="1"/>
  <c r="D13" i="30"/>
  <c r="I14" i="30" s="1"/>
  <c r="E27" i="30" s="1"/>
  <c r="D13" i="3"/>
  <c r="I14" i="3" s="1"/>
  <c r="E33" i="3" s="1"/>
  <c r="D13" i="9"/>
  <c r="I14" i="9" s="1"/>
  <c r="E35" i="9" s="1"/>
  <c r="D13" i="38"/>
  <c r="I14" i="38" s="1"/>
  <c r="E25" i="38" s="1"/>
  <c r="D13" i="37"/>
  <c r="I14" i="37" s="1"/>
  <c r="E25" i="37" s="1"/>
  <c r="D13" i="39"/>
  <c r="I14" i="39" s="1"/>
  <c r="E25" i="39" s="1"/>
  <c r="D13" i="44"/>
  <c r="I14" i="44" s="1"/>
  <c r="E23" i="44" s="1"/>
  <c r="D13" i="25"/>
  <c r="I14" i="25" s="1"/>
  <c r="D13" i="24"/>
  <c r="I14" i="24" s="1"/>
  <c r="E30" i="24" s="1"/>
  <c r="D13" i="29"/>
  <c r="I14" i="29" s="1"/>
  <c r="E28" i="29" s="1"/>
  <c r="D13" i="22"/>
  <c r="I14" i="22" s="1"/>
  <c r="E32" i="22" s="1"/>
  <c r="D13" i="31"/>
  <c r="I14" i="31" s="1"/>
  <c r="E28" i="31" s="1"/>
  <c r="D13" i="42"/>
  <c r="I14" i="42" s="1"/>
  <c r="E24" i="42" s="1"/>
  <c r="D13" i="27"/>
  <c r="I14" i="27" s="1"/>
  <c r="E19" i="27" s="1"/>
  <c r="E18" i="52" l="1"/>
  <c r="F18" i="52" s="1"/>
  <c r="E17" i="50"/>
  <c r="F17" i="50" s="1"/>
  <c r="E18" i="50" s="1"/>
  <c r="D34" i="8"/>
  <c r="D24" i="43"/>
  <c r="D36" i="7"/>
  <c r="E36" i="7"/>
  <c r="D27" i="30"/>
  <c r="D24" i="40"/>
  <c r="E24" i="43"/>
  <c r="B28" i="27"/>
  <c r="D35" i="9"/>
  <c r="D33" i="3"/>
  <c r="D32" i="25"/>
  <c r="E32" i="25"/>
  <c r="D28" i="28"/>
  <c r="E28" i="28"/>
  <c r="D23" i="45"/>
  <c r="D34" i="6"/>
  <c r="D32" i="22"/>
  <c r="D24" i="42"/>
  <c r="D24" i="41"/>
  <c r="D33" i="5"/>
  <c r="D25" i="38"/>
  <c r="D25" i="37"/>
  <c r="D28" i="29"/>
  <c r="D31" i="23"/>
  <c r="D35" i="11"/>
  <c r="D30" i="24"/>
  <c r="D28" i="31"/>
  <c r="D22" i="46"/>
  <c r="D33" i="4"/>
  <c r="D25" i="39"/>
  <c r="N6" i="10"/>
  <c r="N5" i="10"/>
  <c r="D36" i="10"/>
  <c r="D23" i="44"/>
  <c r="F23" i="44" s="1"/>
  <c r="H17" i="50" l="1"/>
  <c r="M17" i="50" s="1"/>
  <c r="D18" i="50"/>
  <c r="G17" i="50"/>
  <c r="K17" i="50" s="1"/>
  <c r="H18" i="52"/>
  <c r="G18" i="52"/>
  <c r="D19" i="52"/>
  <c r="N7" i="10"/>
  <c r="I22" i="45"/>
  <c r="I23" i="40"/>
  <c r="I24" i="38"/>
  <c r="I22" i="44"/>
  <c r="I27" i="31"/>
  <c r="I29" i="24"/>
  <c r="D24" i="44"/>
  <c r="E24" i="44"/>
  <c r="F28" i="31"/>
  <c r="H28" i="31" s="1"/>
  <c r="B28" i="31"/>
  <c r="I23" i="41"/>
  <c r="B36" i="7"/>
  <c r="F36" i="7"/>
  <c r="G36" i="7" s="1"/>
  <c r="B31" i="23"/>
  <c r="F31" i="23"/>
  <c r="G31" i="23" s="1"/>
  <c r="F24" i="42"/>
  <c r="B24" i="42"/>
  <c r="F36" i="10"/>
  <c r="G36" i="10" s="1"/>
  <c r="B36" i="10"/>
  <c r="B32" i="25"/>
  <c r="F32" i="25"/>
  <c r="G32" i="25" s="1"/>
  <c r="F24" i="43"/>
  <c r="H24" i="43" s="1"/>
  <c r="B24" i="43"/>
  <c r="B28" i="29"/>
  <c r="F28" i="29"/>
  <c r="B33" i="5"/>
  <c r="F33" i="5"/>
  <c r="G33" i="5" s="1"/>
  <c r="I23" i="42"/>
  <c r="E23" i="45"/>
  <c r="F23" i="45" s="1"/>
  <c r="B23" i="45"/>
  <c r="I31" i="25"/>
  <c r="F27" i="30"/>
  <c r="G27" i="30" s="1"/>
  <c r="B27" i="30"/>
  <c r="B28" i="28"/>
  <c r="F28" i="28"/>
  <c r="H28" i="28" s="1"/>
  <c r="B23" i="44"/>
  <c r="H23" i="44"/>
  <c r="G23" i="44"/>
  <c r="F24" i="40"/>
  <c r="G24" i="40" s="1"/>
  <c r="B24" i="40"/>
  <c r="F30" i="24"/>
  <c r="G30" i="24" s="1"/>
  <c r="B30" i="24"/>
  <c r="I33" i="6"/>
  <c r="I23" i="43"/>
  <c r="I32" i="4"/>
  <c r="I34" i="9"/>
  <c r="I35" i="10"/>
  <c r="F22" i="46"/>
  <c r="G22" i="46" s="1"/>
  <c r="B22" i="46"/>
  <c r="F35" i="11"/>
  <c r="H35" i="11" s="1"/>
  <c r="B35" i="11"/>
  <c r="I27" i="29"/>
  <c r="B32" i="22"/>
  <c r="F32" i="22"/>
  <c r="I26" i="30"/>
  <c r="B34" i="8"/>
  <c r="F34" i="8"/>
  <c r="G34" i="8" s="1"/>
  <c r="I32" i="3"/>
  <c r="F33" i="4"/>
  <c r="H33" i="4" s="1"/>
  <c r="B33" i="4"/>
  <c r="I27" i="28"/>
  <c r="F25" i="38"/>
  <c r="B25" i="38"/>
  <c r="I24" i="39"/>
  <c r="I21" i="46"/>
  <c r="F25" i="37"/>
  <c r="G25" i="37" s="1"/>
  <c r="B25" i="37"/>
  <c r="I32" i="5"/>
  <c r="I31" i="22"/>
  <c r="F33" i="3"/>
  <c r="G33" i="3" s="1"/>
  <c r="B33" i="3"/>
  <c r="I28" i="27"/>
  <c r="D29" i="27"/>
  <c r="E29" i="27"/>
  <c r="B34" i="6"/>
  <c r="F34" i="6"/>
  <c r="G34" i="6" s="1"/>
  <c r="B35" i="9"/>
  <c r="F35" i="9"/>
  <c r="G35" i="9" s="1"/>
  <c r="I30" i="23"/>
  <c r="F25" i="39"/>
  <c r="G25" i="39" s="1"/>
  <c r="B25" i="39"/>
  <c r="I34" i="11"/>
  <c r="I24" i="37"/>
  <c r="B24" i="41"/>
  <c r="F24" i="41"/>
  <c r="G24" i="41" s="1"/>
  <c r="I35" i="7"/>
  <c r="I33" i="8"/>
  <c r="F25" i="17"/>
  <c r="L17" i="50" l="1"/>
  <c r="M87" i="50"/>
  <c r="N17" i="50"/>
  <c r="O17" i="50" s="1"/>
  <c r="N87" i="50"/>
  <c r="I18" i="52"/>
  <c r="B18" i="50"/>
  <c r="F18" i="50"/>
  <c r="D19" i="50" s="1"/>
  <c r="B19" i="52"/>
  <c r="E19" i="52"/>
  <c r="F19" i="52" s="1"/>
  <c r="H19" i="52" s="1"/>
  <c r="I17" i="50"/>
  <c r="N6" i="50"/>
  <c r="G25" i="17"/>
  <c r="G54" i="17" s="1"/>
  <c r="F54" i="17"/>
  <c r="F24" i="44"/>
  <c r="G24" i="44" s="1"/>
  <c r="G24" i="43"/>
  <c r="I24" i="43" s="1"/>
  <c r="H23" i="45"/>
  <c r="D24" i="45"/>
  <c r="E24" i="45"/>
  <c r="H35" i="9"/>
  <c r="D36" i="9"/>
  <c r="E36" i="9"/>
  <c r="H24" i="40"/>
  <c r="I24" i="40" s="1"/>
  <c r="D25" i="40"/>
  <c r="E25" i="40"/>
  <c r="G28" i="31"/>
  <c r="I28" i="31" s="1"/>
  <c r="D29" i="31"/>
  <c r="E29" i="31"/>
  <c r="H24" i="41"/>
  <c r="H33" i="3"/>
  <c r="D34" i="3"/>
  <c r="E34" i="3"/>
  <c r="I23" i="44"/>
  <c r="H36" i="10"/>
  <c r="D37" i="10"/>
  <c r="E37" i="10"/>
  <c r="B29" i="27"/>
  <c r="F29" i="27"/>
  <c r="G29" i="27" s="1"/>
  <c r="H31" i="23"/>
  <c r="D32" i="23"/>
  <c r="E32" i="23"/>
  <c r="H27" i="30"/>
  <c r="D28" i="30"/>
  <c r="E28" i="30"/>
  <c r="H34" i="6"/>
  <c r="D35" i="6"/>
  <c r="E35" i="6"/>
  <c r="H33" i="5"/>
  <c r="I33" i="5" s="1"/>
  <c r="D34" i="5"/>
  <c r="E34" i="5"/>
  <c r="D25" i="43"/>
  <c r="E25" i="43"/>
  <c r="H36" i="7"/>
  <c r="D37" i="7"/>
  <c r="E37" i="7"/>
  <c r="G24" i="42"/>
  <c r="D25" i="42"/>
  <c r="E25" i="42"/>
  <c r="D25" i="41"/>
  <c r="E25" i="41"/>
  <c r="H25" i="39"/>
  <c r="I25" i="39" s="1"/>
  <c r="D26" i="39"/>
  <c r="E26" i="39"/>
  <c r="G33" i="4"/>
  <c r="I33" i="4" s="1"/>
  <c r="D34" i="4"/>
  <c r="E34" i="4"/>
  <c r="G35" i="11"/>
  <c r="I35" i="11" s="1"/>
  <c r="D36" i="11"/>
  <c r="E36" i="11"/>
  <c r="G23" i="45"/>
  <c r="H24" i="42"/>
  <c r="D25" i="44"/>
  <c r="H32" i="22"/>
  <c r="D33" i="22"/>
  <c r="E33" i="22"/>
  <c r="H28" i="29"/>
  <c r="D29" i="29"/>
  <c r="E29" i="29"/>
  <c r="G25" i="38"/>
  <c r="D26" i="38"/>
  <c r="E26" i="38"/>
  <c r="H25" i="37"/>
  <c r="I25" i="37" s="1"/>
  <c r="D26" i="37"/>
  <c r="E26" i="37"/>
  <c r="H34" i="8"/>
  <c r="D35" i="8"/>
  <c r="E35" i="8"/>
  <c r="D23" i="46"/>
  <c r="E23" i="46"/>
  <c r="H25" i="38"/>
  <c r="G32" i="22"/>
  <c r="H22" i="46"/>
  <c r="H30" i="24"/>
  <c r="I30" i="24" s="1"/>
  <c r="D31" i="24"/>
  <c r="E31" i="24"/>
  <c r="G28" i="28"/>
  <c r="I28" i="28" s="1"/>
  <c r="D29" i="28"/>
  <c r="E29" i="28"/>
  <c r="G28" i="29"/>
  <c r="H32" i="25"/>
  <c r="D33" i="25"/>
  <c r="E33" i="25"/>
  <c r="B24" i="44"/>
  <c r="H24" i="44" l="1"/>
  <c r="E25" i="44"/>
  <c r="O87" i="50"/>
  <c r="O89" i="50" s="1"/>
  <c r="N89" i="50"/>
  <c r="O17" i="2"/>
  <c r="M89" i="50"/>
  <c r="N17" i="2"/>
  <c r="R132" i="2" s="1"/>
  <c r="H18" i="50"/>
  <c r="G18" i="50"/>
  <c r="N19" i="1"/>
  <c r="E19" i="50"/>
  <c r="F19" i="50" s="1"/>
  <c r="G19" i="50" s="1"/>
  <c r="B19" i="50"/>
  <c r="G19" i="52"/>
  <c r="I19" i="52" s="1"/>
  <c r="D20" i="52"/>
  <c r="F24" i="45"/>
  <c r="D25" i="45" s="1"/>
  <c r="I24" i="44"/>
  <c r="I34" i="6"/>
  <c r="F25" i="40"/>
  <c r="G25" i="40" s="1"/>
  <c r="B25" i="40"/>
  <c r="B29" i="28"/>
  <c r="F29" i="28"/>
  <c r="G29" i="28" s="1"/>
  <c r="F23" i="46"/>
  <c r="G23" i="46" s="1"/>
  <c r="I32" i="22"/>
  <c r="B25" i="41"/>
  <c r="F25" i="41"/>
  <c r="G25" i="41" s="1"/>
  <c r="F34" i="3"/>
  <c r="B34" i="3"/>
  <c r="B23" i="46"/>
  <c r="B26" i="38"/>
  <c r="F26" i="38"/>
  <c r="G26" i="38" s="1"/>
  <c r="B25" i="43"/>
  <c r="F25" i="43"/>
  <c r="G25" i="43" s="1"/>
  <c r="H29" i="27"/>
  <c r="D30" i="27"/>
  <c r="E30" i="27"/>
  <c r="I33" i="3"/>
  <c r="F25" i="44"/>
  <c r="H25" i="44" s="1"/>
  <c r="F34" i="4"/>
  <c r="G34" i="4" s="1"/>
  <c r="B34" i="4"/>
  <c r="F28" i="30"/>
  <c r="G28" i="30" s="1"/>
  <c r="B28" i="30"/>
  <c r="I24" i="41"/>
  <c r="B36" i="9"/>
  <c r="F36" i="9"/>
  <c r="G36" i="9" s="1"/>
  <c r="B26" i="37"/>
  <c r="F26" i="37"/>
  <c r="G26" i="37" s="1"/>
  <c r="B35" i="6"/>
  <c r="F35" i="6"/>
  <c r="G35" i="6" s="1"/>
  <c r="F37" i="10"/>
  <c r="H37" i="10" s="1"/>
  <c r="B37" i="10"/>
  <c r="F29" i="31"/>
  <c r="B29" i="31"/>
  <c r="B37" i="7"/>
  <c r="F37" i="7"/>
  <c r="G37" i="7" s="1"/>
  <c r="I31" i="23"/>
  <c r="I25" i="38"/>
  <c r="B33" i="22"/>
  <c r="F33" i="22"/>
  <c r="G33" i="22" s="1"/>
  <c r="F36" i="11"/>
  <c r="G36" i="11" s="1"/>
  <c r="B36" i="11"/>
  <c r="I36" i="7"/>
  <c r="B31" i="24"/>
  <c r="F31" i="24"/>
  <c r="G31" i="24" s="1"/>
  <c r="F35" i="8"/>
  <c r="H35" i="8" s="1"/>
  <c r="B35" i="8"/>
  <c r="B25" i="44"/>
  <c r="B25" i="42"/>
  <c r="F25" i="42"/>
  <c r="H25" i="42" s="1"/>
  <c r="F34" i="5"/>
  <c r="G34" i="5" s="1"/>
  <c r="B34" i="5"/>
  <c r="I27" i="30"/>
  <c r="I35" i="9"/>
  <c r="B33" i="25"/>
  <c r="F33" i="25"/>
  <c r="H33" i="25" s="1"/>
  <c r="I34" i="8"/>
  <c r="F29" i="29"/>
  <c r="B29" i="29"/>
  <c r="I24" i="42"/>
  <c r="I32" i="25"/>
  <c r="I22" i="46"/>
  <c r="I28" i="29"/>
  <c r="I23" i="45"/>
  <c r="B26" i="39"/>
  <c r="F26" i="39"/>
  <c r="G26" i="39" s="1"/>
  <c r="F32" i="23"/>
  <c r="G32" i="23" s="1"/>
  <c r="B32" i="23"/>
  <c r="I36" i="10"/>
  <c r="B24" i="45"/>
  <c r="I49" i="17"/>
  <c r="I18" i="50" l="1"/>
  <c r="R133" i="2"/>
  <c r="P17" i="2"/>
  <c r="N20" i="1"/>
  <c r="E20" i="52"/>
  <c r="F20" i="52" s="1"/>
  <c r="B20" i="52"/>
  <c r="H19" i="50"/>
  <c r="D20" i="50"/>
  <c r="E20" i="50"/>
  <c r="G24" i="45"/>
  <c r="H25" i="43"/>
  <c r="I25" i="43" s="1"/>
  <c r="E25" i="45"/>
  <c r="F25" i="45" s="1"/>
  <c r="D26" i="45" s="1"/>
  <c r="B26" i="45" s="1"/>
  <c r="H24" i="45"/>
  <c r="H26" i="37"/>
  <c r="I26" i="37" s="1"/>
  <c r="G25" i="44"/>
  <c r="I25" i="44" s="1"/>
  <c r="H29" i="29"/>
  <c r="D30" i="29"/>
  <c r="E30" i="29"/>
  <c r="H29" i="28"/>
  <c r="D30" i="28"/>
  <c r="E30" i="28"/>
  <c r="H37" i="7"/>
  <c r="D38" i="7"/>
  <c r="E38" i="7"/>
  <c r="H28" i="30"/>
  <c r="D29" i="30"/>
  <c r="E29" i="30"/>
  <c r="I29" i="27"/>
  <c r="H32" i="23"/>
  <c r="D33" i="23"/>
  <c r="E33" i="23"/>
  <c r="D27" i="37"/>
  <c r="E27" i="37"/>
  <c r="H26" i="38"/>
  <c r="D27" i="38"/>
  <c r="E27" i="38"/>
  <c r="G33" i="25"/>
  <c r="I33" i="25" s="1"/>
  <c r="D34" i="25"/>
  <c r="E34" i="25"/>
  <c r="H34" i="5"/>
  <c r="I34" i="5" s="1"/>
  <c r="D35" i="5"/>
  <c r="E35" i="5"/>
  <c r="B25" i="45"/>
  <c r="H35" i="6"/>
  <c r="D36" i="6"/>
  <c r="E36" i="6"/>
  <c r="H36" i="9"/>
  <c r="D37" i="9"/>
  <c r="E37" i="9"/>
  <c r="H25" i="40"/>
  <c r="I25" i="40" s="1"/>
  <c r="D26" i="40"/>
  <c r="E26" i="40"/>
  <c r="H29" i="31"/>
  <c r="D30" i="31"/>
  <c r="E30" i="31"/>
  <c r="H31" i="24"/>
  <c r="I31" i="24" s="1"/>
  <c r="D32" i="24"/>
  <c r="E32" i="24"/>
  <c r="H34" i="3"/>
  <c r="D35" i="3"/>
  <c r="E35" i="3"/>
  <c r="G37" i="10"/>
  <c r="I37" i="10" s="1"/>
  <c r="D38" i="10"/>
  <c r="E38" i="10"/>
  <c r="B30" i="27"/>
  <c r="F30" i="27"/>
  <c r="H30" i="27" s="1"/>
  <c r="G29" i="31"/>
  <c r="H34" i="4"/>
  <c r="D35" i="4"/>
  <c r="E35" i="4"/>
  <c r="D26" i="42"/>
  <c r="E26" i="42"/>
  <c r="H33" i="22"/>
  <c r="D34" i="22"/>
  <c r="E34" i="22"/>
  <c r="H25" i="41"/>
  <c r="I25" i="41" s="1"/>
  <c r="D26" i="41"/>
  <c r="E26" i="41"/>
  <c r="H26" i="39"/>
  <c r="I26" i="39" s="1"/>
  <c r="D27" i="39"/>
  <c r="E27" i="39"/>
  <c r="G29" i="29"/>
  <c r="G25" i="42"/>
  <c r="I25" i="42" s="1"/>
  <c r="G35" i="8"/>
  <c r="I35" i="8" s="1"/>
  <c r="D36" i="8"/>
  <c r="E36" i="8"/>
  <c r="H36" i="11"/>
  <c r="D37" i="11"/>
  <c r="E37" i="11"/>
  <c r="D26" i="44"/>
  <c r="E26" i="44"/>
  <c r="D26" i="43"/>
  <c r="E26" i="43"/>
  <c r="G34" i="3"/>
  <c r="H23" i="46"/>
  <c r="I23" i="46" s="1"/>
  <c r="D24" i="46"/>
  <c r="E24" i="46"/>
  <c r="I24" i="45" l="1"/>
  <c r="D21" i="52"/>
  <c r="E21" i="52" s="1"/>
  <c r="F21" i="52" s="1"/>
  <c r="G20" i="52"/>
  <c r="H20" i="52"/>
  <c r="I20" i="52" s="1"/>
  <c r="I19" i="50"/>
  <c r="B21" i="52"/>
  <c r="B20" i="50"/>
  <c r="F20" i="50"/>
  <c r="G20" i="50" s="1"/>
  <c r="G25" i="45"/>
  <c r="H25" i="45"/>
  <c r="E26" i="45"/>
  <c r="F26" i="45" s="1"/>
  <c r="D27" i="45" s="1"/>
  <c r="F26" i="44"/>
  <c r="G26" i="44" s="1"/>
  <c r="I29" i="31"/>
  <c r="B26" i="42"/>
  <c r="F26" i="42"/>
  <c r="G26" i="42" s="1"/>
  <c r="I35" i="6"/>
  <c r="F26" i="43"/>
  <c r="B26" i="43"/>
  <c r="F32" i="24"/>
  <c r="G32" i="24" s="1"/>
  <c r="B32" i="24"/>
  <c r="B34" i="25"/>
  <c r="F34" i="25"/>
  <c r="G34" i="25" s="1"/>
  <c r="I28" i="30"/>
  <c r="B26" i="44"/>
  <c r="I34" i="4"/>
  <c r="B38" i="10"/>
  <c r="F38" i="10"/>
  <c r="G38" i="10" s="1"/>
  <c r="B33" i="23"/>
  <c r="F33" i="23"/>
  <c r="H33" i="23" s="1"/>
  <c r="F30" i="29"/>
  <c r="B30" i="29"/>
  <c r="F26" i="40"/>
  <c r="G26" i="40" s="1"/>
  <c r="B26" i="40"/>
  <c r="B26" i="41"/>
  <c r="F26" i="41"/>
  <c r="G26" i="41" s="1"/>
  <c r="G30" i="27"/>
  <c r="I30" i="27" s="1"/>
  <c r="D31" i="27"/>
  <c r="E31" i="27"/>
  <c r="B30" i="28"/>
  <c r="F30" i="28"/>
  <c r="H30" i="28" s="1"/>
  <c r="F27" i="37"/>
  <c r="B27" i="37"/>
  <c r="I29" i="28"/>
  <c r="E27" i="44"/>
  <c r="B35" i="4"/>
  <c r="F35" i="4"/>
  <c r="G35" i="4" s="1"/>
  <c r="F30" i="31"/>
  <c r="H30" i="31" s="1"/>
  <c r="B30" i="31"/>
  <c r="B37" i="9"/>
  <c r="F37" i="9"/>
  <c r="H37" i="9" s="1"/>
  <c r="I32" i="23"/>
  <c r="I29" i="29"/>
  <c r="F36" i="6"/>
  <c r="B36" i="6"/>
  <c r="I34" i="3"/>
  <c r="F36" i="8"/>
  <c r="G36" i="8" s="1"/>
  <c r="B36" i="8"/>
  <c r="B29" i="30"/>
  <c r="F29" i="30"/>
  <c r="G29" i="30" s="1"/>
  <c r="B24" i="46"/>
  <c r="F24" i="46"/>
  <c r="G24" i="46" s="1"/>
  <c r="F37" i="11"/>
  <c r="G37" i="11" s="1"/>
  <c r="B37" i="11"/>
  <c r="B27" i="39"/>
  <c r="F27" i="39"/>
  <c r="G27" i="39" s="1"/>
  <c r="B34" i="22"/>
  <c r="F34" i="22"/>
  <c r="G34" i="22" s="1"/>
  <c r="I36" i="9"/>
  <c r="I26" i="38"/>
  <c r="F38" i="7"/>
  <c r="G38" i="7" s="1"/>
  <c r="B38" i="7"/>
  <c r="I36" i="11"/>
  <c r="I33" i="22"/>
  <c r="B35" i="3"/>
  <c r="F35" i="3"/>
  <c r="G35" i="3" s="1"/>
  <c r="F35" i="5"/>
  <c r="G35" i="5" s="1"/>
  <c r="B35" i="5"/>
  <c r="F27" i="38"/>
  <c r="H27" i="38" s="1"/>
  <c r="B27" i="38"/>
  <c r="I37" i="7"/>
  <c r="D22" i="52" l="1"/>
  <c r="B22" i="52" s="1"/>
  <c r="G21" i="52"/>
  <c r="H20" i="50"/>
  <c r="D21" i="50"/>
  <c r="E22" i="52"/>
  <c r="F22" i="52" s="1"/>
  <c r="H21" i="52"/>
  <c r="D27" i="44"/>
  <c r="F27" i="44" s="1"/>
  <c r="H27" i="44" s="1"/>
  <c r="I25" i="45"/>
  <c r="H26" i="44"/>
  <c r="I26" i="44" s="1"/>
  <c r="E27" i="45"/>
  <c r="F27" i="45" s="1"/>
  <c r="H26" i="45"/>
  <c r="G26" i="45"/>
  <c r="D28" i="37"/>
  <c r="E28" i="37"/>
  <c r="H26" i="43"/>
  <c r="D27" i="43"/>
  <c r="E27" i="43"/>
  <c r="H36" i="6"/>
  <c r="D37" i="6"/>
  <c r="E37" i="6"/>
  <c r="H26" i="41"/>
  <c r="I26" i="41" s="1"/>
  <c r="D27" i="41"/>
  <c r="E27" i="41"/>
  <c r="G33" i="23"/>
  <c r="I33" i="23" s="1"/>
  <c r="D34" i="23"/>
  <c r="E34" i="23"/>
  <c r="H35" i="3"/>
  <c r="D36" i="3"/>
  <c r="E36" i="3"/>
  <c r="H24" i="46"/>
  <c r="D25" i="46"/>
  <c r="E25" i="46"/>
  <c r="H36" i="8"/>
  <c r="D37" i="8"/>
  <c r="E37" i="8"/>
  <c r="H35" i="5"/>
  <c r="I35" i="5" s="1"/>
  <c r="D36" i="5"/>
  <c r="E36" i="5"/>
  <c r="H37" i="11"/>
  <c r="D38" i="11"/>
  <c r="E38" i="11"/>
  <c r="H34" i="22"/>
  <c r="D35" i="22"/>
  <c r="E35" i="22"/>
  <c r="B27" i="45"/>
  <c r="G30" i="31"/>
  <c r="I30" i="31" s="1"/>
  <c r="D31" i="31"/>
  <c r="E31" i="31"/>
  <c r="G27" i="37"/>
  <c r="H32" i="24"/>
  <c r="I32" i="24" s="1"/>
  <c r="D33" i="24"/>
  <c r="E33" i="24"/>
  <c r="H26" i="42"/>
  <c r="D27" i="42"/>
  <c r="E27" i="42"/>
  <c r="H30" i="29"/>
  <c r="D31" i="29"/>
  <c r="E31" i="29"/>
  <c r="G30" i="28"/>
  <c r="I30" i="28" s="1"/>
  <c r="D31" i="28"/>
  <c r="E31" i="28"/>
  <c r="H38" i="7"/>
  <c r="D39" i="7"/>
  <c r="E39" i="7"/>
  <c r="H27" i="39"/>
  <c r="I27" i="39" s="1"/>
  <c r="D28" i="39"/>
  <c r="E28" i="39"/>
  <c r="H27" i="37"/>
  <c r="F31" i="27"/>
  <c r="G31" i="27" s="1"/>
  <c r="B31" i="27"/>
  <c r="H26" i="40"/>
  <c r="I26" i="40" s="1"/>
  <c r="D27" i="40"/>
  <c r="E27" i="40"/>
  <c r="H38" i="10"/>
  <c r="D39" i="10"/>
  <c r="E39" i="10"/>
  <c r="G26" i="43"/>
  <c r="G37" i="9"/>
  <c r="I37" i="9" s="1"/>
  <c r="D38" i="9"/>
  <c r="E38" i="9"/>
  <c r="H34" i="25"/>
  <c r="D35" i="25"/>
  <c r="E35" i="25"/>
  <c r="G27" i="38"/>
  <c r="I27" i="38" s="1"/>
  <c r="D28" i="38"/>
  <c r="E28" i="38"/>
  <c r="H29" i="30"/>
  <c r="D30" i="30"/>
  <c r="E30" i="30"/>
  <c r="G36" i="6"/>
  <c r="H35" i="4"/>
  <c r="D36" i="4"/>
  <c r="E36" i="4"/>
  <c r="G30" i="29"/>
  <c r="B27" i="44" l="1"/>
  <c r="D23" i="52"/>
  <c r="E23" i="52" s="1"/>
  <c r="F23" i="52" s="1"/>
  <c r="H22" i="52"/>
  <c r="G22" i="52"/>
  <c r="B23" i="52"/>
  <c r="E21" i="50"/>
  <c r="F21" i="50" s="1"/>
  <c r="H21" i="50" s="1"/>
  <c r="B21" i="50"/>
  <c r="I21" i="52"/>
  <c r="I20" i="50"/>
  <c r="G27" i="44"/>
  <c r="I27" i="44" s="1"/>
  <c r="D28" i="45"/>
  <c r="B28" i="45" s="1"/>
  <c r="G27" i="45"/>
  <c r="I26" i="45"/>
  <c r="E28" i="44"/>
  <c r="D28" i="44"/>
  <c r="B28" i="44" s="1"/>
  <c r="H27" i="45"/>
  <c r="F31" i="29"/>
  <c r="G31" i="29" s="1"/>
  <c r="B31" i="29"/>
  <c r="B39" i="7"/>
  <c r="F39" i="7"/>
  <c r="H39" i="7" s="1"/>
  <c r="E28" i="45"/>
  <c r="B36" i="4"/>
  <c r="F36" i="4"/>
  <c r="G36" i="4" s="1"/>
  <c r="H31" i="27"/>
  <c r="D32" i="27"/>
  <c r="E32" i="27"/>
  <c r="I35" i="3"/>
  <c r="F39" i="10"/>
  <c r="B39" i="10"/>
  <c r="I27" i="37"/>
  <c r="F37" i="8"/>
  <c r="G37" i="8" s="1"/>
  <c r="B37" i="8"/>
  <c r="F37" i="6"/>
  <c r="G37" i="6" s="1"/>
  <c r="B37" i="6"/>
  <c r="B36" i="5"/>
  <c r="F36" i="5"/>
  <c r="G36" i="5" s="1"/>
  <c r="I26" i="43"/>
  <c r="F33" i="24"/>
  <c r="H33" i="24" s="1"/>
  <c r="B33" i="24"/>
  <c r="F28" i="37"/>
  <c r="G28" i="37" s="1"/>
  <c r="B28" i="37"/>
  <c r="I38" i="7"/>
  <c r="I35" i="4"/>
  <c r="F35" i="25"/>
  <c r="H35" i="25" s="1"/>
  <c r="B35" i="25"/>
  <c r="I38" i="10"/>
  <c r="B31" i="28"/>
  <c r="F31" i="28"/>
  <c r="G31" i="28" s="1"/>
  <c r="F38" i="11"/>
  <c r="G38" i="11" s="1"/>
  <c r="B38" i="11"/>
  <c r="I36" i="8"/>
  <c r="B34" i="23"/>
  <c r="F34" i="23"/>
  <c r="G34" i="23" s="1"/>
  <c r="I36" i="6"/>
  <c r="I26" i="42"/>
  <c r="I29" i="30"/>
  <c r="B28" i="38"/>
  <c r="F28" i="38"/>
  <c r="H28" i="38" s="1"/>
  <c r="I30" i="29"/>
  <c r="B36" i="3"/>
  <c r="F36" i="3"/>
  <c r="F31" i="31"/>
  <c r="H31" i="31" s="1"/>
  <c r="B31" i="31"/>
  <c r="F35" i="22"/>
  <c r="H35" i="22" s="1"/>
  <c r="B35" i="22"/>
  <c r="I37" i="11"/>
  <c r="B38" i="9"/>
  <c r="F38" i="9"/>
  <c r="G38" i="9" s="1"/>
  <c r="B27" i="41"/>
  <c r="F27" i="41"/>
  <c r="H27" i="41" s="1"/>
  <c r="I34" i="25"/>
  <c r="F30" i="30"/>
  <c r="G30" i="30" s="1"/>
  <c r="B30" i="30"/>
  <c r="B27" i="40"/>
  <c r="F27" i="40"/>
  <c r="B28" i="39"/>
  <c r="F28" i="39"/>
  <c r="G28" i="39" s="1"/>
  <c r="F27" i="42"/>
  <c r="G27" i="42" s="1"/>
  <c r="B27" i="42"/>
  <c r="I34" i="22"/>
  <c r="B25" i="46"/>
  <c r="F25" i="46"/>
  <c r="G25" i="46" s="1"/>
  <c r="I24" i="46"/>
  <c r="B27" i="43"/>
  <c r="F27" i="43"/>
  <c r="I22" i="52" l="1"/>
  <c r="H23" i="52"/>
  <c r="D24" i="52"/>
  <c r="G23" i="52"/>
  <c r="G21" i="50"/>
  <c r="I21" i="50" s="1"/>
  <c r="D22" i="50"/>
  <c r="E22" i="50"/>
  <c r="F28" i="44"/>
  <c r="D29" i="44" s="1"/>
  <c r="B29" i="44" s="1"/>
  <c r="I27" i="45"/>
  <c r="F28" i="45"/>
  <c r="H28" i="45" s="1"/>
  <c r="H28" i="39"/>
  <c r="I28" i="39" s="1"/>
  <c r="H28" i="37"/>
  <c r="I28" i="37" s="1"/>
  <c r="H37" i="8"/>
  <c r="D38" i="8"/>
  <c r="E38" i="8"/>
  <c r="G39" i="7"/>
  <c r="I39" i="7" s="1"/>
  <c r="D40" i="7"/>
  <c r="E40" i="7"/>
  <c r="G35" i="22"/>
  <c r="I35" i="22" s="1"/>
  <c r="D36" i="22"/>
  <c r="E36" i="22"/>
  <c r="H38" i="11"/>
  <c r="D39" i="11"/>
  <c r="E39" i="11"/>
  <c r="G35" i="25"/>
  <c r="I35" i="25" s="1"/>
  <c r="D36" i="25"/>
  <c r="E36" i="25"/>
  <c r="D29" i="37"/>
  <c r="E29" i="37"/>
  <c r="H27" i="43"/>
  <c r="D28" i="43"/>
  <c r="E28" i="43"/>
  <c r="G27" i="40"/>
  <c r="D28" i="40"/>
  <c r="E28" i="40"/>
  <c r="G27" i="41"/>
  <c r="I27" i="41" s="1"/>
  <c r="D28" i="41"/>
  <c r="E28" i="41"/>
  <c r="I31" i="27"/>
  <c r="H30" i="30"/>
  <c r="D31" i="30"/>
  <c r="E31" i="30"/>
  <c r="D29" i="39"/>
  <c r="E29" i="39"/>
  <c r="H38" i="9"/>
  <c r="D39" i="9"/>
  <c r="E39" i="9"/>
  <c r="G28" i="38"/>
  <c r="I28" i="38" s="1"/>
  <c r="D29" i="38"/>
  <c r="E29" i="38"/>
  <c r="F32" i="27"/>
  <c r="B32" i="27"/>
  <c r="H27" i="42"/>
  <c r="I27" i="42" s="1"/>
  <c r="D28" i="42"/>
  <c r="E28" i="42"/>
  <c r="H36" i="5"/>
  <c r="I36" i="5" s="1"/>
  <c r="D37" i="5"/>
  <c r="E37" i="5"/>
  <c r="H36" i="4"/>
  <c r="D37" i="4"/>
  <c r="E37" i="4"/>
  <c r="G31" i="31"/>
  <c r="I31" i="31" s="1"/>
  <c r="D32" i="31"/>
  <c r="E32" i="31"/>
  <c r="H34" i="23"/>
  <c r="D35" i="23"/>
  <c r="E35" i="23"/>
  <c r="H31" i="28"/>
  <c r="I31" i="28" s="1"/>
  <c r="D32" i="28"/>
  <c r="E32" i="28"/>
  <c r="H31" i="29"/>
  <c r="D32" i="29"/>
  <c r="E32" i="29"/>
  <c r="H36" i="3"/>
  <c r="D37" i="3"/>
  <c r="E37" i="3"/>
  <c r="H39" i="10"/>
  <c r="D40" i="10"/>
  <c r="E40" i="10"/>
  <c r="H25" i="46"/>
  <c r="I25" i="46" s="1"/>
  <c r="D26" i="46"/>
  <c r="E26" i="46"/>
  <c r="G27" i="43"/>
  <c r="H27" i="40"/>
  <c r="G36" i="3"/>
  <c r="G33" i="24"/>
  <c r="I33" i="24" s="1"/>
  <c r="D34" i="24"/>
  <c r="E34" i="24"/>
  <c r="H37" i="6"/>
  <c r="D38" i="6"/>
  <c r="E38" i="6"/>
  <c r="G39" i="10"/>
  <c r="I23" i="52" l="1"/>
  <c r="H28" i="44"/>
  <c r="E24" i="52"/>
  <c r="F24" i="52" s="1"/>
  <c r="G24" i="52" s="1"/>
  <c r="B24" i="52"/>
  <c r="B22" i="50"/>
  <c r="F22" i="50"/>
  <c r="H22" i="50" s="1"/>
  <c r="E29" i="44"/>
  <c r="F29" i="44" s="1"/>
  <c r="G29" i="44" s="1"/>
  <c r="G28" i="44"/>
  <c r="I27" i="40"/>
  <c r="G28" i="45"/>
  <c r="I28" i="45" s="1"/>
  <c r="D29" i="45"/>
  <c r="B29" i="45" s="1"/>
  <c r="I27" i="43"/>
  <c r="I36" i="3"/>
  <c r="F29" i="38"/>
  <c r="H29" i="38" s="1"/>
  <c r="B29" i="38"/>
  <c r="B31" i="30"/>
  <c r="F31" i="30"/>
  <c r="B32" i="29"/>
  <c r="F32" i="29"/>
  <c r="G32" i="29" s="1"/>
  <c r="B28" i="40"/>
  <c r="F28" i="40"/>
  <c r="G28" i="40" s="1"/>
  <c r="B32" i="31"/>
  <c r="F32" i="31"/>
  <c r="H32" i="31" s="1"/>
  <c r="F39" i="9"/>
  <c r="G39" i="9" s="1"/>
  <c r="B39" i="9"/>
  <c r="B36" i="25"/>
  <c r="F36" i="25"/>
  <c r="G36" i="25" s="1"/>
  <c r="B38" i="6"/>
  <c r="F38" i="6"/>
  <c r="G38" i="6" s="1"/>
  <c r="F40" i="10"/>
  <c r="G40" i="10" s="1"/>
  <c r="B40" i="10"/>
  <c r="B28" i="42"/>
  <c r="F28" i="42"/>
  <c r="I38" i="9"/>
  <c r="B35" i="23"/>
  <c r="F35" i="23"/>
  <c r="G35" i="23" s="1"/>
  <c r="F38" i="8"/>
  <c r="G38" i="8" s="1"/>
  <c r="B38" i="8"/>
  <c r="I34" i="23"/>
  <c r="G32" i="27"/>
  <c r="D33" i="27"/>
  <c r="E33" i="27"/>
  <c r="I37" i="8"/>
  <c r="B36" i="22"/>
  <c r="F36" i="22"/>
  <c r="G36" i="22" s="1"/>
  <c r="I37" i="6"/>
  <c r="I39" i="10"/>
  <c r="B32" i="28"/>
  <c r="F32" i="28"/>
  <c r="H32" i="28" s="1"/>
  <c r="F28" i="43"/>
  <c r="G28" i="43" s="1"/>
  <c r="B28" i="43"/>
  <c r="F40" i="7"/>
  <c r="B40" i="7"/>
  <c r="E29" i="45"/>
  <c r="F37" i="5"/>
  <c r="G37" i="5" s="1"/>
  <c r="B37" i="5"/>
  <c r="I30" i="30"/>
  <c r="I31" i="29"/>
  <c r="B37" i="4"/>
  <c r="F37" i="4"/>
  <c r="F29" i="39"/>
  <c r="H29" i="39" s="1"/>
  <c r="B29" i="39"/>
  <c r="F39" i="11"/>
  <c r="H39" i="11" s="1"/>
  <c r="B39" i="11"/>
  <c r="F29" i="37"/>
  <c r="G29" i="37" s="1"/>
  <c r="B29" i="37"/>
  <c r="B34" i="24"/>
  <c r="F34" i="24"/>
  <c r="G34" i="24" s="1"/>
  <c r="F26" i="46"/>
  <c r="B26" i="46"/>
  <c r="F37" i="3"/>
  <c r="G37" i="3" s="1"/>
  <c r="B37" i="3"/>
  <c r="I36" i="4"/>
  <c r="H32" i="27"/>
  <c r="B28" i="41"/>
  <c r="F28" i="41"/>
  <c r="H28" i="41" s="1"/>
  <c r="I38" i="11"/>
  <c r="E30" i="44" l="1"/>
  <c r="I28" i="44"/>
  <c r="D30" i="44"/>
  <c r="F30" i="44" s="1"/>
  <c r="E31" i="44" s="1"/>
  <c r="G22" i="50"/>
  <c r="I22" i="50" s="1"/>
  <c r="H29" i="44"/>
  <c r="I29" i="44" s="1"/>
  <c r="D23" i="50"/>
  <c r="E23" i="50"/>
  <c r="H24" i="52"/>
  <c r="I24" i="52" s="1"/>
  <c r="D25" i="52"/>
  <c r="E25" i="52"/>
  <c r="F29" i="45"/>
  <c r="D30" i="45" s="1"/>
  <c r="G29" i="38"/>
  <c r="I29" i="38" s="1"/>
  <c r="I32" i="27"/>
  <c r="G37" i="4"/>
  <c r="D38" i="4"/>
  <c r="E38" i="4"/>
  <c r="H35" i="23"/>
  <c r="I35" i="23" s="1"/>
  <c r="D36" i="23"/>
  <c r="E36" i="23"/>
  <c r="H36" i="25"/>
  <c r="I36" i="25" s="1"/>
  <c r="D37" i="25"/>
  <c r="E37" i="25"/>
  <c r="H28" i="40"/>
  <c r="I28" i="40" s="1"/>
  <c r="D29" i="40"/>
  <c r="E29" i="40"/>
  <c r="H34" i="24"/>
  <c r="I34" i="24" s="1"/>
  <c r="D35" i="24"/>
  <c r="E35" i="24"/>
  <c r="B30" i="44"/>
  <c r="H36" i="22"/>
  <c r="I36" i="22" s="1"/>
  <c r="D37" i="22"/>
  <c r="E37" i="22"/>
  <c r="H40" i="10"/>
  <c r="I40" i="10" s="1"/>
  <c r="D41" i="10"/>
  <c r="E41" i="10"/>
  <c r="H31" i="30"/>
  <c r="D32" i="30"/>
  <c r="E32" i="30"/>
  <c r="D27" i="46"/>
  <c r="E27" i="46"/>
  <c r="B33" i="27"/>
  <c r="F33" i="27"/>
  <c r="G33" i="27" s="1"/>
  <c r="H37" i="3"/>
  <c r="I37" i="3" s="1"/>
  <c r="D38" i="3"/>
  <c r="E38" i="3"/>
  <c r="G32" i="28"/>
  <c r="I32" i="28" s="1"/>
  <c r="D33" i="28"/>
  <c r="E33" i="28"/>
  <c r="H39" i="9"/>
  <c r="D40" i="9"/>
  <c r="E40" i="9"/>
  <c r="H32" i="29"/>
  <c r="I32" i="29" s="1"/>
  <c r="D33" i="29"/>
  <c r="E33" i="29"/>
  <c r="D30" i="38"/>
  <c r="E30" i="38"/>
  <c r="H40" i="7"/>
  <c r="D41" i="7"/>
  <c r="E41" i="7"/>
  <c r="G28" i="42"/>
  <c r="D29" i="42"/>
  <c r="E29" i="42"/>
  <c r="G39" i="11"/>
  <c r="I39" i="11" s="1"/>
  <c r="D40" i="11"/>
  <c r="E40" i="11"/>
  <c r="G28" i="41"/>
  <c r="I28" i="41" s="1"/>
  <c r="D29" i="41"/>
  <c r="E29" i="41"/>
  <c r="G26" i="46"/>
  <c r="G29" i="39"/>
  <c r="I29" i="39" s="1"/>
  <c r="D30" i="39"/>
  <c r="E30" i="39"/>
  <c r="G40" i="7"/>
  <c r="H38" i="6"/>
  <c r="I38" i="6" s="1"/>
  <c r="D39" i="6"/>
  <c r="E39" i="6"/>
  <c r="H37" i="5"/>
  <c r="I37" i="5" s="1"/>
  <c r="D38" i="5"/>
  <c r="E38" i="5"/>
  <c r="H28" i="43"/>
  <c r="I28" i="43" s="1"/>
  <c r="D29" i="43"/>
  <c r="E29" i="43"/>
  <c r="H26" i="46"/>
  <c r="H29" i="37"/>
  <c r="I29" i="37" s="1"/>
  <c r="D30" i="37"/>
  <c r="E30" i="37"/>
  <c r="H37" i="4"/>
  <c r="H38" i="8"/>
  <c r="D39" i="8"/>
  <c r="E39" i="8"/>
  <c r="H28" i="42"/>
  <c r="G32" i="31"/>
  <c r="I32" i="31" s="1"/>
  <c r="D33" i="31"/>
  <c r="E33" i="31"/>
  <c r="G31" i="30"/>
  <c r="F23" i="50" l="1"/>
  <c r="F25" i="52"/>
  <c r="D26" i="52" s="1"/>
  <c r="B25" i="52"/>
  <c r="H25" i="52"/>
  <c r="G25" i="52"/>
  <c r="H29" i="45"/>
  <c r="H23" i="50"/>
  <c r="D24" i="50"/>
  <c r="B23" i="50"/>
  <c r="G23" i="50"/>
  <c r="D31" i="44"/>
  <c r="F31" i="44" s="1"/>
  <c r="E32" i="44" s="1"/>
  <c r="G29" i="45"/>
  <c r="H30" i="44"/>
  <c r="F27" i="46"/>
  <c r="G27" i="46" s="1"/>
  <c r="G30" i="44"/>
  <c r="I28" i="42"/>
  <c r="I37" i="4"/>
  <c r="I26" i="46"/>
  <c r="B29" i="41"/>
  <c r="F29" i="41"/>
  <c r="H29" i="41" s="1"/>
  <c r="B27" i="46"/>
  <c r="F37" i="22"/>
  <c r="G37" i="22" s="1"/>
  <c r="B37" i="22"/>
  <c r="F39" i="8"/>
  <c r="H39" i="8" s="1"/>
  <c r="B39" i="8"/>
  <c r="B29" i="43"/>
  <c r="F29" i="43"/>
  <c r="G29" i="43" s="1"/>
  <c r="B38" i="3"/>
  <c r="F38" i="3"/>
  <c r="G38" i="3" s="1"/>
  <c r="B31" i="44"/>
  <c r="B36" i="23"/>
  <c r="F36" i="23"/>
  <c r="G36" i="23" s="1"/>
  <c r="B29" i="42"/>
  <c r="F29" i="42"/>
  <c r="H29" i="42" s="1"/>
  <c r="I38" i="8"/>
  <c r="F41" i="7"/>
  <c r="G41" i="7" s="1"/>
  <c r="B41" i="7"/>
  <c r="B40" i="11"/>
  <c r="F40" i="11"/>
  <c r="G40" i="11" s="1"/>
  <c r="I40" i="7"/>
  <c r="I39" i="9"/>
  <c r="I31" i="30"/>
  <c r="B29" i="40"/>
  <c r="F29" i="40"/>
  <c r="G29" i="40" s="1"/>
  <c r="F39" i="6"/>
  <c r="G39" i="6" s="1"/>
  <c r="B39" i="6"/>
  <c r="F40" i="9"/>
  <c r="G40" i="9" s="1"/>
  <c r="B40" i="9"/>
  <c r="F32" i="30"/>
  <c r="G32" i="30" s="1"/>
  <c r="B32" i="30"/>
  <c r="F38" i="5"/>
  <c r="B38" i="5"/>
  <c r="F30" i="39"/>
  <c r="G30" i="39" s="1"/>
  <c r="B30" i="39"/>
  <c r="B38" i="4"/>
  <c r="F38" i="4"/>
  <c r="G38" i="4" s="1"/>
  <c r="B33" i="29"/>
  <c r="F33" i="29"/>
  <c r="G33" i="29" s="1"/>
  <c r="F33" i="31"/>
  <c r="G33" i="31" s="1"/>
  <c r="B33" i="31"/>
  <c r="B30" i="37"/>
  <c r="F30" i="37"/>
  <c r="G30" i="37" s="1"/>
  <c r="B30" i="38"/>
  <c r="F30" i="38"/>
  <c r="G30" i="38" s="1"/>
  <c r="B33" i="28"/>
  <c r="F33" i="28"/>
  <c r="G33" i="28" s="1"/>
  <c r="H33" i="27"/>
  <c r="I33" i="27" s="1"/>
  <c r="D34" i="27"/>
  <c r="E34" i="27"/>
  <c r="F41" i="10"/>
  <c r="H41" i="10" s="1"/>
  <c r="B41" i="10"/>
  <c r="B35" i="24"/>
  <c r="F35" i="24"/>
  <c r="B37" i="25"/>
  <c r="F37" i="25"/>
  <c r="H37" i="25" s="1"/>
  <c r="E30" i="45"/>
  <c r="F30" i="45" s="1"/>
  <c r="H30" i="45" s="1"/>
  <c r="B30" i="45"/>
  <c r="I25" i="52" l="1"/>
  <c r="E24" i="50"/>
  <c r="F24" i="50" s="1"/>
  <c r="B24" i="50"/>
  <c r="I29" i="45"/>
  <c r="I23" i="50"/>
  <c r="E26" i="52"/>
  <c r="F26" i="52" s="1"/>
  <c r="B26" i="52"/>
  <c r="D28" i="46"/>
  <c r="B28" i="46" s="1"/>
  <c r="E28" i="46"/>
  <c r="H27" i="46"/>
  <c r="I27" i="46" s="1"/>
  <c r="I30" i="44"/>
  <c r="G29" i="41"/>
  <c r="G31" i="44"/>
  <c r="H31" i="44"/>
  <c r="D32" i="44"/>
  <c r="F32" i="44" s="1"/>
  <c r="H32" i="44" s="1"/>
  <c r="H38" i="4"/>
  <c r="I38" i="4" s="1"/>
  <c r="D39" i="4"/>
  <c r="E39" i="4"/>
  <c r="H39" i="6"/>
  <c r="I39" i="6" s="1"/>
  <c r="D40" i="6"/>
  <c r="E40" i="6"/>
  <c r="G39" i="8"/>
  <c r="I39" i="8" s="1"/>
  <c r="D40" i="8"/>
  <c r="E40" i="8"/>
  <c r="H30" i="38"/>
  <c r="I30" i="38" s="1"/>
  <c r="D31" i="38"/>
  <c r="E31" i="38"/>
  <c r="H32" i="30"/>
  <c r="I32" i="30" s="1"/>
  <c r="D33" i="30"/>
  <c r="E33" i="30"/>
  <c r="H29" i="40"/>
  <c r="I29" i="40" s="1"/>
  <c r="D30" i="40"/>
  <c r="E30" i="40"/>
  <c r="H38" i="3"/>
  <c r="I38" i="3" s="1"/>
  <c r="D39" i="3"/>
  <c r="E39" i="3"/>
  <c r="I29" i="41"/>
  <c r="H35" i="24"/>
  <c r="D36" i="24"/>
  <c r="E36" i="24"/>
  <c r="G30" i="45"/>
  <c r="I30" i="45" s="1"/>
  <c r="D31" i="45"/>
  <c r="H33" i="31"/>
  <c r="I33" i="31" s="1"/>
  <c r="D34" i="31"/>
  <c r="E34" i="31"/>
  <c r="G29" i="42"/>
  <c r="I29" i="42" s="1"/>
  <c r="D30" i="42"/>
  <c r="E30" i="42"/>
  <c r="G41" i="10"/>
  <c r="I41" i="10" s="1"/>
  <c r="D42" i="10"/>
  <c r="E42" i="10"/>
  <c r="G37" i="25"/>
  <c r="I37" i="25" s="1"/>
  <c r="D38" i="25"/>
  <c r="E38" i="25"/>
  <c r="H30" i="39"/>
  <c r="I30" i="39" s="1"/>
  <c r="D31" i="39"/>
  <c r="E31" i="39"/>
  <c r="H36" i="23"/>
  <c r="I36" i="23" s="1"/>
  <c r="D37" i="23"/>
  <c r="E37" i="23"/>
  <c r="D30" i="41"/>
  <c r="E30" i="41"/>
  <c r="H37" i="22"/>
  <c r="I37" i="22" s="1"/>
  <c r="D38" i="22"/>
  <c r="E38" i="22"/>
  <c r="H33" i="28"/>
  <c r="I33" i="28" s="1"/>
  <c r="D34" i="28"/>
  <c r="E34" i="28"/>
  <c r="H38" i="5"/>
  <c r="D39" i="5"/>
  <c r="E39" i="5"/>
  <c r="H40" i="11"/>
  <c r="I40" i="11" s="1"/>
  <c r="D41" i="11"/>
  <c r="E41" i="11"/>
  <c r="F34" i="27"/>
  <c r="B34" i="27"/>
  <c r="G35" i="24"/>
  <c r="H30" i="37"/>
  <c r="I30" i="37" s="1"/>
  <c r="D31" i="37"/>
  <c r="E31" i="37"/>
  <c r="H33" i="29"/>
  <c r="I33" i="29" s="1"/>
  <c r="D34" i="29"/>
  <c r="E34" i="29"/>
  <c r="G38" i="5"/>
  <c r="H40" i="9"/>
  <c r="I40" i="9" s="1"/>
  <c r="D41" i="9"/>
  <c r="E41" i="9"/>
  <c r="H41" i="7"/>
  <c r="I41" i="7" s="1"/>
  <c r="D42" i="7"/>
  <c r="E42" i="7"/>
  <c r="H29" i="43"/>
  <c r="I29" i="43" s="1"/>
  <c r="D30" i="43"/>
  <c r="E30" i="43"/>
  <c r="D25" i="50" l="1"/>
  <c r="H24" i="50"/>
  <c r="G24" i="50"/>
  <c r="N5" i="50" s="1"/>
  <c r="N7" i="50" s="1"/>
  <c r="F28" i="46"/>
  <c r="G28" i="46" s="1"/>
  <c r="D27" i="52"/>
  <c r="E27" i="52" s="1"/>
  <c r="G26" i="52"/>
  <c r="H26" i="52"/>
  <c r="E25" i="50"/>
  <c r="F25" i="50" s="1"/>
  <c r="B25" i="50"/>
  <c r="I31" i="44"/>
  <c r="B32" i="44"/>
  <c r="F42" i="10"/>
  <c r="G42" i="10" s="1"/>
  <c r="G32" i="44"/>
  <c r="I32" i="44" s="1"/>
  <c r="I35" i="24"/>
  <c r="F42" i="7"/>
  <c r="G42" i="7" s="1"/>
  <c r="I38" i="5"/>
  <c r="B31" i="39"/>
  <c r="F31" i="39"/>
  <c r="H31" i="39" s="1"/>
  <c r="F34" i="29"/>
  <c r="G34" i="29" s="1"/>
  <c r="B34" i="29"/>
  <c r="B42" i="7"/>
  <c r="B30" i="41"/>
  <c r="F30" i="41"/>
  <c r="H30" i="41" s="1"/>
  <c r="F34" i="31"/>
  <c r="G34" i="31" s="1"/>
  <c r="B34" i="31"/>
  <c r="D33" i="44"/>
  <c r="E33" i="44"/>
  <c r="B33" i="30"/>
  <c r="F33" i="30"/>
  <c r="G33" i="30" s="1"/>
  <c r="F39" i="4"/>
  <c r="G39" i="4" s="1"/>
  <c r="B39" i="4"/>
  <c r="F31" i="37"/>
  <c r="B31" i="37"/>
  <c r="F34" i="28"/>
  <c r="G34" i="28" s="1"/>
  <c r="B34" i="28"/>
  <c r="B38" i="25"/>
  <c r="F38" i="25"/>
  <c r="H38" i="25" s="1"/>
  <c r="E31" i="45"/>
  <c r="F31" i="45" s="1"/>
  <c r="G31" i="45" s="1"/>
  <c r="B31" i="45"/>
  <c r="B39" i="3"/>
  <c r="F39" i="3"/>
  <c r="G39" i="3" s="1"/>
  <c r="F39" i="5"/>
  <c r="B39" i="5"/>
  <c r="B37" i="23"/>
  <c r="F37" i="23"/>
  <c r="H37" i="23" s="1"/>
  <c r="G34" i="27"/>
  <c r="D35" i="27"/>
  <c r="E35" i="27"/>
  <c r="B40" i="8"/>
  <c r="F40" i="8"/>
  <c r="G40" i="8" s="1"/>
  <c r="F41" i="11"/>
  <c r="G41" i="11" s="1"/>
  <c r="B41" i="11"/>
  <c r="F41" i="9"/>
  <c r="B41" i="9"/>
  <c r="B30" i="43"/>
  <c r="F30" i="43"/>
  <c r="G30" i="43" s="1"/>
  <c r="H34" i="27"/>
  <c r="F38" i="22"/>
  <c r="G38" i="22" s="1"/>
  <c r="B38" i="22"/>
  <c r="B42" i="10"/>
  <c r="F30" i="42"/>
  <c r="G30" i="42" s="1"/>
  <c r="B30" i="42"/>
  <c r="F36" i="24"/>
  <c r="G36" i="24" s="1"/>
  <c r="B36" i="24"/>
  <c r="F30" i="40"/>
  <c r="H30" i="40" s="1"/>
  <c r="B30" i="40"/>
  <c r="F31" i="38"/>
  <c r="H31" i="38" s="1"/>
  <c r="B31" i="38"/>
  <c r="B40" i="6"/>
  <c r="F40" i="6"/>
  <c r="G40" i="6" s="1"/>
  <c r="I26" i="52" l="1"/>
  <c r="E29" i="46"/>
  <c r="H28" i="46"/>
  <c r="I28" i="46" s="1"/>
  <c r="I24" i="50"/>
  <c r="M19" i="1"/>
  <c r="O19" i="1" s="1"/>
  <c r="D29" i="46"/>
  <c r="F29" i="46" s="1"/>
  <c r="G29" i="46" s="1"/>
  <c r="D26" i="50"/>
  <c r="E26" i="50"/>
  <c r="H25" i="50"/>
  <c r="G25" i="50"/>
  <c r="F27" i="52"/>
  <c r="H27" i="52" s="1"/>
  <c r="B27" i="52"/>
  <c r="H42" i="7"/>
  <c r="I42" i="7" s="1"/>
  <c r="D43" i="10"/>
  <c r="B43" i="10" s="1"/>
  <c r="E43" i="7"/>
  <c r="E43" i="10"/>
  <c r="D43" i="7"/>
  <c r="B43" i="7" s="1"/>
  <c r="H42" i="10"/>
  <c r="I42" i="10" s="1"/>
  <c r="G30" i="40"/>
  <c r="I30" i="40" s="1"/>
  <c r="I34" i="27"/>
  <c r="B33" i="44"/>
  <c r="G38" i="25"/>
  <c r="I38" i="25" s="1"/>
  <c r="D39" i="25"/>
  <c r="E39" i="25"/>
  <c r="H36" i="24"/>
  <c r="I36" i="24" s="1"/>
  <c r="D37" i="24"/>
  <c r="E37" i="24"/>
  <c r="H38" i="22"/>
  <c r="I38" i="22" s="1"/>
  <c r="D39" i="22"/>
  <c r="E39" i="22"/>
  <c r="H39" i="3"/>
  <c r="I39" i="3" s="1"/>
  <c r="D40" i="3"/>
  <c r="E40" i="3"/>
  <c r="H39" i="5"/>
  <c r="D40" i="5"/>
  <c r="E40" i="5"/>
  <c r="H31" i="37"/>
  <c r="D32" i="37"/>
  <c r="E32" i="37"/>
  <c r="H40" i="8"/>
  <c r="I40" i="8" s="1"/>
  <c r="D41" i="8"/>
  <c r="E41" i="8"/>
  <c r="H34" i="31"/>
  <c r="I34" i="31" s="1"/>
  <c r="D35" i="31"/>
  <c r="E35" i="31"/>
  <c r="G37" i="23"/>
  <c r="I37" i="23" s="1"/>
  <c r="D38" i="23"/>
  <c r="E38" i="23"/>
  <c r="H34" i="29"/>
  <c r="I34" i="29" s="1"/>
  <c r="D35" i="29"/>
  <c r="E35" i="29"/>
  <c r="B35" i="27"/>
  <c r="F35" i="27"/>
  <c r="G35" i="27" s="1"/>
  <c r="H30" i="43"/>
  <c r="I30" i="43" s="1"/>
  <c r="D31" i="43"/>
  <c r="E31" i="43"/>
  <c r="H34" i="28"/>
  <c r="I34" i="28" s="1"/>
  <c r="D35" i="28"/>
  <c r="E35" i="28"/>
  <c r="H33" i="30"/>
  <c r="I33" i="30" s="1"/>
  <c r="D34" i="30"/>
  <c r="E34" i="30"/>
  <c r="G30" i="41"/>
  <c r="I30" i="41" s="1"/>
  <c r="D31" i="41"/>
  <c r="E31" i="41"/>
  <c r="G31" i="38"/>
  <c r="I31" i="38" s="1"/>
  <c r="D32" i="38"/>
  <c r="E32" i="38"/>
  <c r="H30" i="42"/>
  <c r="I30" i="42" s="1"/>
  <c r="D31" i="42"/>
  <c r="E31" i="42"/>
  <c r="G39" i="5"/>
  <c r="H31" i="45"/>
  <c r="I31" i="45" s="1"/>
  <c r="D32" i="45"/>
  <c r="E32" i="45"/>
  <c r="G31" i="37"/>
  <c r="G31" i="39"/>
  <c r="I31" i="39" s="1"/>
  <c r="D32" i="39"/>
  <c r="E32" i="39"/>
  <c r="H41" i="9"/>
  <c r="D42" i="9"/>
  <c r="E42" i="9"/>
  <c r="H39" i="4"/>
  <c r="I39" i="4" s="1"/>
  <c r="D40" i="4"/>
  <c r="E40" i="4"/>
  <c r="H40" i="6"/>
  <c r="I40" i="6" s="1"/>
  <c r="D41" i="6"/>
  <c r="E41" i="6"/>
  <c r="D31" i="40"/>
  <c r="E31" i="40"/>
  <c r="G41" i="9"/>
  <c r="H41" i="11"/>
  <c r="I41" i="11" s="1"/>
  <c r="D42" i="11"/>
  <c r="E42" i="11"/>
  <c r="F33" i="44"/>
  <c r="H33" i="44" s="1"/>
  <c r="B29" i="46" l="1"/>
  <c r="I25" i="50"/>
  <c r="M20" i="1"/>
  <c r="F26" i="50"/>
  <c r="G26" i="50" s="1"/>
  <c r="F55" i="17"/>
  <c r="O20" i="1"/>
  <c r="R134" i="1"/>
  <c r="G27" i="52"/>
  <c r="I27" i="52" s="1"/>
  <c r="D28" i="52"/>
  <c r="B26" i="50"/>
  <c r="F43" i="7"/>
  <c r="H43" i="7" s="1"/>
  <c r="F43" i="10"/>
  <c r="G43" i="10" s="1"/>
  <c r="F42" i="11"/>
  <c r="H42" i="11" s="1"/>
  <c r="F32" i="45"/>
  <c r="D33" i="45" s="1"/>
  <c r="F41" i="6"/>
  <c r="H41" i="6" s="1"/>
  <c r="F41" i="8"/>
  <c r="H41" i="8" s="1"/>
  <c r="F42" i="9"/>
  <c r="G42" i="9" s="1"/>
  <c r="F40" i="4"/>
  <c r="H40" i="4" s="1"/>
  <c r="F31" i="40"/>
  <c r="G31" i="40" s="1"/>
  <c r="B31" i="40"/>
  <c r="B41" i="6"/>
  <c r="I31" i="37"/>
  <c r="B35" i="31"/>
  <c r="F35" i="31"/>
  <c r="H35" i="31" s="1"/>
  <c r="F39" i="25"/>
  <c r="H39" i="25" s="1"/>
  <c r="B39" i="25"/>
  <c r="F32" i="37"/>
  <c r="H32" i="37" s="1"/>
  <c r="B32" i="37"/>
  <c r="F35" i="28"/>
  <c r="G35" i="28" s="1"/>
  <c r="B35" i="28"/>
  <c r="B42" i="11"/>
  <c r="B42" i="9"/>
  <c r="B32" i="45"/>
  <c r="F31" i="43"/>
  <c r="H31" i="43" s="1"/>
  <c r="B31" i="43"/>
  <c r="I39" i="5"/>
  <c r="B39" i="22"/>
  <c r="F39" i="22"/>
  <c r="G39" i="22" s="1"/>
  <c r="G33" i="44"/>
  <c r="I33" i="44" s="1"/>
  <c r="B31" i="42"/>
  <c r="F31" i="42"/>
  <c r="G31" i="42" s="1"/>
  <c r="I41" i="9"/>
  <c r="B32" i="38"/>
  <c r="F32" i="38"/>
  <c r="G32" i="38" s="1"/>
  <c r="B41" i="8"/>
  <c r="F35" i="29"/>
  <c r="B35" i="29"/>
  <c r="B40" i="4"/>
  <c r="B34" i="30"/>
  <c r="F34" i="30"/>
  <c r="G34" i="30" s="1"/>
  <c r="B40" i="3"/>
  <c r="F40" i="3"/>
  <c r="B32" i="39"/>
  <c r="F32" i="39"/>
  <c r="H32" i="39" s="1"/>
  <c r="H29" i="46"/>
  <c r="I29" i="46" s="1"/>
  <c r="D30" i="46"/>
  <c r="E30" i="46"/>
  <c r="F31" i="41"/>
  <c r="G31" i="41" s="1"/>
  <c r="B31" i="41"/>
  <c r="B40" i="5"/>
  <c r="F40" i="5"/>
  <c r="G40" i="5" s="1"/>
  <c r="D34" i="44"/>
  <c r="E34" i="44"/>
  <c r="H35" i="27"/>
  <c r="I35" i="27" s="1"/>
  <c r="D36" i="27"/>
  <c r="E36" i="27"/>
  <c r="B38" i="23"/>
  <c r="F38" i="23"/>
  <c r="G38" i="23" s="1"/>
  <c r="B37" i="24"/>
  <c r="F37" i="24"/>
  <c r="H37" i="24" s="1"/>
  <c r="D27" i="50" l="1"/>
  <c r="B27" i="50" s="1"/>
  <c r="H26" i="50"/>
  <c r="I26" i="50" s="1"/>
  <c r="D44" i="10"/>
  <c r="B44" i="10" s="1"/>
  <c r="D43" i="11"/>
  <c r="B43" i="11" s="1"/>
  <c r="E27" i="50"/>
  <c r="F27" i="50" s="1"/>
  <c r="G27" i="50" s="1"/>
  <c r="E28" i="52"/>
  <c r="F28" i="52" s="1"/>
  <c r="B28" i="52"/>
  <c r="G42" i="11"/>
  <c r="I42" i="11" s="1"/>
  <c r="H43" i="10"/>
  <c r="I43" i="10" s="1"/>
  <c r="E44" i="7"/>
  <c r="D44" i="7"/>
  <c r="F44" i="7" s="1"/>
  <c r="G44" i="7" s="1"/>
  <c r="G43" i="7"/>
  <c r="I43" i="7" s="1"/>
  <c r="E43" i="11"/>
  <c r="E44" i="10"/>
  <c r="H42" i="9"/>
  <c r="I42" i="9" s="1"/>
  <c r="E43" i="9"/>
  <c r="G40" i="4"/>
  <c r="I40" i="4" s="1"/>
  <c r="E41" i="4"/>
  <c r="D43" i="9"/>
  <c r="B43" i="9" s="1"/>
  <c r="D41" i="4"/>
  <c r="E33" i="45"/>
  <c r="F33" i="45" s="1"/>
  <c r="D34" i="45" s="1"/>
  <c r="B34" i="45" s="1"/>
  <c r="G32" i="45"/>
  <c r="H32" i="45"/>
  <c r="G41" i="6"/>
  <c r="I41" i="6" s="1"/>
  <c r="H31" i="40"/>
  <c r="I31" i="40" s="1"/>
  <c r="G41" i="8"/>
  <c r="I41" i="8" s="1"/>
  <c r="E42" i="8"/>
  <c r="E42" i="6"/>
  <c r="D42" i="8"/>
  <c r="D42" i="6"/>
  <c r="H31" i="41"/>
  <c r="I31" i="41" s="1"/>
  <c r="G31" i="43"/>
  <c r="I31" i="43" s="1"/>
  <c r="G32" i="37"/>
  <c r="I32" i="37" s="1"/>
  <c r="H35" i="29"/>
  <c r="D36" i="29"/>
  <c r="E36" i="29"/>
  <c r="H38" i="23"/>
  <c r="I38" i="23" s="1"/>
  <c r="D39" i="23"/>
  <c r="E39" i="23"/>
  <c r="H40" i="5"/>
  <c r="I40" i="5" s="1"/>
  <c r="D41" i="5"/>
  <c r="E41" i="5"/>
  <c r="H39" i="22"/>
  <c r="I39" i="22" s="1"/>
  <c r="D40" i="22"/>
  <c r="E40" i="22"/>
  <c r="G39" i="25"/>
  <c r="I39" i="25" s="1"/>
  <c r="D40" i="25"/>
  <c r="E40" i="25"/>
  <c r="B30" i="46"/>
  <c r="F30" i="46"/>
  <c r="H30" i="46" s="1"/>
  <c r="H34" i="30"/>
  <c r="I34" i="30" s="1"/>
  <c r="D35" i="30"/>
  <c r="E35" i="30"/>
  <c r="H35" i="28"/>
  <c r="I35" i="28" s="1"/>
  <c r="D36" i="28"/>
  <c r="E36" i="28"/>
  <c r="F36" i="27"/>
  <c r="G36" i="27" s="1"/>
  <c r="G32" i="39"/>
  <c r="I32" i="39" s="1"/>
  <c r="D33" i="39"/>
  <c r="E33" i="39"/>
  <c r="B33" i="45"/>
  <c r="G35" i="31"/>
  <c r="I35" i="31" s="1"/>
  <c r="D36" i="31"/>
  <c r="E36" i="31"/>
  <c r="H32" i="38"/>
  <c r="I32" i="38" s="1"/>
  <c r="D33" i="38"/>
  <c r="E33" i="38"/>
  <c r="B34" i="44"/>
  <c r="H31" i="42"/>
  <c r="I31" i="42" s="1"/>
  <c r="D32" i="42"/>
  <c r="E32" i="42"/>
  <c r="D32" i="40"/>
  <c r="E32" i="40"/>
  <c r="H40" i="3"/>
  <c r="D41" i="3"/>
  <c r="E41" i="3"/>
  <c r="D32" i="43"/>
  <c r="E32" i="43"/>
  <c r="B36" i="27"/>
  <c r="G37" i="24"/>
  <c r="I37" i="24" s="1"/>
  <c r="D38" i="24"/>
  <c r="E38" i="24"/>
  <c r="F34" i="44"/>
  <c r="H34" i="44" s="1"/>
  <c r="D32" i="41"/>
  <c r="E32" i="41"/>
  <c r="G40" i="3"/>
  <c r="G35" i="29"/>
  <c r="D33" i="37"/>
  <c r="E33" i="37"/>
  <c r="F43" i="11" l="1"/>
  <c r="G43" i="11" s="1"/>
  <c r="F44" i="10"/>
  <c r="G44" i="10" s="1"/>
  <c r="B44" i="7"/>
  <c r="G28" i="52"/>
  <c r="D29" i="52"/>
  <c r="E29" i="52" s="1"/>
  <c r="H27" i="50"/>
  <c r="I27" i="50" s="1"/>
  <c r="D28" i="50"/>
  <c r="H28" i="52"/>
  <c r="I28" i="52" s="1"/>
  <c r="H43" i="11"/>
  <c r="I43" i="11" s="1"/>
  <c r="I32" i="45"/>
  <c r="F41" i="4"/>
  <c r="D42" i="4" s="1"/>
  <c r="B41" i="4"/>
  <c r="F43" i="9"/>
  <c r="E44" i="11"/>
  <c r="H33" i="45"/>
  <c r="D44" i="11"/>
  <c r="F42" i="8"/>
  <c r="G42" i="8" s="1"/>
  <c r="G33" i="45"/>
  <c r="E34" i="45"/>
  <c r="F34" i="45" s="1"/>
  <c r="H34" i="45" s="1"/>
  <c r="F41" i="5"/>
  <c r="D42" i="5" s="1"/>
  <c r="B42" i="8"/>
  <c r="F40" i="25"/>
  <c r="D41" i="25" s="1"/>
  <c r="F42" i="6"/>
  <c r="G42" i="6" s="1"/>
  <c r="B42" i="6"/>
  <c r="F39" i="23"/>
  <c r="H39" i="23" s="1"/>
  <c r="F41" i="3"/>
  <c r="D42" i="3" s="1"/>
  <c r="I35" i="29"/>
  <c r="F32" i="40"/>
  <c r="H32" i="40" s="1"/>
  <c r="B32" i="40"/>
  <c r="F35" i="30"/>
  <c r="G35" i="30" s="1"/>
  <c r="B35" i="30"/>
  <c r="B41" i="5"/>
  <c r="F38" i="24"/>
  <c r="G38" i="24" s="1"/>
  <c r="B38" i="24"/>
  <c r="B40" i="25"/>
  <c r="F36" i="29"/>
  <c r="G36" i="29" s="1"/>
  <c r="B36" i="29"/>
  <c r="F32" i="42"/>
  <c r="H32" i="42" s="1"/>
  <c r="B32" i="42"/>
  <c r="G30" i="46"/>
  <c r="I30" i="46" s="1"/>
  <c r="D31" i="46"/>
  <c r="E31" i="46"/>
  <c r="F40" i="22"/>
  <c r="G40" i="22" s="1"/>
  <c r="B39" i="23"/>
  <c r="F36" i="31"/>
  <c r="H36" i="31" s="1"/>
  <c r="B36" i="31"/>
  <c r="B33" i="39"/>
  <c r="F33" i="39"/>
  <c r="H33" i="39" s="1"/>
  <c r="B40" i="22"/>
  <c r="D35" i="44"/>
  <c r="E35" i="44"/>
  <c r="H36" i="27"/>
  <c r="I36" i="27" s="1"/>
  <c r="D37" i="27"/>
  <c r="E37" i="27"/>
  <c r="G34" i="44"/>
  <c r="I34" i="44" s="1"/>
  <c r="H44" i="7"/>
  <c r="I44" i="7" s="1"/>
  <c r="D45" i="7"/>
  <c r="E45" i="7"/>
  <c r="B36" i="28"/>
  <c r="F36" i="28"/>
  <c r="H36" i="28" s="1"/>
  <c r="B41" i="3"/>
  <c r="F33" i="37"/>
  <c r="B33" i="37"/>
  <c r="F32" i="41"/>
  <c r="G32" i="41" s="1"/>
  <c r="B32" i="41"/>
  <c r="B32" i="43"/>
  <c r="F32" i="43"/>
  <c r="H32" i="43" s="1"/>
  <c r="I40" i="3"/>
  <c r="B33" i="38"/>
  <c r="F33" i="38"/>
  <c r="G33" i="38" s="1"/>
  <c r="H44" i="10"/>
  <c r="I44" i="10" s="1"/>
  <c r="D45" i="10"/>
  <c r="E45" i="10"/>
  <c r="E28" i="50" l="1"/>
  <c r="B28" i="50"/>
  <c r="F28" i="50"/>
  <c r="D29" i="50" s="1"/>
  <c r="G28" i="50"/>
  <c r="G41" i="4"/>
  <c r="F29" i="52"/>
  <c r="B29" i="52"/>
  <c r="E42" i="5"/>
  <c r="H41" i="4"/>
  <c r="E42" i="4"/>
  <c r="F42" i="4" s="1"/>
  <c r="E43" i="4" s="1"/>
  <c r="I33" i="45"/>
  <c r="F44" i="11"/>
  <c r="G44" i="11" s="1"/>
  <c r="B44" i="11"/>
  <c r="G43" i="9"/>
  <c r="D44" i="9"/>
  <c r="E44" i="9"/>
  <c r="H43" i="9"/>
  <c r="G41" i="3"/>
  <c r="G34" i="45"/>
  <c r="I34" i="45" s="1"/>
  <c r="F37" i="27"/>
  <c r="G37" i="27" s="1"/>
  <c r="G41" i="5"/>
  <c r="D43" i="8"/>
  <c r="B43" i="8" s="1"/>
  <c r="H41" i="5"/>
  <c r="H42" i="8"/>
  <c r="I42" i="8" s="1"/>
  <c r="E43" i="8"/>
  <c r="D35" i="45"/>
  <c r="B35" i="45" s="1"/>
  <c r="G40" i="25"/>
  <c r="H42" i="6"/>
  <c r="I42" i="6" s="1"/>
  <c r="E42" i="3"/>
  <c r="F42" i="3" s="1"/>
  <c r="G42" i="3" s="1"/>
  <c r="E41" i="25"/>
  <c r="F41" i="25" s="1"/>
  <c r="G41" i="25" s="1"/>
  <c r="H40" i="25"/>
  <c r="E40" i="23"/>
  <c r="G39" i="23"/>
  <c r="I39" i="23" s="1"/>
  <c r="D43" i="6"/>
  <c r="E43" i="6"/>
  <c r="D40" i="23"/>
  <c r="H41" i="3"/>
  <c r="G32" i="40"/>
  <c r="I32" i="40" s="1"/>
  <c r="F35" i="44"/>
  <c r="H35" i="44" s="1"/>
  <c r="G33" i="37"/>
  <c r="D34" i="37"/>
  <c r="E34" i="37"/>
  <c r="E35" i="45"/>
  <c r="B35" i="44"/>
  <c r="H38" i="24"/>
  <c r="I38" i="24" s="1"/>
  <c r="D39" i="24"/>
  <c r="E39" i="24"/>
  <c r="H35" i="30"/>
  <c r="I35" i="30" s="1"/>
  <c r="D36" i="30"/>
  <c r="E36" i="30"/>
  <c r="F45" i="10"/>
  <c r="B45" i="10"/>
  <c r="B42" i="4"/>
  <c r="G32" i="42"/>
  <c r="I32" i="42" s="1"/>
  <c r="D33" i="42"/>
  <c r="E33" i="42"/>
  <c r="F45" i="7"/>
  <c r="G45" i="7" s="1"/>
  <c r="B45" i="7"/>
  <c r="G32" i="43"/>
  <c r="I32" i="43" s="1"/>
  <c r="D33" i="43"/>
  <c r="E33" i="43"/>
  <c r="G36" i="31"/>
  <c r="I36" i="31" s="1"/>
  <c r="D37" i="31"/>
  <c r="E37" i="31"/>
  <c r="H40" i="22"/>
  <c r="I40" i="22" s="1"/>
  <c r="D41" i="22"/>
  <c r="E41" i="22"/>
  <c r="G36" i="28"/>
  <c r="I36" i="28" s="1"/>
  <c r="D37" i="28"/>
  <c r="E37" i="28"/>
  <c r="H32" i="41"/>
  <c r="I32" i="41" s="1"/>
  <c r="D33" i="41"/>
  <c r="E33" i="41"/>
  <c r="B41" i="25"/>
  <c r="D33" i="40"/>
  <c r="E33" i="40"/>
  <c r="G33" i="39"/>
  <c r="I33" i="39" s="1"/>
  <c r="D34" i="39"/>
  <c r="E34" i="39"/>
  <c r="B42" i="5"/>
  <c r="F42" i="5"/>
  <c r="G42" i="5" s="1"/>
  <c r="H33" i="38"/>
  <c r="I33" i="38" s="1"/>
  <c r="D34" i="38"/>
  <c r="E34" i="38"/>
  <c r="H33" i="37"/>
  <c r="B37" i="27"/>
  <c r="B42" i="3"/>
  <c r="B31" i="46"/>
  <c r="F31" i="46"/>
  <c r="G31" i="46" s="1"/>
  <c r="H36" i="29"/>
  <c r="I36" i="29" s="1"/>
  <c r="D37" i="29"/>
  <c r="E37" i="29"/>
  <c r="H28" i="50" l="1"/>
  <c r="H44" i="11"/>
  <c r="I44" i="11" s="1"/>
  <c r="I41" i="4"/>
  <c r="I28" i="50"/>
  <c r="D30" i="52"/>
  <c r="E30" i="52" s="1"/>
  <c r="E29" i="50"/>
  <c r="F29" i="50" s="1"/>
  <c r="H29" i="50" s="1"/>
  <c r="B29" i="50"/>
  <c r="H29" i="52"/>
  <c r="G29" i="52"/>
  <c r="E45" i="11"/>
  <c r="D45" i="11"/>
  <c r="B45" i="11" s="1"/>
  <c r="I43" i="9"/>
  <c r="B44" i="9"/>
  <c r="F44" i="9"/>
  <c r="G44" i="9" s="1"/>
  <c r="I41" i="3"/>
  <c r="I41" i="5"/>
  <c r="F43" i="8"/>
  <c r="G43" i="8" s="1"/>
  <c r="E38" i="27"/>
  <c r="D38" i="27"/>
  <c r="B38" i="27" s="1"/>
  <c r="I40" i="25"/>
  <c r="H37" i="27"/>
  <c r="I37" i="27" s="1"/>
  <c r="F35" i="45"/>
  <c r="H35" i="45" s="1"/>
  <c r="H41" i="25"/>
  <c r="I41" i="25" s="1"/>
  <c r="F40" i="23"/>
  <c r="G40" i="23" s="1"/>
  <c r="B40" i="23"/>
  <c r="E36" i="44"/>
  <c r="B43" i="6"/>
  <c r="F43" i="6"/>
  <c r="D42" i="25"/>
  <c r="B42" i="25" s="1"/>
  <c r="D36" i="44"/>
  <c r="H31" i="46"/>
  <c r="I31" i="46" s="1"/>
  <c r="D43" i="4"/>
  <c r="B43" i="4" s="1"/>
  <c r="F39" i="24"/>
  <c r="G39" i="24" s="1"/>
  <c r="H42" i="4"/>
  <c r="G42" i="4"/>
  <c r="E42" i="25"/>
  <c r="I33" i="37"/>
  <c r="F41" i="22"/>
  <c r="E42" i="22" s="1"/>
  <c r="G35" i="44"/>
  <c r="I35" i="44" s="1"/>
  <c r="F37" i="31"/>
  <c r="D38" i="31" s="1"/>
  <c r="G45" i="10"/>
  <c r="D46" i="10"/>
  <c r="E46" i="10"/>
  <c r="F37" i="29"/>
  <c r="G37" i="29" s="1"/>
  <c r="B34" i="38"/>
  <c r="F34" i="38"/>
  <c r="H34" i="38" s="1"/>
  <c r="F34" i="39"/>
  <c r="H34" i="39" s="1"/>
  <c r="B34" i="39"/>
  <c r="B37" i="31"/>
  <c r="B33" i="42"/>
  <c r="F33" i="42"/>
  <c r="H33" i="42" s="1"/>
  <c r="F36" i="30"/>
  <c r="G36" i="30" s="1"/>
  <c r="B37" i="29"/>
  <c r="F34" i="37"/>
  <c r="H34" i="37" s="1"/>
  <c r="B34" i="37"/>
  <c r="B33" i="41"/>
  <c r="F33" i="41"/>
  <c r="H33" i="41" s="1"/>
  <c r="H45" i="7"/>
  <c r="I45" i="7" s="1"/>
  <c r="D46" i="7"/>
  <c r="E46" i="7"/>
  <c r="B33" i="43"/>
  <c r="F33" i="43"/>
  <c r="G33" i="43" s="1"/>
  <c r="H42" i="3"/>
  <c r="I42" i="3" s="1"/>
  <c r="D43" i="3"/>
  <c r="E43" i="3"/>
  <c r="B36" i="30"/>
  <c r="H42" i="5"/>
  <c r="I42" i="5" s="1"/>
  <c r="D43" i="5"/>
  <c r="E43" i="5"/>
  <c r="B33" i="40"/>
  <c r="F33" i="40"/>
  <c r="G33" i="40" s="1"/>
  <c r="B39" i="24"/>
  <c r="D32" i="46"/>
  <c r="E32" i="46"/>
  <c r="B37" i="28"/>
  <c r="F37" i="28"/>
  <c r="G37" i="28" s="1"/>
  <c r="B41" i="22"/>
  <c r="H45" i="10"/>
  <c r="F45" i="11" l="1"/>
  <c r="G45" i="11" s="1"/>
  <c r="I29" i="52"/>
  <c r="G29" i="50"/>
  <c r="I29" i="50" s="1"/>
  <c r="D30" i="50"/>
  <c r="F30" i="52"/>
  <c r="D31" i="52" s="1"/>
  <c r="B30" i="52"/>
  <c r="D42" i="22"/>
  <c r="B42" i="22" s="1"/>
  <c r="F38" i="27"/>
  <c r="G38" i="27" s="1"/>
  <c r="H40" i="23"/>
  <c r="I40" i="23" s="1"/>
  <c r="G41" i="22"/>
  <c r="D41" i="23"/>
  <c r="B41" i="23" s="1"/>
  <c r="E44" i="8"/>
  <c r="H44" i="9"/>
  <c r="I44" i="9" s="1"/>
  <c r="D45" i="9"/>
  <c r="E45" i="9"/>
  <c r="E41" i="23"/>
  <c r="D44" i="8"/>
  <c r="B44" i="8" s="1"/>
  <c r="H41" i="22"/>
  <c r="H43" i="8"/>
  <c r="I43" i="8" s="1"/>
  <c r="G35" i="45"/>
  <c r="I35" i="45" s="1"/>
  <c r="D36" i="45"/>
  <c r="B36" i="45" s="1"/>
  <c r="F36" i="44"/>
  <c r="H36" i="44" s="1"/>
  <c r="B36" i="44"/>
  <c r="F43" i="4"/>
  <c r="G43" i="4" s="1"/>
  <c r="F42" i="25"/>
  <c r="G43" i="6"/>
  <c r="D44" i="6"/>
  <c r="H43" i="6"/>
  <c r="E44" i="6"/>
  <c r="H37" i="31"/>
  <c r="I42" i="4"/>
  <c r="G37" i="31"/>
  <c r="H39" i="24"/>
  <c r="I39" i="24" s="1"/>
  <c r="E40" i="24"/>
  <c r="D40" i="24"/>
  <c r="B40" i="24" s="1"/>
  <c r="E38" i="31"/>
  <c r="F38" i="31" s="1"/>
  <c r="G38" i="31" s="1"/>
  <c r="I45" i="10"/>
  <c r="F43" i="3"/>
  <c r="E44" i="3" s="1"/>
  <c r="F43" i="5"/>
  <c r="G43" i="5" s="1"/>
  <c r="F32" i="46"/>
  <c r="D33" i="46" s="1"/>
  <c r="D34" i="40"/>
  <c r="E34" i="40"/>
  <c r="G33" i="41"/>
  <c r="I33" i="41" s="1"/>
  <c r="D34" i="41"/>
  <c r="E34" i="41"/>
  <c r="H36" i="30"/>
  <c r="I36" i="30" s="1"/>
  <c r="D37" i="30"/>
  <c r="E37" i="30"/>
  <c r="B43" i="3"/>
  <c r="H45" i="11"/>
  <c r="I45" i="11" s="1"/>
  <c r="D46" i="11"/>
  <c r="E46" i="11"/>
  <c r="B43" i="5"/>
  <c r="H33" i="43"/>
  <c r="I33" i="43" s="1"/>
  <c r="D34" i="43"/>
  <c r="E34" i="43"/>
  <c r="B46" i="7"/>
  <c r="F46" i="7"/>
  <c r="G46" i="7" s="1"/>
  <c r="G33" i="42"/>
  <c r="I33" i="42" s="1"/>
  <c r="D34" i="42"/>
  <c r="I41" i="22"/>
  <c r="F46" i="10"/>
  <c r="G46" i="10" s="1"/>
  <c r="B46" i="10"/>
  <c r="G34" i="39"/>
  <c r="I34" i="39" s="1"/>
  <c r="D35" i="39"/>
  <c r="E35" i="39"/>
  <c r="B32" i="46"/>
  <c r="H37" i="28"/>
  <c r="I37" i="28" s="1"/>
  <c r="D38" i="28"/>
  <c r="E38" i="28"/>
  <c r="B38" i="31"/>
  <c r="E36" i="45"/>
  <c r="H37" i="29"/>
  <c r="I37" i="29" s="1"/>
  <c r="D38" i="29"/>
  <c r="E38" i="29"/>
  <c r="G34" i="37"/>
  <c r="I34" i="37" s="1"/>
  <c r="D35" i="37"/>
  <c r="H33" i="40"/>
  <c r="I33" i="40" s="1"/>
  <c r="G34" i="38"/>
  <c r="I34" i="38" s="1"/>
  <c r="D35" i="38"/>
  <c r="E39" i="27" l="1"/>
  <c r="D39" i="27"/>
  <c r="H38" i="27"/>
  <c r="I38" i="27" s="1"/>
  <c r="H30" i="52"/>
  <c r="G30" i="52"/>
  <c r="F42" i="22"/>
  <c r="G42" i="22" s="1"/>
  <c r="E31" i="52"/>
  <c r="F31" i="52" s="1"/>
  <c r="B31" i="52"/>
  <c r="E30" i="50"/>
  <c r="F30" i="50" s="1"/>
  <c r="B30" i="50"/>
  <c r="G36" i="44"/>
  <c r="I36" i="44" s="1"/>
  <c r="F44" i="8"/>
  <c r="F36" i="45"/>
  <c r="G36" i="45" s="1"/>
  <c r="F41" i="23"/>
  <c r="G41" i="23" s="1"/>
  <c r="B45" i="9"/>
  <c r="F45" i="9"/>
  <c r="G45" i="9" s="1"/>
  <c r="E37" i="44"/>
  <c r="D37" i="44"/>
  <c r="B37" i="44" s="1"/>
  <c r="E33" i="46"/>
  <c r="F33" i="46" s="1"/>
  <c r="G33" i="46" s="1"/>
  <c r="G32" i="46"/>
  <c r="I43" i="6"/>
  <c r="F39" i="27"/>
  <c r="E40" i="27" s="1"/>
  <c r="F44" i="6"/>
  <c r="G44" i="6" s="1"/>
  <c r="I37" i="31"/>
  <c r="H32" i="46"/>
  <c r="D44" i="4"/>
  <c r="E44" i="4"/>
  <c r="H43" i="4"/>
  <c r="I43" i="4" s="1"/>
  <c r="B44" i="6"/>
  <c r="D39" i="31"/>
  <c r="B39" i="31" s="1"/>
  <c r="H38" i="31"/>
  <c r="I38" i="31" s="1"/>
  <c r="E39" i="31"/>
  <c r="E43" i="25"/>
  <c r="D43" i="25"/>
  <c r="H42" i="25"/>
  <c r="G42" i="25"/>
  <c r="F40" i="24"/>
  <c r="G40" i="24" s="1"/>
  <c r="G43" i="3"/>
  <c r="H43" i="3"/>
  <c r="D44" i="5"/>
  <c r="B44" i="5" s="1"/>
  <c r="H43" i="5"/>
  <c r="I43" i="5" s="1"/>
  <c r="E44" i="5"/>
  <c r="D44" i="3"/>
  <c r="E34" i="42"/>
  <c r="F34" i="42" s="1"/>
  <c r="H34" i="42" s="1"/>
  <c r="B34" i="42"/>
  <c r="F34" i="41"/>
  <c r="G34" i="41" s="1"/>
  <c r="B34" i="41"/>
  <c r="B38" i="28"/>
  <c r="F38" i="28"/>
  <c r="H38" i="28" s="1"/>
  <c r="F35" i="39"/>
  <c r="H35" i="39" s="1"/>
  <c r="B35" i="39"/>
  <c r="H46" i="10"/>
  <c r="I46" i="10" s="1"/>
  <c r="D47" i="10"/>
  <c r="E47" i="10"/>
  <c r="B46" i="11"/>
  <c r="F46" i="11"/>
  <c r="G46" i="11" s="1"/>
  <c r="F34" i="40"/>
  <c r="B34" i="40"/>
  <c r="B37" i="30"/>
  <c r="H46" i="7"/>
  <c r="I46" i="7" s="1"/>
  <c r="D47" i="7"/>
  <c r="E47" i="7"/>
  <c r="E35" i="38"/>
  <c r="F35" i="38" s="1"/>
  <c r="G35" i="38" s="1"/>
  <c r="B35" i="38"/>
  <c r="B34" i="43"/>
  <c r="F34" i="43"/>
  <c r="B33" i="46"/>
  <c r="F38" i="29"/>
  <c r="G38" i="29" s="1"/>
  <c r="B38" i="29"/>
  <c r="D40" i="27"/>
  <c r="B39" i="27"/>
  <c r="E35" i="37"/>
  <c r="F35" i="37" s="1"/>
  <c r="B35" i="37"/>
  <c r="F37" i="30"/>
  <c r="G37" i="30" s="1"/>
  <c r="E43" i="22" l="1"/>
  <c r="D43" i="22"/>
  <c r="F43" i="22" s="1"/>
  <c r="G43" i="22" s="1"/>
  <c r="H42" i="22"/>
  <c r="I42" i="22" s="1"/>
  <c r="D32" i="52"/>
  <c r="E32" i="52" s="1"/>
  <c r="H31" i="52"/>
  <c r="G31" i="52"/>
  <c r="D37" i="45"/>
  <c r="B37" i="45" s="1"/>
  <c r="H36" i="45"/>
  <c r="I36" i="45" s="1"/>
  <c r="I30" i="52"/>
  <c r="D31" i="50"/>
  <c r="E31" i="50"/>
  <c r="H30" i="50"/>
  <c r="G30" i="50"/>
  <c r="E42" i="23"/>
  <c r="D42" i="23"/>
  <c r="B42" i="23" s="1"/>
  <c r="H41" i="23"/>
  <c r="I41" i="23" s="1"/>
  <c r="E37" i="45"/>
  <c r="H39" i="27"/>
  <c r="F37" i="44"/>
  <c r="D38" i="44" s="1"/>
  <c r="B38" i="44" s="1"/>
  <c r="H45" i="9"/>
  <c r="I45" i="9" s="1"/>
  <c r="E46" i="9"/>
  <c r="D46" i="9"/>
  <c r="G44" i="8"/>
  <c r="H44" i="8"/>
  <c r="D45" i="8"/>
  <c r="E45" i="8"/>
  <c r="E45" i="6"/>
  <c r="I32" i="46"/>
  <c r="G39" i="27"/>
  <c r="H44" i="6"/>
  <c r="I44" i="6" s="1"/>
  <c r="D45" i="6"/>
  <c r="B45" i="6" s="1"/>
  <c r="I42" i="25"/>
  <c r="I43" i="3"/>
  <c r="F44" i="4"/>
  <c r="G44" i="4" s="1"/>
  <c r="H33" i="46"/>
  <c r="I33" i="46" s="1"/>
  <c r="F39" i="31"/>
  <c r="G39" i="31" s="1"/>
  <c r="B44" i="4"/>
  <c r="E41" i="24"/>
  <c r="D41" i="24"/>
  <c r="F43" i="25"/>
  <c r="B43" i="25"/>
  <c r="H40" i="24"/>
  <c r="I40" i="24" s="1"/>
  <c r="F40" i="27"/>
  <c r="G40" i="27" s="1"/>
  <c r="G35" i="39"/>
  <c r="I35" i="39" s="1"/>
  <c r="F44" i="5"/>
  <c r="E45" i="5" s="1"/>
  <c r="B44" i="3"/>
  <c r="F44" i="3"/>
  <c r="G44" i="3" s="1"/>
  <c r="D35" i="40"/>
  <c r="E35" i="40"/>
  <c r="D35" i="41"/>
  <c r="E35" i="41"/>
  <c r="H34" i="43"/>
  <c r="D35" i="43"/>
  <c r="E35" i="43"/>
  <c r="B47" i="10"/>
  <c r="G34" i="42"/>
  <c r="I34" i="42" s="1"/>
  <c r="D35" i="42"/>
  <c r="E35" i="42"/>
  <c r="H35" i="37"/>
  <c r="D36" i="37"/>
  <c r="D34" i="46"/>
  <c r="E34" i="46"/>
  <c r="B43" i="22"/>
  <c r="F47" i="7"/>
  <c r="H47" i="7" s="1"/>
  <c r="B47" i="7"/>
  <c r="H34" i="40"/>
  <c r="H46" i="11"/>
  <c r="I46" i="11" s="1"/>
  <c r="D47" i="11"/>
  <c r="E47" i="11"/>
  <c r="D36" i="39"/>
  <c r="E36" i="39"/>
  <c r="H37" i="30"/>
  <c r="I37" i="30" s="1"/>
  <c r="D38" i="30"/>
  <c r="E38" i="30"/>
  <c r="H35" i="38"/>
  <c r="I35" i="38" s="1"/>
  <c r="D36" i="38"/>
  <c r="B40" i="27"/>
  <c r="G34" i="40"/>
  <c r="G35" i="37"/>
  <c r="H38" i="29"/>
  <c r="I38" i="29" s="1"/>
  <c r="D39" i="29"/>
  <c r="E39" i="29"/>
  <c r="G34" i="43"/>
  <c r="F47" i="10"/>
  <c r="H47" i="10" s="1"/>
  <c r="G38" i="28"/>
  <c r="I38" i="28" s="1"/>
  <c r="D39" i="28"/>
  <c r="E39" i="28"/>
  <c r="H34" i="41"/>
  <c r="I34" i="41" s="1"/>
  <c r="F32" i="52" l="1"/>
  <c r="D33" i="52" s="1"/>
  <c r="B32" i="52"/>
  <c r="F42" i="23"/>
  <c r="G42" i="23" s="1"/>
  <c r="I31" i="52"/>
  <c r="F37" i="45"/>
  <c r="D38" i="45" s="1"/>
  <c r="B38" i="45" s="1"/>
  <c r="E33" i="52"/>
  <c r="F33" i="52" s="1"/>
  <c r="G33" i="52" s="1"/>
  <c r="B33" i="52"/>
  <c r="I30" i="50"/>
  <c r="I39" i="27"/>
  <c r="G32" i="52"/>
  <c r="B31" i="50"/>
  <c r="F31" i="50"/>
  <c r="H31" i="50" s="1"/>
  <c r="E38" i="44"/>
  <c r="F38" i="44" s="1"/>
  <c r="E39" i="44" s="1"/>
  <c r="G37" i="44"/>
  <c r="H37" i="44"/>
  <c r="I44" i="8"/>
  <c r="F41" i="24"/>
  <c r="H41" i="24" s="1"/>
  <c r="E41" i="27"/>
  <c r="D41" i="27"/>
  <c r="B46" i="9"/>
  <c r="F46" i="9"/>
  <c r="G46" i="9" s="1"/>
  <c r="F45" i="8"/>
  <c r="B45" i="8"/>
  <c r="E45" i="4"/>
  <c r="F45" i="6"/>
  <c r="H45" i="6" s="1"/>
  <c r="H44" i="4"/>
  <c r="I44" i="4" s="1"/>
  <c r="D45" i="4"/>
  <c r="B45" i="4" s="1"/>
  <c r="E45" i="3"/>
  <c r="D45" i="3"/>
  <c r="B45" i="3" s="1"/>
  <c r="B41" i="24"/>
  <c r="I34" i="43"/>
  <c r="H44" i="5"/>
  <c r="D45" i="5"/>
  <c r="F45" i="5" s="1"/>
  <c r="H40" i="27"/>
  <c r="I40" i="27" s="1"/>
  <c r="G44" i="5"/>
  <c r="H43" i="25"/>
  <c r="D44" i="25"/>
  <c r="E44" i="25"/>
  <c r="D40" i="31"/>
  <c r="E40" i="31"/>
  <c r="H39" i="31"/>
  <c r="I39" i="31" s="1"/>
  <c r="G43" i="25"/>
  <c r="H44" i="3"/>
  <c r="I44" i="3" s="1"/>
  <c r="F34" i="46"/>
  <c r="G34" i="46" s="1"/>
  <c r="B35" i="43"/>
  <c r="F35" i="43"/>
  <c r="B34" i="46"/>
  <c r="F39" i="29"/>
  <c r="G39" i="29" s="1"/>
  <c r="B36" i="39"/>
  <c r="F36" i="39"/>
  <c r="H36" i="39" s="1"/>
  <c r="E36" i="37"/>
  <c r="F36" i="37" s="1"/>
  <c r="B36" i="37"/>
  <c r="F35" i="40"/>
  <c r="G35" i="40" s="1"/>
  <c r="B35" i="40"/>
  <c r="F38" i="30"/>
  <c r="G38" i="30" s="1"/>
  <c r="B38" i="30"/>
  <c r="B47" i="11"/>
  <c r="F47" i="11"/>
  <c r="H47" i="11" s="1"/>
  <c r="G47" i="7"/>
  <c r="I47" i="7" s="1"/>
  <c r="D48" i="7"/>
  <c r="E48" i="7"/>
  <c r="B35" i="41"/>
  <c r="F35" i="41"/>
  <c r="H35" i="41" s="1"/>
  <c r="B39" i="28"/>
  <c r="F39" i="28"/>
  <c r="E36" i="38"/>
  <c r="F36" i="38" s="1"/>
  <c r="B36" i="38"/>
  <c r="F35" i="42"/>
  <c r="G35" i="42" s="1"/>
  <c r="B35" i="42"/>
  <c r="B39" i="29"/>
  <c r="I34" i="40"/>
  <c r="H43" i="22"/>
  <c r="I43" i="22" s="1"/>
  <c r="D44" i="22"/>
  <c r="E44" i="22"/>
  <c r="I35" i="37"/>
  <c r="G47" i="10"/>
  <c r="I47" i="10" s="1"/>
  <c r="D48" i="10"/>
  <c r="E48" i="10"/>
  <c r="E43" i="23"/>
  <c r="G37" i="45" l="1"/>
  <c r="H32" i="52"/>
  <c r="E38" i="45"/>
  <c r="F38" i="45" s="1"/>
  <c r="H38" i="45" s="1"/>
  <c r="D43" i="23"/>
  <c r="B43" i="23" s="1"/>
  <c r="H42" i="23"/>
  <c r="I42" i="23" s="1"/>
  <c r="H37" i="45"/>
  <c r="I37" i="45" s="1"/>
  <c r="F41" i="27"/>
  <c r="H41" i="27" s="1"/>
  <c r="I37" i="44"/>
  <c r="H33" i="52"/>
  <c r="I33" i="52" s="1"/>
  <c r="D34" i="52"/>
  <c r="E34" i="52" s="1"/>
  <c r="G31" i="50"/>
  <c r="I31" i="50" s="1"/>
  <c r="D32" i="50"/>
  <c r="I32" i="52"/>
  <c r="D42" i="24"/>
  <c r="B42" i="24" s="1"/>
  <c r="D39" i="44"/>
  <c r="F39" i="44" s="1"/>
  <c r="D40" i="44" s="1"/>
  <c r="E42" i="24"/>
  <c r="G41" i="24"/>
  <c r="I41" i="24" s="1"/>
  <c r="B41" i="27"/>
  <c r="H46" i="9"/>
  <c r="I46" i="9" s="1"/>
  <c r="E46" i="6"/>
  <c r="F45" i="4"/>
  <c r="H45" i="4" s="1"/>
  <c r="H38" i="44"/>
  <c r="G45" i="6"/>
  <c r="I45" i="6" s="1"/>
  <c r="D46" i="6"/>
  <c r="G38" i="44"/>
  <c r="E47" i="9"/>
  <c r="D47" i="9"/>
  <c r="G45" i="8"/>
  <c r="D46" i="8"/>
  <c r="E46" i="8"/>
  <c r="H45" i="8"/>
  <c r="I44" i="5"/>
  <c r="I43" i="25"/>
  <c r="B45" i="5"/>
  <c r="F45" i="3"/>
  <c r="E35" i="46"/>
  <c r="D46" i="5"/>
  <c r="B46" i="5" s="1"/>
  <c r="E46" i="5"/>
  <c r="G45" i="5"/>
  <c r="H45" i="5"/>
  <c r="F40" i="31"/>
  <c r="B40" i="31"/>
  <c r="F44" i="25"/>
  <c r="G44" i="25" s="1"/>
  <c r="B44" i="25"/>
  <c r="H34" i="46"/>
  <c r="I34" i="46" s="1"/>
  <c r="D35" i="46"/>
  <c r="B35" i="46" s="1"/>
  <c r="G36" i="38"/>
  <c r="D37" i="38"/>
  <c r="H36" i="38"/>
  <c r="H36" i="37"/>
  <c r="D37" i="37"/>
  <c r="G36" i="37"/>
  <c r="H35" i="42"/>
  <c r="I35" i="42" s="1"/>
  <c r="D36" i="42"/>
  <c r="F48" i="7"/>
  <c r="G48" i="7" s="1"/>
  <c r="B48" i="7"/>
  <c r="H35" i="40"/>
  <c r="I35" i="40" s="1"/>
  <c r="D36" i="40"/>
  <c r="G36" i="39"/>
  <c r="I36" i="39" s="1"/>
  <c r="D37" i="39"/>
  <c r="E37" i="39"/>
  <c r="F44" i="22"/>
  <c r="B44" i="22"/>
  <c r="H35" i="43"/>
  <c r="D36" i="43"/>
  <c r="E36" i="43"/>
  <c r="B48" i="10"/>
  <c r="F48" i="10"/>
  <c r="G48" i="10" s="1"/>
  <c r="G47" i="11"/>
  <c r="I47" i="11" s="1"/>
  <c r="D48" i="11"/>
  <c r="E48" i="11"/>
  <c r="H39" i="29"/>
  <c r="I39" i="29" s="1"/>
  <c r="D40" i="29"/>
  <c r="E40" i="29"/>
  <c r="H39" i="28"/>
  <c r="D40" i="28"/>
  <c r="E40" i="28"/>
  <c r="G35" i="41"/>
  <c r="I35" i="41" s="1"/>
  <c r="D36" i="41"/>
  <c r="E36" i="41"/>
  <c r="G38" i="45"/>
  <c r="I38" i="45" s="1"/>
  <c r="D39" i="45"/>
  <c r="H38" i="30"/>
  <c r="I38" i="30" s="1"/>
  <c r="D39" i="30"/>
  <c r="E39" i="30"/>
  <c r="G39" i="28"/>
  <c r="G35" i="43"/>
  <c r="H39" i="44" l="1"/>
  <c r="E40" i="44"/>
  <c r="F43" i="23"/>
  <c r="G43" i="23" s="1"/>
  <c r="G41" i="27"/>
  <c r="B39" i="44"/>
  <c r="G39" i="44"/>
  <c r="I39" i="44" s="1"/>
  <c r="E42" i="27"/>
  <c r="D42" i="27"/>
  <c r="F42" i="24"/>
  <c r="G42" i="24" s="1"/>
  <c r="E32" i="50"/>
  <c r="F32" i="50" s="1"/>
  <c r="B32" i="50"/>
  <c r="B34" i="52"/>
  <c r="F34" i="52"/>
  <c r="G34" i="52" s="1"/>
  <c r="I45" i="8"/>
  <c r="E46" i="4"/>
  <c r="D46" i="4"/>
  <c r="G45" i="4"/>
  <c r="I45" i="4" s="1"/>
  <c r="F46" i="6"/>
  <c r="G46" i="6" s="1"/>
  <c r="I38" i="44"/>
  <c r="B46" i="6"/>
  <c r="F46" i="8"/>
  <c r="H46" i="8" s="1"/>
  <c r="B46" i="8"/>
  <c r="F47" i="9"/>
  <c r="G47" i="9" s="1"/>
  <c r="B47" i="9"/>
  <c r="I45" i="5"/>
  <c r="H45" i="3"/>
  <c r="D46" i="3"/>
  <c r="E46" i="3"/>
  <c r="G45" i="3"/>
  <c r="F46" i="5"/>
  <c r="D47" i="5" s="1"/>
  <c r="B47" i="5" s="1"/>
  <c r="F40" i="44"/>
  <c r="G40" i="44" s="1"/>
  <c r="H44" i="25"/>
  <c r="I44" i="25" s="1"/>
  <c r="H43" i="23"/>
  <c r="H40" i="31"/>
  <c r="G40" i="31"/>
  <c r="E41" i="31"/>
  <c r="D41" i="31"/>
  <c r="B40" i="44"/>
  <c r="E45" i="25"/>
  <c r="D45" i="25"/>
  <c r="H46" i="6"/>
  <c r="I46" i="6" s="1"/>
  <c r="I41" i="27"/>
  <c r="I35" i="43"/>
  <c r="F35" i="46"/>
  <c r="E36" i="46" s="1"/>
  <c r="E44" i="23"/>
  <c r="F48" i="11"/>
  <c r="E49" i="11" s="1"/>
  <c r="D44" i="23"/>
  <c r="B44" i="23" s="1"/>
  <c r="I36" i="38"/>
  <c r="F39" i="30"/>
  <c r="H39" i="30" s="1"/>
  <c r="H44" i="22"/>
  <c r="D45" i="22"/>
  <c r="E45" i="22"/>
  <c r="B48" i="11"/>
  <c r="I36" i="37"/>
  <c r="F36" i="41"/>
  <c r="B36" i="41"/>
  <c r="F37" i="39"/>
  <c r="G37" i="39" s="1"/>
  <c r="B37" i="39"/>
  <c r="H48" i="7"/>
  <c r="I48" i="7" s="1"/>
  <c r="D49" i="7"/>
  <c r="E49" i="7"/>
  <c r="B42" i="27"/>
  <c r="E37" i="37"/>
  <c r="F37" i="37" s="1"/>
  <c r="G37" i="37" s="1"/>
  <c r="B37" i="37"/>
  <c r="B39" i="30"/>
  <c r="H48" i="10"/>
  <c r="I48" i="10" s="1"/>
  <c r="D49" i="10"/>
  <c r="E49" i="10"/>
  <c r="F36" i="43"/>
  <c r="H36" i="43" s="1"/>
  <c r="B36" i="43"/>
  <c r="E36" i="40"/>
  <c r="F36" i="40" s="1"/>
  <c r="H36" i="40" s="1"/>
  <c r="B36" i="40"/>
  <c r="B40" i="29"/>
  <c r="F40" i="29"/>
  <c r="G40" i="29" s="1"/>
  <c r="I39" i="28"/>
  <c r="G44" i="22"/>
  <c r="E37" i="38"/>
  <c r="F37" i="38" s="1"/>
  <c r="B37" i="38"/>
  <c r="E36" i="42"/>
  <c r="F36" i="42" s="1"/>
  <c r="H36" i="42" s="1"/>
  <c r="B36" i="42"/>
  <c r="F40" i="28"/>
  <c r="H40" i="28" s="1"/>
  <c r="B40" i="28"/>
  <c r="E39" i="45"/>
  <c r="F39" i="45" s="1"/>
  <c r="B39" i="45"/>
  <c r="F46" i="4" l="1"/>
  <c r="G46" i="4" s="1"/>
  <c r="F42" i="27"/>
  <c r="H42" i="27" s="1"/>
  <c r="E43" i="24"/>
  <c r="I43" i="23"/>
  <c r="D43" i="24"/>
  <c r="H42" i="24"/>
  <c r="I42" i="24" s="1"/>
  <c r="B46" i="4"/>
  <c r="D33" i="50"/>
  <c r="G32" i="50"/>
  <c r="H32" i="50"/>
  <c r="H34" i="52"/>
  <c r="I34" i="52" s="1"/>
  <c r="D35" i="52"/>
  <c r="D47" i="6"/>
  <c r="B47" i="6" s="1"/>
  <c r="E47" i="6"/>
  <c r="E47" i="4"/>
  <c r="D47" i="4"/>
  <c r="B47" i="4" s="1"/>
  <c r="H46" i="4"/>
  <c r="H47" i="9"/>
  <c r="I47" i="9" s="1"/>
  <c r="D48" i="9"/>
  <c r="E48" i="9"/>
  <c r="G46" i="8"/>
  <c r="I46" i="8" s="1"/>
  <c r="D47" i="8"/>
  <c r="E47" i="8"/>
  <c r="H46" i="5"/>
  <c r="E47" i="5"/>
  <c r="F47" i="5" s="1"/>
  <c r="E48" i="5" s="1"/>
  <c r="H40" i="44"/>
  <c r="I40" i="44" s="1"/>
  <c r="D36" i="46"/>
  <c r="F36" i="46" s="1"/>
  <c r="I40" i="31"/>
  <c r="B46" i="3"/>
  <c r="F46" i="3"/>
  <c r="I45" i="3"/>
  <c r="D41" i="44"/>
  <c r="B41" i="44" s="1"/>
  <c r="G46" i="5"/>
  <c r="H35" i="46"/>
  <c r="G35" i="46"/>
  <c r="B41" i="31"/>
  <c r="F41" i="31"/>
  <c r="F45" i="25"/>
  <c r="G45" i="25" s="1"/>
  <c r="B45" i="25"/>
  <c r="G39" i="30"/>
  <c r="I39" i="30" s="1"/>
  <c r="I46" i="4"/>
  <c r="D49" i="11"/>
  <c r="F49" i="11" s="1"/>
  <c r="G49" i="11" s="1"/>
  <c r="H48" i="11"/>
  <c r="E40" i="30"/>
  <c r="F49" i="7"/>
  <c r="G49" i="7" s="1"/>
  <c r="D40" i="30"/>
  <c r="B40" i="30" s="1"/>
  <c r="G48" i="11"/>
  <c r="F44" i="23"/>
  <c r="G39" i="45"/>
  <c r="H39" i="45"/>
  <c r="H37" i="38"/>
  <c r="D38" i="38"/>
  <c r="E38" i="38"/>
  <c r="G37" i="38"/>
  <c r="F49" i="10"/>
  <c r="H49" i="10" s="1"/>
  <c r="B49" i="10"/>
  <c r="G36" i="42"/>
  <c r="I36" i="42" s="1"/>
  <c r="D37" i="42"/>
  <c r="E37" i="42"/>
  <c r="H40" i="29"/>
  <c r="I40" i="29" s="1"/>
  <c r="D41" i="29"/>
  <c r="E41" i="29"/>
  <c r="G36" i="40"/>
  <c r="I36" i="40" s="1"/>
  <c r="D37" i="40"/>
  <c r="E37" i="40"/>
  <c r="B49" i="7"/>
  <c r="G36" i="41"/>
  <c r="D37" i="41"/>
  <c r="E37" i="41"/>
  <c r="H37" i="37"/>
  <c r="I37" i="37" s="1"/>
  <c r="D38" i="37"/>
  <c r="F45" i="22"/>
  <c r="G45" i="22" s="1"/>
  <c r="B45" i="22"/>
  <c r="E41" i="44"/>
  <c r="I44" i="22"/>
  <c r="D40" i="45"/>
  <c r="E40" i="45"/>
  <c r="H37" i="39"/>
  <c r="I37" i="39" s="1"/>
  <c r="D38" i="39"/>
  <c r="E38" i="39"/>
  <c r="H36" i="41"/>
  <c r="G40" i="28"/>
  <c r="I40" i="28" s="1"/>
  <c r="D41" i="28"/>
  <c r="E41" i="28"/>
  <c r="G42" i="27"/>
  <c r="I42" i="27" s="1"/>
  <c r="D43" i="27"/>
  <c r="E43" i="27"/>
  <c r="B43" i="24"/>
  <c r="F43" i="24"/>
  <c r="G43" i="24" s="1"/>
  <c r="G36" i="43"/>
  <c r="I36" i="43" s="1"/>
  <c r="D37" i="43"/>
  <c r="E37" i="43"/>
  <c r="F47" i="6" l="1"/>
  <c r="G47" i="6" s="1"/>
  <c r="F47" i="4"/>
  <c r="H47" i="4" s="1"/>
  <c r="E35" i="52"/>
  <c r="F35" i="52" s="1"/>
  <c r="B35" i="52"/>
  <c r="I32" i="50"/>
  <c r="E33" i="50"/>
  <c r="F33" i="50" s="1"/>
  <c r="B33" i="50"/>
  <c r="B36" i="46"/>
  <c r="I46" i="5"/>
  <c r="D48" i="5"/>
  <c r="B48" i="5" s="1"/>
  <c r="I35" i="46"/>
  <c r="H47" i="5"/>
  <c r="G47" i="5"/>
  <c r="B47" i="8"/>
  <c r="F47" i="8"/>
  <c r="B48" i="9"/>
  <c r="F48" i="9"/>
  <c r="G48" i="9" s="1"/>
  <c r="G46" i="3"/>
  <c r="H46" i="3"/>
  <c r="D47" i="3"/>
  <c r="E47" i="3"/>
  <c r="F41" i="44"/>
  <c r="H41" i="44" s="1"/>
  <c r="B49" i="11"/>
  <c r="I39" i="45"/>
  <c r="I48" i="11"/>
  <c r="E48" i="6"/>
  <c r="D48" i="6"/>
  <c r="G41" i="31"/>
  <c r="E42" i="31"/>
  <c r="H41" i="31"/>
  <c r="D42" i="31"/>
  <c r="H47" i="6"/>
  <c r="I47" i="6" s="1"/>
  <c r="H45" i="25"/>
  <c r="I45" i="25" s="1"/>
  <c r="D46" i="25"/>
  <c r="E46" i="25"/>
  <c r="F43" i="27"/>
  <c r="H43" i="27" s="1"/>
  <c r="E50" i="7"/>
  <c r="D50" i="7"/>
  <c r="F40" i="30"/>
  <c r="G40" i="30" s="1"/>
  <c r="E48" i="4"/>
  <c r="H49" i="7"/>
  <c r="I49" i="7" s="1"/>
  <c r="G47" i="4"/>
  <c r="I47" i="4" s="1"/>
  <c r="E45" i="23"/>
  <c r="H44" i="23"/>
  <c r="D45" i="23"/>
  <c r="G44" i="23"/>
  <c r="D48" i="4"/>
  <c r="I37" i="38"/>
  <c r="H43" i="24"/>
  <c r="I43" i="24" s="1"/>
  <c r="D44" i="24"/>
  <c r="E44" i="24"/>
  <c r="B41" i="29"/>
  <c r="F41" i="29"/>
  <c r="G41" i="29" s="1"/>
  <c r="D37" i="46"/>
  <c r="E37" i="46"/>
  <c r="B41" i="28"/>
  <c r="F41" i="28"/>
  <c r="G41" i="28" s="1"/>
  <c r="F40" i="45"/>
  <c r="H40" i="45" s="1"/>
  <c r="F37" i="41"/>
  <c r="G37" i="41" s="1"/>
  <c r="B37" i="41"/>
  <c r="H49" i="11"/>
  <c r="I49" i="11" s="1"/>
  <c r="D50" i="11"/>
  <c r="E50" i="11"/>
  <c r="H45" i="22"/>
  <c r="I45" i="22" s="1"/>
  <c r="D46" i="22"/>
  <c r="E46" i="22"/>
  <c r="B37" i="43"/>
  <c r="F37" i="43"/>
  <c r="H37" i="43" s="1"/>
  <c r="B40" i="45"/>
  <c r="E38" i="37"/>
  <c r="F38" i="37" s="1"/>
  <c r="H38" i="37" s="1"/>
  <c r="B38" i="37"/>
  <c r="H36" i="46"/>
  <c r="F38" i="38"/>
  <c r="G38" i="38" s="1"/>
  <c r="B38" i="38"/>
  <c r="I36" i="41"/>
  <c r="B37" i="40"/>
  <c r="F37" i="40"/>
  <c r="G37" i="40" s="1"/>
  <c r="G49" i="10"/>
  <c r="I49" i="10" s="1"/>
  <c r="D50" i="10"/>
  <c r="E50" i="10"/>
  <c r="G36" i="46"/>
  <c r="B38" i="39"/>
  <c r="F38" i="39"/>
  <c r="G38" i="39" s="1"/>
  <c r="B43" i="27"/>
  <c r="B37" i="42"/>
  <c r="F37" i="42"/>
  <c r="G37" i="42" s="1"/>
  <c r="D34" i="50" l="1"/>
  <c r="E34" i="50"/>
  <c r="G33" i="50"/>
  <c r="H33" i="50"/>
  <c r="D36" i="52"/>
  <c r="G35" i="52"/>
  <c r="H35" i="52"/>
  <c r="F48" i="5"/>
  <c r="H48" i="5" s="1"/>
  <c r="F48" i="4"/>
  <c r="G48" i="4" s="1"/>
  <c r="H48" i="9"/>
  <c r="I48" i="9" s="1"/>
  <c r="D49" i="9"/>
  <c r="E49" i="9"/>
  <c r="H47" i="8"/>
  <c r="G47" i="8"/>
  <c r="D48" i="8"/>
  <c r="E48" i="8"/>
  <c r="I47" i="5"/>
  <c r="E42" i="44"/>
  <c r="I46" i="3"/>
  <c r="D42" i="44"/>
  <c r="B42" i="44" s="1"/>
  <c r="G41" i="44"/>
  <c r="I41" i="44" s="1"/>
  <c r="E41" i="30"/>
  <c r="D41" i="30"/>
  <c r="B41" i="30" s="1"/>
  <c r="H40" i="30"/>
  <c r="I40" i="30" s="1"/>
  <c r="B47" i="3"/>
  <c r="F47" i="3"/>
  <c r="G43" i="27"/>
  <c r="I43" i="27" s="1"/>
  <c r="E44" i="27"/>
  <c r="D44" i="27"/>
  <c r="I41" i="31"/>
  <c r="B46" i="25"/>
  <c r="F46" i="25"/>
  <c r="H46" i="25" s="1"/>
  <c r="B48" i="6"/>
  <c r="F48" i="6"/>
  <c r="B42" i="31"/>
  <c r="F42" i="31"/>
  <c r="F50" i="7"/>
  <c r="B50" i="7"/>
  <c r="F45" i="23"/>
  <c r="B45" i="23"/>
  <c r="B48" i="4"/>
  <c r="I44" i="23"/>
  <c r="D39" i="37"/>
  <c r="E39" i="37"/>
  <c r="D41" i="45"/>
  <c r="E41" i="45"/>
  <c r="H37" i="40"/>
  <c r="I37" i="40" s="1"/>
  <c r="D38" i="40"/>
  <c r="E38" i="40"/>
  <c r="G40" i="45"/>
  <c r="I40" i="45" s="1"/>
  <c r="F44" i="24"/>
  <c r="B44" i="24"/>
  <c r="H41" i="28"/>
  <c r="I41" i="28" s="1"/>
  <c r="D42" i="28"/>
  <c r="E42" i="28"/>
  <c r="H38" i="39"/>
  <c r="I38" i="39" s="1"/>
  <c r="D39" i="39"/>
  <c r="E39" i="39"/>
  <c r="H38" i="38"/>
  <c r="I38" i="38" s="1"/>
  <c r="D39" i="38"/>
  <c r="E39" i="38"/>
  <c r="H37" i="41"/>
  <c r="I37" i="41" s="1"/>
  <c r="D38" i="41"/>
  <c r="H37" i="42"/>
  <c r="I37" i="42" s="1"/>
  <c r="D38" i="42"/>
  <c r="E38" i="42"/>
  <c r="B46" i="22"/>
  <c r="F46" i="22"/>
  <c r="G46" i="22" s="1"/>
  <c r="B37" i="46"/>
  <c r="F37" i="46"/>
  <c r="B50" i="11"/>
  <c r="F50" i="11"/>
  <c r="G50" i="11" s="1"/>
  <c r="H48" i="4"/>
  <c r="I48" i="4" s="1"/>
  <c r="D49" i="4"/>
  <c r="E49" i="4"/>
  <c r="H41" i="29"/>
  <c r="I41" i="29" s="1"/>
  <c r="D42" i="29"/>
  <c r="E42" i="29"/>
  <c r="I36" i="46"/>
  <c r="G37" i="43"/>
  <c r="I37" i="43" s="1"/>
  <c r="D38" i="43"/>
  <c r="E38" i="43"/>
  <c r="B50" i="10"/>
  <c r="F50" i="10"/>
  <c r="G50" i="10" s="1"/>
  <c r="G38" i="37"/>
  <c r="I38" i="37" s="1"/>
  <c r="I35" i="52" l="1"/>
  <c r="E36" i="52"/>
  <c r="F36" i="52" s="1"/>
  <c r="D37" i="52" s="1"/>
  <c r="B36" i="52"/>
  <c r="I33" i="50"/>
  <c r="D49" i="5"/>
  <c r="B49" i="5" s="1"/>
  <c r="F34" i="50"/>
  <c r="D35" i="50" s="1"/>
  <c r="B34" i="50"/>
  <c r="E49" i="5"/>
  <c r="G48" i="5"/>
  <c r="I48" i="5" s="1"/>
  <c r="I73" i="5" s="1"/>
  <c r="I47" i="8"/>
  <c r="F48" i="8"/>
  <c r="B48" i="8"/>
  <c r="B49" i="9"/>
  <c r="F49" i="9"/>
  <c r="H49" i="9" s="1"/>
  <c r="F42" i="44"/>
  <c r="G42" i="44" s="1"/>
  <c r="F41" i="30"/>
  <c r="H41" i="30" s="1"/>
  <c r="F44" i="27"/>
  <c r="H44" i="27" s="1"/>
  <c r="G47" i="3"/>
  <c r="E48" i="3"/>
  <c r="D48" i="3"/>
  <c r="H47" i="3"/>
  <c r="B44" i="27"/>
  <c r="E49" i="6"/>
  <c r="D49" i="6"/>
  <c r="H48" i="6"/>
  <c r="F42" i="28"/>
  <c r="H42" i="28" s="1"/>
  <c r="G46" i="25"/>
  <c r="I46" i="25" s="1"/>
  <c r="D47" i="25"/>
  <c r="E47" i="25"/>
  <c r="G48" i="6"/>
  <c r="H42" i="31"/>
  <c r="E43" i="31"/>
  <c r="D43" i="31"/>
  <c r="G42" i="31"/>
  <c r="F42" i="29"/>
  <c r="G42" i="29" s="1"/>
  <c r="D51" i="7"/>
  <c r="E51" i="7"/>
  <c r="H50" i="7"/>
  <c r="G50" i="7"/>
  <c r="G45" i="23"/>
  <c r="H45" i="23"/>
  <c r="D46" i="23"/>
  <c r="E46" i="23"/>
  <c r="B39" i="38"/>
  <c r="F39" i="38"/>
  <c r="H39" i="38" s="1"/>
  <c r="B38" i="40"/>
  <c r="F38" i="40"/>
  <c r="H38" i="40" s="1"/>
  <c r="H46" i="22"/>
  <c r="I46" i="22" s="1"/>
  <c r="D47" i="22"/>
  <c r="E47" i="22"/>
  <c r="H44" i="24"/>
  <c r="D45" i="24"/>
  <c r="E45" i="24"/>
  <c r="H50" i="10"/>
  <c r="I50" i="10" s="1"/>
  <c r="D51" i="10"/>
  <c r="E51" i="10"/>
  <c r="F49" i="4"/>
  <c r="G49" i="4" s="1"/>
  <c r="B49" i="4"/>
  <c r="F41" i="45"/>
  <c r="G41" i="45" s="1"/>
  <c r="B39" i="37"/>
  <c r="F39" i="37"/>
  <c r="G39" i="37" s="1"/>
  <c r="B41" i="45"/>
  <c r="B42" i="29"/>
  <c r="B38" i="42"/>
  <c r="F38" i="42"/>
  <c r="H38" i="42" s="1"/>
  <c r="B42" i="28"/>
  <c r="F38" i="43"/>
  <c r="G38" i="43" s="1"/>
  <c r="B38" i="43"/>
  <c r="H50" i="11"/>
  <c r="I50" i="11" s="1"/>
  <c r="D51" i="11"/>
  <c r="E51" i="11"/>
  <c r="G37" i="46"/>
  <c r="D38" i="46"/>
  <c r="E38" i="46"/>
  <c r="B39" i="39"/>
  <c r="F39" i="39"/>
  <c r="H39" i="39" s="1"/>
  <c r="E38" i="41"/>
  <c r="F38" i="41" s="1"/>
  <c r="B38" i="41"/>
  <c r="H37" i="46"/>
  <c r="G44" i="24"/>
  <c r="G44" i="27" l="1"/>
  <c r="H34" i="50"/>
  <c r="G34" i="50"/>
  <c r="E35" i="50"/>
  <c r="B35" i="50"/>
  <c r="F35" i="50"/>
  <c r="H35" i="50" s="1"/>
  <c r="G36" i="52"/>
  <c r="F49" i="5"/>
  <c r="H49" i="5" s="1"/>
  <c r="H36" i="52"/>
  <c r="E37" i="52"/>
  <c r="F37" i="52" s="1"/>
  <c r="B37" i="52"/>
  <c r="E43" i="28"/>
  <c r="D43" i="28"/>
  <c r="B43" i="28" s="1"/>
  <c r="E45" i="27"/>
  <c r="D45" i="27"/>
  <c r="B45" i="27" s="1"/>
  <c r="I47" i="3"/>
  <c r="E42" i="30"/>
  <c r="E43" i="44"/>
  <c r="D43" i="44"/>
  <c r="H42" i="44"/>
  <c r="I42" i="44" s="1"/>
  <c r="G41" i="30"/>
  <c r="I41" i="30" s="1"/>
  <c r="G49" i="9"/>
  <c r="I49" i="9" s="1"/>
  <c r="D50" i="9"/>
  <c r="E50" i="9"/>
  <c r="D42" i="30"/>
  <c r="B42" i="30" s="1"/>
  <c r="H48" i="8"/>
  <c r="D49" i="8"/>
  <c r="E49" i="8"/>
  <c r="G48" i="8"/>
  <c r="G42" i="28"/>
  <c r="I42" i="28" s="1"/>
  <c r="F48" i="3"/>
  <c r="B48" i="3"/>
  <c r="G39" i="39"/>
  <c r="I39" i="39" s="1"/>
  <c r="I42" i="31"/>
  <c r="I44" i="27"/>
  <c r="I48" i="6"/>
  <c r="F47" i="25"/>
  <c r="G47" i="25" s="1"/>
  <c r="B47" i="25"/>
  <c r="E43" i="29"/>
  <c r="B43" i="31"/>
  <c r="F43" i="31"/>
  <c r="D43" i="29"/>
  <c r="H42" i="29"/>
  <c r="I42" i="29" s="1"/>
  <c r="F49" i="6"/>
  <c r="G49" i="6" s="1"/>
  <c r="B49" i="6"/>
  <c r="I50" i="7"/>
  <c r="I45" i="23"/>
  <c r="F47" i="22"/>
  <c r="E48" i="22" s="1"/>
  <c r="F51" i="7"/>
  <c r="G51" i="7" s="1"/>
  <c r="B51" i="7"/>
  <c r="F46" i="23"/>
  <c r="B46" i="23"/>
  <c r="I37" i="46"/>
  <c r="H41" i="45"/>
  <c r="I41" i="45" s="1"/>
  <c r="I44" i="24"/>
  <c r="H38" i="41"/>
  <c r="D39" i="41"/>
  <c r="E39" i="41"/>
  <c r="D42" i="45"/>
  <c r="E42" i="45"/>
  <c r="G38" i="40"/>
  <c r="I38" i="40" s="1"/>
  <c r="D39" i="40"/>
  <c r="E39" i="40"/>
  <c r="H39" i="37"/>
  <c r="I39" i="37" s="1"/>
  <c r="D40" i="37"/>
  <c r="E40" i="37"/>
  <c r="H49" i="4"/>
  <c r="I49" i="4" s="1"/>
  <c r="D50" i="4"/>
  <c r="E50" i="4"/>
  <c r="B47" i="22"/>
  <c r="B38" i="46"/>
  <c r="F38" i="46"/>
  <c r="H38" i="46" s="1"/>
  <c r="F51" i="11"/>
  <c r="H51" i="11" s="1"/>
  <c r="D40" i="39"/>
  <c r="E40" i="39"/>
  <c r="H38" i="43"/>
  <c r="I38" i="43" s="1"/>
  <c r="D39" i="43"/>
  <c r="G38" i="42"/>
  <c r="I38" i="42" s="1"/>
  <c r="D39" i="42"/>
  <c r="B51" i="11"/>
  <c r="B51" i="10"/>
  <c r="F51" i="10"/>
  <c r="G39" i="38"/>
  <c r="I39" i="38" s="1"/>
  <c r="D40" i="38"/>
  <c r="E40" i="38"/>
  <c r="B45" i="24"/>
  <c r="F45" i="24"/>
  <c r="H45" i="24" s="1"/>
  <c r="G38" i="41"/>
  <c r="F45" i="27" l="1"/>
  <c r="G45" i="27" s="1"/>
  <c r="I34" i="50"/>
  <c r="F43" i="28"/>
  <c r="D44" i="28" s="1"/>
  <c r="D38" i="52"/>
  <c r="H37" i="52"/>
  <c r="G37" i="52"/>
  <c r="I36" i="52"/>
  <c r="G35" i="50"/>
  <c r="I35" i="50" s="1"/>
  <c r="D36" i="50"/>
  <c r="E36" i="50"/>
  <c r="G49" i="5"/>
  <c r="D50" i="5"/>
  <c r="E50" i="5"/>
  <c r="F43" i="44"/>
  <c r="G43" i="44" s="1"/>
  <c r="I48" i="8"/>
  <c r="B43" i="44"/>
  <c r="F42" i="30"/>
  <c r="H42" i="30" s="1"/>
  <c r="F43" i="29"/>
  <c r="G43" i="29" s="1"/>
  <c r="F49" i="8"/>
  <c r="G49" i="8" s="1"/>
  <c r="B49" i="8"/>
  <c r="B50" i="9"/>
  <c r="F50" i="9"/>
  <c r="H50" i="9" s="1"/>
  <c r="B43" i="29"/>
  <c r="I38" i="41"/>
  <c r="F50" i="4"/>
  <c r="E51" i="4" s="1"/>
  <c r="G42" i="30"/>
  <c r="I42" i="30" s="1"/>
  <c r="G48" i="3"/>
  <c r="H48" i="3"/>
  <c r="D49" i="3"/>
  <c r="E49" i="3"/>
  <c r="G43" i="28"/>
  <c r="H47" i="22"/>
  <c r="G43" i="31"/>
  <c r="D44" i="31"/>
  <c r="E44" i="31"/>
  <c r="H43" i="31"/>
  <c r="E50" i="6"/>
  <c r="D50" i="6"/>
  <c r="D48" i="22"/>
  <c r="F48" i="22" s="1"/>
  <c r="G48" i="22" s="1"/>
  <c r="G47" i="22"/>
  <c r="H49" i="6"/>
  <c r="I49" i="6" s="1"/>
  <c r="H47" i="25"/>
  <c r="I47" i="25" s="1"/>
  <c r="D48" i="25"/>
  <c r="E48" i="25"/>
  <c r="E44" i="28"/>
  <c r="F44" i="28" s="1"/>
  <c r="H44" i="28" s="1"/>
  <c r="E52" i="7"/>
  <c r="H51" i="7"/>
  <c r="I51" i="7" s="1"/>
  <c r="D52" i="7"/>
  <c r="E47" i="23"/>
  <c r="G46" i="23"/>
  <c r="D47" i="23"/>
  <c r="G38" i="46"/>
  <c r="I38" i="46" s="1"/>
  <c r="H46" i="23"/>
  <c r="E39" i="42"/>
  <c r="F39" i="42" s="1"/>
  <c r="D40" i="42" s="1"/>
  <c r="B39" i="42"/>
  <c r="B50" i="4"/>
  <c r="B39" i="40"/>
  <c r="F39" i="40"/>
  <c r="B44" i="28"/>
  <c r="E39" i="43"/>
  <c r="F39" i="43" s="1"/>
  <c r="B39" i="43"/>
  <c r="D39" i="46"/>
  <c r="E39" i="46"/>
  <c r="G45" i="24"/>
  <c r="I45" i="24" s="1"/>
  <c r="D46" i="24"/>
  <c r="E46" i="24"/>
  <c r="H51" i="10"/>
  <c r="D52" i="10"/>
  <c r="E52" i="10"/>
  <c r="B39" i="41"/>
  <c r="F39" i="41"/>
  <c r="H39" i="41" s="1"/>
  <c r="B42" i="45"/>
  <c r="B40" i="38"/>
  <c r="F40" i="38"/>
  <c r="B40" i="39"/>
  <c r="F40" i="39"/>
  <c r="H40" i="39" s="1"/>
  <c r="G51" i="11"/>
  <c r="I51" i="11" s="1"/>
  <c r="D52" i="11"/>
  <c r="E52" i="11"/>
  <c r="G51" i="10"/>
  <c r="F40" i="37"/>
  <c r="D41" i="37" s="1"/>
  <c r="B40" i="37"/>
  <c r="H45" i="27"/>
  <c r="I45" i="27" s="1"/>
  <c r="D46" i="27"/>
  <c r="E46" i="27"/>
  <c r="F42" i="45"/>
  <c r="D43" i="45" s="1"/>
  <c r="F36" i="50" l="1"/>
  <c r="D37" i="50" s="1"/>
  <c r="B37" i="50" s="1"/>
  <c r="E44" i="44"/>
  <c r="H43" i="28"/>
  <c r="I43" i="28" s="1"/>
  <c r="I47" i="22"/>
  <c r="H43" i="44"/>
  <c r="I43" i="44" s="1"/>
  <c r="B36" i="50"/>
  <c r="H36" i="50"/>
  <c r="G36" i="50"/>
  <c r="E37" i="50"/>
  <c r="F37" i="50" s="1"/>
  <c r="D38" i="50" s="1"/>
  <c r="D51" i="4"/>
  <c r="F51" i="4" s="1"/>
  <c r="H51" i="4" s="1"/>
  <c r="H50" i="4"/>
  <c r="B50" i="5"/>
  <c r="F50" i="5"/>
  <c r="G50" i="5" s="1"/>
  <c r="I37" i="52"/>
  <c r="G50" i="4"/>
  <c r="E38" i="52"/>
  <c r="F38" i="52" s="1"/>
  <c r="B38" i="52"/>
  <c r="B48" i="22"/>
  <c r="D44" i="44"/>
  <c r="F44" i="44" s="1"/>
  <c r="E45" i="44" s="1"/>
  <c r="H49" i="8"/>
  <c r="I49" i="8" s="1"/>
  <c r="D43" i="30"/>
  <c r="B43" i="30" s="1"/>
  <c r="E43" i="30"/>
  <c r="I43" i="31"/>
  <c r="E44" i="29"/>
  <c r="H43" i="29"/>
  <c r="I43" i="29" s="1"/>
  <c r="D44" i="29"/>
  <c r="B44" i="29" s="1"/>
  <c r="I48" i="3"/>
  <c r="G50" i="9"/>
  <c r="I50" i="9" s="1"/>
  <c r="D51" i="9"/>
  <c r="E51" i="9"/>
  <c r="E50" i="8"/>
  <c r="D50" i="8"/>
  <c r="F49" i="3"/>
  <c r="B49" i="3"/>
  <c r="I46" i="23"/>
  <c r="F46" i="24"/>
  <c r="G46" i="24" s="1"/>
  <c r="F48" i="25"/>
  <c r="H48" i="25" s="1"/>
  <c r="B48" i="25"/>
  <c r="B44" i="31"/>
  <c r="F44" i="31"/>
  <c r="F50" i="6"/>
  <c r="G50" i="6" s="1"/>
  <c r="B50" i="6"/>
  <c r="F52" i="7"/>
  <c r="B52" i="7"/>
  <c r="B47" i="23"/>
  <c r="F47" i="23"/>
  <c r="F52" i="10"/>
  <c r="E53" i="10" s="1"/>
  <c r="G40" i="37"/>
  <c r="I51" i="10"/>
  <c r="H42" i="45"/>
  <c r="G39" i="43"/>
  <c r="D40" i="43"/>
  <c r="E40" i="43"/>
  <c r="H39" i="43"/>
  <c r="G39" i="40"/>
  <c r="D40" i="40"/>
  <c r="G40" i="39"/>
  <c r="I40" i="39" s="1"/>
  <c r="D41" i="39"/>
  <c r="E41" i="39"/>
  <c r="B52" i="11"/>
  <c r="F52" i="11"/>
  <c r="G52" i="11" s="1"/>
  <c r="E43" i="45"/>
  <c r="F43" i="45" s="1"/>
  <c r="B43" i="45"/>
  <c r="G42" i="45"/>
  <c r="B44" i="44"/>
  <c r="E41" i="37"/>
  <c r="F41" i="37" s="1"/>
  <c r="G41" i="37" s="1"/>
  <c r="B41" i="37"/>
  <c r="B51" i="4"/>
  <c r="G39" i="41"/>
  <c r="I39" i="41" s="1"/>
  <c r="D40" i="41"/>
  <c r="B46" i="24"/>
  <c r="G44" i="28"/>
  <c r="I44" i="28" s="1"/>
  <c r="D45" i="28"/>
  <c r="E45" i="28"/>
  <c r="H39" i="42"/>
  <c r="H40" i="38"/>
  <c r="D41" i="38"/>
  <c r="E41" i="38"/>
  <c r="E40" i="42"/>
  <c r="F40" i="42" s="1"/>
  <c r="B40" i="42"/>
  <c r="H48" i="22"/>
  <c r="I48" i="22" s="1"/>
  <c r="D49" i="22"/>
  <c r="E49" i="22"/>
  <c r="B39" i="46"/>
  <c r="F39" i="46"/>
  <c r="H39" i="46" s="1"/>
  <c r="B46" i="27"/>
  <c r="F46" i="27"/>
  <c r="G46" i="27" s="1"/>
  <c r="H40" i="37"/>
  <c r="G40" i="38"/>
  <c r="B52" i="10"/>
  <c r="H39" i="40"/>
  <c r="G39" i="42"/>
  <c r="I50" i="4" l="1"/>
  <c r="H37" i="50"/>
  <c r="G37" i="50"/>
  <c r="D39" i="52"/>
  <c r="G38" i="52"/>
  <c r="H38" i="52"/>
  <c r="H50" i="5"/>
  <c r="D51" i="5"/>
  <c r="E51" i="5"/>
  <c r="E38" i="50"/>
  <c r="F38" i="50" s="1"/>
  <c r="B38" i="50"/>
  <c r="I36" i="50"/>
  <c r="F43" i="30"/>
  <c r="D47" i="24"/>
  <c r="B47" i="24" s="1"/>
  <c r="F44" i="29"/>
  <c r="H44" i="29" s="1"/>
  <c r="G48" i="25"/>
  <c r="I48" i="25" s="1"/>
  <c r="H46" i="24"/>
  <c r="I46" i="24" s="1"/>
  <c r="F50" i="8"/>
  <c r="B50" i="8"/>
  <c r="F51" i="9"/>
  <c r="H51" i="9" s="1"/>
  <c r="B51" i="9"/>
  <c r="D53" i="10"/>
  <c r="B53" i="10" s="1"/>
  <c r="H44" i="44"/>
  <c r="I40" i="37"/>
  <c r="E47" i="24"/>
  <c r="G49" i="3"/>
  <c r="E50" i="3"/>
  <c r="D50" i="3"/>
  <c r="H49" i="3"/>
  <c r="I39" i="40"/>
  <c r="H50" i="6"/>
  <c r="I50" i="6" s="1"/>
  <c r="E51" i="6"/>
  <c r="D51" i="6"/>
  <c r="G44" i="31"/>
  <c r="E45" i="31"/>
  <c r="D45" i="31"/>
  <c r="H44" i="31"/>
  <c r="D45" i="44"/>
  <c r="B45" i="44" s="1"/>
  <c r="E49" i="25"/>
  <c r="D49" i="25"/>
  <c r="H52" i="10"/>
  <c r="G52" i="10"/>
  <c r="G44" i="44"/>
  <c r="G52" i="7"/>
  <c r="D53" i="7"/>
  <c r="H52" i="7"/>
  <c r="E53" i="7"/>
  <c r="I40" i="38"/>
  <c r="H47" i="23"/>
  <c r="E48" i="23"/>
  <c r="G47" i="23"/>
  <c r="D48" i="23"/>
  <c r="I42" i="45"/>
  <c r="G51" i="4"/>
  <c r="I51" i="4" s="1"/>
  <c r="E52" i="4"/>
  <c r="I39" i="43"/>
  <c r="I39" i="42"/>
  <c r="D52" i="4"/>
  <c r="B52" i="4" s="1"/>
  <c r="G39" i="46"/>
  <c r="I39" i="46" s="1"/>
  <c r="F45" i="28"/>
  <c r="G45" i="28" s="1"/>
  <c r="H43" i="45"/>
  <c r="D44" i="45"/>
  <c r="E44" i="45"/>
  <c r="G43" i="45"/>
  <c r="E40" i="40"/>
  <c r="F40" i="40" s="1"/>
  <c r="B40" i="40"/>
  <c r="E40" i="41"/>
  <c r="F40" i="41" s="1"/>
  <c r="B40" i="41"/>
  <c r="F41" i="39"/>
  <c r="H41" i="39" s="1"/>
  <c r="B41" i="39"/>
  <c r="G40" i="42"/>
  <c r="D41" i="42"/>
  <c r="B41" i="38"/>
  <c r="F41" i="38"/>
  <c r="H41" i="38" s="1"/>
  <c r="H52" i="11"/>
  <c r="I52" i="11" s="1"/>
  <c r="D53" i="11"/>
  <c r="E53" i="11"/>
  <c r="H40" i="42"/>
  <c r="B40" i="43"/>
  <c r="F40" i="43"/>
  <c r="H40" i="43" s="1"/>
  <c r="B49" i="22"/>
  <c r="F49" i="22"/>
  <c r="G49" i="22" s="1"/>
  <c r="H46" i="27"/>
  <c r="I46" i="27" s="1"/>
  <c r="D47" i="27"/>
  <c r="E47" i="27"/>
  <c r="D40" i="46"/>
  <c r="E40" i="46"/>
  <c r="H41" i="37"/>
  <c r="I41" i="37" s="1"/>
  <c r="D42" i="37"/>
  <c r="E42" i="37"/>
  <c r="B45" i="28"/>
  <c r="I37" i="50" l="1"/>
  <c r="I38" i="52"/>
  <c r="G44" i="29"/>
  <c r="I44" i="29" s="1"/>
  <c r="D39" i="50"/>
  <c r="G38" i="50"/>
  <c r="H38" i="50"/>
  <c r="F51" i="5"/>
  <c r="H51" i="5" s="1"/>
  <c r="B51" i="5"/>
  <c r="E39" i="52"/>
  <c r="F39" i="52" s="1"/>
  <c r="B39" i="52"/>
  <c r="E45" i="29"/>
  <c r="D45" i="29"/>
  <c r="F47" i="24"/>
  <c r="D48" i="24" s="1"/>
  <c r="E44" i="30"/>
  <c r="D44" i="30"/>
  <c r="H43" i="30"/>
  <c r="G43" i="30"/>
  <c r="F45" i="44"/>
  <c r="H45" i="44" s="1"/>
  <c r="F53" i="11"/>
  <c r="H53" i="11" s="1"/>
  <c r="I44" i="44"/>
  <c r="F53" i="10"/>
  <c r="H53" i="10" s="1"/>
  <c r="G51" i="9"/>
  <c r="I51" i="9" s="1"/>
  <c r="D52" i="9"/>
  <c r="E52" i="9"/>
  <c r="E51" i="8"/>
  <c r="D51" i="8"/>
  <c r="H50" i="8"/>
  <c r="G50" i="8"/>
  <c r="E46" i="28"/>
  <c r="I47" i="23"/>
  <c r="I44" i="31"/>
  <c r="I49" i="3"/>
  <c r="F50" i="3"/>
  <c r="H50" i="3" s="1"/>
  <c r="B50" i="3"/>
  <c r="I52" i="10"/>
  <c r="B45" i="31"/>
  <c r="F45" i="31"/>
  <c r="H45" i="31" s="1"/>
  <c r="B49" i="25"/>
  <c r="F49" i="25"/>
  <c r="G49" i="25" s="1"/>
  <c r="B51" i="6"/>
  <c r="F51" i="6"/>
  <c r="F53" i="7"/>
  <c r="D54" i="7" s="1"/>
  <c r="I52" i="7"/>
  <c r="B53" i="7"/>
  <c r="B48" i="23"/>
  <c r="F48" i="23"/>
  <c r="G48" i="23" s="1"/>
  <c r="F52" i="4"/>
  <c r="G52" i="4" s="1"/>
  <c r="D46" i="28"/>
  <c r="H45" i="28"/>
  <c r="I45" i="28" s="1"/>
  <c r="D41" i="41"/>
  <c r="E41" i="41"/>
  <c r="H40" i="41"/>
  <c r="G40" i="41"/>
  <c r="B47" i="27"/>
  <c r="H40" i="40"/>
  <c r="D41" i="40"/>
  <c r="E41" i="40"/>
  <c r="G41" i="38"/>
  <c r="I41" i="38" s="1"/>
  <c r="D42" i="38"/>
  <c r="E42" i="38"/>
  <c r="B45" i="29"/>
  <c r="B53" i="11"/>
  <c r="F42" i="37"/>
  <c r="H42" i="37" s="1"/>
  <c r="B42" i="37"/>
  <c r="I40" i="42"/>
  <c r="I43" i="45"/>
  <c r="F44" i="45"/>
  <c r="D45" i="45" s="1"/>
  <c r="H49" i="22"/>
  <c r="I49" i="22" s="1"/>
  <c r="D50" i="22"/>
  <c r="E50" i="22"/>
  <c r="G41" i="39"/>
  <c r="I41" i="39" s="1"/>
  <c r="D42" i="39"/>
  <c r="B44" i="45"/>
  <c r="B40" i="46"/>
  <c r="F40" i="46"/>
  <c r="H40" i="46" s="1"/>
  <c r="F47" i="27"/>
  <c r="G47" i="27" s="1"/>
  <c r="G40" i="43"/>
  <c r="I40" i="43" s="1"/>
  <c r="D41" i="43"/>
  <c r="E41" i="42"/>
  <c r="F41" i="42" s="1"/>
  <c r="H41" i="42" s="1"/>
  <c r="B41" i="42"/>
  <c r="G40" i="40"/>
  <c r="I38" i="50" l="1"/>
  <c r="G47" i="24"/>
  <c r="H47" i="24"/>
  <c r="E48" i="24"/>
  <c r="G39" i="52"/>
  <c r="D40" i="52"/>
  <c r="H39" i="52"/>
  <c r="F45" i="29"/>
  <c r="G45" i="29" s="1"/>
  <c r="G51" i="5"/>
  <c r="E52" i="5"/>
  <c r="D52" i="5"/>
  <c r="E39" i="50"/>
  <c r="F39" i="50" s="1"/>
  <c r="B39" i="50"/>
  <c r="E46" i="44"/>
  <c r="D54" i="11"/>
  <c r="B54" i="11" s="1"/>
  <c r="I43" i="30"/>
  <c r="B44" i="30"/>
  <c r="F44" i="30"/>
  <c r="D54" i="10"/>
  <c r="B54" i="10" s="1"/>
  <c r="G53" i="11"/>
  <c r="I53" i="11" s="1"/>
  <c r="E54" i="11"/>
  <c r="G45" i="44"/>
  <c r="I45" i="44" s="1"/>
  <c r="D46" i="44"/>
  <c r="B46" i="44" s="1"/>
  <c r="E54" i="10"/>
  <c r="G53" i="10"/>
  <c r="I53" i="10" s="1"/>
  <c r="I50" i="8"/>
  <c r="E54" i="7"/>
  <c r="F54" i="7" s="1"/>
  <c r="G54" i="7" s="1"/>
  <c r="F52" i="9"/>
  <c r="H52" i="9" s="1"/>
  <c r="B52" i="9"/>
  <c r="F46" i="28"/>
  <c r="H46" i="28" s="1"/>
  <c r="B51" i="8"/>
  <c r="F51" i="8"/>
  <c r="H53" i="7"/>
  <c r="G53" i="7"/>
  <c r="G50" i="3"/>
  <c r="I50" i="3" s="1"/>
  <c r="E51" i="3"/>
  <c r="D51" i="3"/>
  <c r="G51" i="6"/>
  <c r="D52" i="6"/>
  <c r="E52" i="6"/>
  <c r="H49" i="25"/>
  <c r="I49" i="25" s="1"/>
  <c r="D50" i="25"/>
  <c r="E50" i="25"/>
  <c r="G45" i="31"/>
  <c r="I45" i="31" s="1"/>
  <c r="D46" i="31"/>
  <c r="E46" i="31"/>
  <c r="D53" i="4"/>
  <c r="B53" i="4" s="1"/>
  <c r="H51" i="6"/>
  <c r="B46" i="28"/>
  <c r="H52" i="4"/>
  <c r="I52" i="4" s="1"/>
  <c r="B54" i="7"/>
  <c r="F48" i="24"/>
  <c r="G48" i="24" s="1"/>
  <c r="D49" i="23"/>
  <c r="H48" i="23"/>
  <c r="I48" i="23" s="1"/>
  <c r="E49" i="23"/>
  <c r="E53" i="4"/>
  <c r="B48" i="24"/>
  <c r="G41" i="42"/>
  <c r="I41" i="42" s="1"/>
  <c r="D42" i="42"/>
  <c r="E42" i="42"/>
  <c r="G40" i="46"/>
  <c r="I40" i="46" s="1"/>
  <c r="D41" i="46"/>
  <c r="E41" i="46"/>
  <c r="I47" i="24"/>
  <c r="I40" i="41"/>
  <c r="H47" i="27"/>
  <c r="I47" i="27" s="1"/>
  <c r="D48" i="27"/>
  <c r="E48" i="27"/>
  <c r="I40" i="40"/>
  <c r="F41" i="41"/>
  <c r="G41" i="41" s="1"/>
  <c r="B41" i="41"/>
  <c r="E41" i="43"/>
  <c r="F41" i="43" s="1"/>
  <c r="G41" i="43" s="1"/>
  <c r="B41" i="43"/>
  <c r="E45" i="45"/>
  <c r="F45" i="45" s="1"/>
  <c r="G45" i="45" s="1"/>
  <c r="B45" i="45"/>
  <c r="F41" i="40"/>
  <c r="H41" i="40" s="1"/>
  <c r="B41" i="40"/>
  <c r="E42" i="39"/>
  <c r="F42" i="39" s="1"/>
  <c r="B42" i="39"/>
  <c r="F42" i="38"/>
  <c r="B42" i="38"/>
  <c r="H44" i="45"/>
  <c r="B50" i="22"/>
  <c r="F50" i="22"/>
  <c r="G50" i="22" s="1"/>
  <c r="G44" i="45"/>
  <c r="G42" i="37"/>
  <c r="I42" i="37" s="1"/>
  <c r="D43" i="37"/>
  <c r="F54" i="11" l="1"/>
  <c r="G54" i="11" s="1"/>
  <c r="E46" i="29"/>
  <c r="D46" i="29"/>
  <c r="B46" i="29" s="1"/>
  <c r="I39" i="52"/>
  <c r="H45" i="29"/>
  <c r="I45" i="29" s="1"/>
  <c r="G39" i="50"/>
  <c r="D40" i="50"/>
  <c r="H39" i="50"/>
  <c r="F52" i="5"/>
  <c r="H52" i="5" s="1"/>
  <c r="B52" i="5"/>
  <c r="E40" i="52"/>
  <c r="F40" i="52" s="1"/>
  <c r="B40" i="52"/>
  <c r="G44" i="30"/>
  <c r="D45" i="30"/>
  <c r="E45" i="30"/>
  <c r="F46" i="44"/>
  <c r="D47" i="44" s="1"/>
  <c r="B47" i="44" s="1"/>
  <c r="F54" i="10"/>
  <c r="E55" i="10" s="1"/>
  <c r="H44" i="30"/>
  <c r="I53" i="7"/>
  <c r="D47" i="28"/>
  <c r="B47" i="28" s="1"/>
  <c r="G46" i="28"/>
  <c r="I46" i="28" s="1"/>
  <c r="E47" i="28"/>
  <c r="H51" i="8"/>
  <c r="D52" i="8"/>
  <c r="E52" i="8"/>
  <c r="G51" i="8"/>
  <c r="G52" i="9"/>
  <c r="I52" i="9" s="1"/>
  <c r="D53" i="9"/>
  <c r="E53" i="9"/>
  <c r="F51" i="3"/>
  <c r="B51" i="3"/>
  <c r="F53" i="4"/>
  <c r="H53" i="4" s="1"/>
  <c r="I51" i="6"/>
  <c r="B50" i="25"/>
  <c r="F50" i="25"/>
  <c r="G50" i="25" s="1"/>
  <c r="B52" i="6"/>
  <c r="F52" i="6"/>
  <c r="B46" i="31"/>
  <c r="F46" i="31"/>
  <c r="H46" i="31" s="1"/>
  <c r="H54" i="7"/>
  <c r="I54" i="7" s="1"/>
  <c r="D55" i="7"/>
  <c r="E55" i="7"/>
  <c r="E49" i="24"/>
  <c r="D49" i="24"/>
  <c r="B49" i="24" s="1"/>
  <c r="H48" i="24"/>
  <c r="I48" i="24" s="1"/>
  <c r="F49" i="23"/>
  <c r="G49" i="23" s="1"/>
  <c r="B49" i="23"/>
  <c r="H42" i="39"/>
  <c r="D43" i="39"/>
  <c r="G42" i="39"/>
  <c r="H41" i="43"/>
  <c r="I41" i="43" s="1"/>
  <c r="D42" i="43"/>
  <c r="E42" i="43"/>
  <c r="H54" i="11"/>
  <c r="I54" i="11" s="1"/>
  <c r="D55" i="11"/>
  <c r="E55" i="11"/>
  <c r="I44" i="45"/>
  <c r="G41" i="40"/>
  <c r="I41" i="40" s="1"/>
  <c r="D42" i="40"/>
  <c r="E42" i="40"/>
  <c r="E43" i="37"/>
  <c r="F43" i="37" s="1"/>
  <c r="B43" i="37"/>
  <c r="F48" i="27"/>
  <c r="H48" i="27" s="1"/>
  <c r="H42" i="38"/>
  <c r="D43" i="38"/>
  <c r="E43" i="38"/>
  <c r="H50" i="22"/>
  <c r="I50" i="22" s="1"/>
  <c r="D51" i="22"/>
  <c r="E51" i="22"/>
  <c r="H45" i="45"/>
  <c r="I45" i="45" s="1"/>
  <c r="D46" i="45"/>
  <c r="E46" i="45"/>
  <c r="H41" i="41"/>
  <c r="I41" i="41" s="1"/>
  <c r="D42" i="41"/>
  <c r="E42" i="41"/>
  <c r="B48" i="27"/>
  <c r="B41" i="46"/>
  <c r="F41" i="46"/>
  <c r="H41" i="46" s="1"/>
  <c r="B42" i="42"/>
  <c r="F42" i="42"/>
  <c r="H42" i="42" s="1"/>
  <c r="G42" i="38"/>
  <c r="I39" i="50" l="1"/>
  <c r="F46" i="29"/>
  <c r="E47" i="29" s="1"/>
  <c r="G40" i="52"/>
  <c r="D41" i="52"/>
  <c r="H40" i="52"/>
  <c r="G46" i="44"/>
  <c r="G52" i="5"/>
  <c r="D53" i="5"/>
  <c r="E53" i="5"/>
  <c r="E40" i="50"/>
  <c r="F40" i="50" s="1"/>
  <c r="B40" i="50"/>
  <c r="H46" i="44"/>
  <c r="D55" i="10"/>
  <c r="F55" i="10" s="1"/>
  <c r="G55" i="10" s="1"/>
  <c r="E47" i="44"/>
  <c r="F47" i="44" s="1"/>
  <c r="E48" i="44" s="1"/>
  <c r="F47" i="28"/>
  <c r="G47" i="28" s="1"/>
  <c r="I44" i="30"/>
  <c r="H54" i="10"/>
  <c r="B45" i="30"/>
  <c r="F45" i="30"/>
  <c r="H45" i="30" s="1"/>
  <c r="G54" i="10"/>
  <c r="D47" i="29"/>
  <c r="F47" i="29" s="1"/>
  <c r="H47" i="29" s="1"/>
  <c r="H50" i="25"/>
  <c r="I50" i="25" s="1"/>
  <c r="B52" i="8"/>
  <c r="F52" i="8"/>
  <c r="H52" i="8" s="1"/>
  <c r="F49" i="24"/>
  <c r="H49" i="24" s="1"/>
  <c r="F53" i="9"/>
  <c r="B53" i="9"/>
  <c r="I51" i="8"/>
  <c r="G46" i="29"/>
  <c r="G53" i="4"/>
  <c r="I53" i="4" s="1"/>
  <c r="H46" i="29"/>
  <c r="E54" i="4"/>
  <c r="D54" i="4"/>
  <c r="G51" i="3"/>
  <c r="D52" i="3"/>
  <c r="E52" i="3"/>
  <c r="H51" i="3"/>
  <c r="D51" i="25"/>
  <c r="E51" i="25"/>
  <c r="G46" i="31"/>
  <c r="I46" i="31" s="1"/>
  <c r="D47" i="31"/>
  <c r="E47" i="31"/>
  <c r="G52" i="6"/>
  <c r="E53" i="6"/>
  <c r="D53" i="6"/>
  <c r="H52" i="6"/>
  <c r="F55" i="7"/>
  <c r="G55" i="7" s="1"/>
  <c r="B55" i="7"/>
  <c r="D50" i="23"/>
  <c r="E50" i="23"/>
  <c r="H49" i="23"/>
  <c r="I49" i="23" s="1"/>
  <c r="F46" i="45"/>
  <c r="D47" i="45" s="1"/>
  <c r="B47" i="45" s="1"/>
  <c r="H43" i="37"/>
  <c r="D44" i="37"/>
  <c r="G43" i="37"/>
  <c r="F42" i="40"/>
  <c r="H42" i="40" s="1"/>
  <c r="B42" i="40"/>
  <c r="I42" i="38"/>
  <c r="B51" i="22"/>
  <c r="F51" i="22"/>
  <c r="G51" i="22" s="1"/>
  <c r="G48" i="27"/>
  <c r="I48" i="27" s="1"/>
  <c r="D49" i="27"/>
  <c r="E49" i="27"/>
  <c r="B42" i="43"/>
  <c r="F42" i="43"/>
  <c r="H42" i="43" s="1"/>
  <c r="G42" i="42"/>
  <c r="I42" i="42" s="1"/>
  <c r="D43" i="42"/>
  <c r="E43" i="42"/>
  <c r="B42" i="41"/>
  <c r="F42" i="41"/>
  <c r="G42" i="41" s="1"/>
  <c r="I42" i="39"/>
  <c r="E43" i="39"/>
  <c r="F43" i="39" s="1"/>
  <c r="H43" i="39" s="1"/>
  <c r="B43" i="39"/>
  <c r="D42" i="46"/>
  <c r="E42" i="46"/>
  <c r="B43" i="38"/>
  <c r="F43" i="38"/>
  <c r="D44" i="38" s="1"/>
  <c r="G41" i="46"/>
  <c r="I41" i="46" s="1"/>
  <c r="B46" i="45"/>
  <c r="F55" i="11"/>
  <c r="B55" i="11"/>
  <c r="I40" i="52" l="1"/>
  <c r="I46" i="44"/>
  <c r="G40" i="50"/>
  <c r="D41" i="50"/>
  <c r="H40" i="50"/>
  <c r="F53" i="5"/>
  <c r="H53" i="5" s="1"/>
  <c r="B53" i="5"/>
  <c r="H47" i="28"/>
  <c r="I47" i="28" s="1"/>
  <c r="B47" i="29"/>
  <c r="E41" i="52"/>
  <c r="F41" i="52" s="1"/>
  <c r="H41" i="52" s="1"/>
  <c r="B41" i="52"/>
  <c r="E48" i="28"/>
  <c r="D48" i="28"/>
  <c r="B48" i="28" s="1"/>
  <c r="G49" i="24"/>
  <c r="I49" i="24" s="1"/>
  <c r="H55" i="10"/>
  <c r="I55" i="10" s="1"/>
  <c r="B55" i="10"/>
  <c r="D56" i="10"/>
  <c r="B56" i="10" s="1"/>
  <c r="E56" i="10"/>
  <c r="G47" i="44"/>
  <c r="I54" i="10"/>
  <c r="D48" i="44"/>
  <c r="H47" i="44"/>
  <c r="G45" i="30"/>
  <c r="I45" i="30" s="1"/>
  <c r="E46" i="30"/>
  <c r="D46" i="30"/>
  <c r="E50" i="24"/>
  <c r="D50" i="24"/>
  <c r="B50" i="24" s="1"/>
  <c r="I46" i="29"/>
  <c r="F54" i="4"/>
  <c r="E55" i="4" s="1"/>
  <c r="H53" i="9"/>
  <c r="D54" i="9"/>
  <c r="E54" i="9"/>
  <c r="G52" i="8"/>
  <c r="I52" i="8" s="1"/>
  <c r="D53" i="8"/>
  <c r="E53" i="8"/>
  <c r="G53" i="9"/>
  <c r="I52" i="6"/>
  <c r="E47" i="45"/>
  <c r="F47" i="45" s="1"/>
  <c r="G47" i="45" s="1"/>
  <c r="B54" i="4"/>
  <c r="F52" i="3"/>
  <c r="H52" i="3" s="1"/>
  <c r="B52" i="3"/>
  <c r="I51" i="3"/>
  <c r="H46" i="45"/>
  <c r="F47" i="31"/>
  <c r="G47" i="31" s="1"/>
  <c r="B47" i="31"/>
  <c r="F53" i="6"/>
  <c r="H53" i="6" s="1"/>
  <c r="B53" i="6"/>
  <c r="B51" i="25"/>
  <c r="F51" i="25"/>
  <c r="G51" i="25" s="1"/>
  <c r="G46" i="45"/>
  <c r="H55" i="7"/>
  <c r="I55" i="7" s="1"/>
  <c r="H42" i="41"/>
  <c r="I42" i="41" s="1"/>
  <c r="D56" i="7"/>
  <c r="E56" i="7"/>
  <c r="G43" i="38"/>
  <c r="B50" i="23"/>
  <c r="F50" i="23"/>
  <c r="I43" i="37"/>
  <c r="H43" i="38"/>
  <c r="F43" i="42"/>
  <c r="H43" i="42" s="1"/>
  <c r="B43" i="42"/>
  <c r="G42" i="43"/>
  <c r="I42" i="43" s="1"/>
  <c r="D43" i="43"/>
  <c r="H51" i="22"/>
  <c r="I51" i="22" s="1"/>
  <c r="D52" i="22"/>
  <c r="E52" i="22"/>
  <c r="F42" i="46"/>
  <c r="G42" i="46" s="1"/>
  <c r="B42" i="46"/>
  <c r="D43" i="41"/>
  <c r="E43" i="41"/>
  <c r="B49" i="27"/>
  <c r="F49" i="27"/>
  <c r="G49" i="27" s="1"/>
  <c r="G42" i="40"/>
  <c r="I42" i="40" s="1"/>
  <c r="D43" i="40"/>
  <c r="E43" i="40"/>
  <c r="E44" i="37"/>
  <c r="F44" i="37" s="1"/>
  <c r="B44" i="37"/>
  <c r="G55" i="11"/>
  <c r="D56" i="11"/>
  <c r="E56" i="11"/>
  <c r="E44" i="38"/>
  <c r="F44" i="38" s="1"/>
  <c r="B44" i="38"/>
  <c r="H55" i="11"/>
  <c r="G47" i="29"/>
  <c r="I47" i="29" s="1"/>
  <c r="D48" i="29"/>
  <c r="E48" i="29"/>
  <c r="G43" i="39"/>
  <c r="I43" i="39" s="1"/>
  <c r="D44" i="39"/>
  <c r="E44" i="39"/>
  <c r="G53" i="5" l="1"/>
  <c r="I40" i="50"/>
  <c r="G41" i="52"/>
  <c r="I41" i="52" s="1"/>
  <c r="F56" i="10"/>
  <c r="H56" i="10" s="1"/>
  <c r="F48" i="28"/>
  <c r="H48" i="28" s="1"/>
  <c r="D54" i="5"/>
  <c r="E54" i="5"/>
  <c r="D42" i="52"/>
  <c r="E42" i="52" s="1"/>
  <c r="E41" i="50"/>
  <c r="F41" i="50" s="1"/>
  <c r="B41" i="50"/>
  <c r="I47" i="44"/>
  <c r="F48" i="44"/>
  <c r="B48" i="44"/>
  <c r="F46" i="30"/>
  <c r="H46" i="30" s="1"/>
  <c r="B46" i="30"/>
  <c r="G56" i="10"/>
  <c r="I56" i="10" s="1"/>
  <c r="G54" i="4"/>
  <c r="H54" i="4"/>
  <c r="F50" i="24"/>
  <c r="G50" i="24" s="1"/>
  <c r="F48" i="29"/>
  <c r="G48" i="29" s="1"/>
  <c r="D55" i="4"/>
  <c r="F55" i="4" s="1"/>
  <c r="D56" i="4" s="1"/>
  <c r="G52" i="3"/>
  <c r="I52" i="3" s="1"/>
  <c r="F53" i="8"/>
  <c r="E54" i="8" s="1"/>
  <c r="B54" i="9"/>
  <c r="F54" i="9"/>
  <c r="G54" i="9" s="1"/>
  <c r="B53" i="8"/>
  <c r="I53" i="9"/>
  <c r="I43" i="38"/>
  <c r="D48" i="45"/>
  <c r="B48" i="45" s="1"/>
  <c r="F56" i="11"/>
  <c r="H56" i="11" s="1"/>
  <c r="D53" i="3"/>
  <c r="E53" i="3"/>
  <c r="H47" i="45"/>
  <c r="I47" i="45" s="1"/>
  <c r="I46" i="45"/>
  <c r="D54" i="6"/>
  <c r="E54" i="6"/>
  <c r="G53" i="6"/>
  <c r="I53" i="6" s="1"/>
  <c r="H51" i="25"/>
  <c r="I51" i="25" s="1"/>
  <c r="E52" i="25"/>
  <c r="D52" i="25"/>
  <c r="H47" i="31"/>
  <c r="I47" i="31" s="1"/>
  <c r="D48" i="31"/>
  <c r="E48" i="31"/>
  <c r="F56" i="7"/>
  <c r="H56" i="7" s="1"/>
  <c r="B56" i="7"/>
  <c r="G50" i="23"/>
  <c r="E51" i="23"/>
  <c r="D51" i="23"/>
  <c r="H50" i="23"/>
  <c r="I55" i="11"/>
  <c r="H42" i="46"/>
  <c r="I42" i="46" s="1"/>
  <c r="G44" i="38"/>
  <c r="D45" i="38"/>
  <c r="H44" i="38"/>
  <c r="H44" i="37"/>
  <c r="D45" i="37"/>
  <c r="G44" i="37"/>
  <c r="B44" i="39"/>
  <c r="F44" i="39"/>
  <c r="H44" i="39" s="1"/>
  <c r="F43" i="41"/>
  <c r="H43" i="41" s="1"/>
  <c r="B43" i="41"/>
  <c r="H49" i="27"/>
  <c r="I49" i="27" s="1"/>
  <c r="D50" i="27"/>
  <c r="E50" i="27"/>
  <c r="E48" i="45"/>
  <c r="B56" i="11"/>
  <c r="G43" i="42"/>
  <c r="I43" i="42" s="1"/>
  <c r="D44" i="42"/>
  <c r="E44" i="42"/>
  <c r="E43" i="43"/>
  <c r="F43" i="43" s="1"/>
  <c r="H43" i="43" s="1"/>
  <c r="B43" i="43"/>
  <c r="F52" i="22"/>
  <c r="G52" i="22" s="1"/>
  <c r="D43" i="46"/>
  <c r="E43" i="46"/>
  <c r="B52" i="22"/>
  <c r="F43" i="40"/>
  <c r="H43" i="40" s="1"/>
  <c r="B43" i="40"/>
  <c r="B48" i="29"/>
  <c r="D57" i="10" l="1"/>
  <c r="B57" i="10" s="1"/>
  <c r="E49" i="28"/>
  <c r="E57" i="10"/>
  <c r="F57" i="10" s="1"/>
  <c r="E58" i="10" s="1"/>
  <c r="D42" i="50"/>
  <c r="B42" i="50" s="1"/>
  <c r="G41" i="50"/>
  <c r="D49" i="28"/>
  <c r="B49" i="28" s="1"/>
  <c r="G48" i="28"/>
  <c r="I48" i="28" s="1"/>
  <c r="E42" i="50"/>
  <c r="F42" i="50" s="1"/>
  <c r="B42" i="52"/>
  <c r="F42" i="52"/>
  <c r="D43" i="52" s="1"/>
  <c r="I54" i="4"/>
  <c r="H41" i="50"/>
  <c r="B54" i="5"/>
  <c r="F54" i="5"/>
  <c r="G54" i="5" s="1"/>
  <c r="H50" i="24"/>
  <c r="I50" i="24" s="1"/>
  <c r="G48" i="44"/>
  <c r="D49" i="44"/>
  <c r="H48" i="44"/>
  <c r="E49" i="44"/>
  <c r="G46" i="30"/>
  <c r="I46" i="30" s="1"/>
  <c r="E47" i="30"/>
  <c r="D47" i="30"/>
  <c r="B55" i="4"/>
  <c r="E49" i="29"/>
  <c r="E51" i="24"/>
  <c r="D49" i="29"/>
  <c r="B49" i="29" s="1"/>
  <c r="D51" i="24"/>
  <c r="B51" i="24" s="1"/>
  <c r="H48" i="29"/>
  <c r="I48" i="29" s="1"/>
  <c r="G53" i="8"/>
  <c r="H53" i="8"/>
  <c r="D54" i="8"/>
  <c r="B54" i="8" s="1"/>
  <c r="G56" i="11"/>
  <c r="I56" i="11" s="1"/>
  <c r="H55" i="4"/>
  <c r="F48" i="45"/>
  <c r="G48" i="45" s="1"/>
  <c r="H54" i="9"/>
  <c r="I54" i="9" s="1"/>
  <c r="D57" i="11"/>
  <c r="B57" i="11" s="1"/>
  <c r="E57" i="11"/>
  <c r="E55" i="9"/>
  <c r="D55" i="9"/>
  <c r="G55" i="4"/>
  <c r="F53" i="3"/>
  <c r="B53" i="3"/>
  <c r="B48" i="31"/>
  <c r="F48" i="31"/>
  <c r="G48" i="31" s="1"/>
  <c r="F52" i="25"/>
  <c r="H52" i="25" s="1"/>
  <c r="B52" i="25"/>
  <c r="F54" i="6"/>
  <c r="H54" i="6" s="1"/>
  <c r="B54" i="6"/>
  <c r="I50" i="23"/>
  <c r="G56" i="7"/>
  <c r="I56" i="7" s="1"/>
  <c r="D57" i="7"/>
  <c r="E57" i="7"/>
  <c r="E56" i="4"/>
  <c r="F56" i="4" s="1"/>
  <c r="F51" i="23"/>
  <c r="B51" i="23"/>
  <c r="I44" i="38"/>
  <c r="B56" i="4"/>
  <c r="I44" i="37"/>
  <c r="B43" i="46"/>
  <c r="F43" i="46"/>
  <c r="G43" i="46" s="1"/>
  <c r="E45" i="37"/>
  <c r="F45" i="37" s="1"/>
  <c r="B45" i="37"/>
  <c r="G43" i="43"/>
  <c r="I43" i="43" s="1"/>
  <c r="D44" i="43"/>
  <c r="F50" i="27"/>
  <c r="G43" i="41"/>
  <c r="I43" i="41" s="1"/>
  <c r="D44" i="41"/>
  <c r="E44" i="41"/>
  <c r="B50" i="27"/>
  <c r="G44" i="39"/>
  <c r="I44" i="39" s="1"/>
  <c r="D45" i="39"/>
  <c r="E45" i="38"/>
  <c r="F45" i="38" s="1"/>
  <c r="B45" i="38"/>
  <c r="H52" i="22"/>
  <c r="I52" i="22" s="1"/>
  <c r="D53" i="22"/>
  <c r="E53" i="22"/>
  <c r="G43" i="40"/>
  <c r="I43" i="40" s="1"/>
  <c r="D44" i="40"/>
  <c r="E44" i="40"/>
  <c r="F44" i="42"/>
  <c r="B44" i="42"/>
  <c r="F49" i="28" l="1"/>
  <c r="I41" i="50"/>
  <c r="H42" i="52"/>
  <c r="D43" i="50"/>
  <c r="B43" i="50" s="1"/>
  <c r="H42" i="50"/>
  <c r="G42" i="50"/>
  <c r="H54" i="5"/>
  <c r="E55" i="5"/>
  <c r="D55" i="5"/>
  <c r="E43" i="52"/>
  <c r="B43" i="52"/>
  <c r="F43" i="52"/>
  <c r="H43" i="52" s="1"/>
  <c r="I48" i="44"/>
  <c r="E43" i="50"/>
  <c r="F54" i="8"/>
  <c r="H54" i="8" s="1"/>
  <c r="G42" i="52"/>
  <c r="I42" i="52" s="1"/>
  <c r="B49" i="44"/>
  <c r="F49" i="44"/>
  <c r="F47" i="30"/>
  <c r="G47" i="30" s="1"/>
  <c r="B47" i="30"/>
  <c r="F49" i="29"/>
  <c r="H49" i="29" s="1"/>
  <c r="F51" i="24"/>
  <c r="G51" i="24" s="1"/>
  <c r="H57" i="10"/>
  <c r="G57" i="10"/>
  <c r="D58" i="10"/>
  <c r="I53" i="8"/>
  <c r="I55" i="4"/>
  <c r="H48" i="45"/>
  <c r="I48" i="45" s="1"/>
  <c r="D49" i="45"/>
  <c r="B49" i="45" s="1"/>
  <c r="E49" i="45"/>
  <c r="F57" i="11"/>
  <c r="H57" i="11" s="1"/>
  <c r="F55" i="9"/>
  <c r="H55" i="9" s="1"/>
  <c r="B55" i="9"/>
  <c r="G53" i="3"/>
  <c r="E54" i="3"/>
  <c r="D54" i="3"/>
  <c r="H53" i="3"/>
  <c r="G52" i="25"/>
  <c r="I52" i="25" s="1"/>
  <c r="E53" i="25"/>
  <c r="D53" i="25"/>
  <c r="H48" i="31"/>
  <c r="I48" i="31" s="1"/>
  <c r="D49" i="31"/>
  <c r="E49" i="31"/>
  <c r="D55" i="6"/>
  <c r="E55" i="6"/>
  <c r="G54" i="6"/>
  <c r="I54" i="6" s="1"/>
  <c r="G56" i="4"/>
  <c r="H56" i="4"/>
  <c r="F57" i="7"/>
  <c r="H57" i="7" s="1"/>
  <c r="B57" i="7"/>
  <c r="H51" i="23"/>
  <c r="E52" i="23"/>
  <c r="G51" i="23"/>
  <c r="D52" i="23"/>
  <c r="D57" i="4"/>
  <c r="E57" i="4"/>
  <c r="H45" i="37"/>
  <c r="D46" i="37"/>
  <c r="E46" i="37"/>
  <c r="G45" i="37"/>
  <c r="E44" i="43"/>
  <c r="F44" i="43" s="1"/>
  <c r="B44" i="43"/>
  <c r="G45" i="38"/>
  <c r="D46" i="38"/>
  <c r="E46" i="38"/>
  <c r="G50" i="27"/>
  <c r="D51" i="27"/>
  <c r="E51" i="27"/>
  <c r="H43" i="46"/>
  <c r="I43" i="46" s="1"/>
  <c r="D44" i="46"/>
  <c r="E44" i="46"/>
  <c r="F53" i="22"/>
  <c r="G53" i="22" s="1"/>
  <c r="E45" i="39"/>
  <c r="F45" i="39" s="1"/>
  <c r="B45" i="39"/>
  <c r="H49" i="28"/>
  <c r="D50" i="28"/>
  <c r="E50" i="28"/>
  <c r="B53" i="22"/>
  <c r="H44" i="42"/>
  <c r="D45" i="42"/>
  <c r="G44" i="42"/>
  <c r="B44" i="40"/>
  <c r="F44" i="40"/>
  <c r="G44" i="40" s="1"/>
  <c r="H45" i="38"/>
  <c r="H50" i="27"/>
  <c r="G49" i="28"/>
  <c r="B44" i="41"/>
  <c r="F44" i="41"/>
  <c r="H44" i="41" s="1"/>
  <c r="I42" i="50" l="1"/>
  <c r="D55" i="8"/>
  <c r="F43" i="50"/>
  <c r="H43" i="50" s="1"/>
  <c r="E55" i="8"/>
  <c r="G54" i="8"/>
  <c r="I54" i="8" s="1"/>
  <c r="D44" i="52"/>
  <c r="E44" i="52" s="1"/>
  <c r="B55" i="5"/>
  <c r="F55" i="5"/>
  <c r="G43" i="52"/>
  <c r="I43" i="52" s="1"/>
  <c r="I57" i="10"/>
  <c r="E52" i="24"/>
  <c r="D52" i="24"/>
  <c r="B52" i="24" s="1"/>
  <c r="H51" i="24"/>
  <c r="I51" i="24" s="1"/>
  <c r="G49" i="29"/>
  <c r="I49" i="29" s="1"/>
  <c r="D50" i="29"/>
  <c r="F49" i="45"/>
  <c r="D50" i="45" s="1"/>
  <c r="B50" i="45" s="1"/>
  <c r="E50" i="44"/>
  <c r="D50" i="44"/>
  <c r="E50" i="29"/>
  <c r="H49" i="44"/>
  <c r="G49" i="44"/>
  <c r="H47" i="30"/>
  <c r="I47" i="30" s="1"/>
  <c r="D48" i="30"/>
  <c r="E48" i="30"/>
  <c r="F58" i="10"/>
  <c r="B58" i="10"/>
  <c r="G57" i="11"/>
  <c r="I57" i="11" s="1"/>
  <c r="D58" i="11"/>
  <c r="B58" i="11" s="1"/>
  <c r="G57" i="7"/>
  <c r="I57" i="7" s="1"/>
  <c r="G55" i="9"/>
  <c r="I55" i="9" s="1"/>
  <c r="D56" i="9"/>
  <c r="E56" i="9"/>
  <c r="I56" i="4"/>
  <c r="I53" i="3"/>
  <c r="F54" i="3"/>
  <c r="B54" i="3"/>
  <c r="I45" i="38"/>
  <c r="F49" i="31"/>
  <c r="H49" i="31" s="1"/>
  <c r="B49" i="31"/>
  <c r="B53" i="25"/>
  <c r="F53" i="25"/>
  <c r="G53" i="25" s="1"/>
  <c r="B55" i="6"/>
  <c r="F55" i="6"/>
  <c r="H55" i="6" s="1"/>
  <c r="F51" i="27"/>
  <c r="E52" i="27" s="1"/>
  <c r="I51" i="23"/>
  <c r="E58" i="7"/>
  <c r="D58" i="7"/>
  <c r="I45" i="37"/>
  <c r="B52" i="23"/>
  <c r="I50" i="27"/>
  <c r="F52" i="23"/>
  <c r="H52" i="23" s="1"/>
  <c r="B57" i="4"/>
  <c r="F57" i="4"/>
  <c r="G57" i="4" s="1"/>
  <c r="D45" i="43"/>
  <c r="E45" i="43"/>
  <c r="H44" i="43"/>
  <c r="G44" i="43"/>
  <c r="H45" i="39"/>
  <c r="D46" i="39"/>
  <c r="E46" i="39"/>
  <c r="G45" i="39"/>
  <c r="H53" i="22"/>
  <c r="I53" i="22" s="1"/>
  <c r="D54" i="22"/>
  <c r="E54" i="22"/>
  <c r="F50" i="28"/>
  <c r="H50" i="28" s="1"/>
  <c r="B44" i="46"/>
  <c r="F44" i="46"/>
  <c r="H44" i="46" s="1"/>
  <c r="B50" i="28"/>
  <c r="G44" i="41"/>
  <c r="I44" i="41" s="1"/>
  <c r="D45" i="41"/>
  <c r="E45" i="41"/>
  <c r="I49" i="28"/>
  <c r="H44" i="40"/>
  <c r="I44" i="40" s="1"/>
  <c r="D45" i="40"/>
  <c r="E45" i="40"/>
  <c r="B51" i="27"/>
  <c r="B46" i="37"/>
  <c r="F46" i="37"/>
  <c r="H46" i="37" s="1"/>
  <c r="B46" i="38"/>
  <c r="F46" i="38"/>
  <c r="G46" i="38" s="1"/>
  <c r="I44" i="42"/>
  <c r="E45" i="42"/>
  <c r="F45" i="42" s="1"/>
  <c r="H45" i="42" s="1"/>
  <c r="B45" i="42"/>
  <c r="E58" i="11" l="1"/>
  <c r="E44" i="50"/>
  <c r="D44" i="50"/>
  <c r="B44" i="50" s="1"/>
  <c r="G43" i="50"/>
  <c r="I43" i="50" s="1"/>
  <c r="F52" i="24"/>
  <c r="H52" i="24" s="1"/>
  <c r="F55" i="8"/>
  <c r="G55" i="8" s="1"/>
  <c r="B55" i="8"/>
  <c r="F50" i="29"/>
  <c r="G50" i="29" s="1"/>
  <c r="G55" i="5"/>
  <c r="E56" i="5"/>
  <c r="D56" i="5"/>
  <c r="H55" i="5"/>
  <c r="F44" i="52"/>
  <c r="G44" i="52" s="1"/>
  <c r="B44" i="52"/>
  <c r="E50" i="45"/>
  <c r="F50" i="45" s="1"/>
  <c r="G50" i="45" s="1"/>
  <c r="B50" i="29"/>
  <c r="H49" i="45"/>
  <c r="G49" i="45"/>
  <c r="I49" i="44"/>
  <c r="F50" i="44"/>
  <c r="G50" i="44" s="1"/>
  <c r="B50" i="44"/>
  <c r="B48" i="30"/>
  <c r="F48" i="30"/>
  <c r="H48" i="30" s="1"/>
  <c r="F58" i="11"/>
  <c r="H58" i="11" s="1"/>
  <c r="G58" i="10"/>
  <c r="D59" i="10"/>
  <c r="H58" i="10"/>
  <c r="G55" i="6"/>
  <c r="I55" i="6" s="1"/>
  <c r="F56" i="9"/>
  <c r="G56" i="9" s="1"/>
  <c r="B56" i="9"/>
  <c r="G52" i="24"/>
  <c r="I52" i="24" s="1"/>
  <c r="G54" i="3"/>
  <c r="D55" i="3"/>
  <c r="E55" i="3"/>
  <c r="H54" i="3"/>
  <c r="D52" i="27"/>
  <c r="B52" i="27" s="1"/>
  <c r="H51" i="27"/>
  <c r="H53" i="25"/>
  <c r="I53" i="25" s="1"/>
  <c r="D54" i="25"/>
  <c r="E54" i="25"/>
  <c r="G51" i="27"/>
  <c r="D56" i="6"/>
  <c r="E56" i="6"/>
  <c r="G49" i="31"/>
  <c r="I49" i="31" s="1"/>
  <c r="D50" i="31"/>
  <c r="E50" i="31"/>
  <c r="F58" i="7"/>
  <c r="H58" i="7" s="1"/>
  <c r="B58" i="7"/>
  <c r="G52" i="23"/>
  <c r="I52" i="23" s="1"/>
  <c r="D53" i="23"/>
  <c r="E53" i="23"/>
  <c r="D58" i="4"/>
  <c r="E58" i="4" s="1"/>
  <c r="H57" i="4"/>
  <c r="I57" i="4" s="1"/>
  <c r="F45" i="40"/>
  <c r="H45" i="40" s="1"/>
  <c r="B45" i="40"/>
  <c r="G46" i="37"/>
  <c r="I46" i="37" s="1"/>
  <c r="D47" i="37"/>
  <c r="G50" i="28"/>
  <c r="I50" i="28" s="1"/>
  <c r="D51" i="28"/>
  <c r="E51" i="28"/>
  <c r="I44" i="43"/>
  <c r="F46" i="39"/>
  <c r="H46" i="39" s="1"/>
  <c r="B46" i="39"/>
  <c r="H46" i="38"/>
  <c r="I46" i="38" s="1"/>
  <c r="D47" i="38"/>
  <c r="E47" i="38"/>
  <c r="B45" i="41"/>
  <c r="F45" i="41"/>
  <c r="H45" i="41" s="1"/>
  <c r="F54" i="22"/>
  <c r="G54" i="22" s="1"/>
  <c r="B54" i="22"/>
  <c r="G45" i="42"/>
  <c r="I45" i="42" s="1"/>
  <c r="D46" i="42"/>
  <c r="E46" i="42"/>
  <c r="G44" i="46"/>
  <c r="I44" i="46" s="1"/>
  <c r="D45" i="46"/>
  <c r="E45" i="46"/>
  <c r="F45" i="43"/>
  <c r="H45" i="43" s="1"/>
  <c r="B45" i="43"/>
  <c r="I45" i="39"/>
  <c r="E56" i="8" l="1"/>
  <c r="H55" i="8"/>
  <c r="I55" i="8" s="1"/>
  <c r="D53" i="24"/>
  <c r="B53" i="24" s="1"/>
  <c r="D56" i="8"/>
  <c r="F56" i="8" s="1"/>
  <c r="H56" i="8" s="1"/>
  <c r="D51" i="29"/>
  <c r="B51" i="29" s="1"/>
  <c r="F44" i="50"/>
  <c r="I49" i="45"/>
  <c r="E53" i="24"/>
  <c r="F53" i="24" s="1"/>
  <c r="H53" i="24" s="1"/>
  <c r="H50" i="44"/>
  <c r="I50" i="44" s="1"/>
  <c r="D59" i="11"/>
  <c r="E59" i="11" s="1"/>
  <c r="G58" i="11"/>
  <c r="I58" i="11" s="1"/>
  <c r="E51" i="29"/>
  <c r="I54" i="3"/>
  <c r="H50" i="29"/>
  <c r="I50" i="29" s="1"/>
  <c r="H44" i="52"/>
  <c r="I44" i="52" s="1"/>
  <c r="D45" i="52"/>
  <c r="D51" i="45"/>
  <c r="B51" i="45" s="1"/>
  <c r="B56" i="5"/>
  <c r="F56" i="5"/>
  <c r="G56" i="5" s="1"/>
  <c r="H50" i="45"/>
  <c r="I50" i="45" s="1"/>
  <c r="G48" i="30"/>
  <c r="I48" i="30" s="1"/>
  <c r="D51" i="44"/>
  <c r="E51" i="44"/>
  <c r="E49" i="30"/>
  <c r="D49" i="30"/>
  <c r="I58" i="10"/>
  <c r="H56" i="9"/>
  <c r="I56" i="9" s="1"/>
  <c r="E59" i="10"/>
  <c r="F59" i="10" s="1"/>
  <c r="G59" i="10" s="1"/>
  <c r="B59" i="10"/>
  <c r="F50" i="31"/>
  <c r="H50" i="31" s="1"/>
  <c r="I51" i="27"/>
  <c r="D57" i="9"/>
  <c r="E57" i="9"/>
  <c r="F55" i="3"/>
  <c r="B55" i="3"/>
  <c r="G58" i="7"/>
  <c r="I58" i="7" s="1"/>
  <c r="F52" i="27"/>
  <c r="G52" i="27" s="1"/>
  <c r="B50" i="31"/>
  <c r="F56" i="6"/>
  <c r="G56" i="6" s="1"/>
  <c r="B56" i="6"/>
  <c r="B54" i="25"/>
  <c r="F54" i="25"/>
  <c r="H54" i="25" s="1"/>
  <c r="D59" i="7"/>
  <c r="E59" i="7" s="1"/>
  <c r="F53" i="23"/>
  <c r="G53" i="23" s="1"/>
  <c r="B53" i="23"/>
  <c r="B58" i="4"/>
  <c r="F58" i="4"/>
  <c r="G58" i="4" s="1"/>
  <c r="B46" i="42"/>
  <c r="F46" i="42"/>
  <c r="G46" i="42" s="1"/>
  <c r="D46" i="41"/>
  <c r="E46" i="41"/>
  <c r="B45" i="46"/>
  <c r="F45" i="46"/>
  <c r="H54" i="22"/>
  <c r="I54" i="22" s="1"/>
  <c r="D55" i="22"/>
  <c r="E55" i="22"/>
  <c r="F47" i="38"/>
  <c r="D48" i="38" s="1"/>
  <c r="B47" i="38"/>
  <c r="E47" i="37"/>
  <c r="F47" i="37" s="1"/>
  <c r="B47" i="37"/>
  <c r="F59" i="11"/>
  <c r="H59" i="11" s="1"/>
  <c r="E51" i="45"/>
  <c r="G45" i="40"/>
  <c r="I45" i="40" s="1"/>
  <c r="D46" i="40"/>
  <c r="E46" i="40"/>
  <c r="G45" i="43"/>
  <c r="I45" i="43" s="1"/>
  <c r="D46" i="43"/>
  <c r="G46" i="39"/>
  <c r="I46" i="39" s="1"/>
  <c r="F51" i="28"/>
  <c r="G51" i="28" s="1"/>
  <c r="B51" i="28"/>
  <c r="D47" i="39"/>
  <c r="E47" i="39"/>
  <c r="G45" i="41"/>
  <c r="I45" i="41" s="1"/>
  <c r="B56" i="8" l="1"/>
  <c r="F51" i="29"/>
  <c r="H51" i="29" s="1"/>
  <c r="D45" i="50"/>
  <c r="G44" i="50"/>
  <c r="H44" i="50"/>
  <c r="E45" i="50"/>
  <c r="F45" i="50" s="1"/>
  <c r="D46" i="50" s="1"/>
  <c r="B46" i="50" s="1"/>
  <c r="F51" i="45"/>
  <c r="G51" i="45" s="1"/>
  <c r="B59" i="11"/>
  <c r="E45" i="52"/>
  <c r="F45" i="52" s="1"/>
  <c r="B45" i="52"/>
  <c r="H56" i="5"/>
  <c r="E57" i="5"/>
  <c r="D57" i="5"/>
  <c r="D52" i="29"/>
  <c r="B52" i="29" s="1"/>
  <c r="H59" i="10"/>
  <c r="I59" i="10" s="1"/>
  <c r="D54" i="24"/>
  <c r="B54" i="24" s="1"/>
  <c r="G53" i="24"/>
  <c r="I53" i="24" s="1"/>
  <c r="F51" i="44"/>
  <c r="G51" i="44" s="1"/>
  <c r="B51" i="44"/>
  <c r="E54" i="24"/>
  <c r="E52" i="29"/>
  <c r="F49" i="30"/>
  <c r="H49" i="30" s="1"/>
  <c r="B49" i="30"/>
  <c r="G50" i="31"/>
  <c r="I50" i="31" s="1"/>
  <c r="E51" i="31"/>
  <c r="D60" i="10"/>
  <c r="E60" i="10" s="1"/>
  <c r="F60" i="10" s="1"/>
  <c r="D51" i="31"/>
  <c r="B51" i="31" s="1"/>
  <c r="F57" i="9"/>
  <c r="D58" i="9" s="1"/>
  <c r="G54" i="25"/>
  <c r="I54" i="25" s="1"/>
  <c r="B57" i="9"/>
  <c r="G56" i="8"/>
  <c r="I56" i="8" s="1"/>
  <c r="D57" i="8"/>
  <c r="E57" i="8"/>
  <c r="E53" i="27"/>
  <c r="D53" i="27"/>
  <c r="H52" i="27"/>
  <c r="I52" i="27" s="1"/>
  <c r="H58" i="4"/>
  <c r="I58" i="4" s="1"/>
  <c r="G55" i="3"/>
  <c r="D56" i="3"/>
  <c r="E56" i="3"/>
  <c r="H55" i="3"/>
  <c r="H53" i="23"/>
  <c r="I53" i="23" s="1"/>
  <c r="D55" i="25"/>
  <c r="E55" i="25"/>
  <c r="D57" i="6"/>
  <c r="E57" i="6"/>
  <c r="H56" i="6"/>
  <c r="I56" i="6" s="1"/>
  <c r="F59" i="7"/>
  <c r="G59" i="7" s="1"/>
  <c r="B59" i="7"/>
  <c r="G47" i="38"/>
  <c r="E54" i="23"/>
  <c r="D54" i="23"/>
  <c r="D59" i="4"/>
  <c r="E59" i="4" s="1"/>
  <c r="H47" i="37"/>
  <c r="D48" i="37"/>
  <c r="G47" i="37"/>
  <c r="H45" i="46"/>
  <c r="D46" i="46"/>
  <c r="E46" i="46"/>
  <c r="F46" i="41"/>
  <c r="H46" i="41" s="1"/>
  <c r="B46" i="41"/>
  <c r="F47" i="39"/>
  <c r="B47" i="39"/>
  <c r="G59" i="11"/>
  <c r="I59" i="11" s="1"/>
  <c r="D60" i="11"/>
  <c r="E60" i="11" s="1"/>
  <c r="F60" i="11" s="1"/>
  <c r="H46" i="42"/>
  <c r="I46" i="42" s="1"/>
  <c r="D47" i="42"/>
  <c r="E47" i="42"/>
  <c r="E48" i="38"/>
  <c r="F48" i="38" s="1"/>
  <c r="B48" i="38"/>
  <c r="H51" i="28"/>
  <c r="I51" i="28" s="1"/>
  <c r="D52" i="28"/>
  <c r="E52" i="28"/>
  <c r="E46" i="43"/>
  <c r="F46" i="43" s="1"/>
  <c r="H46" i="43" s="1"/>
  <c r="B46" i="43"/>
  <c r="F55" i="22"/>
  <c r="G55" i="22" s="1"/>
  <c r="B55" i="22"/>
  <c r="B46" i="40"/>
  <c r="F46" i="40"/>
  <c r="H46" i="40" s="1"/>
  <c r="H47" i="38"/>
  <c r="G45" i="46"/>
  <c r="F52" i="29" l="1"/>
  <c r="H52" i="29" s="1"/>
  <c r="G51" i="29"/>
  <c r="I51" i="29" s="1"/>
  <c r="I44" i="50"/>
  <c r="D52" i="45"/>
  <c r="H51" i="45"/>
  <c r="E46" i="50"/>
  <c r="F46" i="50" s="1"/>
  <c r="G46" i="50" s="1"/>
  <c r="B45" i="50"/>
  <c r="G45" i="50"/>
  <c r="H45" i="50"/>
  <c r="D46" i="52"/>
  <c r="E46" i="52" s="1"/>
  <c r="H45" i="52"/>
  <c r="F54" i="24"/>
  <c r="H54" i="24" s="1"/>
  <c r="B57" i="5"/>
  <c r="F57" i="5"/>
  <c r="G45" i="52"/>
  <c r="H51" i="44"/>
  <c r="I51" i="44" s="1"/>
  <c r="E52" i="44"/>
  <c r="D52" i="44"/>
  <c r="F53" i="27"/>
  <c r="G53" i="27" s="1"/>
  <c r="G49" i="30"/>
  <c r="I49" i="30" s="1"/>
  <c r="D50" i="30"/>
  <c r="E50" i="30"/>
  <c r="F51" i="31"/>
  <c r="H51" i="31" s="1"/>
  <c r="B53" i="27"/>
  <c r="D61" i="10"/>
  <c r="E61" i="10" s="1"/>
  <c r="F61" i="10" s="1"/>
  <c r="B60" i="10"/>
  <c r="H60" i="10"/>
  <c r="G60" i="10"/>
  <c r="H57" i="9"/>
  <c r="E58" i="9"/>
  <c r="F58" i="9" s="1"/>
  <c r="G58" i="9" s="1"/>
  <c r="G57" i="9"/>
  <c r="F57" i="8"/>
  <c r="H57" i="8" s="1"/>
  <c r="B57" i="8"/>
  <c r="B58" i="9"/>
  <c r="F56" i="3"/>
  <c r="H56" i="3" s="1"/>
  <c r="B56" i="3"/>
  <c r="I55" i="3"/>
  <c r="I51" i="45"/>
  <c r="F55" i="25"/>
  <c r="G55" i="25" s="1"/>
  <c r="B55" i="25"/>
  <c r="G46" i="40"/>
  <c r="I46" i="40" s="1"/>
  <c r="F57" i="6"/>
  <c r="H57" i="6" s="1"/>
  <c r="B57" i="6"/>
  <c r="D60" i="7"/>
  <c r="E60" i="7" s="1"/>
  <c r="F60" i="7" s="1"/>
  <c r="F46" i="46"/>
  <c r="E47" i="46" s="1"/>
  <c r="H59" i="7"/>
  <c r="I59" i="7" s="1"/>
  <c r="I45" i="46"/>
  <c r="I47" i="38"/>
  <c r="F54" i="23"/>
  <c r="H54" i="23" s="1"/>
  <c r="B54" i="23"/>
  <c r="B59" i="4"/>
  <c r="F59" i="4"/>
  <c r="H59" i="4" s="1"/>
  <c r="I47" i="37"/>
  <c r="H48" i="38"/>
  <c r="D49" i="38"/>
  <c r="G48" i="38"/>
  <c r="E52" i="45"/>
  <c r="F52" i="45" s="1"/>
  <c r="B52" i="45"/>
  <c r="B47" i="42"/>
  <c r="F47" i="42"/>
  <c r="H47" i="42" s="1"/>
  <c r="G52" i="29"/>
  <c r="I52" i="29" s="1"/>
  <c r="D53" i="29"/>
  <c r="E53" i="29"/>
  <c r="G46" i="43"/>
  <c r="I46" i="43" s="1"/>
  <c r="D47" i="43"/>
  <c r="E47" i="43"/>
  <c r="G60" i="11"/>
  <c r="D61" i="11"/>
  <c r="G46" i="41"/>
  <c r="I46" i="41" s="1"/>
  <c r="D47" i="41"/>
  <c r="B46" i="46"/>
  <c r="B60" i="11"/>
  <c r="H60" i="11"/>
  <c r="H47" i="39"/>
  <c r="D48" i="39"/>
  <c r="E48" i="39"/>
  <c r="H55" i="22"/>
  <c r="I55" i="22" s="1"/>
  <c r="D56" i="22"/>
  <c r="E56" i="22"/>
  <c r="E48" i="37"/>
  <c r="F48" i="37" s="1"/>
  <c r="B48" i="37"/>
  <c r="D47" i="40"/>
  <c r="E47" i="40"/>
  <c r="F52" i="28"/>
  <c r="B52" i="28"/>
  <c r="G47" i="39"/>
  <c r="I45" i="52" l="1"/>
  <c r="H46" i="50"/>
  <c r="I46" i="50" s="1"/>
  <c r="E47" i="50"/>
  <c r="D47" i="50"/>
  <c r="I45" i="50"/>
  <c r="F46" i="52"/>
  <c r="D47" i="52" s="1"/>
  <c r="G46" i="52"/>
  <c r="B46" i="52"/>
  <c r="D55" i="24"/>
  <c r="B55" i="24" s="1"/>
  <c r="E55" i="24"/>
  <c r="G54" i="24"/>
  <c r="I54" i="24" s="1"/>
  <c r="G57" i="5"/>
  <c r="D58" i="5"/>
  <c r="H46" i="52"/>
  <c r="F47" i="50"/>
  <c r="H47" i="50" s="1"/>
  <c r="B47" i="50"/>
  <c r="H57" i="5"/>
  <c r="E52" i="31"/>
  <c r="D54" i="27"/>
  <c r="E54" i="27" s="1"/>
  <c r="H53" i="27"/>
  <c r="I53" i="27" s="1"/>
  <c r="D52" i="31"/>
  <c r="F52" i="44"/>
  <c r="G52" i="44" s="1"/>
  <c r="B52" i="44"/>
  <c r="G51" i="31"/>
  <c r="I51" i="31" s="1"/>
  <c r="B50" i="30"/>
  <c r="F50" i="30"/>
  <c r="G50" i="30" s="1"/>
  <c r="I57" i="9"/>
  <c r="D62" i="10"/>
  <c r="B62" i="10" s="1"/>
  <c r="I60" i="10"/>
  <c r="B61" i="10"/>
  <c r="G61" i="10"/>
  <c r="H61" i="10"/>
  <c r="G57" i="8"/>
  <c r="I57" i="8" s="1"/>
  <c r="H58" i="9"/>
  <c r="I58" i="9" s="1"/>
  <c r="D59" i="9"/>
  <c r="D58" i="8"/>
  <c r="E58" i="8" s="1"/>
  <c r="G46" i="46"/>
  <c r="H46" i="46"/>
  <c r="D47" i="46"/>
  <c r="F47" i="46" s="1"/>
  <c r="H47" i="46" s="1"/>
  <c r="I47" i="39"/>
  <c r="G56" i="3"/>
  <c r="I56" i="3" s="1"/>
  <c r="E57" i="3"/>
  <c r="D57" i="3"/>
  <c r="G57" i="6"/>
  <c r="I57" i="6" s="1"/>
  <c r="D58" i="6"/>
  <c r="E58" i="6" s="1"/>
  <c r="I60" i="11"/>
  <c r="H55" i="25"/>
  <c r="I55" i="25" s="1"/>
  <c r="D56" i="25"/>
  <c r="E56" i="25"/>
  <c r="G59" i="4"/>
  <c r="I59" i="4" s="1"/>
  <c r="G60" i="7"/>
  <c r="D61" i="7"/>
  <c r="E61" i="7" s="1"/>
  <c r="F61" i="7" s="1"/>
  <c r="D62" i="7" s="1"/>
  <c r="B60" i="7"/>
  <c r="H60" i="7"/>
  <c r="G54" i="23"/>
  <c r="I54" i="23" s="1"/>
  <c r="D55" i="23"/>
  <c r="E55" i="23"/>
  <c r="I48" i="38"/>
  <c r="D60" i="4"/>
  <c r="E60" i="4" s="1"/>
  <c r="F60" i="4" s="1"/>
  <c r="G48" i="37"/>
  <c r="D49" i="37"/>
  <c r="E49" i="37"/>
  <c r="H48" i="37"/>
  <c r="G52" i="45"/>
  <c r="D53" i="45"/>
  <c r="H52" i="45"/>
  <c r="E49" i="38"/>
  <c r="F49" i="38" s="1"/>
  <c r="G49" i="38" s="1"/>
  <c r="B49" i="38"/>
  <c r="G52" i="28"/>
  <c r="D53" i="28"/>
  <c r="E53" i="28"/>
  <c r="F47" i="40"/>
  <c r="B47" i="40"/>
  <c r="F53" i="29"/>
  <c r="B53" i="29"/>
  <c r="E47" i="41"/>
  <c r="F47" i="41" s="1"/>
  <c r="B47" i="41"/>
  <c r="B47" i="43"/>
  <c r="F47" i="43"/>
  <c r="H47" i="43" s="1"/>
  <c r="H52" i="28"/>
  <c r="E61" i="11"/>
  <c r="F61" i="11" s="1"/>
  <c r="B61" i="11"/>
  <c r="G47" i="42"/>
  <c r="I47" i="42" s="1"/>
  <c r="D48" i="42"/>
  <c r="E48" i="42"/>
  <c r="B48" i="39"/>
  <c r="F48" i="39"/>
  <c r="G48" i="39" s="1"/>
  <c r="B56" i="22"/>
  <c r="F56" i="22"/>
  <c r="G56" i="22" s="1"/>
  <c r="I46" i="52" l="1"/>
  <c r="F55" i="24"/>
  <c r="H55" i="24" s="1"/>
  <c r="B54" i="27"/>
  <c r="F54" i="27"/>
  <c r="F52" i="31"/>
  <c r="G52" i="31" s="1"/>
  <c r="E47" i="52"/>
  <c r="F47" i="52" s="1"/>
  <c r="H47" i="52" s="1"/>
  <c r="B47" i="52"/>
  <c r="D48" i="50"/>
  <c r="E48" i="50"/>
  <c r="E58" i="5"/>
  <c r="F58" i="5" s="1"/>
  <c r="B58" i="5"/>
  <c r="G47" i="50"/>
  <c r="I47" i="50" s="1"/>
  <c r="B52" i="31"/>
  <c r="E62" i="10"/>
  <c r="F62" i="10" s="1"/>
  <c r="G62" i="10" s="1"/>
  <c r="H52" i="44"/>
  <c r="I52" i="44" s="1"/>
  <c r="D53" i="44"/>
  <c r="E53" i="44"/>
  <c r="H50" i="30"/>
  <c r="I50" i="30" s="1"/>
  <c r="I61" i="10"/>
  <c r="D51" i="30"/>
  <c r="E51" i="30"/>
  <c r="I46" i="46"/>
  <c r="B47" i="46"/>
  <c r="E59" i="9"/>
  <c r="F59" i="9" s="1"/>
  <c r="H59" i="9" s="1"/>
  <c r="B59" i="9"/>
  <c r="F58" i="8"/>
  <c r="D59" i="8" s="1"/>
  <c r="B58" i="8"/>
  <c r="G47" i="43"/>
  <c r="I47" i="43" s="1"/>
  <c r="B57" i="3"/>
  <c r="F57" i="3"/>
  <c r="H57" i="3" s="1"/>
  <c r="I60" i="7"/>
  <c r="E56" i="24"/>
  <c r="D56" i="24"/>
  <c r="B58" i="6"/>
  <c r="F58" i="6"/>
  <c r="G58" i="6" s="1"/>
  <c r="B56" i="25"/>
  <c r="F56" i="25"/>
  <c r="H56" i="25" s="1"/>
  <c r="E62" i="7"/>
  <c r="F62" i="7" s="1"/>
  <c r="D63" i="7" s="1"/>
  <c r="B62" i="7"/>
  <c r="B61" i="7"/>
  <c r="H61" i="7"/>
  <c r="G61" i="7"/>
  <c r="G47" i="46"/>
  <c r="I47" i="46" s="1"/>
  <c r="I52" i="45"/>
  <c r="B55" i="23"/>
  <c r="F55" i="23"/>
  <c r="H55" i="23" s="1"/>
  <c r="B60" i="4"/>
  <c r="G60" i="4"/>
  <c r="H60" i="4"/>
  <c r="D61" i="4"/>
  <c r="E61" i="4" s="1"/>
  <c r="H47" i="41"/>
  <c r="D48" i="41"/>
  <c r="E48" i="41"/>
  <c r="G47" i="41"/>
  <c r="H61" i="11"/>
  <c r="D62" i="11"/>
  <c r="E62" i="11" s="1"/>
  <c r="F62" i="11" s="1"/>
  <c r="G61" i="11"/>
  <c r="F49" i="37"/>
  <c r="G49" i="37" s="1"/>
  <c r="B49" i="37"/>
  <c r="H53" i="29"/>
  <c r="D54" i="29"/>
  <c r="E54" i="29"/>
  <c r="G47" i="40"/>
  <c r="D48" i="40"/>
  <c r="H56" i="22"/>
  <c r="I56" i="22" s="1"/>
  <c r="D57" i="22"/>
  <c r="E57" i="22" s="1"/>
  <c r="G54" i="27"/>
  <c r="D55" i="27"/>
  <c r="E55" i="27" s="1"/>
  <c r="F55" i="27" s="1"/>
  <c r="I52" i="28"/>
  <c r="D48" i="43"/>
  <c r="E48" i="43"/>
  <c r="H47" i="40"/>
  <c r="H54" i="27"/>
  <c r="I48" i="37"/>
  <c r="H48" i="39"/>
  <c r="I48" i="39" s="1"/>
  <c r="D49" i="39"/>
  <c r="E49" i="39"/>
  <c r="H49" i="38"/>
  <c r="I49" i="38" s="1"/>
  <c r="D50" i="38"/>
  <c r="E50" i="38"/>
  <c r="E53" i="45"/>
  <c r="F53" i="45" s="1"/>
  <c r="B53" i="45"/>
  <c r="F48" i="42"/>
  <c r="D49" i="42" s="1"/>
  <c r="B48" i="42"/>
  <c r="G53" i="29"/>
  <c r="D48" i="46"/>
  <c r="E48" i="46"/>
  <c r="B53" i="28"/>
  <c r="F53" i="28"/>
  <c r="G53" i="28" s="1"/>
  <c r="E53" i="31" l="1"/>
  <c r="H62" i="10"/>
  <c r="I62" i="10" s="1"/>
  <c r="G55" i="24"/>
  <c r="I55" i="24" s="1"/>
  <c r="F48" i="50"/>
  <c r="D49" i="50" s="1"/>
  <c r="B49" i="50" s="1"/>
  <c r="D53" i="31"/>
  <c r="B53" i="31" s="1"/>
  <c r="H52" i="31"/>
  <c r="I52" i="31" s="1"/>
  <c r="G58" i="5"/>
  <c r="D59" i="5"/>
  <c r="H58" i="5"/>
  <c r="B48" i="50"/>
  <c r="G47" i="52"/>
  <c r="I47" i="52" s="1"/>
  <c r="D48" i="52"/>
  <c r="D63" i="10"/>
  <c r="E63" i="10" s="1"/>
  <c r="F63" i="10" s="1"/>
  <c r="D64" i="10" s="1"/>
  <c r="E64" i="10" s="1"/>
  <c r="F64" i="10" s="1"/>
  <c r="D65" i="10" s="1"/>
  <c r="E65" i="10" s="1"/>
  <c r="F65" i="10" s="1"/>
  <c r="F53" i="44"/>
  <c r="G53" i="44" s="1"/>
  <c r="B53" i="44"/>
  <c r="F51" i="30"/>
  <c r="H51" i="30" s="1"/>
  <c r="B51" i="30"/>
  <c r="H58" i="8"/>
  <c r="G58" i="8"/>
  <c r="E59" i="8"/>
  <c r="F59" i="8" s="1"/>
  <c r="D60" i="8" s="1"/>
  <c r="B59" i="8"/>
  <c r="G59" i="9"/>
  <c r="I59" i="9" s="1"/>
  <c r="D60" i="9"/>
  <c r="B56" i="24"/>
  <c r="F56" i="24"/>
  <c r="G56" i="24" s="1"/>
  <c r="G57" i="3"/>
  <c r="I57" i="3" s="1"/>
  <c r="D58" i="3"/>
  <c r="E58" i="3"/>
  <c r="G56" i="25"/>
  <c r="I56" i="25" s="1"/>
  <c r="D57" i="25"/>
  <c r="E57" i="25"/>
  <c r="G62" i="7"/>
  <c r="H62" i="7"/>
  <c r="H58" i="6"/>
  <c r="I58" i="6" s="1"/>
  <c r="D59" i="6"/>
  <c r="G55" i="23"/>
  <c r="I55" i="23" s="1"/>
  <c r="I61" i="7"/>
  <c r="E63" i="7"/>
  <c r="F63" i="7" s="1"/>
  <c r="D64" i="7" s="1"/>
  <c r="B63" i="7"/>
  <c r="E56" i="23"/>
  <c r="D56" i="23"/>
  <c r="G48" i="42"/>
  <c r="B61" i="4"/>
  <c r="F61" i="4"/>
  <c r="G61" i="4" s="1"/>
  <c r="I47" i="40"/>
  <c r="I60" i="4"/>
  <c r="G53" i="45"/>
  <c r="D54" i="45"/>
  <c r="H53" i="45"/>
  <c r="H62" i="11"/>
  <c r="D63" i="11"/>
  <c r="E63" i="11" s="1"/>
  <c r="F63" i="11" s="1"/>
  <c r="H55" i="27"/>
  <c r="D56" i="27"/>
  <c r="E56" i="27" s="1"/>
  <c r="H53" i="28"/>
  <c r="I53" i="28" s="1"/>
  <c r="D54" i="28"/>
  <c r="E54" i="28"/>
  <c r="H48" i="42"/>
  <c r="B55" i="27"/>
  <c r="G55" i="27"/>
  <c r="E49" i="42"/>
  <c r="F49" i="42" s="1"/>
  <c r="B49" i="42"/>
  <c r="B48" i="43"/>
  <c r="F48" i="43"/>
  <c r="G48" i="43" s="1"/>
  <c r="B54" i="29"/>
  <c r="F54" i="29"/>
  <c r="G54" i="29" s="1"/>
  <c r="I61" i="11"/>
  <c r="B62" i="11"/>
  <c r="G62" i="11"/>
  <c r="F48" i="46"/>
  <c r="B48" i="46"/>
  <c r="B49" i="39"/>
  <c r="F49" i="39"/>
  <c r="H49" i="39" s="1"/>
  <c r="I53" i="29"/>
  <c r="I47" i="41"/>
  <c r="F57" i="22"/>
  <c r="G57" i="22" s="1"/>
  <c r="E48" i="40"/>
  <c r="F48" i="40" s="1"/>
  <c r="B48" i="40"/>
  <c r="B57" i="22"/>
  <c r="B48" i="41"/>
  <c r="F48" i="41"/>
  <c r="G48" i="41" s="1"/>
  <c r="B50" i="38"/>
  <c r="F50" i="38"/>
  <c r="H50" i="38" s="1"/>
  <c r="I54" i="27"/>
  <c r="H49" i="37"/>
  <c r="I49" i="37" s="1"/>
  <c r="D50" i="37"/>
  <c r="E50" i="37"/>
  <c r="G48" i="50" l="1"/>
  <c r="F53" i="31"/>
  <c r="G53" i="31" s="1"/>
  <c r="H48" i="50"/>
  <c r="B64" i="10"/>
  <c r="E49" i="50"/>
  <c r="F49" i="50" s="1"/>
  <c r="H49" i="50" s="1"/>
  <c r="B63" i="10"/>
  <c r="H64" i="10"/>
  <c r="G63" i="10"/>
  <c r="E48" i="52"/>
  <c r="F48" i="52" s="1"/>
  <c r="B48" i="52"/>
  <c r="G64" i="10"/>
  <c r="H53" i="44"/>
  <c r="I53" i="44" s="1"/>
  <c r="E59" i="5"/>
  <c r="F59" i="5" s="1"/>
  <c r="H59" i="5" s="1"/>
  <c r="B59" i="5"/>
  <c r="H63" i="10"/>
  <c r="I48" i="50"/>
  <c r="D54" i="44"/>
  <c r="E54" i="44"/>
  <c r="G51" i="30"/>
  <c r="I51" i="30" s="1"/>
  <c r="D52" i="30"/>
  <c r="E52" i="30"/>
  <c r="G59" i="8"/>
  <c r="I58" i="8"/>
  <c r="H59" i="8"/>
  <c r="E60" i="9"/>
  <c r="F60" i="9" s="1"/>
  <c r="H60" i="9" s="1"/>
  <c r="B60" i="9"/>
  <c r="E60" i="8"/>
  <c r="F60" i="8" s="1"/>
  <c r="H60" i="8" s="1"/>
  <c r="B60" i="8"/>
  <c r="I62" i="7"/>
  <c r="F58" i="3"/>
  <c r="B58" i="3"/>
  <c r="E57" i="24"/>
  <c r="D57" i="24"/>
  <c r="H56" i="24"/>
  <c r="I56" i="24" s="1"/>
  <c r="I48" i="42"/>
  <c r="D54" i="31"/>
  <c r="E54" i="31"/>
  <c r="E59" i="6"/>
  <c r="F59" i="6" s="1"/>
  <c r="D60" i="6" s="1"/>
  <c r="B59" i="6"/>
  <c r="F57" i="25"/>
  <c r="G57" i="25" s="1"/>
  <c r="B57" i="25"/>
  <c r="H53" i="31"/>
  <c r="I53" i="31" s="1"/>
  <c r="G63" i="7"/>
  <c r="F54" i="28"/>
  <c r="H54" i="28" s="1"/>
  <c r="H63" i="7"/>
  <c r="E64" i="7"/>
  <c r="F64" i="7" s="1"/>
  <c r="H64" i="7" s="1"/>
  <c r="B64" i="7"/>
  <c r="B56" i="23"/>
  <c r="F56" i="23"/>
  <c r="G56" i="23" s="1"/>
  <c r="G49" i="42"/>
  <c r="H49" i="42"/>
  <c r="D62" i="4"/>
  <c r="G49" i="39"/>
  <c r="I49" i="39" s="1"/>
  <c r="H61" i="4"/>
  <c r="I61" i="4" s="1"/>
  <c r="G48" i="40"/>
  <c r="D49" i="40"/>
  <c r="E49" i="40"/>
  <c r="H48" i="40"/>
  <c r="H65" i="10"/>
  <c r="D66" i="10"/>
  <c r="E66" i="10" s="1"/>
  <c r="F66" i="10" s="1"/>
  <c r="G50" i="38"/>
  <c r="I50" i="38" s="1"/>
  <c r="D51" i="38"/>
  <c r="B54" i="28"/>
  <c r="B63" i="11"/>
  <c r="H63" i="11"/>
  <c r="D49" i="46"/>
  <c r="E49" i="46"/>
  <c r="G63" i="11"/>
  <c r="D64" i="11"/>
  <c r="E64" i="11" s="1"/>
  <c r="F64" i="11" s="1"/>
  <c r="D50" i="39"/>
  <c r="E50" i="39"/>
  <c r="I62" i="11"/>
  <c r="H48" i="43"/>
  <c r="I48" i="43" s="1"/>
  <c r="D49" i="43"/>
  <c r="E49" i="43"/>
  <c r="F50" i="37"/>
  <c r="G50" i="37" s="1"/>
  <c r="B50" i="37"/>
  <c r="I53" i="45"/>
  <c r="H48" i="41"/>
  <c r="I48" i="41" s="1"/>
  <c r="D49" i="41"/>
  <c r="E49" i="41"/>
  <c r="G48" i="46"/>
  <c r="H54" i="29"/>
  <c r="I54" i="29" s="1"/>
  <c r="D55" i="29"/>
  <c r="E55" i="29"/>
  <c r="D50" i="42"/>
  <c r="E50" i="42"/>
  <c r="F56" i="27"/>
  <c r="G56" i="27" s="1"/>
  <c r="E54" i="45"/>
  <c r="F54" i="45" s="1"/>
  <c r="B54" i="45"/>
  <c r="B65" i="10"/>
  <c r="G65" i="10"/>
  <c r="H57" i="22"/>
  <c r="I57" i="22" s="1"/>
  <c r="D58" i="22"/>
  <c r="E58" i="22" s="1"/>
  <c r="H48" i="46"/>
  <c r="B56" i="27"/>
  <c r="I55" i="27"/>
  <c r="E50" i="50" l="1"/>
  <c r="D50" i="50"/>
  <c r="I63" i="10"/>
  <c r="G49" i="50"/>
  <c r="I49" i="50" s="1"/>
  <c r="I64" i="10"/>
  <c r="F50" i="50"/>
  <c r="E51" i="50" s="1"/>
  <c r="G48" i="52"/>
  <c r="D49" i="52"/>
  <c r="E49" i="52" s="1"/>
  <c r="H48" i="52"/>
  <c r="G59" i="5"/>
  <c r="D60" i="5"/>
  <c r="B50" i="50"/>
  <c r="I59" i="8"/>
  <c r="F54" i="44"/>
  <c r="G54" i="44" s="1"/>
  <c r="B54" i="44"/>
  <c r="B52" i="30"/>
  <c r="F52" i="30"/>
  <c r="G52" i="30" s="1"/>
  <c r="H57" i="25"/>
  <c r="I57" i="25" s="1"/>
  <c r="G60" i="8"/>
  <c r="I60" i="8" s="1"/>
  <c r="D61" i="8"/>
  <c r="E61" i="8" s="1"/>
  <c r="F61" i="8" s="1"/>
  <c r="G60" i="9"/>
  <c r="I60" i="9" s="1"/>
  <c r="D61" i="9"/>
  <c r="G58" i="3"/>
  <c r="D59" i="3"/>
  <c r="B57" i="24"/>
  <c r="F57" i="24"/>
  <c r="G57" i="24" s="1"/>
  <c r="H58" i="3"/>
  <c r="D55" i="28"/>
  <c r="G54" i="28"/>
  <c r="I54" i="28" s="1"/>
  <c r="E55" i="28"/>
  <c r="G64" i="7"/>
  <c r="I64" i="7" s="1"/>
  <c r="G59" i="6"/>
  <c r="E60" i="6"/>
  <c r="F60" i="6" s="1"/>
  <c r="G60" i="6" s="1"/>
  <c r="B60" i="6"/>
  <c r="F54" i="31"/>
  <c r="G54" i="31" s="1"/>
  <c r="B54" i="31"/>
  <c r="I63" i="7"/>
  <c r="E58" i="25"/>
  <c r="D58" i="25"/>
  <c r="I49" i="42"/>
  <c r="H59" i="6"/>
  <c r="D65" i="7"/>
  <c r="E65" i="7" s="1"/>
  <c r="F65" i="7" s="1"/>
  <c r="D66" i="7" s="1"/>
  <c r="H56" i="23"/>
  <c r="I56" i="23" s="1"/>
  <c r="F49" i="46"/>
  <c r="H49" i="46" s="1"/>
  <c r="I48" i="40"/>
  <c r="E57" i="23"/>
  <c r="D57" i="23"/>
  <c r="I63" i="11"/>
  <c r="I48" i="46"/>
  <c r="B62" i="4"/>
  <c r="F55" i="29"/>
  <c r="H55" i="29" s="1"/>
  <c r="E62" i="4"/>
  <c r="F62" i="4" s="1"/>
  <c r="H64" i="11"/>
  <c r="D65" i="11"/>
  <c r="H66" i="10"/>
  <c r="D67" i="10"/>
  <c r="E67" i="10" s="1"/>
  <c r="F67" i="10" s="1"/>
  <c r="G54" i="45"/>
  <c r="D55" i="45"/>
  <c r="H54" i="45"/>
  <c r="E51" i="38"/>
  <c r="F51" i="38" s="1"/>
  <c r="H51" i="38" s="1"/>
  <c r="B51" i="38"/>
  <c r="F50" i="39"/>
  <c r="G50" i="39" s="1"/>
  <c r="B50" i="39"/>
  <c r="B49" i="41"/>
  <c r="F49" i="41"/>
  <c r="H49" i="41" s="1"/>
  <c r="F50" i="42"/>
  <c r="G50" i="42" s="1"/>
  <c r="B50" i="42"/>
  <c r="H56" i="27"/>
  <c r="I56" i="27" s="1"/>
  <c r="D57" i="27"/>
  <c r="E57" i="27" s="1"/>
  <c r="F57" i="27" s="1"/>
  <c r="H50" i="37"/>
  <c r="I50" i="37" s="1"/>
  <c r="D51" i="37"/>
  <c r="B64" i="11"/>
  <c r="G64" i="11"/>
  <c r="B55" i="29"/>
  <c r="B58" i="22"/>
  <c r="F49" i="43"/>
  <c r="G49" i="43" s="1"/>
  <c r="B49" i="43"/>
  <c r="B66" i="10"/>
  <c r="G66" i="10"/>
  <c r="B49" i="40"/>
  <c r="F49" i="40"/>
  <c r="H49" i="40" s="1"/>
  <c r="F58" i="22"/>
  <c r="G58" i="22" s="1"/>
  <c r="B49" i="46"/>
  <c r="I65" i="10"/>
  <c r="G50" i="50" l="1"/>
  <c r="D51" i="50"/>
  <c r="I48" i="52"/>
  <c r="H50" i="50"/>
  <c r="I50" i="50" s="1"/>
  <c r="F51" i="50"/>
  <c r="D52" i="50" s="1"/>
  <c r="B52" i="50" s="1"/>
  <c r="H52" i="30"/>
  <c r="I52" i="30" s="1"/>
  <c r="E60" i="5"/>
  <c r="F60" i="5" s="1"/>
  <c r="H60" i="5" s="1"/>
  <c r="B60" i="5"/>
  <c r="B51" i="50"/>
  <c r="B49" i="52"/>
  <c r="F49" i="52"/>
  <c r="G49" i="52" s="1"/>
  <c r="H54" i="44"/>
  <c r="I54" i="44" s="1"/>
  <c r="E55" i="44"/>
  <c r="D55" i="44"/>
  <c r="E53" i="30"/>
  <c r="D53" i="30"/>
  <c r="H60" i="6"/>
  <c r="I60" i="6" s="1"/>
  <c r="F55" i="28"/>
  <c r="H55" i="28" s="1"/>
  <c r="G61" i="8"/>
  <c r="D62" i="8"/>
  <c r="B61" i="8"/>
  <c r="H61" i="8"/>
  <c r="I58" i="3"/>
  <c r="E61" i="9"/>
  <c r="F61" i="9" s="1"/>
  <c r="B61" i="9"/>
  <c r="B55" i="28"/>
  <c r="H57" i="24"/>
  <c r="I57" i="24" s="1"/>
  <c r="D58" i="24"/>
  <c r="E59" i="3"/>
  <c r="F59" i="3" s="1"/>
  <c r="G59" i="3" s="1"/>
  <c r="B59" i="3"/>
  <c r="I59" i="6"/>
  <c r="D55" i="31"/>
  <c r="E55" i="31"/>
  <c r="B58" i="25"/>
  <c r="F58" i="25"/>
  <c r="H58" i="25" s="1"/>
  <c r="I54" i="45"/>
  <c r="H54" i="31"/>
  <c r="I54" i="31" s="1"/>
  <c r="D61" i="6"/>
  <c r="E61" i="6" s="1"/>
  <c r="F61" i="6" s="1"/>
  <c r="I64" i="11"/>
  <c r="E50" i="46"/>
  <c r="G55" i="29"/>
  <c r="I55" i="29" s="1"/>
  <c r="E56" i="29"/>
  <c r="D50" i="46"/>
  <c r="B50" i="46" s="1"/>
  <c r="D56" i="29"/>
  <c r="B56" i="29" s="1"/>
  <c r="G49" i="46"/>
  <c r="I49" i="46" s="1"/>
  <c r="E66" i="7"/>
  <c r="F66" i="7" s="1"/>
  <c r="D67" i="7" s="1"/>
  <c r="B66" i="7"/>
  <c r="H65" i="7"/>
  <c r="G65" i="7"/>
  <c r="B65" i="7"/>
  <c r="F57" i="23"/>
  <c r="G57" i="23" s="1"/>
  <c r="B57" i="23"/>
  <c r="D63" i="4"/>
  <c r="E63" i="4" s="1"/>
  <c r="F63" i="4" s="1"/>
  <c r="G62" i="4"/>
  <c r="H62" i="4"/>
  <c r="B57" i="27"/>
  <c r="G57" i="27"/>
  <c r="E55" i="45"/>
  <c r="F55" i="45" s="1"/>
  <c r="B55" i="45"/>
  <c r="G49" i="40"/>
  <c r="I49" i="40" s="1"/>
  <c r="D50" i="40"/>
  <c r="E51" i="37"/>
  <c r="F51" i="37" s="1"/>
  <c r="B51" i="37"/>
  <c r="H50" i="42"/>
  <c r="I50" i="42" s="1"/>
  <c r="D51" i="42"/>
  <c r="E51" i="42"/>
  <c r="G67" i="10"/>
  <c r="D68" i="10"/>
  <c r="E68" i="10" s="1"/>
  <c r="F68" i="10" s="1"/>
  <c r="H57" i="27"/>
  <c r="D58" i="27"/>
  <c r="H49" i="43"/>
  <c r="I49" i="43" s="1"/>
  <c r="D50" i="43"/>
  <c r="B67" i="10"/>
  <c r="H67" i="10"/>
  <c r="G49" i="41"/>
  <c r="I49" i="41" s="1"/>
  <c r="D50" i="41"/>
  <c r="G51" i="38"/>
  <c r="I51" i="38" s="1"/>
  <c r="D52" i="38"/>
  <c r="E52" i="38"/>
  <c r="I66" i="10"/>
  <c r="B65" i="11"/>
  <c r="H58" i="22"/>
  <c r="I58" i="22" s="1"/>
  <c r="D59" i="22"/>
  <c r="E59" i="22" s="1"/>
  <c r="H50" i="39"/>
  <c r="I50" i="39" s="1"/>
  <c r="D51" i="39"/>
  <c r="E51" i="39"/>
  <c r="E65" i="11"/>
  <c r="F65" i="11" s="1"/>
  <c r="G65" i="11" s="1"/>
  <c r="E52" i="50" l="1"/>
  <c r="F52" i="50" s="1"/>
  <c r="H51" i="50"/>
  <c r="G51" i="50"/>
  <c r="I51" i="50" s="1"/>
  <c r="I61" i="8"/>
  <c r="D53" i="50"/>
  <c r="E53" i="50"/>
  <c r="H52" i="50"/>
  <c r="G52" i="50"/>
  <c r="G60" i="5"/>
  <c r="D61" i="5"/>
  <c r="H49" i="52"/>
  <c r="I49" i="52" s="1"/>
  <c r="D50" i="52"/>
  <c r="D56" i="28"/>
  <c r="G55" i="28"/>
  <c r="I55" i="28" s="1"/>
  <c r="E56" i="28"/>
  <c r="B55" i="44"/>
  <c r="F55" i="44"/>
  <c r="G55" i="44" s="1"/>
  <c r="F53" i="30"/>
  <c r="B53" i="30"/>
  <c r="I67" i="10"/>
  <c r="G61" i="9"/>
  <c r="D62" i="9"/>
  <c r="H61" i="9"/>
  <c r="E62" i="8"/>
  <c r="F62" i="8" s="1"/>
  <c r="D63" i="8" s="1"/>
  <c r="B62" i="8"/>
  <c r="H59" i="3"/>
  <c r="I59" i="3" s="1"/>
  <c r="I57" i="27"/>
  <c r="D60" i="3"/>
  <c r="E60" i="3" s="1"/>
  <c r="E58" i="24"/>
  <c r="F58" i="24" s="1"/>
  <c r="H58" i="24" s="1"/>
  <c r="B58" i="24"/>
  <c r="I65" i="7"/>
  <c r="E59" i="25"/>
  <c r="D59" i="25"/>
  <c r="F50" i="46"/>
  <c r="H50" i="46" s="1"/>
  <c r="G61" i="6"/>
  <c r="D62" i="6"/>
  <c r="G58" i="25"/>
  <c r="I58" i="25" s="1"/>
  <c r="B61" i="6"/>
  <c r="H61" i="6"/>
  <c r="F55" i="31"/>
  <c r="B55" i="31"/>
  <c r="H57" i="23"/>
  <c r="I57" i="23" s="1"/>
  <c r="H66" i="7"/>
  <c r="E67" i="7"/>
  <c r="F67" i="7" s="1"/>
  <c r="H67" i="7" s="1"/>
  <c r="B67" i="7"/>
  <c r="F56" i="29"/>
  <c r="G66" i="7"/>
  <c r="D58" i="23"/>
  <c r="E58" i="23" s="1"/>
  <c r="D56" i="45"/>
  <c r="B56" i="45" s="1"/>
  <c r="H55" i="45"/>
  <c r="D64" i="4"/>
  <c r="E64" i="4" s="1"/>
  <c r="F64" i="4" s="1"/>
  <c r="D65" i="4" s="1"/>
  <c r="I62" i="4"/>
  <c r="B63" i="4"/>
  <c r="H63" i="4"/>
  <c r="G63" i="4"/>
  <c r="E50" i="41"/>
  <c r="F50" i="41" s="1"/>
  <c r="B50" i="41"/>
  <c r="E50" i="43"/>
  <c r="F50" i="43" s="1"/>
  <c r="B50" i="43"/>
  <c r="B52" i="38"/>
  <c r="F52" i="38"/>
  <c r="G52" i="38" s="1"/>
  <c r="F51" i="42"/>
  <c r="H51" i="42" s="1"/>
  <c r="B51" i="42"/>
  <c r="B68" i="10"/>
  <c r="G68" i="10"/>
  <c r="E58" i="27"/>
  <c r="F58" i="27" s="1"/>
  <c r="B58" i="27"/>
  <c r="E50" i="40"/>
  <c r="F50" i="40" s="1"/>
  <c r="G50" i="40" s="1"/>
  <c r="B50" i="40"/>
  <c r="H51" i="37"/>
  <c r="D52" i="37"/>
  <c r="B56" i="28"/>
  <c r="H68" i="10"/>
  <c r="D69" i="10"/>
  <c r="E69" i="10" s="1"/>
  <c r="F69" i="10" s="1"/>
  <c r="H65" i="11"/>
  <c r="I65" i="11" s="1"/>
  <c r="D66" i="11"/>
  <c r="E56" i="45"/>
  <c r="B51" i="39"/>
  <c r="F51" i="39"/>
  <c r="D52" i="39" s="1"/>
  <c r="G51" i="37"/>
  <c r="F59" i="22"/>
  <c r="H59" i="22" s="1"/>
  <c r="B59" i="22"/>
  <c r="G55" i="45"/>
  <c r="F56" i="28" l="1"/>
  <c r="H56" i="28" s="1"/>
  <c r="I52" i="50"/>
  <c r="E61" i="5"/>
  <c r="F61" i="5" s="1"/>
  <c r="H61" i="5" s="1"/>
  <c r="B61" i="5"/>
  <c r="F53" i="50"/>
  <c r="D54" i="50" s="1"/>
  <c r="E50" i="52"/>
  <c r="F50" i="52" s="1"/>
  <c r="B50" i="52"/>
  <c r="B53" i="50"/>
  <c r="H55" i="44"/>
  <c r="I55" i="44" s="1"/>
  <c r="D56" i="44"/>
  <c r="E56" i="44"/>
  <c r="G53" i="30"/>
  <c r="D54" i="30"/>
  <c r="E54" i="30"/>
  <c r="H53" i="30"/>
  <c r="G62" i="8"/>
  <c r="I61" i="9"/>
  <c r="H62" i="8"/>
  <c r="E63" i="8"/>
  <c r="F63" i="8" s="1"/>
  <c r="D64" i="8" s="1"/>
  <c r="B63" i="8"/>
  <c r="E62" i="9"/>
  <c r="F62" i="9" s="1"/>
  <c r="B62" i="9"/>
  <c r="I61" i="6"/>
  <c r="I55" i="45"/>
  <c r="G67" i="7"/>
  <c r="I67" i="7" s="1"/>
  <c r="G58" i="24"/>
  <c r="I58" i="24" s="1"/>
  <c r="D59" i="24"/>
  <c r="F60" i="3"/>
  <c r="H60" i="3" s="1"/>
  <c r="B60" i="3"/>
  <c r="B59" i="25"/>
  <c r="F59" i="25"/>
  <c r="H59" i="25" s="1"/>
  <c r="D51" i="46"/>
  <c r="E51" i="46"/>
  <c r="H55" i="31"/>
  <c r="D56" i="31"/>
  <c r="E56" i="31" s="1"/>
  <c r="E62" i="6"/>
  <c r="F62" i="6" s="1"/>
  <c r="B62" i="6"/>
  <c r="G50" i="46"/>
  <c r="I50" i="46" s="1"/>
  <c r="G55" i="31"/>
  <c r="G51" i="39"/>
  <c r="I66" i="7"/>
  <c r="G56" i="29"/>
  <c r="H56" i="29"/>
  <c r="D57" i="29"/>
  <c r="E57" i="29" s="1"/>
  <c r="F56" i="45"/>
  <c r="G56" i="45" s="1"/>
  <c r="D68" i="7"/>
  <c r="E68" i="7" s="1"/>
  <c r="F68" i="7" s="1"/>
  <c r="B58" i="23"/>
  <c r="F58" i="23"/>
  <c r="H58" i="23" s="1"/>
  <c r="I68" i="10"/>
  <c r="E65" i="4"/>
  <c r="F65" i="4" s="1"/>
  <c r="D66" i="4" s="1"/>
  <c r="B65" i="4"/>
  <c r="B64" i="4"/>
  <c r="G64" i="4"/>
  <c r="H64" i="4"/>
  <c r="I51" i="37"/>
  <c r="I63" i="4"/>
  <c r="G69" i="10"/>
  <c r="D70" i="10"/>
  <c r="E70" i="10" s="1"/>
  <c r="F70" i="10" s="1"/>
  <c r="B69" i="10"/>
  <c r="H69" i="10"/>
  <c r="G51" i="42"/>
  <c r="I51" i="42" s="1"/>
  <c r="D52" i="42"/>
  <c r="E52" i="42"/>
  <c r="G50" i="43"/>
  <c r="D51" i="43"/>
  <c r="E51" i="43"/>
  <c r="G58" i="27"/>
  <c r="D59" i="27"/>
  <c r="E59" i="27" s="1"/>
  <c r="F59" i="27" s="1"/>
  <c r="H50" i="41"/>
  <c r="D51" i="41"/>
  <c r="E51" i="41"/>
  <c r="E52" i="37"/>
  <c r="F52" i="37" s="1"/>
  <c r="H52" i="37" s="1"/>
  <c r="B52" i="37"/>
  <c r="G56" i="28"/>
  <c r="I56" i="28" s="1"/>
  <c r="D57" i="28"/>
  <c r="E57" i="28" s="1"/>
  <c r="F57" i="28" s="1"/>
  <c r="B66" i="11"/>
  <c r="E52" i="39"/>
  <c r="F52" i="39" s="1"/>
  <c r="G52" i="39" s="1"/>
  <c r="B52" i="39"/>
  <c r="H52" i="38"/>
  <c r="I52" i="38" s="1"/>
  <c r="D53" i="38"/>
  <c r="H50" i="43"/>
  <c r="G59" i="22"/>
  <c r="I59" i="22" s="1"/>
  <c r="D60" i="22"/>
  <c r="H50" i="40"/>
  <c r="I50" i="40" s="1"/>
  <c r="D51" i="40"/>
  <c r="E51" i="40"/>
  <c r="H51" i="39"/>
  <c r="E66" i="11"/>
  <c r="F66" i="11" s="1"/>
  <c r="H58" i="27"/>
  <c r="G50" i="41"/>
  <c r="D51" i="52" l="1"/>
  <c r="G50" i="52"/>
  <c r="H50" i="52"/>
  <c r="E54" i="50"/>
  <c r="F54" i="50" s="1"/>
  <c r="G54" i="50" s="1"/>
  <c r="B54" i="50"/>
  <c r="G53" i="50"/>
  <c r="G61" i="5"/>
  <c r="D62" i="5"/>
  <c r="H53" i="50"/>
  <c r="I62" i="8"/>
  <c r="B56" i="44"/>
  <c r="F56" i="44"/>
  <c r="H56" i="44" s="1"/>
  <c r="I53" i="30"/>
  <c r="B54" i="30"/>
  <c r="F54" i="30"/>
  <c r="H54" i="30" s="1"/>
  <c r="G63" i="8"/>
  <c r="H63" i="8"/>
  <c r="D63" i="9"/>
  <c r="E63" i="9" s="1"/>
  <c r="F63" i="9" s="1"/>
  <c r="G62" i="9"/>
  <c r="H62" i="9"/>
  <c r="E64" i="8"/>
  <c r="F64" i="8" s="1"/>
  <c r="D65" i="8" s="1"/>
  <c r="B64" i="8"/>
  <c r="H56" i="45"/>
  <c r="I56" i="45" s="1"/>
  <c r="D63" i="6"/>
  <c r="E63" i="6" s="1"/>
  <c r="F63" i="6" s="1"/>
  <c r="G62" i="6"/>
  <c r="H62" i="6"/>
  <c r="G60" i="3"/>
  <c r="I60" i="3" s="1"/>
  <c r="D61" i="3"/>
  <c r="G59" i="25"/>
  <c r="I59" i="25" s="1"/>
  <c r="E59" i="24"/>
  <c r="F59" i="24" s="1"/>
  <c r="B59" i="24"/>
  <c r="D60" i="25"/>
  <c r="B56" i="31"/>
  <c r="F56" i="31"/>
  <c r="G56" i="31" s="1"/>
  <c r="B51" i="46"/>
  <c r="F51" i="46"/>
  <c r="I51" i="39"/>
  <c r="D57" i="45"/>
  <c r="E57" i="45" s="1"/>
  <c r="F57" i="45" s="1"/>
  <c r="I55" i="31"/>
  <c r="I64" i="4"/>
  <c r="B57" i="29"/>
  <c r="H68" i="7"/>
  <c r="B68" i="7"/>
  <c r="G68" i="7"/>
  <c r="G65" i="4"/>
  <c r="I56" i="29"/>
  <c r="F57" i="29"/>
  <c r="G57" i="29" s="1"/>
  <c r="D69" i="7"/>
  <c r="E69" i="7" s="1"/>
  <c r="F69" i="7" s="1"/>
  <c r="I50" i="41"/>
  <c r="G58" i="23"/>
  <c r="I58" i="23" s="1"/>
  <c r="D59" i="23"/>
  <c r="E59" i="23" s="1"/>
  <c r="I58" i="27"/>
  <c r="H65" i="4"/>
  <c r="I69" i="10"/>
  <c r="E66" i="4"/>
  <c r="F66" i="4" s="1"/>
  <c r="G66" i="4" s="1"/>
  <c r="B66" i="4"/>
  <c r="H70" i="10"/>
  <c r="D71" i="10"/>
  <c r="E71" i="10" s="1"/>
  <c r="F71" i="10" s="1"/>
  <c r="E53" i="38"/>
  <c r="F53" i="38" s="1"/>
  <c r="H53" i="38" s="1"/>
  <c r="B53" i="38"/>
  <c r="B57" i="28"/>
  <c r="G57" i="28"/>
  <c r="B51" i="41"/>
  <c r="F51" i="41"/>
  <c r="H51" i="41" s="1"/>
  <c r="E60" i="22"/>
  <c r="F60" i="22" s="1"/>
  <c r="B60" i="22"/>
  <c r="H66" i="11"/>
  <c r="D67" i="11"/>
  <c r="E67" i="11" s="1"/>
  <c r="F67" i="11" s="1"/>
  <c r="G52" i="37"/>
  <c r="I52" i="37" s="1"/>
  <c r="D53" i="37"/>
  <c r="H59" i="27"/>
  <c r="D60" i="27"/>
  <c r="E60" i="27" s="1"/>
  <c r="F60" i="27" s="1"/>
  <c r="H57" i="28"/>
  <c r="D58" i="28"/>
  <c r="E58" i="28" s="1"/>
  <c r="B51" i="43"/>
  <c r="F51" i="43"/>
  <c r="G51" i="43" s="1"/>
  <c r="G66" i="11"/>
  <c r="B59" i="27"/>
  <c r="G59" i="27"/>
  <c r="B70" i="10"/>
  <c r="G70" i="10"/>
  <c r="H52" i="39"/>
  <c r="I52" i="39" s="1"/>
  <c r="D53" i="39"/>
  <c r="B51" i="40"/>
  <c r="F51" i="40"/>
  <c r="H51" i="40" s="1"/>
  <c r="I50" i="43"/>
  <c r="B52" i="42"/>
  <c r="F52" i="42"/>
  <c r="G52" i="42" s="1"/>
  <c r="I53" i="50" l="1"/>
  <c r="I50" i="52"/>
  <c r="H54" i="50"/>
  <c r="I54" i="50" s="1"/>
  <c r="D55" i="50"/>
  <c r="E62" i="5"/>
  <c r="F62" i="5" s="1"/>
  <c r="D63" i="5" s="1"/>
  <c r="B62" i="5"/>
  <c r="E51" i="52"/>
  <c r="F51" i="52" s="1"/>
  <c r="B51" i="52"/>
  <c r="G56" i="44"/>
  <c r="I56" i="44" s="1"/>
  <c r="D57" i="44"/>
  <c r="E57" i="44" s="1"/>
  <c r="F57" i="44" s="1"/>
  <c r="G54" i="30"/>
  <c r="I54" i="30" s="1"/>
  <c r="D55" i="30"/>
  <c r="E55" i="30"/>
  <c r="B63" i="6"/>
  <c r="I63" i="8"/>
  <c r="I62" i="9"/>
  <c r="I62" i="6"/>
  <c r="B57" i="45"/>
  <c r="G64" i="8"/>
  <c r="G63" i="9"/>
  <c r="D64" i="9"/>
  <c r="E65" i="8"/>
  <c r="F65" i="8" s="1"/>
  <c r="D66" i="8" s="1"/>
  <c r="B65" i="8"/>
  <c r="H64" i="8"/>
  <c r="B63" i="9"/>
  <c r="H63" i="9"/>
  <c r="G59" i="24"/>
  <c r="D60" i="24"/>
  <c r="H59" i="24"/>
  <c r="D64" i="6"/>
  <c r="E64" i="6" s="1"/>
  <c r="F64" i="6" s="1"/>
  <c r="G63" i="6"/>
  <c r="E61" i="3"/>
  <c r="F61" i="3" s="1"/>
  <c r="G61" i="3" s="1"/>
  <c r="B61" i="3"/>
  <c r="H63" i="6"/>
  <c r="G51" i="46"/>
  <c r="E52" i="46"/>
  <c r="D52" i="46"/>
  <c r="B60" i="25"/>
  <c r="H56" i="31"/>
  <c r="I56" i="31" s="1"/>
  <c r="D57" i="31"/>
  <c r="E57" i="31" s="1"/>
  <c r="E60" i="25"/>
  <c r="F60" i="25" s="1"/>
  <c r="H51" i="46"/>
  <c r="I68" i="7"/>
  <c r="H66" i="4"/>
  <c r="I66" i="4" s="1"/>
  <c r="D70" i="7"/>
  <c r="E70" i="7" s="1"/>
  <c r="F70" i="7" s="1"/>
  <c r="B69" i="7"/>
  <c r="H69" i="7"/>
  <c r="G69" i="7"/>
  <c r="I65" i="4"/>
  <c r="D58" i="29"/>
  <c r="E58" i="29" s="1"/>
  <c r="H57" i="29"/>
  <c r="I57" i="29" s="1"/>
  <c r="F59" i="23"/>
  <c r="H59" i="23" s="1"/>
  <c r="B59" i="23"/>
  <c r="F58" i="28"/>
  <c r="D67" i="4"/>
  <c r="E67" i="4" s="1"/>
  <c r="F67" i="4" s="1"/>
  <c r="D58" i="45"/>
  <c r="G57" i="45"/>
  <c r="H57" i="45"/>
  <c r="I57" i="28"/>
  <c r="G67" i="11"/>
  <c r="D68" i="11"/>
  <c r="E68" i="11" s="1"/>
  <c r="F68" i="11" s="1"/>
  <c r="G53" i="38"/>
  <c r="I53" i="38" s="1"/>
  <c r="D54" i="38"/>
  <c r="E54" i="38"/>
  <c r="E53" i="37"/>
  <c r="F53" i="37" s="1"/>
  <c r="G53" i="37" s="1"/>
  <c r="B53" i="37"/>
  <c r="G51" i="40"/>
  <c r="I51" i="40" s="1"/>
  <c r="D52" i="40"/>
  <c r="H52" i="42"/>
  <c r="I52" i="42" s="1"/>
  <c r="D53" i="42"/>
  <c r="E53" i="42"/>
  <c r="E53" i="39"/>
  <c r="F53" i="39" s="1"/>
  <c r="B53" i="39"/>
  <c r="H60" i="27"/>
  <c r="D61" i="27"/>
  <c r="E61" i="27" s="1"/>
  <c r="F61" i="27" s="1"/>
  <c r="B67" i="11"/>
  <c r="H67" i="11"/>
  <c r="D72" i="10"/>
  <c r="E72" i="10" s="1"/>
  <c r="E73" i="10" s="1"/>
  <c r="H51" i="43"/>
  <c r="I51" i="43" s="1"/>
  <c r="D52" i="43"/>
  <c r="B60" i="27"/>
  <c r="G60" i="27"/>
  <c r="I66" i="11"/>
  <c r="B71" i="10"/>
  <c r="H71" i="10"/>
  <c r="G71" i="10"/>
  <c r="B58" i="28"/>
  <c r="H60" i="22"/>
  <c r="D61" i="22"/>
  <c r="E61" i="22" s="1"/>
  <c r="F61" i="22" s="1"/>
  <c r="I59" i="27"/>
  <c r="G60" i="22"/>
  <c r="G51" i="41"/>
  <c r="I51" i="41" s="1"/>
  <c r="D52" i="41"/>
  <c r="I70" i="10"/>
  <c r="H62" i="5" l="1"/>
  <c r="G62" i="5"/>
  <c r="D52" i="52"/>
  <c r="G51" i="52"/>
  <c r="H51" i="52"/>
  <c r="E55" i="50"/>
  <c r="F55" i="50" s="1"/>
  <c r="G55" i="50" s="1"/>
  <c r="B55" i="50"/>
  <c r="E63" i="5"/>
  <c r="F63" i="5" s="1"/>
  <c r="D64" i="5" s="1"/>
  <c r="B63" i="5"/>
  <c r="H57" i="44"/>
  <c r="D58" i="44"/>
  <c r="B57" i="44"/>
  <c r="G57" i="44"/>
  <c r="B55" i="30"/>
  <c r="F55" i="30"/>
  <c r="H55" i="30" s="1"/>
  <c r="H65" i="8"/>
  <c r="I63" i="9"/>
  <c r="I64" i="8"/>
  <c r="G65" i="8"/>
  <c r="E64" i="9"/>
  <c r="F64" i="9" s="1"/>
  <c r="D65" i="9" s="1"/>
  <c r="B64" i="9"/>
  <c r="E66" i="8"/>
  <c r="F66" i="8" s="1"/>
  <c r="D67" i="8" s="1"/>
  <c r="B66" i="8"/>
  <c r="G59" i="23"/>
  <c r="I59" i="23" s="1"/>
  <c r="H64" i="6"/>
  <c r="G64" i="6"/>
  <c r="B64" i="6"/>
  <c r="D62" i="3"/>
  <c r="E62" i="3" s="1"/>
  <c r="F62" i="3" s="1"/>
  <c r="I59" i="24"/>
  <c r="I63" i="6"/>
  <c r="E60" i="24"/>
  <c r="F60" i="24" s="1"/>
  <c r="B60" i="24"/>
  <c r="H61" i="3"/>
  <c r="I61" i="3" s="1"/>
  <c r="I57" i="45"/>
  <c r="I51" i="46"/>
  <c r="G60" i="25"/>
  <c r="D61" i="25"/>
  <c r="H60" i="25"/>
  <c r="F57" i="31"/>
  <c r="B57" i="31"/>
  <c r="D65" i="6"/>
  <c r="E65" i="6" s="1"/>
  <c r="F65" i="6" s="1"/>
  <c r="F52" i="46"/>
  <c r="B52" i="46"/>
  <c r="B58" i="29"/>
  <c r="F58" i="29"/>
  <c r="G58" i="29" s="1"/>
  <c r="I69" i="7"/>
  <c r="D71" i="7"/>
  <c r="E71" i="7" s="1"/>
  <c r="F71" i="7" s="1"/>
  <c r="B70" i="7"/>
  <c r="H70" i="7"/>
  <c r="G70" i="7"/>
  <c r="H58" i="28"/>
  <c r="D59" i="28"/>
  <c r="D60" i="23"/>
  <c r="E60" i="23" s="1"/>
  <c r="G58" i="28"/>
  <c r="G67" i="4"/>
  <c r="B67" i="4"/>
  <c r="H67" i="4"/>
  <c r="I67" i="11"/>
  <c r="D68" i="4"/>
  <c r="I60" i="22"/>
  <c r="G53" i="39"/>
  <c r="D54" i="39"/>
  <c r="E54" i="39"/>
  <c r="H53" i="39"/>
  <c r="F53" i="42"/>
  <c r="D54" i="42" s="1"/>
  <c r="B53" i="42"/>
  <c r="I71" i="10"/>
  <c r="E52" i="43"/>
  <c r="F52" i="43" s="1"/>
  <c r="G52" i="43" s="1"/>
  <c r="B52" i="43"/>
  <c r="B72" i="10"/>
  <c r="F72" i="10"/>
  <c r="H72" i="10" s="1"/>
  <c r="H53" i="37"/>
  <c r="I53" i="37" s="1"/>
  <c r="D54" i="37"/>
  <c r="E54" i="37"/>
  <c r="E58" i="45"/>
  <c r="F58" i="45" s="1"/>
  <c r="H58" i="45" s="1"/>
  <c r="B58" i="45"/>
  <c r="H61" i="22"/>
  <c r="D62" i="22"/>
  <c r="E52" i="41"/>
  <c r="F52" i="41" s="1"/>
  <c r="B52" i="41"/>
  <c r="B61" i="27"/>
  <c r="G61" i="27"/>
  <c r="B61" i="22"/>
  <c r="G61" i="22"/>
  <c r="F54" i="38"/>
  <c r="H54" i="38" s="1"/>
  <c r="B54" i="38"/>
  <c r="B68" i="11"/>
  <c r="G68" i="11"/>
  <c r="H61" i="27"/>
  <c r="D62" i="27"/>
  <c r="E62" i="27" s="1"/>
  <c r="F62" i="27" s="1"/>
  <c r="E52" i="40"/>
  <c r="F52" i="40" s="1"/>
  <c r="B52" i="40"/>
  <c r="H68" i="11"/>
  <c r="D69" i="11"/>
  <c r="E69" i="11" s="1"/>
  <c r="F69" i="11" s="1"/>
  <c r="I60" i="27"/>
  <c r="G63" i="5" l="1"/>
  <c r="I51" i="52"/>
  <c r="H63" i="5"/>
  <c r="E64" i="5"/>
  <c r="F64" i="5" s="1"/>
  <c r="D65" i="5" s="1"/>
  <c r="H64" i="5"/>
  <c r="B64" i="5"/>
  <c r="H55" i="50"/>
  <c r="I55" i="50" s="1"/>
  <c r="D56" i="50"/>
  <c r="E52" i="52"/>
  <c r="F52" i="52" s="1"/>
  <c r="B52" i="52"/>
  <c r="I57" i="44"/>
  <c r="G55" i="30"/>
  <c r="I55" i="30" s="1"/>
  <c r="I65" i="8"/>
  <c r="E58" i="44"/>
  <c r="F58" i="44" s="1"/>
  <c r="G58" i="44" s="1"/>
  <c r="B58" i="44"/>
  <c r="G64" i="9"/>
  <c r="D56" i="30"/>
  <c r="E56" i="30" s="1"/>
  <c r="I64" i="6"/>
  <c r="H64" i="9"/>
  <c r="H66" i="8"/>
  <c r="E67" i="8"/>
  <c r="F67" i="8" s="1"/>
  <c r="D68" i="8" s="1"/>
  <c r="B67" i="8"/>
  <c r="E65" i="9"/>
  <c r="F65" i="9" s="1"/>
  <c r="D66" i="9" s="1"/>
  <c r="B65" i="9"/>
  <c r="G66" i="8"/>
  <c r="D61" i="24"/>
  <c r="E61" i="24" s="1"/>
  <c r="G60" i="24"/>
  <c r="I60" i="25"/>
  <c r="G62" i="3"/>
  <c r="D63" i="3"/>
  <c r="I58" i="28"/>
  <c r="H60" i="24"/>
  <c r="B62" i="3"/>
  <c r="H62" i="3"/>
  <c r="G57" i="31"/>
  <c r="D58" i="31"/>
  <c r="G52" i="46"/>
  <c r="E53" i="46"/>
  <c r="D53" i="46"/>
  <c r="H52" i="46"/>
  <c r="G65" i="6"/>
  <c r="D66" i="6"/>
  <c r="E66" i="6" s="1"/>
  <c r="F66" i="6" s="1"/>
  <c r="I67" i="4"/>
  <c r="B65" i="6"/>
  <c r="H65" i="6"/>
  <c r="E61" i="25"/>
  <c r="F61" i="25" s="1"/>
  <c r="H61" i="25" s="1"/>
  <c r="B61" i="25"/>
  <c r="H57" i="31"/>
  <c r="I70" i="7"/>
  <c r="H58" i="29"/>
  <c r="I58" i="29" s="1"/>
  <c r="D72" i="7"/>
  <c r="E59" i="28"/>
  <c r="F59" i="28" s="1"/>
  <c r="H59" i="28" s="1"/>
  <c r="I68" i="11"/>
  <c r="G71" i="7"/>
  <c r="B71" i="7"/>
  <c r="H71" i="7"/>
  <c r="D59" i="29"/>
  <c r="B59" i="28"/>
  <c r="B60" i="23"/>
  <c r="F60" i="23"/>
  <c r="H60" i="23" s="1"/>
  <c r="G72" i="10"/>
  <c r="G73" i="10" s="1"/>
  <c r="B68" i="4"/>
  <c r="I53" i="39"/>
  <c r="E68" i="4"/>
  <c r="F68" i="4" s="1"/>
  <c r="H52" i="41"/>
  <c r="D53" i="41"/>
  <c r="E53" i="41"/>
  <c r="G52" i="41"/>
  <c r="G52" i="40"/>
  <c r="D53" i="40"/>
  <c r="H52" i="40"/>
  <c r="B62" i="27"/>
  <c r="G62" i="27"/>
  <c r="I61" i="22"/>
  <c r="E54" i="42"/>
  <c r="F54" i="42" s="1"/>
  <c r="B54" i="42"/>
  <c r="H62" i="27"/>
  <c r="D63" i="27"/>
  <c r="E63" i="27" s="1"/>
  <c r="F63" i="27" s="1"/>
  <c r="B54" i="37"/>
  <c r="F54" i="37"/>
  <c r="H54" i="37" s="1"/>
  <c r="H69" i="11"/>
  <c r="D70" i="11"/>
  <c r="E70" i="11" s="1"/>
  <c r="F70" i="11" s="1"/>
  <c r="B69" i="11"/>
  <c r="G69" i="11"/>
  <c r="I61" i="27"/>
  <c r="H52" i="43"/>
  <c r="I52" i="43" s="1"/>
  <c r="D53" i="43"/>
  <c r="E53" i="43"/>
  <c r="E62" i="22"/>
  <c r="F62" i="22" s="1"/>
  <c r="B62" i="22"/>
  <c r="G54" i="38"/>
  <c r="I54" i="38" s="1"/>
  <c r="D55" i="38"/>
  <c r="E55" i="38"/>
  <c r="G58" i="45"/>
  <c r="I58" i="45" s="1"/>
  <c r="D59" i="45"/>
  <c r="H73" i="10"/>
  <c r="G53" i="42"/>
  <c r="B54" i="39"/>
  <c r="F54" i="39"/>
  <c r="H54" i="39" s="1"/>
  <c r="H53" i="42"/>
  <c r="G64" i="5" l="1"/>
  <c r="D53" i="52"/>
  <c r="G52" i="52"/>
  <c r="H52" i="52"/>
  <c r="E56" i="50"/>
  <c r="F56" i="50" s="1"/>
  <c r="B56" i="50"/>
  <c r="E65" i="5"/>
  <c r="F65" i="5" s="1"/>
  <c r="D66" i="5" s="1"/>
  <c r="B65" i="5"/>
  <c r="H58" i="44"/>
  <c r="I58" i="44" s="1"/>
  <c r="D59" i="44"/>
  <c r="E59" i="44" s="1"/>
  <c r="F59" i="44" s="1"/>
  <c r="I64" i="9"/>
  <c r="F56" i="30"/>
  <c r="B56" i="30"/>
  <c r="H67" i="8"/>
  <c r="I66" i="8"/>
  <c r="I71" i="7"/>
  <c r="G67" i="8"/>
  <c r="E66" i="9"/>
  <c r="F66" i="9" s="1"/>
  <c r="D67" i="9" s="1"/>
  <c r="B66" i="9"/>
  <c r="F61" i="24"/>
  <c r="G61" i="24" s="1"/>
  <c r="H65" i="9"/>
  <c r="E68" i="8"/>
  <c r="F68" i="8" s="1"/>
  <c r="D69" i="8" s="1"/>
  <c r="B68" i="8"/>
  <c r="I60" i="24"/>
  <c r="B61" i="24"/>
  <c r="G65" i="9"/>
  <c r="I57" i="31"/>
  <c r="I65" i="6"/>
  <c r="G61" i="25"/>
  <c r="I61" i="25" s="1"/>
  <c r="I62" i="3"/>
  <c r="E63" i="3"/>
  <c r="F63" i="3" s="1"/>
  <c r="H63" i="3" s="1"/>
  <c r="B63" i="3"/>
  <c r="I52" i="46"/>
  <c r="G66" i="6"/>
  <c r="D67" i="6"/>
  <c r="E67" i="6" s="1"/>
  <c r="F67" i="6" s="1"/>
  <c r="B53" i="46"/>
  <c r="F53" i="46"/>
  <c r="D60" i="28"/>
  <c r="B60" i="28" s="1"/>
  <c r="B66" i="6"/>
  <c r="H66" i="6"/>
  <c r="E58" i="31"/>
  <c r="F58" i="31" s="1"/>
  <c r="B58" i="31"/>
  <c r="D62" i="25"/>
  <c r="I72" i="10"/>
  <c r="I73" i="10" s="1"/>
  <c r="G59" i="28"/>
  <c r="I59" i="28" s="1"/>
  <c r="B59" i="29"/>
  <c r="B72" i="7"/>
  <c r="E59" i="29"/>
  <c r="F59" i="29" s="1"/>
  <c r="E72" i="7"/>
  <c r="E73" i="7" s="1"/>
  <c r="G60" i="23"/>
  <c r="I60" i="23" s="1"/>
  <c r="D61" i="23"/>
  <c r="E61" i="23" s="1"/>
  <c r="I52" i="41"/>
  <c r="I52" i="40"/>
  <c r="D69" i="4"/>
  <c r="E69" i="4" s="1"/>
  <c r="F69" i="4" s="1"/>
  <c r="I62" i="27"/>
  <c r="G68" i="4"/>
  <c r="I69" i="11"/>
  <c r="H68" i="4"/>
  <c r="B55" i="38"/>
  <c r="F55" i="38"/>
  <c r="H55" i="38" s="1"/>
  <c r="G54" i="37"/>
  <c r="I54" i="37" s="1"/>
  <c r="D55" i="37"/>
  <c r="E55" i="37"/>
  <c r="F53" i="41"/>
  <c r="G53" i="41" s="1"/>
  <c r="B53" i="41"/>
  <c r="B53" i="43"/>
  <c r="F53" i="43"/>
  <c r="G53" i="43" s="1"/>
  <c r="H63" i="27"/>
  <c r="D64" i="27"/>
  <c r="E64" i="27" s="1"/>
  <c r="F64" i="27" s="1"/>
  <c r="E53" i="40"/>
  <c r="F53" i="40" s="1"/>
  <c r="B53" i="40"/>
  <c r="H62" i="22"/>
  <c r="D63" i="22"/>
  <c r="E63" i="22" s="1"/>
  <c r="F63" i="22" s="1"/>
  <c r="G54" i="42"/>
  <c r="D55" i="42"/>
  <c r="E59" i="45"/>
  <c r="F59" i="45" s="1"/>
  <c r="B59" i="45"/>
  <c r="B63" i="27"/>
  <c r="G63" i="27"/>
  <c r="H70" i="11"/>
  <c r="D71" i="11"/>
  <c r="E71" i="11" s="1"/>
  <c r="F71" i="11" s="1"/>
  <c r="I53" i="42"/>
  <c r="G54" i="39"/>
  <c r="I54" i="39" s="1"/>
  <c r="D55" i="39"/>
  <c r="G62" i="22"/>
  <c r="B70" i="11"/>
  <c r="G70" i="11"/>
  <c r="H54" i="42"/>
  <c r="I52" i="52" l="1"/>
  <c r="H65" i="5"/>
  <c r="D57" i="50"/>
  <c r="B57" i="50" s="1"/>
  <c r="G56" i="50"/>
  <c r="H56" i="50"/>
  <c r="I67" i="8"/>
  <c r="G65" i="5"/>
  <c r="E66" i="5"/>
  <c r="F66" i="5" s="1"/>
  <c r="H66" i="5" s="1"/>
  <c r="B66" i="5"/>
  <c r="E53" i="52"/>
  <c r="F53" i="52" s="1"/>
  <c r="G53" i="52" s="1"/>
  <c r="B53" i="52"/>
  <c r="D60" i="44"/>
  <c r="E60" i="44" s="1"/>
  <c r="F60" i="44" s="1"/>
  <c r="B59" i="44"/>
  <c r="G59" i="44"/>
  <c r="H59" i="44"/>
  <c r="G56" i="30"/>
  <c r="D57" i="30"/>
  <c r="H56" i="30"/>
  <c r="H66" i="9"/>
  <c r="H61" i="24"/>
  <c r="I61" i="24" s="1"/>
  <c r="I65" i="9"/>
  <c r="I66" i="6"/>
  <c r="G66" i="9"/>
  <c r="E69" i="8"/>
  <c r="F69" i="8" s="1"/>
  <c r="D70" i="8" s="1"/>
  <c r="B69" i="8"/>
  <c r="G68" i="8"/>
  <c r="E60" i="28"/>
  <c r="F60" i="28" s="1"/>
  <c r="H60" i="28" s="1"/>
  <c r="D62" i="24"/>
  <c r="B62" i="24" s="1"/>
  <c r="H68" i="8"/>
  <c r="E67" i="9"/>
  <c r="F67" i="9" s="1"/>
  <c r="D68" i="9" s="1"/>
  <c r="B67" i="9"/>
  <c r="D64" i="3"/>
  <c r="E64" i="3" s="1"/>
  <c r="F64" i="3" s="1"/>
  <c r="D65" i="3" s="1"/>
  <c r="G63" i="3"/>
  <c r="I63" i="3" s="1"/>
  <c r="H53" i="41"/>
  <c r="I53" i="41" s="1"/>
  <c r="G58" i="31"/>
  <c r="D59" i="31"/>
  <c r="H58" i="31"/>
  <c r="B62" i="25"/>
  <c r="G67" i="6"/>
  <c r="D68" i="6"/>
  <c r="E68" i="6" s="1"/>
  <c r="F68" i="6" s="1"/>
  <c r="B67" i="6"/>
  <c r="H67" i="6"/>
  <c r="G53" i="46"/>
  <c r="E54" i="46"/>
  <c r="D54" i="46"/>
  <c r="H53" i="46"/>
  <c r="E62" i="25"/>
  <c r="F62" i="25" s="1"/>
  <c r="D60" i="29"/>
  <c r="E60" i="29" s="1"/>
  <c r="F60" i="29" s="1"/>
  <c r="G59" i="29"/>
  <c r="H59" i="29"/>
  <c r="F72" i="7"/>
  <c r="B61" i="23"/>
  <c r="F61" i="23"/>
  <c r="H61" i="23" s="1"/>
  <c r="I54" i="42"/>
  <c r="I68" i="4"/>
  <c r="B69" i="4"/>
  <c r="H69" i="4"/>
  <c r="G69" i="4"/>
  <c r="D70" i="4"/>
  <c r="E70" i="4" s="1"/>
  <c r="F70" i="4" s="1"/>
  <c r="G53" i="40"/>
  <c r="D54" i="40"/>
  <c r="H53" i="40"/>
  <c r="H59" i="45"/>
  <c r="D60" i="45"/>
  <c r="G59" i="45"/>
  <c r="B64" i="27"/>
  <c r="H64" i="27"/>
  <c r="B71" i="11"/>
  <c r="G71" i="11"/>
  <c r="I63" i="27"/>
  <c r="F55" i="37"/>
  <c r="B55" i="37"/>
  <c r="I70" i="11"/>
  <c r="H63" i="22"/>
  <c r="D64" i="22"/>
  <c r="E64" i="22" s="1"/>
  <c r="F64" i="22" s="1"/>
  <c r="H71" i="11"/>
  <c r="D72" i="11"/>
  <c r="E72" i="11" s="1"/>
  <c r="E73" i="11" s="1"/>
  <c r="B63" i="22"/>
  <c r="G63" i="22"/>
  <c r="G55" i="38"/>
  <c r="I55" i="38" s="1"/>
  <c r="D56" i="38"/>
  <c r="G64" i="27"/>
  <c r="D65" i="27"/>
  <c r="E65" i="27" s="1"/>
  <c r="F65" i="27" s="1"/>
  <c r="E55" i="42"/>
  <c r="F55" i="42" s="1"/>
  <c r="H55" i="42" s="1"/>
  <c r="B55" i="42"/>
  <c r="E55" i="39"/>
  <c r="F55" i="39" s="1"/>
  <c r="D56" i="39" s="1"/>
  <c r="B55" i="39"/>
  <c r="I62" i="22"/>
  <c r="H53" i="43"/>
  <c r="I53" i="43" s="1"/>
  <c r="D54" i="43"/>
  <c r="D54" i="41"/>
  <c r="E54" i="41"/>
  <c r="I56" i="50" l="1"/>
  <c r="E57" i="50"/>
  <c r="F57" i="50" s="1"/>
  <c r="G57" i="50" s="1"/>
  <c r="H53" i="52"/>
  <c r="I53" i="52" s="1"/>
  <c r="D54" i="52"/>
  <c r="H57" i="50"/>
  <c r="I57" i="50" s="1"/>
  <c r="D58" i="50"/>
  <c r="D67" i="5"/>
  <c r="E67" i="5" s="1"/>
  <c r="F67" i="5" s="1"/>
  <c r="D68" i="5" s="1"/>
  <c r="I59" i="44"/>
  <c r="G66" i="5"/>
  <c r="I66" i="9"/>
  <c r="D61" i="44"/>
  <c r="B61" i="44" s="1"/>
  <c r="B60" i="44"/>
  <c r="H60" i="44"/>
  <c r="G60" i="44"/>
  <c r="I56" i="30"/>
  <c r="E57" i="30"/>
  <c r="F57" i="30" s="1"/>
  <c r="G57" i="30" s="1"/>
  <c r="B57" i="30"/>
  <c r="E62" i="24"/>
  <c r="F62" i="24" s="1"/>
  <c r="G62" i="24" s="1"/>
  <c r="I68" i="8"/>
  <c r="I58" i="31"/>
  <c r="G69" i="8"/>
  <c r="G67" i="9"/>
  <c r="I59" i="29"/>
  <c r="D61" i="28"/>
  <c r="B61" i="28" s="1"/>
  <c r="G60" i="28"/>
  <c r="I60" i="28" s="1"/>
  <c r="H67" i="9"/>
  <c r="H69" i="8"/>
  <c r="E68" i="9"/>
  <c r="F68" i="9" s="1"/>
  <c r="D69" i="9" s="1"/>
  <c r="B68" i="9"/>
  <c r="E70" i="8"/>
  <c r="F70" i="8" s="1"/>
  <c r="H70" i="8" s="1"/>
  <c r="B70" i="8"/>
  <c r="I67" i="6"/>
  <c r="E65" i="3"/>
  <c r="F65" i="3" s="1"/>
  <c r="D66" i="3" s="1"/>
  <c r="B65" i="3"/>
  <c r="B64" i="3"/>
  <c r="H64" i="3"/>
  <c r="G64" i="3"/>
  <c r="G62" i="25"/>
  <c r="D63" i="25"/>
  <c r="D69" i="6"/>
  <c r="E69" i="6" s="1"/>
  <c r="F69" i="6" s="1"/>
  <c r="E59" i="31"/>
  <c r="F59" i="31" s="1"/>
  <c r="B59" i="31"/>
  <c r="I53" i="46"/>
  <c r="B68" i="6"/>
  <c r="H68" i="6"/>
  <c r="G68" i="6"/>
  <c r="B54" i="46"/>
  <c r="F54" i="46"/>
  <c r="H62" i="25"/>
  <c r="G60" i="29"/>
  <c r="D61" i="29"/>
  <c r="E61" i="29" s="1"/>
  <c r="F61" i="29" s="1"/>
  <c r="H72" i="7"/>
  <c r="G72" i="7"/>
  <c r="G73" i="7" s="1"/>
  <c r="B60" i="29"/>
  <c r="H60" i="29"/>
  <c r="G61" i="23"/>
  <c r="I61" i="23" s="1"/>
  <c r="D62" i="23"/>
  <c r="I69" i="4"/>
  <c r="D71" i="4"/>
  <c r="E71" i="4" s="1"/>
  <c r="F71" i="4" s="1"/>
  <c r="I53" i="40"/>
  <c r="I64" i="27"/>
  <c r="B70" i="4"/>
  <c r="H70" i="4"/>
  <c r="G70" i="4"/>
  <c r="I59" i="45"/>
  <c r="H65" i="27"/>
  <c r="D66" i="27"/>
  <c r="E66" i="27" s="1"/>
  <c r="F66" i="27" s="1"/>
  <c r="E56" i="38"/>
  <c r="F56" i="38" s="1"/>
  <c r="H56" i="38" s="1"/>
  <c r="B56" i="38"/>
  <c r="E60" i="45"/>
  <c r="F60" i="45" s="1"/>
  <c r="B60" i="45"/>
  <c r="H64" i="22"/>
  <c r="D65" i="22"/>
  <c r="E65" i="22" s="1"/>
  <c r="F65" i="22" s="1"/>
  <c r="E56" i="39"/>
  <c r="F56" i="39" s="1"/>
  <c r="B56" i="39"/>
  <c r="H55" i="37"/>
  <c r="D56" i="37"/>
  <c r="E56" i="37" s="1"/>
  <c r="G55" i="42"/>
  <c r="I55" i="42" s="1"/>
  <c r="D56" i="42"/>
  <c r="H55" i="39"/>
  <c r="B72" i="11"/>
  <c r="F72" i="11"/>
  <c r="H72" i="11" s="1"/>
  <c r="B64" i="22"/>
  <c r="G64" i="22"/>
  <c r="E54" i="40"/>
  <c r="F54" i="40" s="1"/>
  <c r="G54" i="40" s="1"/>
  <c r="B54" i="40"/>
  <c r="B65" i="27"/>
  <c r="G65" i="27"/>
  <c r="B54" i="41"/>
  <c r="F54" i="41"/>
  <c r="G54" i="41" s="1"/>
  <c r="G55" i="39"/>
  <c r="E54" i="43"/>
  <c r="F54" i="43" s="1"/>
  <c r="G54" i="43" s="1"/>
  <c r="B54" i="43"/>
  <c r="I71" i="11"/>
  <c r="I63" i="22"/>
  <c r="G55" i="37"/>
  <c r="B67" i="5" l="1"/>
  <c r="H67" i="5"/>
  <c r="G67" i="5"/>
  <c r="E58" i="50"/>
  <c r="F58" i="50" s="1"/>
  <c r="B58" i="50"/>
  <c r="E61" i="44"/>
  <c r="F61" i="44" s="1"/>
  <c r="H61" i="44" s="1"/>
  <c r="E54" i="52"/>
  <c r="F54" i="52" s="1"/>
  <c r="B54" i="52"/>
  <c r="E68" i="5"/>
  <c r="F68" i="5" s="1"/>
  <c r="D69" i="5" s="1"/>
  <c r="B68" i="5"/>
  <c r="H62" i="24"/>
  <c r="I62" i="24" s="1"/>
  <c r="I60" i="44"/>
  <c r="D63" i="24"/>
  <c r="E63" i="24" s="1"/>
  <c r="F63" i="24" s="1"/>
  <c r="D64" i="24" s="1"/>
  <c r="H57" i="30"/>
  <c r="I57" i="30" s="1"/>
  <c r="D58" i="30"/>
  <c r="G70" i="8"/>
  <c r="I70" i="8" s="1"/>
  <c r="E61" i="28"/>
  <c r="F61" i="28" s="1"/>
  <c r="G61" i="28" s="1"/>
  <c r="I69" i="8"/>
  <c r="I67" i="9"/>
  <c r="G68" i="9"/>
  <c r="H68" i="9"/>
  <c r="E69" i="9"/>
  <c r="F69" i="9" s="1"/>
  <c r="H69" i="9" s="1"/>
  <c r="B69" i="9"/>
  <c r="D71" i="8"/>
  <c r="E71" i="8" s="1"/>
  <c r="F71" i="8" s="1"/>
  <c r="D72" i="8" s="1"/>
  <c r="B72" i="8" s="1"/>
  <c r="I62" i="25"/>
  <c r="G65" i="3"/>
  <c r="E66" i="3"/>
  <c r="F66" i="3" s="1"/>
  <c r="H66" i="3" s="1"/>
  <c r="B66" i="3"/>
  <c r="I64" i="3"/>
  <c r="H65" i="3"/>
  <c r="G59" i="31"/>
  <c r="D60" i="31"/>
  <c r="E60" i="31" s="1"/>
  <c r="F60" i="31" s="1"/>
  <c r="I68" i="6"/>
  <c r="H69" i="6"/>
  <c r="D70" i="6"/>
  <c r="H59" i="31"/>
  <c r="B69" i="6"/>
  <c r="G69" i="6"/>
  <c r="I60" i="29"/>
  <c r="E63" i="25"/>
  <c r="F63" i="25" s="1"/>
  <c r="G63" i="25" s="1"/>
  <c r="B63" i="25"/>
  <c r="H54" i="46"/>
  <c r="D55" i="46"/>
  <c r="E55" i="46"/>
  <c r="G54" i="46"/>
  <c r="G72" i="11"/>
  <c r="G73" i="11" s="1"/>
  <c r="I72" i="7"/>
  <c r="I73" i="7" s="1"/>
  <c r="H73" i="7"/>
  <c r="G61" i="29"/>
  <c r="D62" i="29"/>
  <c r="B61" i="29"/>
  <c r="H61" i="29"/>
  <c r="E62" i="23"/>
  <c r="F62" i="23" s="1"/>
  <c r="D63" i="23" s="1"/>
  <c r="B62" i="23"/>
  <c r="I70" i="4"/>
  <c r="D72" i="4"/>
  <c r="E72" i="4" s="1"/>
  <c r="E73" i="4" s="1"/>
  <c r="I55" i="37"/>
  <c r="B71" i="4"/>
  <c r="H71" i="4"/>
  <c r="G71" i="4"/>
  <c r="D61" i="45"/>
  <c r="G60" i="45"/>
  <c r="H60" i="45"/>
  <c r="F56" i="37"/>
  <c r="H56" i="37" s="1"/>
  <c r="B56" i="37"/>
  <c r="G56" i="38"/>
  <c r="I56" i="38" s="1"/>
  <c r="D57" i="38"/>
  <c r="E57" i="38"/>
  <c r="I65" i="27"/>
  <c r="B65" i="22"/>
  <c r="G65" i="22"/>
  <c r="I64" i="22"/>
  <c r="I55" i="39"/>
  <c r="H56" i="39"/>
  <c r="D57" i="39"/>
  <c r="E56" i="42"/>
  <c r="F56" i="42" s="1"/>
  <c r="D57" i="42" s="1"/>
  <c r="B56" i="42"/>
  <c r="H54" i="43"/>
  <c r="I54" i="43" s="1"/>
  <c r="D55" i="43"/>
  <c r="H54" i="41"/>
  <c r="I54" i="41" s="1"/>
  <c r="D55" i="41"/>
  <c r="H54" i="40"/>
  <c r="I54" i="40" s="1"/>
  <c r="D55" i="40"/>
  <c r="H66" i="27"/>
  <c r="D67" i="27"/>
  <c r="E67" i="27" s="1"/>
  <c r="F67" i="27" s="1"/>
  <c r="H65" i="22"/>
  <c r="D66" i="22"/>
  <c r="E66" i="22" s="1"/>
  <c r="F66" i="22" s="1"/>
  <c r="H73" i="11"/>
  <c r="G56" i="39"/>
  <c r="B66" i="27"/>
  <c r="G66" i="27"/>
  <c r="D59" i="50" l="1"/>
  <c r="G58" i="50"/>
  <c r="H58" i="50"/>
  <c r="D55" i="52"/>
  <c r="B55" i="52" s="1"/>
  <c r="G54" i="52"/>
  <c r="H54" i="52"/>
  <c r="I58" i="50"/>
  <c r="E59" i="50"/>
  <c r="F59" i="50" s="1"/>
  <c r="B59" i="50"/>
  <c r="E69" i="5"/>
  <c r="F69" i="5" s="1"/>
  <c r="G69" i="5" s="1"/>
  <c r="B69" i="5"/>
  <c r="G61" i="44"/>
  <c r="I61" i="44" s="1"/>
  <c r="D62" i="44"/>
  <c r="E55" i="52"/>
  <c r="B63" i="24"/>
  <c r="H68" i="5"/>
  <c r="G68" i="5"/>
  <c r="H61" i="28"/>
  <c r="I61" i="28" s="1"/>
  <c r="D62" i="28"/>
  <c r="E58" i="30"/>
  <c r="F58" i="30" s="1"/>
  <c r="B58" i="30"/>
  <c r="G66" i="3"/>
  <c r="I66" i="3" s="1"/>
  <c r="G69" i="9"/>
  <c r="I69" i="9" s="1"/>
  <c r="I68" i="9"/>
  <c r="B71" i="8"/>
  <c r="G71" i="8"/>
  <c r="H71" i="8"/>
  <c r="E72" i="8"/>
  <c r="E73" i="8" s="1"/>
  <c r="D70" i="9"/>
  <c r="E70" i="9" s="1"/>
  <c r="F70" i="9" s="1"/>
  <c r="I72" i="11"/>
  <c r="I73" i="11" s="1"/>
  <c r="H62" i="23"/>
  <c r="G63" i="24"/>
  <c r="E64" i="24"/>
  <c r="F64" i="24" s="1"/>
  <c r="D65" i="24" s="1"/>
  <c r="B64" i="24"/>
  <c r="I60" i="45"/>
  <c r="I59" i="31"/>
  <c r="I65" i="3"/>
  <c r="H63" i="24"/>
  <c r="D67" i="3"/>
  <c r="E67" i="3" s="1"/>
  <c r="F67" i="3" s="1"/>
  <c r="D68" i="3" s="1"/>
  <c r="I54" i="46"/>
  <c r="G62" i="23"/>
  <c r="E70" i="6"/>
  <c r="F70" i="6" s="1"/>
  <c r="D71" i="6" s="1"/>
  <c r="B70" i="6"/>
  <c r="D64" i="25"/>
  <c r="E64" i="25" s="1"/>
  <c r="F64" i="25" s="1"/>
  <c r="F55" i="46"/>
  <c r="H55" i="46" s="1"/>
  <c r="B55" i="46"/>
  <c r="D61" i="31"/>
  <c r="E61" i="31" s="1"/>
  <c r="F61" i="31" s="1"/>
  <c r="I69" i="6"/>
  <c r="B60" i="31"/>
  <c r="H60" i="31"/>
  <c r="G60" i="31"/>
  <c r="H63" i="25"/>
  <c r="I63" i="25" s="1"/>
  <c r="I61" i="29"/>
  <c r="E62" i="29"/>
  <c r="F62" i="29" s="1"/>
  <c r="B62" i="29"/>
  <c r="I56" i="39"/>
  <c r="E63" i="23"/>
  <c r="F63" i="23" s="1"/>
  <c r="G63" i="23" s="1"/>
  <c r="B63" i="23"/>
  <c r="G56" i="42"/>
  <c r="B72" i="4"/>
  <c r="F72" i="4"/>
  <c r="H72" i="4" s="1"/>
  <c r="H73" i="4" s="1"/>
  <c r="I71" i="4"/>
  <c r="I65" i="22"/>
  <c r="H56" i="42"/>
  <c r="E55" i="40"/>
  <c r="F55" i="40" s="1"/>
  <c r="G55" i="40" s="1"/>
  <c r="B55" i="40"/>
  <c r="E55" i="43"/>
  <c r="F55" i="43" s="1"/>
  <c r="H55" i="43" s="1"/>
  <c r="B55" i="43"/>
  <c r="E57" i="42"/>
  <c r="F57" i="42" s="1"/>
  <c r="B57" i="42"/>
  <c r="E57" i="39"/>
  <c r="F57" i="39" s="1"/>
  <c r="H57" i="39" s="1"/>
  <c r="B57" i="39"/>
  <c r="H66" i="22"/>
  <c r="D67" i="22"/>
  <c r="E67" i="22" s="1"/>
  <c r="F67" i="22" s="1"/>
  <c r="B66" i="22"/>
  <c r="G66" i="22"/>
  <c r="H67" i="27"/>
  <c r="D68" i="27"/>
  <c r="E68" i="27" s="1"/>
  <c r="F68" i="27" s="1"/>
  <c r="G56" i="37"/>
  <c r="I56" i="37" s="1"/>
  <c r="D57" i="37"/>
  <c r="B67" i="27"/>
  <c r="G67" i="27"/>
  <c r="E61" i="45"/>
  <c r="F61" i="45" s="1"/>
  <c r="B61" i="45"/>
  <c r="B57" i="38"/>
  <c r="F57" i="38"/>
  <c r="H57" i="38" s="1"/>
  <c r="E55" i="41"/>
  <c r="F55" i="41" s="1"/>
  <c r="B55" i="41"/>
  <c r="I66" i="27"/>
  <c r="I54" i="52" l="1"/>
  <c r="D60" i="50"/>
  <c r="E60" i="50" s="1"/>
  <c r="F60" i="50" s="1"/>
  <c r="G59" i="50"/>
  <c r="F55" i="52"/>
  <c r="G55" i="52" s="1"/>
  <c r="H59" i="50"/>
  <c r="I59" i="50" s="1"/>
  <c r="D56" i="52"/>
  <c r="E62" i="44"/>
  <c r="F62" i="44" s="1"/>
  <c r="D63" i="44" s="1"/>
  <c r="B62" i="44"/>
  <c r="D70" i="5"/>
  <c r="E70" i="5" s="1"/>
  <c r="F70" i="5" s="1"/>
  <c r="H69" i="5"/>
  <c r="H58" i="30"/>
  <c r="D59" i="30"/>
  <c r="G58" i="30"/>
  <c r="B62" i="28"/>
  <c r="E62" i="28"/>
  <c r="F62" i="28" s="1"/>
  <c r="I71" i="8"/>
  <c r="I62" i="23"/>
  <c r="B70" i="9"/>
  <c r="H70" i="9"/>
  <c r="G70" i="9"/>
  <c r="D71" i="9"/>
  <c r="F72" i="8"/>
  <c r="G72" i="8" s="1"/>
  <c r="G73" i="8" s="1"/>
  <c r="G70" i="6"/>
  <c r="I63" i="24"/>
  <c r="H64" i="24"/>
  <c r="H63" i="23"/>
  <c r="I63" i="23" s="1"/>
  <c r="E68" i="3"/>
  <c r="F68" i="3" s="1"/>
  <c r="D69" i="3" s="1"/>
  <c r="B68" i="3"/>
  <c r="G64" i="24"/>
  <c r="H70" i="6"/>
  <c r="B67" i="3"/>
  <c r="G67" i="3"/>
  <c r="H67" i="3"/>
  <c r="E65" i="24"/>
  <c r="F65" i="24" s="1"/>
  <c r="H65" i="24" s="1"/>
  <c r="B65" i="24"/>
  <c r="G64" i="25"/>
  <c r="D65" i="25"/>
  <c r="B61" i="31"/>
  <c r="H61" i="31"/>
  <c r="G61" i="31"/>
  <c r="I56" i="42"/>
  <c r="E71" i="6"/>
  <c r="F71" i="6" s="1"/>
  <c r="D72" i="6" s="1"/>
  <c r="B71" i="6"/>
  <c r="G55" i="46"/>
  <c r="I55" i="46" s="1"/>
  <c r="D56" i="46"/>
  <c r="D62" i="31"/>
  <c r="E62" i="31" s="1"/>
  <c r="F62" i="31" s="1"/>
  <c r="I60" i="31"/>
  <c r="B64" i="25"/>
  <c r="H64" i="25"/>
  <c r="G62" i="29"/>
  <c r="D63" i="29"/>
  <c r="H62" i="29"/>
  <c r="G72" i="4"/>
  <c r="G73" i="4" s="1"/>
  <c r="D64" i="23"/>
  <c r="E64" i="23" s="1"/>
  <c r="F64" i="23" s="1"/>
  <c r="H67" i="22"/>
  <c r="D68" i="22"/>
  <c r="E68" i="22" s="1"/>
  <c r="F68" i="22" s="1"/>
  <c r="G57" i="42"/>
  <c r="D58" i="42"/>
  <c r="E58" i="42" s="1"/>
  <c r="H57" i="42"/>
  <c r="H55" i="41"/>
  <c r="D56" i="41"/>
  <c r="E56" i="41" s="1"/>
  <c r="G57" i="39"/>
  <c r="I57" i="39" s="1"/>
  <c r="D58" i="39"/>
  <c r="B68" i="27"/>
  <c r="G68" i="27"/>
  <c r="I67" i="27"/>
  <c r="G55" i="43"/>
  <c r="I55" i="43" s="1"/>
  <c r="D56" i="43"/>
  <c r="H55" i="40"/>
  <c r="I55" i="40" s="1"/>
  <c r="D56" i="40"/>
  <c r="H61" i="45"/>
  <c r="D62" i="45"/>
  <c r="E62" i="45" s="1"/>
  <c r="F62" i="45" s="1"/>
  <c r="D63" i="45" s="1"/>
  <c r="G57" i="38"/>
  <c r="I57" i="38" s="1"/>
  <c r="D58" i="38"/>
  <c r="H68" i="27"/>
  <c r="D69" i="27"/>
  <c r="E69" i="27" s="1"/>
  <c r="F69" i="27" s="1"/>
  <c r="E57" i="37"/>
  <c r="F57" i="37" s="1"/>
  <c r="B57" i="37"/>
  <c r="B67" i="22"/>
  <c r="G67" i="22"/>
  <c r="G55" i="41"/>
  <c r="G61" i="45"/>
  <c r="I66" i="22"/>
  <c r="B60" i="50" l="1"/>
  <c r="H55" i="52"/>
  <c r="I55" i="52" s="1"/>
  <c r="G62" i="44"/>
  <c r="H62" i="44"/>
  <c r="D61" i="50"/>
  <c r="E61" i="50" s="1"/>
  <c r="H60" i="50"/>
  <c r="G60" i="50"/>
  <c r="I62" i="44"/>
  <c r="B70" i="5"/>
  <c r="H70" i="5"/>
  <c r="E63" i="44"/>
  <c r="F63" i="44" s="1"/>
  <c r="D64" i="44" s="1"/>
  <c r="B63" i="44"/>
  <c r="E56" i="52"/>
  <c r="F56" i="52" s="1"/>
  <c r="B56" i="52"/>
  <c r="G70" i="5"/>
  <c r="D71" i="5"/>
  <c r="G62" i="28"/>
  <c r="D63" i="28"/>
  <c r="H62" i="28"/>
  <c r="I58" i="30"/>
  <c r="E59" i="30"/>
  <c r="F59" i="30" s="1"/>
  <c r="G59" i="30" s="1"/>
  <c r="B59" i="30"/>
  <c r="G65" i="24"/>
  <c r="I65" i="24" s="1"/>
  <c r="H68" i="3"/>
  <c r="H72" i="8"/>
  <c r="I72" i="8" s="1"/>
  <c r="I73" i="8" s="1"/>
  <c r="I64" i="25"/>
  <c r="G68" i="3"/>
  <c r="I70" i="6"/>
  <c r="I67" i="3"/>
  <c r="E71" i="9"/>
  <c r="F71" i="9" s="1"/>
  <c r="D72" i="9" s="1"/>
  <c r="B71" i="9"/>
  <c r="I70" i="9"/>
  <c r="H71" i="6"/>
  <c r="I72" i="4"/>
  <c r="I73" i="4" s="1"/>
  <c r="D66" i="24"/>
  <c r="E66" i="24" s="1"/>
  <c r="F66" i="24" s="1"/>
  <c r="D67" i="24" s="1"/>
  <c r="E69" i="3"/>
  <c r="F69" i="3" s="1"/>
  <c r="D70" i="3" s="1"/>
  <c r="B69" i="3"/>
  <c r="I64" i="24"/>
  <c r="G71" i="6"/>
  <c r="I62" i="29"/>
  <c r="G62" i="31"/>
  <c r="D63" i="31"/>
  <c r="E63" i="31" s="1"/>
  <c r="F63" i="31" s="1"/>
  <c r="D64" i="31" s="1"/>
  <c r="B64" i="31" s="1"/>
  <c r="I61" i="31"/>
  <c r="E72" i="6"/>
  <c r="E73" i="6" s="1"/>
  <c r="B72" i="6"/>
  <c r="B62" i="31"/>
  <c r="H62" i="31"/>
  <c r="E56" i="46"/>
  <c r="F56" i="46" s="1"/>
  <c r="B56" i="46"/>
  <c r="E65" i="25"/>
  <c r="F65" i="25" s="1"/>
  <c r="D66" i="25" s="1"/>
  <c r="B65" i="25"/>
  <c r="E63" i="29"/>
  <c r="F63" i="29" s="1"/>
  <c r="D64" i="29" s="1"/>
  <c r="B63" i="29"/>
  <c r="D65" i="23"/>
  <c r="E65" i="23" s="1"/>
  <c r="F65" i="23" s="1"/>
  <c r="D66" i="23" s="1"/>
  <c r="H64" i="23"/>
  <c r="G64" i="23"/>
  <c r="B64" i="23"/>
  <c r="I57" i="42"/>
  <c r="I55" i="41"/>
  <c r="D58" i="37"/>
  <c r="E58" i="37" s="1"/>
  <c r="G57" i="37"/>
  <c r="H68" i="22"/>
  <c r="D69" i="22"/>
  <c r="E69" i="22" s="1"/>
  <c r="F69" i="22" s="1"/>
  <c r="E56" i="40"/>
  <c r="F56" i="40" s="1"/>
  <c r="B56" i="40"/>
  <c r="B56" i="41"/>
  <c r="F56" i="41"/>
  <c r="H56" i="41" s="1"/>
  <c r="E58" i="38"/>
  <c r="F58" i="38" s="1"/>
  <c r="G58" i="38" s="1"/>
  <c r="B58" i="38"/>
  <c r="B58" i="42"/>
  <c r="F58" i="42"/>
  <c r="G58" i="42" s="1"/>
  <c r="I61" i="45"/>
  <c r="E56" i="43"/>
  <c r="F56" i="43" s="1"/>
  <c r="B56" i="43"/>
  <c r="B69" i="27"/>
  <c r="G69" i="27"/>
  <c r="I68" i="27"/>
  <c r="E63" i="45"/>
  <c r="F63" i="45" s="1"/>
  <c r="B63" i="45"/>
  <c r="E58" i="39"/>
  <c r="F58" i="39" s="1"/>
  <c r="H58" i="39" s="1"/>
  <c r="B58" i="39"/>
  <c r="B68" i="22"/>
  <c r="G68" i="22"/>
  <c r="H69" i="27"/>
  <c r="D70" i="27"/>
  <c r="E70" i="27" s="1"/>
  <c r="F70" i="27" s="1"/>
  <c r="H57" i="37"/>
  <c r="B62" i="45"/>
  <c r="G62" i="45"/>
  <c r="H62" i="45"/>
  <c r="I67" i="22"/>
  <c r="D57" i="52" l="1"/>
  <c r="E57" i="52" s="1"/>
  <c r="G56" i="52"/>
  <c r="H56" i="52"/>
  <c r="E64" i="44"/>
  <c r="F64" i="44" s="1"/>
  <c r="G64" i="44" s="1"/>
  <c r="B64" i="44"/>
  <c r="G63" i="44"/>
  <c r="I60" i="50"/>
  <c r="E71" i="5"/>
  <c r="F71" i="5" s="1"/>
  <c r="D72" i="5" s="1"/>
  <c r="B71" i="5"/>
  <c r="H63" i="44"/>
  <c r="B61" i="50"/>
  <c r="F61" i="50"/>
  <c r="G61" i="50" s="1"/>
  <c r="H73" i="8"/>
  <c r="H59" i="30"/>
  <c r="I59" i="30" s="1"/>
  <c r="D60" i="30"/>
  <c r="I68" i="3"/>
  <c r="I62" i="28"/>
  <c r="E63" i="28"/>
  <c r="F63" i="28" s="1"/>
  <c r="D64" i="28" s="1"/>
  <c r="B63" i="28"/>
  <c r="I62" i="31"/>
  <c r="I71" i="6"/>
  <c r="H69" i="3"/>
  <c r="G69" i="3"/>
  <c r="H71" i="9"/>
  <c r="I62" i="45"/>
  <c r="G63" i="29"/>
  <c r="G71" i="9"/>
  <c r="E72" i="9"/>
  <c r="E73" i="9" s="1"/>
  <c r="B72" i="9"/>
  <c r="F58" i="37"/>
  <c r="D59" i="37" s="1"/>
  <c r="B59" i="37" s="1"/>
  <c r="B58" i="37"/>
  <c r="G65" i="25"/>
  <c r="H65" i="25"/>
  <c r="E70" i="3"/>
  <c r="F70" i="3" s="1"/>
  <c r="G70" i="3" s="1"/>
  <c r="B70" i="3"/>
  <c r="E67" i="24"/>
  <c r="F67" i="24" s="1"/>
  <c r="D68" i="24" s="1"/>
  <c r="B67" i="24"/>
  <c r="H63" i="29"/>
  <c r="F72" i="6"/>
  <c r="B66" i="24"/>
  <c r="G66" i="24"/>
  <c r="H66" i="24"/>
  <c r="I57" i="37"/>
  <c r="E64" i="31"/>
  <c r="F64" i="31" s="1"/>
  <c r="D65" i="31" s="1"/>
  <c r="B65" i="31" s="1"/>
  <c r="D57" i="46"/>
  <c r="E57" i="46" s="1"/>
  <c r="G56" i="46"/>
  <c r="H56" i="46"/>
  <c r="E66" i="25"/>
  <c r="F66" i="25" s="1"/>
  <c r="D67" i="25" s="1"/>
  <c r="B66" i="25"/>
  <c r="B63" i="31"/>
  <c r="G63" i="31"/>
  <c r="H63" i="31"/>
  <c r="E64" i="29"/>
  <c r="F64" i="29" s="1"/>
  <c r="B64" i="29"/>
  <c r="E66" i="23"/>
  <c r="F66" i="23" s="1"/>
  <c r="G66" i="23" s="1"/>
  <c r="B66" i="23"/>
  <c r="I64" i="23"/>
  <c r="G65" i="23"/>
  <c r="H65" i="23"/>
  <c r="B65" i="23"/>
  <c r="D57" i="43"/>
  <c r="H56" i="43"/>
  <c r="G56" i="43"/>
  <c r="H56" i="40"/>
  <c r="D57" i="40"/>
  <c r="E57" i="40" s="1"/>
  <c r="G56" i="40"/>
  <c r="B69" i="22"/>
  <c r="G69" i="22"/>
  <c r="H63" i="45"/>
  <c r="D64" i="45"/>
  <c r="H69" i="22"/>
  <c r="D70" i="22"/>
  <c r="E70" i="22" s="1"/>
  <c r="F70" i="22" s="1"/>
  <c r="G58" i="39"/>
  <c r="I58" i="39" s="1"/>
  <c r="D59" i="39"/>
  <c r="I68" i="22"/>
  <c r="G70" i="27"/>
  <c r="D71" i="27"/>
  <c r="G56" i="41"/>
  <c r="I56" i="41" s="1"/>
  <c r="D57" i="41"/>
  <c r="B70" i="27"/>
  <c r="H70" i="27"/>
  <c r="H58" i="38"/>
  <c r="I58" i="38" s="1"/>
  <c r="D59" i="38"/>
  <c r="E59" i="38" s="1"/>
  <c r="H58" i="42"/>
  <c r="I58" i="42" s="1"/>
  <c r="D59" i="42"/>
  <c r="I69" i="27"/>
  <c r="G63" i="45"/>
  <c r="H71" i="5" l="1"/>
  <c r="H64" i="44"/>
  <c r="I64" i="44" s="1"/>
  <c r="G71" i="5"/>
  <c r="H61" i="50"/>
  <c r="F57" i="52"/>
  <c r="D58" i="52" s="1"/>
  <c r="B57" i="52"/>
  <c r="I56" i="52"/>
  <c r="I61" i="50"/>
  <c r="I63" i="44"/>
  <c r="I65" i="25"/>
  <c r="E72" i="5"/>
  <c r="E73" i="5" s="1"/>
  <c r="B72" i="5"/>
  <c r="G57" i="52"/>
  <c r="D62" i="50"/>
  <c r="E62" i="50" s="1"/>
  <c r="D65" i="44"/>
  <c r="E65" i="44" s="1"/>
  <c r="F65" i="44" s="1"/>
  <c r="H63" i="28"/>
  <c r="I69" i="3"/>
  <c r="E64" i="28"/>
  <c r="F64" i="28" s="1"/>
  <c r="G64" i="28" s="1"/>
  <c r="B64" i="28"/>
  <c r="E60" i="30"/>
  <c r="F60" i="30" s="1"/>
  <c r="B60" i="30"/>
  <c r="G63" i="28"/>
  <c r="I71" i="9"/>
  <c r="I63" i="29"/>
  <c r="I66" i="24"/>
  <c r="E65" i="31"/>
  <c r="F65" i="31" s="1"/>
  <c r="D66" i="31" s="1"/>
  <c r="B66" i="31" s="1"/>
  <c r="F72" i="9"/>
  <c r="G72" i="9" s="1"/>
  <c r="G73" i="9" s="1"/>
  <c r="H70" i="3"/>
  <c r="I70" i="3" s="1"/>
  <c r="G66" i="25"/>
  <c r="G58" i="37"/>
  <c r="H58" i="37"/>
  <c r="E59" i="37"/>
  <c r="F59" i="37" s="1"/>
  <c r="G59" i="37" s="1"/>
  <c r="G64" i="31"/>
  <c r="H64" i="31"/>
  <c r="G67" i="24"/>
  <c r="E68" i="24"/>
  <c r="F68" i="24" s="1"/>
  <c r="D69" i="24" s="1"/>
  <c r="B68" i="24"/>
  <c r="H66" i="25"/>
  <c r="H72" i="6"/>
  <c r="G72" i="6"/>
  <c r="G73" i="6" s="1"/>
  <c r="D71" i="3"/>
  <c r="E71" i="3" s="1"/>
  <c r="F71" i="3" s="1"/>
  <c r="D72" i="3" s="1"/>
  <c r="H67" i="24"/>
  <c r="I65" i="23"/>
  <c r="I63" i="31"/>
  <c r="I56" i="46"/>
  <c r="H66" i="23"/>
  <c r="I66" i="23" s="1"/>
  <c r="E67" i="25"/>
  <c r="F67" i="25" s="1"/>
  <c r="D68" i="25" s="1"/>
  <c r="B67" i="25"/>
  <c r="B57" i="46"/>
  <c r="F57" i="46"/>
  <c r="H57" i="46" s="1"/>
  <c r="I56" i="40"/>
  <c r="I63" i="45"/>
  <c r="D65" i="29"/>
  <c r="E65" i="29" s="1"/>
  <c r="F65" i="29" s="1"/>
  <c r="D66" i="29" s="1"/>
  <c r="G64" i="29"/>
  <c r="I69" i="22"/>
  <c r="H64" i="29"/>
  <c r="D67" i="23"/>
  <c r="E67" i="23" s="1"/>
  <c r="F67" i="23" s="1"/>
  <c r="I56" i="43"/>
  <c r="B71" i="27"/>
  <c r="E71" i="27"/>
  <c r="F71" i="27" s="1"/>
  <c r="E64" i="45"/>
  <c r="F64" i="45" s="1"/>
  <c r="G64" i="45" s="1"/>
  <c r="B64" i="45"/>
  <c r="E59" i="42"/>
  <c r="F59" i="42" s="1"/>
  <c r="B59" i="42"/>
  <c r="B59" i="38"/>
  <c r="F59" i="38"/>
  <c r="G59" i="38" s="1"/>
  <c r="H70" i="22"/>
  <c r="D71" i="22"/>
  <c r="E71" i="22" s="1"/>
  <c r="F71" i="22" s="1"/>
  <c r="E59" i="39"/>
  <c r="F59" i="39" s="1"/>
  <c r="B59" i="39"/>
  <c r="B70" i="22"/>
  <c r="G70" i="22"/>
  <c r="E57" i="41"/>
  <c r="F57" i="41" s="1"/>
  <c r="D58" i="41" s="1"/>
  <c r="B57" i="41"/>
  <c r="I70" i="27"/>
  <c r="E57" i="43"/>
  <c r="F57" i="43" s="1"/>
  <c r="H57" i="43" s="1"/>
  <c r="B57" i="43"/>
  <c r="B57" i="40"/>
  <c r="F57" i="40"/>
  <c r="H57" i="52" l="1"/>
  <c r="I57" i="52" s="1"/>
  <c r="I63" i="28"/>
  <c r="F72" i="5"/>
  <c r="D66" i="44"/>
  <c r="E66" i="44" s="1"/>
  <c r="F66" i="44" s="1"/>
  <c r="B65" i="44"/>
  <c r="G65" i="44"/>
  <c r="H65" i="44"/>
  <c r="E58" i="52"/>
  <c r="F58" i="52" s="1"/>
  <c r="D59" i="52" s="1"/>
  <c r="B58" i="52"/>
  <c r="F62" i="50"/>
  <c r="H62" i="50" s="1"/>
  <c r="B62" i="50"/>
  <c r="H65" i="31"/>
  <c r="H64" i="28"/>
  <c r="I64" i="28" s="1"/>
  <c r="G60" i="30"/>
  <c r="D61" i="30"/>
  <c r="G65" i="31"/>
  <c r="H60" i="30"/>
  <c r="D65" i="28"/>
  <c r="E65" i="28" s="1"/>
  <c r="F65" i="28" s="1"/>
  <c r="D66" i="28" s="1"/>
  <c r="E66" i="28" s="1"/>
  <c r="F66" i="28" s="1"/>
  <c r="D67" i="28" s="1"/>
  <c r="E67" i="28" s="1"/>
  <c r="F67" i="28" s="1"/>
  <c r="E66" i="31"/>
  <c r="F66" i="31" s="1"/>
  <c r="D67" i="31" s="1"/>
  <c r="B67" i="31" s="1"/>
  <c r="I66" i="25"/>
  <c r="I64" i="31"/>
  <c r="H72" i="9"/>
  <c r="I58" i="37"/>
  <c r="H68" i="24"/>
  <c r="D60" i="37"/>
  <c r="E60" i="37" s="1"/>
  <c r="F60" i="37" s="1"/>
  <c r="H60" i="37" s="1"/>
  <c r="H59" i="37"/>
  <c r="I59" i="37" s="1"/>
  <c r="I67" i="24"/>
  <c r="G68" i="24"/>
  <c r="E72" i="3"/>
  <c r="E73" i="3" s="1"/>
  <c r="B72" i="3"/>
  <c r="E69" i="24"/>
  <c r="F69" i="24" s="1"/>
  <c r="G69" i="24" s="1"/>
  <c r="B69" i="24"/>
  <c r="B71" i="3"/>
  <c r="H71" i="3"/>
  <c r="G71" i="3"/>
  <c r="H73" i="6"/>
  <c r="I72" i="6"/>
  <c r="I73" i="6" s="1"/>
  <c r="H67" i="25"/>
  <c r="G67" i="25"/>
  <c r="G57" i="46"/>
  <c r="I57" i="46" s="1"/>
  <c r="D58" i="46"/>
  <c r="E68" i="25"/>
  <c r="F68" i="25" s="1"/>
  <c r="D69" i="25" s="1"/>
  <c r="B68" i="25"/>
  <c r="E66" i="29"/>
  <c r="F66" i="29" s="1"/>
  <c r="G66" i="29" s="1"/>
  <c r="B66" i="29"/>
  <c r="I64" i="29"/>
  <c r="B65" i="29"/>
  <c r="H65" i="29"/>
  <c r="G65" i="29"/>
  <c r="D68" i="23"/>
  <c r="E68" i="23" s="1"/>
  <c r="F68" i="23" s="1"/>
  <c r="B67" i="23"/>
  <c r="G67" i="23"/>
  <c r="H67" i="23"/>
  <c r="G57" i="41"/>
  <c r="H59" i="42"/>
  <c r="D60" i="42"/>
  <c r="G59" i="42"/>
  <c r="H59" i="39"/>
  <c r="D60" i="39"/>
  <c r="G59" i="39"/>
  <c r="H71" i="27"/>
  <c r="D72" i="27"/>
  <c r="E72" i="27" s="1"/>
  <c r="E73" i="27" s="1"/>
  <c r="H57" i="41"/>
  <c r="H59" i="38"/>
  <c r="I59" i="38" s="1"/>
  <c r="D60" i="38"/>
  <c r="E58" i="41"/>
  <c r="F58" i="41" s="1"/>
  <c r="B58" i="41"/>
  <c r="G57" i="40"/>
  <c r="D58" i="40"/>
  <c r="E58" i="40" s="1"/>
  <c r="H71" i="22"/>
  <c r="D72" i="22"/>
  <c r="E72" i="22" s="1"/>
  <c r="E73" i="22" s="1"/>
  <c r="G71" i="27"/>
  <c r="G57" i="43"/>
  <c r="I57" i="43" s="1"/>
  <c r="D58" i="43"/>
  <c r="H57" i="40"/>
  <c r="B71" i="22"/>
  <c r="G71" i="22"/>
  <c r="H64" i="45"/>
  <c r="I64" i="45" s="1"/>
  <c r="D65" i="45"/>
  <c r="E65" i="45" s="1"/>
  <c r="F65" i="45" s="1"/>
  <c r="I70" i="22"/>
  <c r="I65" i="44" l="1"/>
  <c r="G72" i="5"/>
  <c r="G73" i="5" s="1"/>
  <c r="H72" i="5"/>
  <c r="H73" i="5" s="1"/>
  <c r="D67" i="44"/>
  <c r="E67" i="44" s="1"/>
  <c r="F67" i="44" s="1"/>
  <c r="E59" i="52"/>
  <c r="F59" i="52" s="1"/>
  <c r="H59" i="52" s="1"/>
  <c r="B59" i="52"/>
  <c r="G62" i="50"/>
  <c r="I62" i="50" s="1"/>
  <c r="D63" i="50"/>
  <c r="E63" i="50" s="1"/>
  <c r="I65" i="31"/>
  <c r="H58" i="52"/>
  <c r="G58" i="52"/>
  <c r="B66" i="44"/>
  <c r="G66" i="44"/>
  <c r="H66" i="44"/>
  <c r="E67" i="31"/>
  <c r="F67" i="31" s="1"/>
  <c r="D68" i="31" s="1"/>
  <c r="B68" i="31" s="1"/>
  <c r="G66" i="31"/>
  <c r="H66" i="31"/>
  <c r="I60" i="30"/>
  <c r="B66" i="28"/>
  <c r="G66" i="28"/>
  <c r="E61" i="30"/>
  <c r="F61" i="30" s="1"/>
  <c r="D62" i="30" s="1"/>
  <c r="B61" i="30"/>
  <c r="B65" i="28"/>
  <c r="G65" i="28"/>
  <c r="H65" i="28"/>
  <c r="H66" i="28"/>
  <c r="B60" i="37"/>
  <c r="I68" i="24"/>
  <c r="H69" i="24"/>
  <c r="I69" i="24" s="1"/>
  <c r="H73" i="9"/>
  <c r="I72" i="9"/>
  <c r="I73" i="9" s="1"/>
  <c r="F72" i="3"/>
  <c r="H72" i="3" s="1"/>
  <c r="H73" i="3" s="1"/>
  <c r="I67" i="25"/>
  <c r="I65" i="29"/>
  <c r="I71" i="3"/>
  <c r="D70" i="24"/>
  <c r="E70" i="24" s="1"/>
  <c r="F70" i="24" s="1"/>
  <c r="D71" i="24" s="1"/>
  <c r="I57" i="41"/>
  <c r="H66" i="29"/>
  <c r="I66" i="29" s="1"/>
  <c r="H68" i="25"/>
  <c r="G68" i="25"/>
  <c r="E69" i="25"/>
  <c r="F69" i="25" s="1"/>
  <c r="D70" i="25" s="1"/>
  <c r="B69" i="25"/>
  <c r="E58" i="46"/>
  <c r="F58" i="46" s="1"/>
  <c r="B58" i="46"/>
  <c r="I67" i="23"/>
  <c r="D67" i="29"/>
  <c r="G68" i="23"/>
  <c r="D69" i="23"/>
  <c r="E69" i="23" s="1"/>
  <c r="F69" i="23" s="1"/>
  <c r="B68" i="23"/>
  <c r="H68" i="23"/>
  <c r="I59" i="42"/>
  <c r="D66" i="45"/>
  <c r="E66" i="45" s="1"/>
  <c r="F66" i="45" s="1"/>
  <c r="D67" i="45" s="1"/>
  <c r="H67" i="28"/>
  <c r="D68" i="28"/>
  <c r="E68" i="28" s="1"/>
  <c r="F68" i="28" s="1"/>
  <c r="G58" i="41"/>
  <c r="D59" i="41"/>
  <c r="H58" i="41"/>
  <c r="E60" i="38"/>
  <c r="F60" i="38" s="1"/>
  <c r="H60" i="38" s="1"/>
  <c r="B60" i="38"/>
  <c r="E60" i="39"/>
  <c r="F60" i="39" s="1"/>
  <c r="B60" i="39"/>
  <c r="B72" i="22"/>
  <c r="F72" i="22"/>
  <c r="H72" i="22" s="1"/>
  <c r="F58" i="40"/>
  <c r="G58" i="40" s="1"/>
  <c r="B58" i="40"/>
  <c r="I71" i="22"/>
  <c r="E60" i="42"/>
  <c r="F60" i="42" s="1"/>
  <c r="H60" i="42" s="1"/>
  <c r="B60" i="42"/>
  <c r="B65" i="45"/>
  <c r="H65" i="45"/>
  <c r="G65" i="45"/>
  <c r="B67" i="28"/>
  <c r="G67" i="28"/>
  <c r="B72" i="27"/>
  <c r="F72" i="27"/>
  <c r="H72" i="27" s="1"/>
  <c r="I71" i="27"/>
  <c r="E58" i="43"/>
  <c r="F58" i="43" s="1"/>
  <c r="B58" i="43"/>
  <c r="G60" i="37"/>
  <c r="I60" i="37" s="1"/>
  <c r="D61" i="37"/>
  <c r="I57" i="40"/>
  <c r="I59" i="39"/>
  <c r="E68" i="31" l="1"/>
  <c r="F68" i="31" s="1"/>
  <c r="D69" i="31" s="1"/>
  <c r="G67" i="31"/>
  <c r="I66" i="31"/>
  <c r="H67" i="31"/>
  <c r="I66" i="44"/>
  <c r="I66" i="28"/>
  <c r="G59" i="52"/>
  <c r="I59" i="52" s="1"/>
  <c r="D60" i="52"/>
  <c r="I58" i="52"/>
  <c r="D68" i="44"/>
  <c r="E68" i="44" s="1"/>
  <c r="F68" i="44" s="1"/>
  <c r="B67" i="44"/>
  <c r="G67" i="44"/>
  <c r="H67" i="44"/>
  <c r="H61" i="30"/>
  <c r="F63" i="50"/>
  <c r="D64" i="50" s="1"/>
  <c r="B63" i="50"/>
  <c r="I65" i="28"/>
  <c r="G61" i="30"/>
  <c r="E62" i="30"/>
  <c r="F62" i="30" s="1"/>
  <c r="D63" i="30" s="1"/>
  <c r="B62" i="30"/>
  <c r="I67" i="31"/>
  <c r="G72" i="3"/>
  <c r="G73" i="3" s="1"/>
  <c r="H69" i="25"/>
  <c r="I68" i="23"/>
  <c r="H68" i="31"/>
  <c r="E71" i="24"/>
  <c r="F71" i="24" s="1"/>
  <c r="D72" i="24" s="1"/>
  <c r="B71" i="24"/>
  <c r="H70" i="24"/>
  <c r="G70" i="24"/>
  <c r="B70" i="24"/>
  <c r="G68" i="31"/>
  <c r="G69" i="25"/>
  <c r="H58" i="46"/>
  <c r="D59" i="46"/>
  <c r="G58" i="46"/>
  <c r="E70" i="25"/>
  <c r="F70" i="25" s="1"/>
  <c r="D71" i="25" s="1"/>
  <c r="B70" i="25"/>
  <c r="I68" i="25"/>
  <c r="G72" i="27"/>
  <c r="G73" i="27" s="1"/>
  <c r="E69" i="31"/>
  <c r="F69" i="31" s="1"/>
  <c r="D70" i="31" s="1"/>
  <c r="B69" i="31"/>
  <c r="B67" i="29"/>
  <c r="E67" i="29"/>
  <c r="F67" i="29" s="1"/>
  <c r="D68" i="29" s="1"/>
  <c r="D70" i="23"/>
  <c r="E70" i="23" s="1"/>
  <c r="F70" i="23" s="1"/>
  <c r="G69" i="23"/>
  <c r="B69" i="23"/>
  <c r="H69" i="23"/>
  <c r="H58" i="43"/>
  <c r="D59" i="43"/>
  <c r="G58" i="43"/>
  <c r="E61" i="37"/>
  <c r="F61" i="37" s="1"/>
  <c r="H61" i="37" s="1"/>
  <c r="B61" i="37"/>
  <c r="E59" i="41"/>
  <c r="F59" i="41" s="1"/>
  <c r="G59" i="41" s="1"/>
  <c r="B59" i="41"/>
  <c r="H68" i="28"/>
  <c r="D69" i="28"/>
  <c r="E69" i="28" s="1"/>
  <c r="F69" i="28" s="1"/>
  <c r="H58" i="40"/>
  <c r="I58" i="40" s="1"/>
  <c r="D59" i="40"/>
  <c r="B68" i="28"/>
  <c r="G68" i="28"/>
  <c r="G60" i="42"/>
  <c r="I60" i="42" s="1"/>
  <c r="D61" i="42"/>
  <c r="G72" i="22"/>
  <c r="G73" i="22" s="1"/>
  <c r="G60" i="38"/>
  <c r="I60" i="38" s="1"/>
  <c r="D61" i="38"/>
  <c r="I67" i="28"/>
  <c r="H73" i="27"/>
  <c r="H73" i="22"/>
  <c r="I65" i="45"/>
  <c r="E67" i="45"/>
  <c r="F67" i="45" s="1"/>
  <c r="B67" i="45"/>
  <c r="G60" i="39"/>
  <c r="D61" i="39"/>
  <c r="H60" i="39"/>
  <c r="I58" i="41"/>
  <c r="B66" i="45"/>
  <c r="H66" i="45"/>
  <c r="G66" i="45"/>
  <c r="I67" i="44" l="1"/>
  <c r="G62" i="30"/>
  <c r="G63" i="50"/>
  <c r="H63" i="50"/>
  <c r="B68" i="44"/>
  <c r="G68" i="44"/>
  <c r="H68" i="44"/>
  <c r="E64" i="50"/>
  <c r="F64" i="50" s="1"/>
  <c r="H64" i="50" s="1"/>
  <c r="B64" i="50"/>
  <c r="E60" i="52"/>
  <c r="F60" i="52" s="1"/>
  <c r="H60" i="52" s="1"/>
  <c r="B60" i="52"/>
  <c r="D69" i="44"/>
  <c r="E69" i="44" s="1"/>
  <c r="F69" i="44" s="1"/>
  <c r="I61" i="30"/>
  <c r="H62" i="30"/>
  <c r="I62" i="30" s="1"/>
  <c r="E63" i="30"/>
  <c r="F63" i="30" s="1"/>
  <c r="G63" i="30" s="1"/>
  <c r="B63" i="30"/>
  <c r="I72" i="3"/>
  <c r="I73" i="3" s="1"/>
  <c r="H70" i="25"/>
  <c r="G70" i="25"/>
  <c r="I58" i="46"/>
  <c r="I68" i="31"/>
  <c r="I69" i="25"/>
  <c r="G69" i="31"/>
  <c r="H69" i="31"/>
  <c r="I69" i="23"/>
  <c r="I72" i="27"/>
  <c r="I73" i="27" s="1"/>
  <c r="I70" i="24"/>
  <c r="H71" i="24"/>
  <c r="G71" i="24"/>
  <c r="E72" i="24"/>
  <c r="E73" i="24" s="1"/>
  <c r="B72" i="24"/>
  <c r="G67" i="29"/>
  <c r="E71" i="25"/>
  <c r="F71" i="25" s="1"/>
  <c r="D72" i="25" s="1"/>
  <c r="B71" i="25"/>
  <c r="E59" i="46"/>
  <c r="F59" i="46" s="1"/>
  <c r="B59" i="46"/>
  <c r="H67" i="29"/>
  <c r="E70" i="31"/>
  <c r="F70" i="31" s="1"/>
  <c r="D71" i="31" s="1"/>
  <c r="B70" i="31"/>
  <c r="E68" i="29"/>
  <c r="F68" i="29" s="1"/>
  <c r="H68" i="29" s="1"/>
  <c r="B68" i="29"/>
  <c r="D68" i="45"/>
  <c r="B68" i="45" s="1"/>
  <c r="H67" i="45"/>
  <c r="G70" i="23"/>
  <c r="D71" i="23"/>
  <c r="B70" i="23"/>
  <c r="H70" i="23"/>
  <c r="I68" i="28"/>
  <c r="E61" i="39"/>
  <c r="F61" i="39" s="1"/>
  <c r="B61" i="39"/>
  <c r="E61" i="38"/>
  <c r="F61" i="38" s="1"/>
  <c r="B61" i="38"/>
  <c r="B69" i="28"/>
  <c r="G69" i="28"/>
  <c r="I66" i="45"/>
  <c r="G67" i="45"/>
  <c r="G61" i="37"/>
  <c r="I61" i="37" s="1"/>
  <c r="D62" i="37"/>
  <c r="I58" i="43"/>
  <c r="E59" i="40"/>
  <c r="F59" i="40" s="1"/>
  <c r="B59" i="40"/>
  <c r="I72" i="22"/>
  <c r="I73" i="22" s="1"/>
  <c r="E59" i="43"/>
  <c r="F59" i="43" s="1"/>
  <c r="H59" i="43" s="1"/>
  <c r="B59" i="43"/>
  <c r="I60" i="39"/>
  <c r="E61" i="42"/>
  <c r="F61" i="42" s="1"/>
  <c r="B61" i="42"/>
  <c r="H69" i="28"/>
  <c r="D70" i="28"/>
  <c r="E70" i="28" s="1"/>
  <c r="F70" i="28" s="1"/>
  <c r="H59" i="41"/>
  <c r="I59" i="41" s="1"/>
  <c r="D60" i="41"/>
  <c r="I63" i="50" l="1"/>
  <c r="H63" i="30"/>
  <c r="I63" i="30" s="1"/>
  <c r="G64" i="50"/>
  <c r="I64" i="50" s="1"/>
  <c r="D65" i="50"/>
  <c r="E65" i="50" s="1"/>
  <c r="F65" i="50" s="1"/>
  <c r="B69" i="44"/>
  <c r="H69" i="44"/>
  <c r="G69" i="44"/>
  <c r="D70" i="44"/>
  <c r="I68" i="44"/>
  <c r="G60" i="52"/>
  <c r="I60" i="52" s="1"/>
  <c r="D61" i="52"/>
  <c r="D64" i="30"/>
  <c r="E64" i="30" s="1"/>
  <c r="F64" i="30" s="1"/>
  <c r="I70" i="25"/>
  <c r="I69" i="31"/>
  <c r="H71" i="25"/>
  <c r="F72" i="24"/>
  <c r="H72" i="24" s="1"/>
  <c r="H73" i="24" s="1"/>
  <c r="I67" i="29"/>
  <c r="I71" i="24"/>
  <c r="H70" i="31"/>
  <c r="G71" i="25"/>
  <c r="G70" i="31"/>
  <c r="E68" i="45"/>
  <c r="F68" i="45" s="1"/>
  <c r="D69" i="45" s="1"/>
  <c r="E69" i="45" s="1"/>
  <c r="F69" i="45" s="1"/>
  <c r="D70" i="45" s="1"/>
  <c r="G59" i="46"/>
  <c r="D60" i="46"/>
  <c r="E72" i="25"/>
  <c r="E73" i="25" s="1"/>
  <c r="B72" i="25"/>
  <c r="I67" i="45"/>
  <c r="H59" i="46"/>
  <c r="D69" i="29"/>
  <c r="E69" i="29" s="1"/>
  <c r="F69" i="29" s="1"/>
  <c r="D70" i="29" s="1"/>
  <c r="E71" i="31"/>
  <c r="F71" i="31" s="1"/>
  <c r="D72" i="31" s="1"/>
  <c r="B71" i="31"/>
  <c r="G68" i="29"/>
  <c r="I68" i="29" s="1"/>
  <c r="D62" i="39"/>
  <c r="B62" i="39" s="1"/>
  <c r="H61" i="39"/>
  <c r="I70" i="23"/>
  <c r="E71" i="23"/>
  <c r="F71" i="23" s="1"/>
  <c r="G71" i="23" s="1"/>
  <c r="B71" i="23"/>
  <c r="G61" i="38"/>
  <c r="D62" i="38"/>
  <c r="H61" i="38"/>
  <c r="G59" i="40"/>
  <c r="D60" i="40"/>
  <c r="H59" i="40"/>
  <c r="G70" i="28"/>
  <c r="D71" i="28"/>
  <c r="E71" i="28" s="1"/>
  <c r="F71" i="28" s="1"/>
  <c r="H61" i="42"/>
  <c r="D62" i="42"/>
  <c r="G61" i="42"/>
  <c r="G61" i="39"/>
  <c r="E60" i="41"/>
  <c r="F60" i="41" s="1"/>
  <c r="B60" i="41"/>
  <c r="B70" i="28"/>
  <c r="H70" i="28"/>
  <c r="I69" i="28"/>
  <c r="G59" i="43"/>
  <c r="I59" i="43" s="1"/>
  <c r="D60" i="43"/>
  <c r="E62" i="37"/>
  <c r="F62" i="37" s="1"/>
  <c r="B62" i="37"/>
  <c r="D66" i="50" l="1"/>
  <c r="E66" i="50" s="1"/>
  <c r="B70" i="44"/>
  <c r="I69" i="44"/>
  <c r="E61" i="52"/>
  <c r="F61" i="52" s="1"/>
  <c r="B61" i="52"/>
  <c r="B65" i="50"/>
  <c r="H65" i="50"/>
  <c r="G65" i="50"/>
  <c r="E70" i="44"/>
  <c r="F70" i="44" s="1"/>
  <c r="G64" i="30"/>
  <c r="D65" i="30"/>
  <c r="B64" i="30"/>
  <c r="H64" i="30"/>
  <c r="G72" i="24"/>
  <c r="G73" i="24" s="1"/>
  <c r="I71" i="25"/>
  <c r="I59" i="46"/>
  <c r="F72" i="25"/>
  <c r="H72" i="25" s="1"/>
  <c r="H71" i="23"/>
  <c r="I71" i="23" s="1"/>
  <c r="I70" i="31"/>
  <c r="I70" i="28"/>
  <c r="G68" i="45"/>
  <c r="H68" i="45"/>
  <c r="I61" i="39"/>
  <c r="E62" i="39"/>
  <c r="F62" i="39" s="1"/>
  <c r="G62" i="39" s="1"/>
  <c r="H73" i="25"/>
  <c r="E60" i="46"/>
  <c r="F60" i="46" s="1"/>
  <c r="D61" i="46" s="1"/>
  <c r="B60" i="46"/>
  <c r="I61" i="38"/>
  <c r="H71" i="31"/>
  <c r="E70" i="29"/>
  <c r="F70" i="29" s="1"/>
  <c r="D71" i="29" s="1"/>
  <c r="B70" i="29"/>
  <c r="E72" i="31"/>
  <c r="E73" i="31" s="1"/>
  <c r="B72" i="31"/>
  <c r="B69" i="29"/>
  <c r="G69" i="29"/>
  <c r="H69" i="29"/>
  <c r="I59" i="40"/>
  <c r="G71" i="31"/>
  <c r="D72" i="23"/>
  <c r="E72" i="23" s="1"/>
  <c r="E73" i="23" s="1"/>
  <c r="H60" i="41"/>
  <c r="D61" i="41"/>
  <c r="G60" i="41"/>
  <c r="H71" i="28"/>
  <c r="D72" i="28"/>
  <c r="E72" i="28" s="1"/>
  <c r="E73" i="28" s="1"/>
  <c r="G62" i="37"/>
  <c r="D63" i="37"/>
  <c r="E63" i="37" s="1"/>
  <c r="F63" i="37" s="1"/>
  <c r="H62" i="37"/>
  <c r="E70" i="45"/>
  <c r="F70" i="45" s="1"/>
  <c r="B70" i="45"/>
  <c r="E60" i="40"/>
  <c r="F60" i="40" s="1"/>
  <c r="B60" i="40"/>
  <c r="B69" i="45"/>
  <c r="G69" i="45"/>
  <c r="H69" i="45"/>
  <c r="E60" i="43"/>
  <c r="F60" i="43" s="1"/>
  <c r="G60" i="43" s="1"/>
  <c r="B60" i="43"/>
  <c r="I61" i="42"/>
  <c r="E62" i="42"/>
  <c r="F62" i="42" s="1"/>
  <c r="B62" i="42"/>
  <c r="E62" i="38"/>
  <c r="F62" i="38" s="1"/>
  <c r="B62" i="38"/>
  <c r="B71" i="28"/>
  <c r="G71" i="28"/>
  <c r="D62" i="52" l="1"/>
  <c r="G61" i="52"/>
  <c r="H61" i="52"/>
  <c r="D71" i="44"/>
  <c r="E71" i="44" s="1"/>
  <c r="F71" i="44" s="1"/>
  <c r="I65" i="50"/>
  <c r="H70" i="44"/>
  <c r="G70" i="44"/>
  <c r="I64" i="30"/>
  <c r="B66" i="50"/>
  <c r="F66" i="50"/>
  <c r="G66" i="50" s="1"/>
  <c r="E65" i="30"/>
  <c r="F65" i="30" s="1"/>
  <c r="D66" i="30" s="1"/>
  <c r="B65" i="30"/>
  <c r="H70" i="29"/>
  <c r="I72" i="24"/>
  <c r="I73" i="24" s="1"/>
  <c r="D63" i="39"/>
  <c r="B63" i="39" s="1"/>
  <c r="H62" i="39"/>
  <c r="I62" i="39" s="1"/>
  <c r="H60" i="46"/>
  <c r="G72" i="25"/>
  <c r="G73" i="25" s="1"/>
  <c r="G60" i="46"/>
  <c r="I68" i="45"/>
  <c r="I60" i="41"/>
  <c r="I69" i="29"/>
  <c r="G70" i="29"/>
  <c r="E61" i="46"/>
  <c r="F61" i="46" s="1"/>
  <c r="D62" i="46" s="1"/>
  <c r="B61" i="46"/>
  <c r="F72" i="31"/>
  <c r="E71" i="29"/>
  <c r="F71" i="29" s="1"/>
  <c r="H71" i="29" s="1"/>
  <c r="B71" i="29"/>
  <c r="I71" i="31"/>
  <c r="B72" i="23"/>
  <c r="F72" i="23"/>
  <c r="H72" i="23" s="1"/>
  <c r="H60" i="40"/>
  <c r="D61" i="40"/>
  <c r="G60" i="40"/>
  <c r="G62" i="38"/>
  <c r="D63" i="38"/>
  <c r="H62" i="38"/>
  <c r="H70" i="45"/>
  <c r="D71" i="45"/>
  <c r="G70" i="45"/>
  <c r="H62" i="42"/>
  <c r="D63" i="42"/>
  <c r="E63" i="42" s="1"/>
  <c r="F63" i="42" s="1"/>
  <c r="D64" i="42" s="1"/>
  <c r="G62" i="42"/>
  <c r="B63" i="37"/>
  <c r="H63" i="37"/>
  <c r="G63" i="37"/>
  <c r="B72" i="28"/>
  <c r="F72" i="28"/>
  <c r="G72" i="28" s="1"/>
  <c r="G73" i="28" s="1"/>
  <c r="I71" i="28"/>
  <c r="H60" i="43"/>
  <c r="I60" i="43" s="1"/>
  <c r="D61" i="43"/>
  <c r="I62" i="37"/>
  <c r="E61" i="41"/>
  <c r="F61" i="41" s="1"/>
  <c r="B61" i="41"/>
  <c r="I69" i="45"/>
  <c r="D64" i="37"/>
  <c r="H65" i="30" l="1"/>
  <c r="I61" i="52"/>
  <c r="D72" i="44"/>
  <c r="E72" i="44" s="1"/>
  <c r="E73" i="44" s="1"/>
  <c r="B71" i="44"/>
  <c r="H71" i="44"/>
  <c r="G71" i="44"/>
  <c r="I70" i="44"/>
  <c r="H66" i="50"/>
  <c r="I66" i="50" s="1"/>
  <c r="D67" i="50"/>
  <c r="I70" i="29"/>
  <c r="E62" i="52"/>
  <c r="F62" i="52" s="1"/>
  <c r="B62" i="52"/>
  <c r="E63" i="39"/>
  <c r="F63" i="39" s="1"/>
  <c r="G63" i="39" s="1"/>
  <c r="I60" i="46"/>
  <c r="G65" i="30"/>
  <c r="I65" i="30" s="1"/>
  <c r="E66" i="30"/>
  <c r="F66" i="30" s="1"/>
  <c r="D67" i="30" s="1"/>
  <c r="B66" i="30"/>
  <c r="I72" i="25"/>
  <c r="I73" i="25" s="1"/>
  <c r="G61" i="46"/>
  <c r="H61" i="46"/>
  <c r="E62" i="46"/>
  <c r="F62" i="46" s="1"/>
  <c r="H62" i="46" s="1"/>
  <c r="B62" i="46"/>
  <c r="G71" i="29"/>
  <c r="I71" i="29" s="1"/>
  <c r="I60" i="40"/>
  <c r="G72" i="23"/>
  <c r="G73" i="23" s="1"/>
  <c r="D72" i="29"/>
  <c r="E72" i="29" s="1"/>
  <c r="E73" i="29" s="1"/>
  <c r="G72" i="31"/>
  <c r="G73" i="31" s="1"/>
  <c r="H72" i="31"/>
  <c r="I63" i="37"/>
  <c r="I62" i="38"/>
  <c r="H73" i="23"/>
  <c r="I62" i="42"/>
  <c r="H61" i="41"/>
  <c r="D62" i="41"/>
  <c r="G61" i="41"/>
  <c r="B64" i="37"/>
  <c r="H72" i="28"/>
  <c r="E71" i="45"/>
  <c r="F71" i="45" s="1"/>
  <c r="B71" i="45"/>
  <c r="E64" i="42"/>
  <c r="F64" i="42" s="1"/>
  <c r="G64" i="42" s="1"/>
  <c r="B64" i="42"/>
  <c r="E63" i="38"/>
  <c r="F63" i="38" s="1"/>
  <c r="B63" i="38"/>
  <c r="B63" i="42"/>
  <c r="G63" i="42"/>
  <c r="H63" i="42"/>
  <c r="E64" i="37"/>
  <c r="F64" i="37" s="1"/>
  <c r="G64" i="37" s="1"/>
  <c r="E61" i="43"/>
  <c r="F61" i="43" s="1"/>
  <c r="B61" i="43"/>
  <c r="E61" i="40"/>
  <c r="F61" i="40" s="1"/>
  <c r="H61" i="40" s="1"/>
  <c r="B61" i="40"/>
  <c r="I70" i="45"/>
  <c r="D63" i="52" l="1"/>
  <c r="E63" i="52" s="1"/>
  <c r="F63" i="52" s="1"/>
  <c r="H62" i="52"/>
  <c r="G62" i="52"/>
  <c r="D64" i="39"/>
  <c r="E64" i="39" s="1"/>
  <c r="F64" i="39" s="1"/>
  <c r="D65" i="39" s="1"/>
  <c r="B65" i="39" s="1"/>
  <c r="I71" i="44"/>
  <c r="H63" i="39"/>
  <c r="I63" i="39" s="1"/>
  <c r="E67" i="50"/>
  <c r="F67" i="50" s="1"/>
  <c r="B67" i="50"/>
  <c r="B72" i="44"/>
  <c r="F72" i="44"/>
  <c r="G72" i="44" s="1"/>
  <c r="G73" i="44" s="1"/>
  <c r="H66" i="30"/>
  <c r="G62" i="46"/>
  <c r="I62" i="46" s="1"/>
  <c r="I61" i="41"/>
  <c r="G66" i="30"/>
  <c r="E67" i="30"/>
  <c r="F67" i="30" s="1"/>
  <c r="D68" i="30" s="1"/>
  <c r="B67" i="30"/>
  <c r="D72" i="45"/>
  <c r="E72" i="45" s="1"/>
  <c r="E73" i="45" s="1"/>
  <c r="G71" i="45"/>
  <c r="I61" i="46"/>
  <c r="I72" i="23"/>
  <c r="I73" i="23" s="1"/>
  <c r="D63" i="46"/>
  <c r="E63" i="46" s="1"/>
  <c r="F63" i="46" s="1"/>
  <c r="I72" i="31"/>
  <c r="I73" i="31" s="1"/>
  <c r="H73" i="31"/>
  <c r="B72" i="29"/>
  <c r="F72" i="29"/>
  <c r="H72" i="29" s="1"/>
  <c r="H64" i="37"/>
  <c r="I64" i="37" s="1"/>
  <c r="D65" i="37"/>
  <c r="G61" i="43"/>
  <c r="D62" i="43"/>
  <c r="G63" i="38"/>
  <c r="D64" i="38"/>
  <c r="I63" i="42"/>
  <c r="H64" i="42"/>
  <c r="I64" i="42" s="1"/>
  <c r="D65" i="42"/>
  <c r="I72" i="28"/>
  <c r="I73" i="28" s="1"/>
  <c r="H73" i="28"/>
  <c r="G61" i="40"/>
  <c r="I61" i="40" s="1"/>
  <c r="D62" i="40"/>
  <c r="E62" i="41"/>
  <c r="F62" i="41" s="1"/>
  <c r="B62" i="41"/>
  <c r="H61" i="43"/>
  <c r="H63" i="38"/>
  <c r="H71" i="45"/>
  <c r="H64" i="39" l="1"/>
  <c r="E65" i="39"/>
  <c r="F65" i="39" s="1"/>
  <c r="B63" i="52"/>
  <c r="H67" i="30"/>
  <c r="H72" i="44"/>
  <c r="H73" i="44" s="1"/>
  <c r="G64" i="39"/>
  <c r="B64" i="39"/>
  <c r="I62" i="52"/>
  <c r="D68" i="50"/>
  <c r="G67" i="50"/>
  <c r="H67" i="50"/>
  <c r="G63" i="52"/>
  <c r="D64" i="52"/>
  <c r="H63" i="52"/>
  <c r="I66" i="30"/>
  <c r="B72" i="45"/>
  <c r="I71" i="45"/>
  <c r="G67" i="30"/>
  <c r="E68" i="30"/>
  <c r="F68" i="30" s="1"/>
  <c r="D69" i="30" s="1"/>
  <c r="B68" i="30"/>
  <c r="G72" i="29"/>
  <c r="G73" i="29" s="1"/>
  <c r="G63" i="46"/>
  <c r="D64" i="46"/>
  <c r="B63" i="46"/>
  <c r="H63" i="46"/>
  <c r="H73" i="29"/>
  <c r="G65" i="39"/>
  <c r="D66" i="39"/>
  <c r="H65" i="39"/>
  <c r="E62" i="43"/>
  <c r="F62" i="43" s="1"/>
  <c r="H62" i="43" s="1"/>
  <c r="B62" i="43"/>
  <c r="E65" i="37"/>
  <c r="F65" i="37" s="1"/>
  <c r="H65" i="37" s="1"/>
  <c r="B65" i="37"/>
  <c r="F72" i="45"/>
  <c r="I63" i="38"/>
  <c r="I64" i="39"/>
  <c r="H62" i="41"/>
  <c r="D63" i="41"/>
  <c r="E65" i="42"/>
  <c r="F65" i="42" s="1"/>
  <c r="B65" i="42"/>
  <c r="I61" i="43"/>
  <c r="E64" i="38"/>
  <c r="F64" i="38" s="1"/>
  <c r="B64" i="38"/>
  <c r="G62" i="41"/>
  <c r="E62" i="40"/>
  <c r="F62" i="40" s="1"/>
  <c r="G62" i="40" s="1"/>
  <c r="B62" i="40"/>
  <c r="I67" i="30" l="1"/>
  <c r="I72" i="44"/>
  <c r="I73" i="44" s="1"/>
  <c r="I67" i="50"/>
  <c r="I63" i="52"/>
  <c r="H68" i="30"/>
  <c r="G68" i="30"/>
  <c r="E64" i="52"/>
  <c r="F64" i="52" s="1"/>
  <c r="G64" i="52" s="1"/>
  <c r="B64" i="52"/>
  <c r="E68" i="50"/>
  <c r="F68" i="50" s="1"/>
  <c r="G68" i="50" s="1"/>
  <c r="B68" i="50"/>
  <c r="I72" i="29"/>
  <c r="I73" i="29" s="1"/>
  <c r="E69" i="30"/>
  <c r="F69" i="30" s="1"/>
  <c r="D70" i="30" s="1"/>
  <c r="B69" i="30"/>
  <c r="I63" i="46"/>
  <c r="E64" i="46"/>
  <c r="F64" i="46" s="1"/>
  <c r="D65" i="46" s="1"/>
  <c r="B64" i="46"/>
  <c r="I65" i="39"/>
  <c r="I62" i="41"/>
  <c r="H65" i="42"/>
  <c r="D66" i="42"/>
  <c r="G65" i="42"/>
  <c r="H64" i="38"/>
  <c r="D65" i="38"/>
  <c r="G64" i="38"/>
  <c r="E63" i="41"/>
  <c r="F63" i="41" s="1"/>
  <c r="G63" i="41" s="1"/>
  <c r="B63" i="41"/>
  <c r="H72" i="45"/>
  <c r="G72" i="45"/>
  <c r="G73" i="45" s="1"/>
  <c r="G62" i="43"/>
  <c r="I62" i="43" s="1"/>
  <c r="D63" i="43"/>
  <c r="G65" i="37"/>
  <c r="I65" i="37" s="1"/>
  <c r="D66" i="37"/>
  <c r="E66" i="39"/>
  <c r="F66" i="39" s="1"/>
  <c r="H66" i="39" s="1"/>
  <c r="B66" i="39"/>
  <c r="H62" i="40"/>
  <c r="I62" i="40" s="1"/>
  <c r="D63" i="40"/>
  <c r="I68" i="30" l="1"/>
  <c r="H68" i="50"/>
  <c r="D69" i="50"/>
  <c r="E69" i="50" s="1"/>
  <c r="F69" i="50" s="1"/>
  <c r="D70" i="50" s="1"/>
  <c r="H64" i="52"/>
  <c r="I64" i="52" s="1"/>
  <c r="D65" i="52"/>
  <c r="I68" i="50"/>
  <c r="H69" i="30"/>
  <c r="G69" i="30"/>
  <c r="E70" i="30"/>
  <c r="F70" i="30" s="1"/>
  <c r="D71" i="30" s="1"/>
  <c r="B70" i="30"/>
  <c r="I64" i="38"/>
  <c r="G64" i="46"/>
  <c r="H64" i="46"/>
  <c r="E65" i="46"/>
  <c r="F65" i="46" s="1"/>
  <c r="H65" i="46" s="1"/>
  <c r="B65" i="46"/>
  <c r="E63" i="43"/>
  <c r="F63" i="43" s="1"/>
  <c r="B63" i="43"/>
  <c r="E66" i="42"/>
  <c r="F66" i="42" s="1"/>
  <c r="G66" i="42" s="1"/>
  <c r="B66" i="42"/>
  <c r="H63" i="41"/>
  <c r="I63" i="41" s="1"/>
  <c r="D64" i="41"/>
  <c r="G66" i="39"/>
  <c r="I66" i="39" s="1"/>
  <c r="D67" i="39"/>
  <c r="E65" i="38"/>
  <c r="F65" i="38" s="1"/>
  <c r="H65" i="38" s="1"/>
  <c r="B65" i="38"/>
  <c r="I72" i="45"/>
  <c r="I73" i="45" s="1"/>
  <c r="H73" i="45"/>
  <c r="E63" i="40"/>
  <c r="F63" i="40" s="1"/>
  <c r="B63" i="40"/>
  <c r="E66" i="37"/>
  <c r="F66" i="37" s="1"/>
  <c r="B66" i="37"/>
  <c r="I65" i="42"/>
  <c r="G70" i="30" l="1"/>
  <c r="E65" i="52"/>
  <c r="B65" i="52"/>
  <c r="F65" i="52"/>
  <c r="D66" i="52" s="1"/>
  <c r="E70" i="50"/>
  <c r="F70" i="50" s="1"/>
  <c r="B70" i="50"/>
  <c r="B69" i="50"/>
  <c r="G69" i="50"/>
  <c r="H69" i="50"/>
  <c r="H70" i="30"/>
  <c r="I64" i="46"/>
  <c r="I69" i="30"/>
  <c r="E71" i="30"/>
  <c r="F71" i="30" s="1"/>
  <c r="D72" i="30" s="1"/>
  <c r="B71" i="30"/>
  <c r="G65" i="46"/>
  <c r="I65" i="46" s="1"/>
  <c r="D66" i="46"/>
  <c r="E66" i="46" s="1"/>
  <c r="F66" i="46" s="1"/>
  <c r="H63" i="43"/>
  <c r="D64" i="43"/>
  <c r="G63" i="43"/>
  <c r="H66" i="37"/>
  <c r="D67" i="37"/>
  <c r="E67" i="37" s="1"/>
  <c r="F67" i="37" s="1"/>
  <c r="D68" i="37" s="1"/>
  <c r="G66" i="37"/>
  <c r="H63" i="40"/>
  <c r="D64" i="40"/>
  <c r="G63" i="40"/>
  <c r="G65" i="38"/>
  <c r="I65" i="38" s="1"/>
  <c r="D66" i="38"/>
  <c r="H66" i="42"/>
  <c r="I66" i="42" s="1"/>
  <c r="D67" i="42"/>
  <c r="E67" i="39"/>
  <c r="F67" i="39" s="1"/>
  <c r="B67" i="39"/>
  <c r="E64" i="41"/>
  <c r="F64" i="41" s="1"/>
  <c r="H64" i="41" s="1"/>
  <c r="B64" i="41"/>
  <c r="I70" i="30" l="1"/>
  <c r="I69" i="50"/>
  <c r="G65" i="52"/>
  <c r="H65" i="52"/>
  <c r="G70" i="50"/>
  <c r="D71" i="50"/>
  <c r="E66" i="52"/>
  <c r="F66" i="52" s="1"/>
  <c r="D67" i="52" s="1"/>
  <c r="B66" i="52"/>
  <c r="H70" i="50"/>
  <c r="H71" i="30"/>
  <c r="G71" i="30"/>
  <c r="E72" i="30"/>
  <c r="E73" i="30" s="1"/>
  <c r="B72" i="30"/>
  <c r="G66" i="46"/>
  <c r="D67" i="46"/>
  <c r="B66" i="46"/>
  <c r="H66" i="46"/>
  <c r="I66" i="37"/>
  <c r="G67" i="39"/>
  <c r="D68" i="39"/>
  <c r="H67" i="39"/>
  <c r="E64" i="40"/>
  <c r="F64" i="40" s="1"/>
  <c r="B64" i="40"/>
  <c r="E67" i="42"/>
  <c r="F67" i="42" s="1"/>
  <c r="G67" i="42" s="1"/>
  <c r="B67" i="42"/>
  <c r="E68" i="37"/>
  <c r="F68" i="37" s="1"/>
  <c r="G68" i="37" s="1"/>
  <c r="B68" i="37"/>
  <c r="G64" i="41"/>
  <c r="I64" i="41" s="1"/>
  <c r="D65" i="41"/>
  <c r="B67" i="37"/>
  <c r="H67" i="37"/>
  <c r="G67" i="37"/>
  <c r="E66" i="38"/>
  <c r="F66" i="38" s="1"/>
  <c r="B66" i="38"/>
  <c r="I63" i="43"/>
  <c r="I63" i="40"/>
  <c r="E64" i="43"/>
  <c r="F64" i="43" s="1"/>
  <c r="B64" i="43"/>
  <c r="I65" i="52" l="1"/>
  <c r="I71" i="30"/>
  <c r="I70" i="50"/>
  <c r="G66" i="52"/>
  <c r="H66" i="52"/>
  <c r="E67" i="52"/>
  <c r="F67" i="52" s="1"/>
  <c r="G67" i="52" s="1"/>
  <c r="B67" i="52"/>
  <c r="E71" i="50"/>
  <c r="F71" i="50" s="1"/>
  <c r="H71" i="50" s="1"/>
  <c r="B71" i="50"/>
  <c r="F72" i="30"/>
  <c r="I66" i="46"/>
  <c r="E67" i="46"/>
  <c r="F67" i="46" s="1"/>
  <c r="D68" i="46" s="1"/>
  <c r="B67" i="46"/>
  <c r="I67" i="39"/>
  <c r="I67" i="37"/>
  <c r="H66" i="38"/>
  <c r="D67" i="38"/>
  <c r="E67" i="38" s="1"/>
  <c r="F67" i="38" s="1"/>
  <c r="G66" i="38"/>
  <c r="G64" i="40"/>
  <c r="D65" i="40"/>
  <c r="H64" i="40"/>
  <c r="G64" i="43"/>
  <c r="D65" i="43"/>
  <c r="H64" i="43"/>
  <c r="H68" i="37"/>
  <c r="I68" i="37" s="1"/>
  <c r="D69" i="37"/>
  <c r="E69" i="37" s="1"/>
  <c r="F69" i="37" s="1"/>
  <c r="D70" i="37" s="1"/>
  <c r="E65" i="41"/>
  <c r="F65" i="41" s="1"/>
  <c r="B65" i="41"/>
  <c r="H67" i="42"/>
  <c r="I67" i="42" s="1"/>
  <c r="D68" i="42"/>
  <c r="E68" i="39"/>
  <c r="F68" i="39" s="1"/>
  <c r="G68" i="39" s="1"/>
  <c r="B68" i="39"/>
  <c r="I66" i="52" l="1"/>
  <c r="G71" i="50"/>
  <c r="D72" i="50"/>
  <c r="H67" i="52"/>
  <c r="I67" i="52" s="1"/>
  <c r="D68" i="52"/>
  <c r="E68" i="52" s="1"/>
  <c r="F68" i="52" s="1"/>
  <c r="D69" i="52" s="1"/>
  <c r="I71" i="50"/>
  <c r="I64" i="43"/>
  <c r="H72" i="30"/>
  <c r="G72" i="30"/>
  <c r="G73" i="30" s="1"/>
  <c r="H67" i="46"/>
  <c r="G67" i="46"/>
  <c r="E68" i="46"/>
  <c r="F68" i="46" s="1"/>
  <c r="G68" i="46" s="1"/>
  <c r="B68" i="46"/>
  <c r="G65" i="41"/>
  <c r="D66" i="41"/>
  <c r="H65" i="41"/>
  <c r="D68" i="38"/>
  <c r="E68" i="38" s="1"/>
  <c r="F68" i="38" s="1"/>
  <c r="D69" i="38" s="1"/>
  <c r="I64" i="40"/>
  <c r="E65" i="43"/>
  <c r="F65" i="43" s="1"/>
  <c r="B65" i="43"/>
  <c r="H68" i="39"/>
  <c r="I68" i="39" s="1"/>
  <c r="E70" i="37"/>
  <c r="F70" i="37" s="1"/>
  <c r="H70" i="37" s="1"/>
  <c r="B70" i="37"/>
  <c r="E65" i="40"/>
  <c r="F65" i="40" s="1"/>
  <c r="B65" i="40"/>
  <c r="E68" i="42"/>
  <c r="F68" i="42" s="1"/>
  <c r="G68" i="42" s="1"/>
  <c r="B68" i="42"/>
  <c r="B69" i="37"/>
  <c r="H69" i="37"/>
  <c r="G69" i="37"/>
  <c r="D69" i="39"/>
  <c r="E69" i="39" s="1"/>
  <c r="F69" i="39" s="1"/>
  <c r="D70" i="39" s="1"/>
  <c r="I66" i="38"/>
  <c r="B67" i="38"/>
  <c r="G67" i="38"/>
  <c r="H67" i="38"/>
  <c r="E69" i="52" l="1"/>
  <c r="F69" i="52" s="1"/>
  <c r="B69" i="52"/>
  <c r="B68" i="52"/>
  <c r="H68" i="52"/>
  <c r="G68" i="52"/>
  <c r="E72" i="50"/>
  <c r="E73" i="50" s="1"/>
  <c r="B72" i="50"/>
  <c r="I72" i="30"/>
  <c r="I73" i="30" s="1"/>
  <c r="H73" i="30"/>
  <c r="I67" i="46"/>
  <c r="H68" i="46"/>
  <c r="I68" i="46" s="1"/>
  <c r="D69" i="46"/>
  <c r="E69" i="46" s="1"/>
  <c r="F69" i="46" s="1"/>
  <c r="I69" i="37"/>
  <c r="E70" i="39"/>
  <c r="F70" i="39" s="1"/>
  <c r="B70" i="39"/>
  <c r="H65" i="43"/>
  <c r="D66" i="43"/>
  <c r="E66" i="43" s="1"/>
  <c r="F66" i="43" s="1"/>
  <c r="D67" i="43" s="1"/>
  <c r="G65" i="43"/>
  <c r="E69" i="38"/>
  <c r="F69" i="38" s="1"/>
  <c r="D70" i="38" s="1"/>
  <c r="B69" i="38"/>
  <c r="H65" i="40"/>
  <c r="D66" i="40"/>
  <c r="I67" i="38"/>
  <c r="H68" i="42"/>
  <c r="I68" i="42" s="1"/>
  <c r="D69" i="42"/>
  <c r="G70" i="37"/>
  <c r="I70" i="37" s="1"/>
  <c r="D71" i="37"/>
  <c r="B68" i="38"/>
  <c r="H68" i="38"/>
  <c r="G68" i="38"/>
  <c r="B69" i="39"/>
  <c r="G69" i="39"/>
  <c r="H69" i="39"/>
  <c r="G65" i="40"/>
  <c r="I65" i="41"/>
  <c r="E66" i="41"/>
  <c r="F66" i="41" s="1"/>
  <c r="B66" i="41"/>
  <c r="D70" i="52" l="1"/>
  <c r="H69" i="52"/>
  <c r="G69" i="52"/>
  <c r="F72" i="50"/>
  <c r="I68" i="52"/>
  <c r="G69" i="46"/>
  <c r="D70" i="46"/>
  <c r="E70" i="46" s="1"/>
  <c r="F70" i="46" s="1"/>
  <c r="B69" i="46"/>
  <c r="H69" i="46"/>
  <c r="I68" i="38"/>
  <c r="I65" i="43"/>
  <c r="D67" i="41"/>
  <c r="G66" i="41"/>
  <c r="H66" i="41"/>
  <c r="E69" i="42"/>
  <c r="F69" i="42" s="1"/>
  <c r="H69" i="42" s="1"/>
  <c r="B69" i="42"/>
  <c r="E70" i="38"/>
  <c r="F70" i="38" s="1"/>
  <c r="B70" i="38"/>
  <c r="G70" i="39"/>
  <c r="D71" i="39"/>
  <c r="B66" i="43"/>
  <c r="G66" i="43"/>
  <c r="H66" i="43"/>
  <c r="E67" i="43"/>
  <c r="F67" i="43" s="1"/>
  <c r="G67" i="43" s="1"/>
  <c r="B67" i="43"/>
  <c r="I65" i="40"/>
  <c r="E71" i="37"/>
  <c r="F71" i="37" s="1"/>
  <c r="B71" i="37"/>
  <c r="H69" i="38"/>
  <c r="E66" i="40"/>
  <c r="F66" i="40" s="1"/>
  <c r="B66" i="40"/>
  <c r="I69" i="39"/>
  <c r="G69" i="38"/>
  <c r="H70" i="39"/>
  <c r="I69" i="52" l="1"/>
  <c r="G72" i="50"/>
  <c r="G73" i="50" s="1"/>
  <c r="H72" i="50"/>
  <c r="E70" i="52"/>
  <c r="F70" i="52" s="1"/>
  <c r="B70" i="52"/>
  <c r="I69" i="46"/>
  <c r="D71" i="46"/>
  <c r="E71" i="46" s="1"/>
  <c r="F71" i="46" s="1"/>
  <c r="G70" i="46"/>
  <c r="B70" i="46"/>
  <c r="H70" i="46"/>
  <c r="I69" i="38"/>
  <c r="I70" i="39"/>
  <c r="I66" i="43"/>
  <c r="H70" i="38"/>
  <c r="D71" i="38"/>
  <c r="G70" i="38"/>
  <c r="D67" i="40"/>
  <c r="G66" i="40"/>
  <c r="H66" i="40"/>
  <c r="G71" i="37"/>
  <c r="D72" i="37"/>
  <c r="E72" i="37" s="1"/>
  <c r="E73" i="37" s="1"/>
  <c r="H71" i="37"/>
  <c r="B67" i="41"/>
  <c r="G69" i="42"/>
  <c r="I69" i="42" s="1"/>
  <c r="D70" i="42"/>
  <c r="E71" i="39"/>
  <c r="F71" i="39" s="1"/>
  <c r="B71" i="39"/>
  <c r="I66" i="41"/>
  <c r="H67" i="43"/>
  <c r="I67" i="43" s="1"/>
  <c r="D68" i="43"/>
  <c r="E67" i="41"/>
  <c r="F67" i="41" s="1"/>
  <c r="D68" i="41" s="1"/>
  <c r="H70" i="52" l="1"/>
  <c r="D71" i="52"/>
  <c r="G70" i="52"/>
  <c r="I72" i="50"/>
  <c r="I73" i="50" s="1"/>
  <c r="H73" i="50"/>
  <c r="I70" i="46"/>
  <c r="D72" i="46"/>
  <c r="E72" i="46" s="1"/>
  <c r="E73" i="46" s="1"/>
  <c r="B71" i="46"/>
  <c r="H71" i="46"/>
  <c r="G71" i="46"/>
  <c r="G67" i="41"/>
  <c r="H67" i="41"/>
  <c r="G71" i="39"/>
  <c r="D72" i="39"/>
  <c r="H71" i="39"/>
  <c r="I66" i="40"/>
  <c r="E68" i="43"/>
  <c r="F68" i="43" s="1"/>
  <c r="H68" i="43" s="1"/>
  <c r="B68" i="43"/>
  <c r="E67" i="40"/>
  <c r="F67" i="40" s="1"/>
  <c r="B67" i="40"/>
  <c r="B70" i="42"/>
  <c r="I71" i="37"/>
  <c r="I70" i="38"/>
  <c r="E68" i="41"/>
  <c r="F68" i="41" s="1"/>
  <c r="B68" i="41"/>
  <c r="E70" i="42"/>
  <c r="F70" i="42" s="1"/>
  <c r="H70" i="42" s="1"/>
  <c r="B72" i="37"/>
  <c r="F72" i="37"/>
  <c r="H72" i="37" s="1"/>
  <c r="E71" i="38"/>
  <c r="F71" i="38" s="1"/>
  <c r="G71" i="38" s="1"/>
  <c r="B71" i="38"/>
  <c r="I70" i="52" l="1"/>
  <c r="E71" i="52"/>
  <c r="F71" i="52" s="1"/>
  <c r="H71" i="52" s="1"/>
  <c r="B71" i="52"/>
  <c r="I71" i="46"/>
  <c r="G72" i="37"/>
  <c r="G73" i="37" s="1"/>
  <c r="B72" i="46"/>
  <c r="F72" i="46"/>
  <c r="G72" i="46" s="1"/>
  <c r="G73" i="46" s="1"/>
  <c r="I67" i="41"/>
  <c r="H67" i="40"/>
  <c r="D68" i="40"/>
  <c r="G67" i="40"/>
  <c r="H68" i="41"/>
  <c r="D69" i="41"/>
  <c r="E69" i="41" s="1"/>
  <c r="F69" i="41" s="1"/>
  <c r="D70" i="41" s="1"/>
  <c r="G68" i="41"/>
  <c r="H73" i="37"/>
  <c r="G68" i="43"/>
  <c r="I68" i="43" s="1"/>
  <c r="D69" i="43"/>
  <c r="G70" i="42"/>
  <c r="I70" i="42" s="1"/>
  <c r="D71" i="42"/>
  <c r="H71" i="38"/>
  <c r="I71" i="38" s="1"/>
  <c r="D72" i="38"/>
  <c r="I71" i="39"/>
  <c r="E72" i="39"/>
  <c r="E73" i="39" s="1"/>
  <c r="B72" i="39"/>
  <c r="G71" i="52" l="1"/>
  <c r="I71" i="52" s="1"/>
  <c r="D72" i="52"/>
  <c r="E72" i="52" s="1"/>
  <c r="E73" i="52" s="1"/>
  <c r="I72" i="37"/>
  <c r="I73" i="37" s="1"/>
  <c r="H72" i="46"/>
  <c r="I72" i="46" s="1"/>
  <c r="I73" i="46" s="1"/>
  <c r="I68" i="41"/>
  <c r="F72" i="39"/>
  <c r="G72" i="39" s="1"/>
  <c r="G73" i="39" s="1"/>
  <c r="E71" i="42"/>
  <c r="F71" i="42" s="1"/>
  <c r="B71" i="42"/>
  <c r="B69" i="41"/>
  <c r="G69" i="41"/>
  <c r="H69" i="41"/>
  <c r="E70" i="41"/>
  <c r="F70" i="41" s="1"/>
  <c r="B70" i="41"/>
  <c r="E69" i="43"/>
  <c r="F69" i="43" s="1"/>
  <c r="G69" i="43" s="1"/>
  <c r="B69" i="43"/>
  <c r="I67" i="40"/>
  <c r="E72" i="38"/>
  <c r="E73" i="38" s="1"/>
  <c r="B72" i="38"/>
  <c r="E68" i="40"/>
  <c r="F68" i="40" s="1"/>
  <c r="B68" i="40"/>
  <c r="H72" i="39" l="1"/>
  <c r="I72" i="39" s="1"/>
  <c r="I73" i="39" s="1"/>
  <c r="F72" i="52"/>
  <c r="H72" i="52" s="1"/>
  <c r="B72" i="52"/>
  <c r="H73" i="46"/>
  <c r="I69" i="41"/>
  <c r="H68" i="40"/>
  <c r="D69" i="40"/>
  <c r="G68" i="40"/>
  <c r="G71" i="42"/>
  <c r="D72" i="42"/>
  <c r="H69" i="43"/>
  <c r="I69" i="43" s="1"/>
  <c r="D70" i="43"/>
  <c r="H70" i="41"/>
  <c r="D71" i="41"/>
  <c r="E71" i="41" s="1"/>
  <c r="F71" i="41" s="1"/>
  <c r="D72" i="41" s="1"/>
  <c r="F72" i="38"/>
  <c r="G70" i="41"/>
  <c r="H71" i="42"/>
  <c r="H73" i="39" l="1"/>
  <c r="G72" i="52"/>
  <c r="G73" i="52" s="1"/>
  <c r="H73" i="52"/>
  <c r="I71" i="42"/>
  <c r="I70" i="41"/>
  <c r="E72" i="41"/>
  <c r="E73" i="41" s="1"/>
  <c r="B72" i="41"/>
  <c r="E70" i="43"/>
  <c r="F70" i="43" s="1"/>
  <c r="G70" i="43" s="1"/>
  <c r="B70" i="43"/>
  <c r="E72" i="42"/>
  <c r="E73" i="42" s="1"/>
  <c r="B72" i="42"/>
  <c r="H72" i="38"/>
  <c r="G72" i="38"/>
  <c r="G73" i="38" s="1"/>
  <c r="B71" i="41"/>
  <c r="H71" i="41"/>
  <c r="G71" i="41"/>
  <c r="I68" i="40"/>
  <c r="E69" i="40"/>
  <c r="F69" i="40" s="1"/>
  <c r="B69" i="40"/>
  <c r="I72" i="52" l="1"/>
  <c r="I73" i="52" s="1"/>
  <c r="F72" i="41"/>
  <c r="H72" i="41" s="1"/>
  <c r="F72" i="42"/>
  <c r="H72" i="42" s="1"/>
  <c r="D70" i="40"/>
  <c r="H69" i="40"/>
  <c r="G69" i="40"/>
  <c r="I71" i="41"/>
  <c r="I72" i="38"/>
  <c r="I73" i="38" s="1"/>
  <c r="H73" i="38"/>
  <c r="H73" i="41"/>
  <c r="H70" i="43"/>
  <c r="I70" i="43" s="1"/>
  <c r="D71" i="43"/>
  <c r="G72" i="42"/>
  <c r="G73" i="42" s="1"/>
  <c r="H73" i="42"/>
  <c r="G72" i="41" l="1"/>
  <c r="G73" i="41" s="1"/>
  <c r="I72" i="42"/>
  <c r="I73" i="42" s="1"/>
  <c r="E70" i="40"/>
  <c r="F70" i="40" s="1"/>
  <c r="B70" i="40"/>
  <c r="E71" i="43"/>
  <c r="F71" i="43" s="1"/>
  <c r="G71" i="43" s="1"/>
  <c r="B71" i="43"/>
  <c r="I69" i="40"/>
  <c r="I72" i="41" l="1"/>
  <c r="I73" i="41" s="1"/>
  <c r="G70" i="40"/>
  <c r="D71" i="40"/>
  <c r="H70" i="40"/>
  <c r="H71" i="43"/>
  <c r="I71" i="43" s="1"/>
  <c r="D72" i="43"/>
  <c r="B71" i="40" l="1"/>
  <c r="E72" i="43"/>
  <c r="E73" i="43" s="1"/>
  <c r="B72" i="43"/>
  <c r="E71" i="40"/>
  <c r="F71" i="40" s="1"/>
  <c r="D72" i="40" s="1"/>
  <c r="I70" i="40"/>
  <c r="F72" i="43" l="1"/>
  <c r="H71" i="40"/>
  <c r="G71" i="40"/>
  <c r="E72" i="40"/>
  <c r="E73" i="40" s="1"/>
  <c r="B72" i="40"/>
  <c r="G72" i="43" l="1"/>
  <c r="G73" i="43" s="1"/>
  <c r="H72" i="43"/>
  <c r="I71" i="40"/>
  <c r="F72" i="40"/>
  <c r="H73" i="43" l="1"/>
  <c r="I72" i="43"/>
  <c r="I73" i="43" s="1"/>
  <c r="H72" i="40"/>
  <c r="G72" i="40"/>
  <c r="G73" i="40" s="1"/>
  <c r="I72" i="40" l="1"/>
  <c r="I73" i="40" s="1"/>
  <c r="H73" i="40"/>
  <c r="F87" i="2" l="1"/>
  <c r="F86" i="2" l="1"/>
  <c r="F88" i="2" s="1"/>
  <c r="F89" i="2" s="1"/>
  <c r="F91" i="2" s="1"/>
  <c r="F92" i="2" s="1"/>
  <c r="F93" i="2" s="1"/>
  <c r="D95" i="56" l="1"/>
  <c r="D95" i="51"/>
  <c r="D95" i="52"/>
  <c r="D95" i="50"/>
  <c r="J96" i="50" s="1"/>
  <c r="D95" i="10"/>
  <c r="J96" i="10" s="1"/>
  <c r="D95" i="38"/>
  <c r="J96" i="38" s="1"/>
  <c r="E105" i="38" s="1"/>
  <c r="D95" i="31"/>
  <c r="J96" i="31" s="1"/>
  <c r="E109" i="31" s="1"/>
  <c r="D95" i="30"/>
  <c r="J96" i="30" s="1"/>
  <c r="D95" i="41"/>
  <c r="J96" i="41" s="1"/>
  <c r="D95" i="25"/>
  <c r="J96" i="25" s="1"/>
  <c r="E113" i="25" s="1"/>
  <c r="D95" i="39"/>
  <c r="J96" i="39" s="1"/>
  <c r="D95" i="42"/>
  <c r="J96" i="42" s="1"/>
  <c r="D95" i="29"/>
  <c r="J96" i="29" s="1"/>
  <c r="D95" i="22"/>
  <c r="J96" i="22" s="1"/>
  <c r="D95" i="8"/>
  <c r="J96" i="8" s="1"/>
  <c r="D95" i="13"/>
  <c r="D95" i="28"/>
  <c r="J96" i="28" s="1"/>
  <c r="E109" i="28" s="1"/>
  <c r="D95" i="27"/>
  <c r="J96" i="27" s="1"/>
  <c r="E110" i="27" s="1"/>
  <c r="D95" i="3"/>
  <c r="J96" i="3" s="1"/>
  <c r="D95" i="46"/>
  <c r="J96" i="46" s="1"/>
  <c r="E103" i="46" s="1"/>
  <c r="D95" i="7"/>
  <c r="J96" i="7" s="1"/>
  <c r="E117" i="7" s="1"/>
  <c r="D95" i="37"/>
  <c r="J96" i="37" s="1"/>
  <c r="E106" i="37" s="1"/>
  <c r="D95" i="43"/>
  <c r="J96" i="43" s="1"/>
  <c r="D95" i="40"/>
  <c r="J96" i="40" s="1"/>
  <c r="D95" i="4"/>
  <c r="J96" i="4" s="1"/>
  <c r="D95" i="44"/>
  <c r="J96" i="44" s="1"/>
  <c r="E104" i="44" s="1"/>
  <c r="D95" i="11"/>
  <c r="J96" i="11" s="1"/>
  <c r="E116" i="11" s="1"/>
  <c r="D95" i="24"/>
  <c r="J96" i="24" s="1"/>
  <c r="D95" i="23"/>
  <c r="J96" i="23" s="1"/>
  <c r="E112" i="23" s="1"/>
  <c r="D95" i="45"/>
  <c r="J96" i="45" s="1"/>
  <c r="E104" i="45" s="1"/>
  <c r="D95" i="6"/>
  <c r="J96" i="6" s="1"/>
  <c r="D95" i="9"/>
  <c r="J96" i="9" s="1"/>
  <c r="E116" i="9" s="1"/>
  <c r="D95" i="5"/>
  <c r="J96" i="5" s="1"/>
  <c r="E100" i="50" l="1"/>
  <c r="F100" i="50" s="1"/>
  <c r="E111" i="24"/>
  <c r="D111" i="24"/>
  <c r="D104" i="44"/>
  <c r="D109" i="29"/>
  <c r="E109" i="29"/>
  <c r="J103" i="42"/>
  <c r="D106" i="37"/>
  <c r="E115" i="6"/>
  <c r="D115" i="6"/>
  <c r="E105" i="41"/>
  <c r="D105" i="41"/>
  <c r="D103" i="46"/>
  <c r="E108" i="30"/>
  <c r="D108" i="30"/>
  <c r="E114" i="4"/>
  <c r="D114" i="4"/>
  <c r="D116" i="11"/>
  <c r="E115" i="8"/>
  <c r="D115" i="8"/>
  <c r="E105" i="40"/>
  <c r="D105" i="40"/>
  <c r="E106" i="39"/>
  <c r="D106" i="39"/>
  <c r="D110" i="27"/>
  <c r="E114" i="3"/>
  <c r="D114" i="3"/>
  <c r="D105" i="38"/>
  <c r="D113" i="25"/>
  <c r="D117" i="7"/>
  <c r="E114" i="5"/>
  <c r="D114" i="5"/>
  <c r="D109" i="31"/>
  <c r="D112" i="23"/>
  <c r="D116" i="9"/>
  <c r="D109" i="28"/>
  <c r="D104" i="45"/>
  <c r="E113" i="22"/>
  <c r="D113" i="22"/>
  <c r="D101" i="50" l="1"/>
  <c r="G100" i="50"/>
  <c r="J103" i="43"/>
  <c r="B109" i="28"/>
  <c r="F109" i="28"/>
  <c r="H109" i="28" s="1"/>
  <c r="M88" i="28" s="1"/>
  <c r="M89" i="28" s="1"/>
  <c r="B115" i="8"/>
  <c r="F115" i="8"/>
  <c r="J116" i="7"/>
  <c r="J114" i="8"/>
  <c r="J104" i="41"/>
  <c r="B104" i="43"/>
  <c r="F106" i="39"/>
  <c r="H106" i="39" s="1"/>
  <c r="M88" i="39" s="1"/>
  <c r="M89" i="39" s="1"/>
  <c r="B106" i="39"/>
  <c r="J105" i="39"/>
  <c r="J115" i="9"/>
  <c r="B109" i="31"/>
  <c r="F109" i="31"/>
  <c r="H109" i="31" s="1"/>
  <c r="M88" i="31" s="1"/>
  <c r="M89" i="31" s="1"/>
  <c r="F113" i="25"/>
  <c r="H113" i="25" s="1"/>
  <c r="M88" i="25" s="1"/>
  <c r="M89" i="25" s="1"/>
  <c r="B113" i="25"/>
  <c r="F114" i="3"/>
  <c r="B114" i="3"/>
  <c r="B106" i="37"/>
  <c r="F106" i="37"/>
  <c r="H106" i="37" s="1"/>
  <c r="M88" i="37" s="1"/>
  <c r="M89" i="37" s="1"/>
  <c r="F104" i="44"/>
  <c r="B104" i="44"/>
  <c r="J108" i="29"/>
  <c r="J113" i="5"/>
  <c r="F105" i="40"/>
  <c r="H105" i="40" s="1"/>
  <c r="M88" i="40" s="1"/>
  <c r="M89" i="40" s="1"/>
  <c r="B105" i="40"/>
  <c r="B116" i="11"/>
  <c r="F116" i="11"/>
  <c r="H116" i="11" s="1"/>
  <c r="M88" i="11" s="1"/>
  <c r="M89" i="11" s="1"/>
  <c r="J107" i="30"/>
  <c r="B105" i="41"/>
  <c r="F105" i="41"/>
  <c r="H105" i="41" s="1"/>
  <c r="M88" i="41" s="1"/>
  <c r="M89" i="41" s="1"/>
  <c r="J105" i="37"/>
  <c r="J108" i="28"/>
  <c r="J113" i="3"/>
  <c r="E117" i="10"/>
  <c r="D117" i="10"/>
  <c r="B116" i="9"/>
  <c r="F116" i="9"/>
  <c r="H116" i="9" s="1"/>
  <c r="M88" i="9" s="1"/>
  <c r="M89" i="9" s="1"/>
  <c r="J109" i="27"/>
  <c r="B108" i="30"/>
  <c r="F108" i="30"/>
  <c r="H108" i="30" s="1"/>
  <c r="M88" i="30" s="1"/>
  <c r="M89" i="30" s="1"/>
  <c r="F111" i="24"/>
  <c r="H111" i="24" s="1"/>
  <c r="M88" i="24" s="1"/>
  <c r="M89" i="24" s="1"/>
  <c r="B111" i="24"/>
  <c r="F117" i="7"/>
  <c r="H117" i="7" s="1"/>
  <c r="M88" i="7" s="1"/>
  <c r="M89" i="7" s="1"/>
  <c r="B117" i="7"/>
  <c r="B114" i="4"/>
  <c r="F114" i="4"/>
  <c r="H114" i="4" s="1"/>
  <c r="M88" i="4" s="1"/>
  <c r="M89" i="4" s="1"/>
  <c r="J103" i="44"/>
  <c r="J108" i="31"/>
  <c r="J103" i="45"/>
  <c r="J112" i="25"/>
  <c r="F114" i="5"/>
  <c r="B114" i="5"/>
  <c r="B105" i="38"/>
  <c r="F105" i="38"/>
  <c r="H105" i="38" s="1"/>
  <c r="M88" i="38" s="1"/>
  <c r="M89" i="38" s="1"/>
  <c r="F110" i="27"/>
  <c r="H110" i="27" s="1"/>
  <c r="B110" i="27"/>
  <c r="J104" i="40"/>
  <c r="J115" i="11"/>
  <c r="B115" i="6"/>
  <c r="F115" i="6"/>
  <c r="H115" i="6" s="1"/>
  <c r="M88" i="6" s="1"/>
  <c r="M89" i="6" s="1"/>
  <c r="B104" i="42"/>
  <c r="J110" i="24"/>
  <c r="F112" i="23"/>
  <c r="H112" i="23" s="1"/>
  <c r="M88" i="23" s="1"/>
  <c r="M89" i="23" s="1"/>
  <c r="B112" i="23"/>
  <c r="J102" i="46"/>
  <c r="F113" i="22"/>
  <c r="H113" i="22" s="1"/>
  <c r="M88" i="22" s="1"/>
  <c r="M89" i="22" s="1"/>
  <c r="B113" i="22"/>
  <c r="B104" i="45"/>
  <c r="F104" i="45"/>
  <c r="H104" i="45" s="1"/>
  <c r="M88" i="45" s="1"/>
  <c r="M89" i="45" s="1"/>
  <c r="J112" i="22"/>
  <c r="J111" i="23"/>
  <c r="J104" i="38"/>
  <c r="M88" i="27"/>
  <c r="M89" i="27" s="1"/>
  <c r="J113" i="4"/>
  <c r="F103" i="46"/>
  <c r="H103" i="46" s="1"/>
  <c r="M88" i="46" s="1"/>
  <c r="M89" i="46" s="1"/>
  <c r="B103" i="46"/>
  <c r="J114" i="6"/>
  <c r="B109" i="29"/>
  <c r="F109" i="29"/>
  <c r="H109" i="29" s="1"/>
  <c r="M88" i="29" s="1"/>
  <c r="M89" i="29" s="1"/>
  <c r="I31" i="17"/>
  <c r="I29" i="17"/>
  <c r="I36" i="17"/>
  <c r="I35" i="17"/>
  <c r="I39" i="17"/>
  <c r="I32" i="17"/>
  <c r="I30" i="17"/>
  <c r="I33" i="17"/>
  <c r="I37" i="17"/>
  <c r="I34" i="17"/>
  <c r="I27" i="17"/>
  <c r="I26" i="17"/>
  <c r="I40" i="17"/>
  <c r="I24" i="17"/>
  <c r="I28" i="17"/>
  <c r="I22" i="17"/>
  <c r="I44" i="17"/>
  <c r="I45" i="17"/>
  <c r="I38" i="17"/>
  <c r="I19" i="17"/>
  <c r="I21" i="17"/>
  <c r="H100" i="50" l="1"/>
  <c r="I100" i="50"/>
  <c r="E101" i="50"/>
  <c r="F101" i="50" s="1"/>
  <c r="B101" i="50"/>
  <c r="D106" i="41"/>
  <c r="G105" i="41"/>
  <c r="I105" i="41" s="1"/>
  <c r="E106" i="41"/>
  <c r="G104" i="45"/>
  <c r="I104" i="45" s="1"/>
  <c r="D105" i="45"/>
  <c r="E105" i="45"/>
  <c r="D116" i="6"/>
  <c r="G115" i="6"/>
  <c r="I115" i="6" s="1"/>
  <c r="N88" i="6" s="1"/>
  <c r="O88" i="6" s="1"/>
  <c r="O89" i="6" s="1"/>
  <c r="E116" i="6"/>
  <c r="G110" i="27"/>
  <c r="I110" i="27" s="1"/>
  <c r="N88" i="27" s="1"/>
  <c r="N89" i="27" s="1"/>
  <c r="D111" i="27"/>
  <c r="E111" i="27"/>
  <c r="D112" i="24"/>
  <c r="G111" i="24"/>
  <c r="I111" i="24" s="1"/>
  <c r="E112" i="24"/>
  <c r="G116" i="9"/>
  <c r="I116" i="9" s="1"/>
  <c r="D117" i="9"/>
  <c r="E117" i="9"/>
  <c r="G112" i="23"/>
  <c r="I112" i="23" s="1"/>
  <c r="D113" i="23"/>
  <c r="E113" i="23"/>
  <c r="D115" i="4"/>
  <c r="G114" i="4"/>
  <c r="I114" i="4" s="1"/>
  <c r="E115" i="4"/>
  <c r="D106" i="40"/>
  <c r="G105" i="40"/>
  <c r="I105" i="40" s="1"/>
  <c r="E106" i="40"/>
  <c r="H104" i="44"/>
  <c r="M88" i="44" s="1"/>
  <c r="M89" i="44" s="1"/>
  <c r="D105" i="44"/>
  <c r="G104" i="44"/>
  <c r="I104" i="44" s="1"/>
  <c r="N88" i="44" s="1"/>
  <c r="N89" i="44" s="1"/>
  <c r="E105" i="44"/>
  <c r="G114" i="3"/>
  <c r="I114" i="3" s="1"/>
  <c r="N88" i="3" s="1"/>
  <c r="D115" i="3"/>
  <c r="E115" i="3"/>
  <c r="D105" i="43"/>
  <c r="E105" i="43"/>
  <c r="G105" i="38"/>
  <c r="I105" i="38" s="1"/>
  <c r="D106" i="38"/>
  <c r="E106" i="38"/>
  <c r="D109" i="30"/>
  <c r="G108" i="30"/>
  <c r="I108" i="30" s="1"/>
  <c r="N88" i="30" s="1"/>
  <c r="O88" i="30" s="1"/>
  <c r="O89" i="30" s="1"/>
  <c r="E109" i="30"/>
  <c r="G113" i="25"/>
  <c r="I113" i="25" s="1"/>
  <c r="D114" i="25"/>
  <c r="E114" i="25"/>
  <c r="H115" i="8"/>
  <c r="M88" i="8" s="1"/>
  <c r="M89" i="8" s="1"/>
  <c r="G115" i="8"/>
  <c r="I115" i="8" s="1"/>
  <c r="N88" i="8" s="1"/>
  <c r="D116" i="8"/>
  <c r="E116" i="8"/>
  <c r="J116" i="10"/>
  <c r="G106" i="37"/>
  <c r="I106" i="37" s="1"/>
  <c r="D107" i="37"/>
  <c r="E107" i="37"/>
  <c r="G114" i="5"/>
  <c r="I114" i="5" s="1"/>
  <c r="N88" i="5" s="1"/>
  <c r="N89" i="5" s="1"/>
  <c r="D115" i="5"/>
  <c r="E115" i="5"/>
  <c r="G113" i="22"/>
  <c r="I113" i="22" s="1"/>
  <c r="D114" i="22"/>
  <c r="E114" i="22"/>
  <c r="H114" i="5"/>
  <c r="M88" i="5" s="1"/>
  <c r="M89" i="5" s="1"/>
  <c r="B117" i="10"/>
  <c r="F117" i="10"/>
  <c r="H117" i="10" s="1"/>
  <c r="M88" i="10" s="1"/>
  <c r="M89" i="10" s="1"/>
  <c r="D110" i="31"/>
  <c r="G109" i="31"/>
  <c r="I109" i="31" s="1"/>
  <c r="N88" i="31" s="1"/>
  <c r="O88" i="31" s="1"/>
  <c r="O89" i="31" s="1"/>
  <c r="E110" i="31"/>
  <c r="D107" i="39"/>
  <c r="G106" i="39"/>
  <c r="I106" i="39" s="1"/>
  <c r="E107" i="39"/>
  <c r="D104" i="46"/>
  <c r="G103" i="46"/>
  <c r="I103" i="46" s="1"/>
  <c r="E104" i="46"/>
  <c r="D110" i="29"/>
  <c r="G109" i="29"/>
  <c r="I109" i="29" s="1"/>
  <c r="N88" i="29" s="1"/>
  <c r="O88" i="29" s="1"/>
  <c r="O89" i="29" s="1"/>
  <c r="E110" i="29"/>
  <c r="D105" i="42"/>
  <c r="E105" i="42"/>
  <c r="D118" i="7"/>
  <c r="G117" i="7"/>
  <c r="I117" i="7" s="1"/>
  <c r="N88" i="7" s="1"/>
  <c r="N89" i="7" s="1"/>
  <c r="E118" i="7"/>
  <c r="D117" i="11"/>
  <c r="G116" i="11"/>
  <c r="I116" i="11" s="1"/>
  <c r="E117" i="11"/>
  <c r="H114" i="3"/>
  <c r="M88" i="3" s="1"/>
  <c r="M89" i="3" s="1"/>
  <c r="G109" i="28"/>
  <c r="I109" i="28" s="1"/>
  <c r="N88" i="28" s="1"/>
  <c r="N89" i="28" s="1"/>
  <c r="D110" i="28"/>
  <c r="E110" i="28"/>
  <c r="I23" i="17"/>
  <c r="I18" i="17"/>
  <c r="I20" i="17"/>
  <c r="I43" i="17"/>
  <c r="I25" i="17"/>
  <c r="O88" i="8" l="1"/>
  <c r="O89" i="8" s="1"/>
  <c r="O88" i="44"/>
  <c r="O89" i="44" s="1"/>
  <c r="O88" i="3"/>
  <c r="O89" i="3" s="1"/>
  <c r="N89" i="3"/>
  <c r="N89" i="8"/>
  <c r="O88" i="27"/>
  <c r="O89" i="27" s="1"/>
  <c r="O88" i="28"/>
  <c r="O89" i="28" s="1"/>
  <c r="N89" i="29"/>
  <c r="O88" i="7"/>
  <c r="O89" i="7" s="1"/>
  <c r="D102" i="50"/>
  <c r="G101" i="50"/>
  <c r="J103" i="46"/>
  <c r="N88" i="46"/>
  <c r="J105" i="40"/>
  <c r="N88" i="40"/>
  <c r="J111" i="24"/>
  <c r="N88" i="24"/>
  <c r="J105" i="41"/>
  <c r="N88" i="41"/>
  <c r="J112" i="23"/>
  <c r="N88" i="23"/>
  <c r="J100" i="50"/>
  <c r="N89" i="6"/>
  <c r="O88" i="5"/>
  <c r="O89" i="5" s="1"/>
  <c r="J106" i="39"/>
  <c r="N88" i="39"/>
  <c r="J104" i="45"/>
  <c r="N88" i="45"/>
  <c r="J114" i="4"/>
  <c r="N88" i="4"/>
  <c r="N89" i="30"/>
  <c r="J113" i="25"/>
  <c r="N88" i="25"/>
  <c r="J105" i="38"/>
  <c r="N88" i="38"/>
  <c r="J106" i="37"/>
  <c r="N88" i="37"/>
  <c r="N89" i="31"/>
  <c r="J116" i="11"/>
  <c r="N88" i="11"/>
  <c r="J113" i="22"/>
  <c r="N88" i="22"/>
  <c r="J116" i="9"/>
  <c r="N88" i="9"/>
  <c r="F115" i="5"/>
  <c r="H115" i="5" s="1"/>
  <c r="B115" i="5"/>
  <c r="F114" i="22"/>
  <c r="B114" i="22"/>
  <c r="J117" i="7"/>
  <c r="B105" i="42"/>
  <c r="F105" i="42"/>
  <c r="H105" i="42" s="1"/>
  <c r="M88" i="42" s="1"/>
  <c r="M89" i="42" s="1"/>
  <c r="J109" i="31"/>
  <c r="B117" i="9"/>
  <c r="F117" i="9"/>
  <c r="H117" i="9" s="1"/>
  <c r="F111" i="27"/>
  <c r="B111" i="27"/>
  <c r="J114" i="3"/>
  <c r="F106" i="40"/>
  <c r="B106" i="40"/>
  <c r="F118" i="7"/>
  <c r="B118" i="7"/>
  <c r="B110" i="31"/>
  <c r="F110" i="31"/>
  <c r="H110" i="31" s="1"/>
  <c r="F116" i="8"/>
  <c r="B116" i="8"/>
  <c r="J110" i="27"/>
  <c r="B115" i="3"/>
  <c r="F115" i="3"/>
  <c r="H115" i="3" s="1"/>
  <c r="J109" i="29"/>
  <c r="J115" i="8"/>
  <c r="J108" i="30"/>
  <c r="J104" i="44"/>
  <c r="B115" i="4"/>
  <c r="F115" i="4"/>
  <c r="H115" i="4" s="1"/>
  <c r="B104" i="46"/>
  <c r="F104" i="46"/>
  <c r="B105" i="45"/>
  <c r="F105" i="45"/>
  <c r="J104" i="42"/>
  <c r="J114" i="5"/>
  <c r="B117" i="11"/>
  <c r="F117" i="11"/>
  <c r="H117" i="11" s="1"/>
  <c r="F110" i="29"/>
  <c r="H110" i="29" s="1"/>
  <c r="B110" i="29"/>
  <c r="G117" i="10"/>
  <c r="I117" i="10" s="1"/>
  <c r="N88" i="10" s="1"/>
  <c r="O88" i="10" s="1"/>
  <c r="O89" i="10" s="1"/>
  <c r="D118" i="10"/>
  <c r="E118" i="10"/>
  <c r="F109" i="30"/>
  <c r="B109" i="30"/>
  <c r="J104" i="43"/>
  <c r="B105" i="44"/>
  <c r="F105" i="44"/>
  <c r="H105" i="44" s="1"/>
  <c r="J115" i="6"/>
  <c r="B107" i="37"/>
  <c r="F107" i="37"/>
  <c r="H107" i="37" s="1"/>
  <c r="F110" i="28"/>
  <c r="H110" i="28" s="1"/>
  <c r="B110" i="28"/>
  <c r="B105" i="43"/>
  <c r="F105" i="43"/>
  <c r="H105" i="43" s="1"/>
  <c r="M88" i="43" s="1"/>
  <c r="M89" i="43" s="1"/>
  <c r="B112" i="24"/>
  <c r="F112" i="24"/>
  <c r="H112" i="24" s="1"/>
  <c r="F116" i="6"/>
  <c r="H116" i="6" s="1"/>
  <c r="B116" i="6"/>
  <c r="F107" i="39"/>
  <c r="H107" i="39" s="1"/>
  <c r="B107" i="39"/>
  <c r="B113" i="23"/>
  <c r="F113" i="23"/>
  <c r="H113" i="23" s="1"/>
  <c r="J109" i="28"/>
  <c r="B114" i="25"/>
  <c r="F114" i="25"/>
  <c r="H114" i="25" s="1"/>
  <c r="B106" i="38"/>
  <c r="F106" i="38"/>
  <c r="H106" i="38" s="1"/>
  <c r="F106" i="41"/>
  <c r="B106" i="41"/>
  <c r="I41" i="17"/>
  <c r="I42" i="17"/>
  <c r="N89" i="45" l="1"/>
  <c r="O88" i="45"/>
  <c r="O89" i="45" s="1"/>
  <c r="N89" i="39"/>
  <c r="O88" i="39"/>
  <c r="O89" i="39" s="1"/>
  <c r="E102" i="50"/>
  <c r="F102" i="50" s="1"/>
  <c r="B102" i="50"/>
  <c r="O88" i="24"/>
  <c r="O89" i="24" s="1"/>
  <c r="N89" i="24"/>
  <c r="N89" i="11"/>
  <c r="O88" i="11"/>
  <c r="O89" i="11" s="1"/>
  <c r="N89" i="41"/>
  <c r="O88" i="41"/>
  <c r="O89" i="41" s="1"/>
  <c r="H101" i="50"/>
  <c r="I101" i="50"/>
  <c r="N89" i="22"/>
  <c r="O88" i="22"/>
  <c r="O89" i="22" s="1"/>
  <c r="N89" i="10"/>
  <c r="O88" i="40"/>
  <c r="O89" i="40" s="1"/>
  <c r="N89" i="40"/>
  <c r="N89" i="25"/>
  <c r="O88" i="25"/>
  <c r="O89" i="25" s="1"/>
  <c r="O88" i="4"/>
  <c r="O89" i="4" s="1"/>
  <c r="N89" i="4"/>
  <c r="N89" i="9"/>
  <c r="O88" i="9"/>
  <c r="O89" i="9" s="1"/>
  <c r="O88" i="38"/>
  <c r="O89" i="38" s="1"/>
  <c r="N89" i="38"/>
  <c r="O88" i="37"/>
  <c r="O89" i="37" s="1"/>
  <c r="N89" i="37"/>
  <c r="N89" i="23"/>
  <c r="O88" i="23"/>
  <c r="O89" i="23" s="1"/>
  <c r="N89" i="46"/>
  <c r="O88" i="46"/>
  <c r="O89" i="46" s="1"/>
  <c r="D107" i="40"/>
  <c r="G106" i="40"/>
  <c r="I106" i="40" s="1"/>
  <c r="E107" i="40"/>
  <c r="H114" i="22"/>
  <c r="G114" i="22"/>
  <c r="I114" i="22" s="1"/>
  <c r="D115" i="22"/>
  <c r="E115" i="22"/>
  <c r="G106" i="41"/>
  <c r="I106" i="41" s="1"/>
  <c r="D107" i="41"/>
  <c r="E107" i="41"/>
  <c r="G109" i="30"/>
  <c r="I109" i="30" s="1"/>
  <c r="D110" i="30"/>
  <c r="E110" i="30"/>
  <c r="G110" i="31"/>
  <c r="I110" i="31" s="1"/>
  <c r="D111" i="31"/>
  <c r="E111" i="31"/>
  <c r="H104" i="46"/>
  <c r="G104" i="46"/>
  <c r="I104" i="46" s="1"/>
  <c r="D105" i="46"/>
  <c r="E105" i="46"/>
  <c r="G106" i="38"/>
  <c r="I106" i="38" s="1"/>
  <c r="J106" i="38" s="1"/>
  <c r="D107" i="38"/>
  <c r="E107" i="38"/>
  <c r="D113" i="24"/>
  <c r="G112" i="24"/>
  <c r="I112" i="24" s="1"/>
  <c r="J112" i="24" s="1"/>
  <c r="E113" i="24"/>
  <c r="D111" i="28"/>
  <c r="G110" i="28"/>
  <c r="I110" i="28" s="1"/>
  <c r="E111" i="28"/>
  <c r="G105" i="44"/>
  <c r="I105" i="44" s="1"/>
  <c r="J105" i="44" s="1"/>
  <c r="D106" i="44"/>
  <c r="E106" i="44"/>
  <c r="F118" i="10"/>
  <c r="H118" i="10" s="1"/>
  <c r="B118" i="10"/>
  <c r="D106" i="42"/>
  <c r="G105" i="42"/>
  <c r="I105" i="42" s="1"/>
  <c r="E106" i="42"/>
  <c r="D116" i="5"/>
  <c r="G115" i="5"/>
  <c r="I115" i="5" s="1"/>
  <c r="E116" i="5"/>
  <c r="J117" i="10"/>
  <c r="H111" i="27"/>
  <c r="G111" i="27"/>
  <c r="I111" i="27" s="1"/>
  <c r="D112" i="27"/>
  <c r="E112" i="27"/>
  <c r="G107" i="37"/>
  <c r="I107" i="37" s="1"/>
  <c r="J107" i="37" s="1"/>
  <c r="D108" i="37"/>
  <c r="E108" i="37"/>
  <c r="D116" i="4"/>
  <c r="G115" i="4"/>
  <c r="I115" i="4" s="1"/>
  <c r="J115" i="4" s="1"/>
  <c r="E116" i="4"/>
  <c r="H118" i="7"/>
  <c r="D119" i="7"/>
  <c r="G118" i="7"/>
  <c r="I118" i="7" s="1"/>
  <c r="E119" i="7"/>
  <c r="G116" i="8"/>
  <c r="I116" i="8" s="1"/>
  <c r="D117" i="8"/>
  <c r="E117" i="8"/>
  <c r="G116" i="6"/>
  <c r="I116" i="6" s="1"/>
  <c r="D117" i="6"/>
  <c r="E117" i="6"/>
  <c r="D118" i="11"/>
  <c r="G117" i="11"/>
  <c r="I117" i="11" s="1"/>
  <c r="J117" i="11" s="1"/>
  <c r="E118" i="11"/>
  <c r="G113" i="23"/>
  <c r="I113" i="23" s="1"/>
  <c r="J113" i="23" s="1"/>
  <c r="D114" i="23"/>
  <c r="E114" i="23"/>
  <c r="D115" i="25"/>
  <c r="G114" i="25"/>
  <c r="I114" i="25" s="1"/>
  <c r="J114" i="25" s="1"/>
  <c r="E115" i="25"/>
  <c r="H106" i="41"/>
  <c r="G107" i="39"/>
  <c r="I107" i="39" s="1"/>
  <c r="J107" i="39" s="1"/>
  <c r="D108" i="39"/>
  <c r="E108" i="39"/>
  <c r="H116" i="8"/>
  <c r="H106" i="40"/>
  <c r="G117" i="9"/>
  <c r="I117" i="9" s="1"/>
  <c r="J117" i="9" s="1"/>
  <c r="D118" i="9"/>
  <c r="E118" i="9"/>
  <c r="G105" i="43"/>
  <c r="I105" i="43" s="1"/>
  <c r="D106" i="43"/>
  <c r="E106" i="43"/>
  <c r="H109" i="30"/>
  <c r="G110" i="29"/>
  <c r="I110" i="29" s="1"/>
  <c r="D111" i="29"/>
  <c r="E111" i="29"/>
  <c r="H105" i="45"/>
  <c r="D106" i="45"/>
  <c r="G105" i="45"/>
  <c r="I105" i="45" s="1"/>
  <c r="E106" i="45"/>
  <c r="D116" i="3"/>
  <c r="G115" i="3"/>
  <c r="I115" i="3" s="1"/>
  <c r="E116" i="3"/>
  <c r="D103" i="50" l="1"/>
  <c r="G102" i="50"/>
  <c r="J105" i="42"/>
  <c r="N88" i="42"/>
  <c r="J105" i="43"/>
  <c r="N88" i="43"/>
  <c r="J101" i="50"/>
  <c r="J104" i="46"/>
  <c r="B106" i="45"/>
  <c r="F106" i="45"/>
  <c r="F106" i="43"/>
  <c r="B106" i="43"/>
  <c r="F118" i="11"/>
  <c r="H118" i="11" s="1"/>
  <c r="B118" i="11"/>
  <c r="J118" i="7"/>
  <c r="J111" i="27"/>
  <c r="B107" i="38"/>
  <c r="F107" i="38"/>
  <c r="H107" i="38" s="1"/>
  <c r="J110" i="31"/>
  <c r="F106" i="42"/>
  <c r="H106" i="42" s="1"/>
  <c r="B106" i="42"/>
  <c r="F115" i="22"/>
  <c r="H115" i="22" s="1"/>
  <c r="B115" i="22"/>
  <c r="F115" i="25"/>
  <c r="B115" i="25"/>
  <c r="F117" i="6"/>
  <c r="H117" i="6" s="1"/>
  <c r="B117" i="6"/>
  <c r="J110" i="28"/>
  <c r="J114" i="22"/>
  <c r="F111" i="28"/>
  <c r="H111" i="28" s="1"/>
  <c r="B111" i="28"/>
  <c r="B105" i="46"/>
  <c r="F105" i="46"/>
  <c r="H105" i="46" s="1"/>
  <c r="B110" i="30"/>
  <c r="F110" i="30"/>
  <c r="H110" i="30" s="1"/>
  <c r="J115" i="3"/>
  <c r="J110" i="29"/>
  <c r="B118" i="9"/>
  <c r="F118" i="9"/>
  <c r="B114" i="23"/>
  <c r="F114" i="23"/>
  <c r="H114" i="23" s="1"/>
  <c r="J109" i="30"/>
  <c r="F119" i="7"/>
  <c r="B119" i="7"/>
  <c r="B111" i="29"/>
  <c r="F111" i="29"/>
  <c r="H111" i="29" s="1"/>
  <c r="J116" i="6"/>
  <c r="F116" i="3"/>
  <c r="B116" i="3"/>
  <c r="B108" i="39"/>
  <c r="F108" i="39"/>
  <c r="H108" i="39" s="1"/>
  <c r="B117" i="8"/>
  <c r="F117" i="8"/>
  <c r="H117" i="8" s="1"/>
  <c r="B116" i="4"/>
  <c r="F116" i="4"/>
  <c r="J115" i="5"/>
  <c r="D119" i="10"/>
  <c r="G118" i="10"/>
  <c r="I118" i="10" s="1"/>
  <c r="E119" i="10"/>
  <c r="J106" i="40"/>
  <c r="B116" i="5"/>
  <c r="F116" i="5"/>
  <c r="H116" i="5" s="1"/>
  <c r="F113" i="24"/>
  <c r="H113" i="24" s="1"/>
  <c r="B113" i="24"/>
  <c r="F107" i="41"/>
  <c r="H107" i="41" s="1"/>
  <c r="B107" i="41"/>
  <c r="F107" i="40"/>
  <c r="H107" i="40" s="1"/>
  <c r="B107" i="40"/>
  <c r="J116" i="8"/>
  <c r="J105" i="45"/>
  <c r="B108" i="37"/>
  <c r="F108" i="37"/>
  <c r="F112" i="27"/>
  <c r="B112" i="27"/>
  <c r="B106" i="44"/>
  <c r="F106" i="44"/>
  <c r="H106" i="44" s="1"/>
  <c r="B111" i="31"/>
  <c r="F111" i="31"/>
  <c r="J106" i="41"/>
  <c r="N89" i="43" l="1"/>
  <c r="O88" i="43"/>
  <c r="O89" i="43" s="1"/>
  <c r="O88" i="42"/>
  <c r="O89" i="42" s="1"/>
  <c r="N89" i="42"/>
  <c r="H102" i="50"/>
  <c r="I102" i="50"/>
  <c r="E103" i="50"/>
  <c r="F103" i="50" s="1"/>
  <c r="B103" i="50"/>
  <c r="D112" i="31"/>
  <c r="G111" i="31"/>
  <c r="I111" i="31" s="1"/>
  <c r="E112" i="31"/>
  <c r="G108" i="37"/>
  <c r="I108" i="37" s="1"/>
  <c r="D109" i="37"/>
  <c r="E109" i="37"/>
  <c r="D117" i="4"/>
  <c r="G116" i="4"/>
  <c r="I116" i="4" s="1"/>
  <c r="E117" i="4"/>
  <c r="D119" i="9"/>
  <c r="G118" i="9"/>
  <c r="I118" i="9" s="1"/>
  <c r="E119" i="9"/>
  <c r="G115" i="25"/>
  <c r="I115" i="25" s="1"/>
  <c r="D116" i="25"/>
  <c r="E116" i="25"/>
  <c r="H116" i="3"/>
  <c r="G116" i="3"/>
  <c r="I116" i="3" s="1"/>
  <c r="D117" i="3"/>
  <c r="E117" i="3"/>
  <c r="D120" i="7"/>
  <c r="G119" i="7"/>
  <c r="I119" i="7" s="1"/>
  <c r="E120" i="7"/>
  <c r="D106" i="46"/>
  <c r="G105" i="46"/>
  <c r="I105" i="46" s="1"/>
  <c r="J105" i="46" s="1"/>
  <c r="E106" i="46"/>
  <c r="D107" i="44"/>
  <c r="G106" i="44"/>
  <c r="I106" i="44" s="1"/>
  <c r="J106" i="44" s="1"/>
  <c r="E107" i="44"/>
  <c r="J118" i="10"/>
  <c r="D118" i="8"/>
  <c r="G117" i="8"/>
  <c r="I117" i="8" s="1"/>
  <c r="E118" i="8"/>
  <c r="D116" i="22"/>
  <c r="G115" i="22"/>
  <c r="I115" i="22" s="1"/>
  <c r="J115" i="22" s="1"/>
  <c r="E116" i="22"/>
  <c r="D108" i="38"/>
  <c r="G107" i="38"/>
  <c r="I107" i="38" s="1"/>
  <c r="J107" i="38" s="1"/>
  <c r="E108" i="38"/>
  <c r="G118" i="11"/>
  <c r="I118" i="11" s="1"/>
  <c r="J118" i="11" s="1"/>
  <c r="D119" i="11"/>
  <c r="E119" i="11"/>
  <c r="F119" i="10"/>
  <c r="H119" i="10" s="1"/>
  <c r="B119" i="10"/>
  <c r="D114" i="24"/>
  <c r="G113" i="24"/>
  <c r="I113" i="24" s="1"/>
  <c r="J113" i="24" s="1"/>
  <c r="E114" i="24"/>
  <c r="D112" i="29"/>
  <c r="G111" i="29"/>
  <c r="I111" i="29" s="1"/>
  <c r="E112" i="29"/>
  <c r="D115" i="23"/>
  <c r="G114" i="23"/>
  <c r="I114" i="23" s="1"/>
  <c r="J114" i="23" s="1"/>
  <c r="E115" i="23"/>
  <c r="D118" i="6"/>
  <c r="G117" i="6"/>
  <c r="I117" i="6" s="1"/>
  <c r="E118" i="6"/>
  <c r="H106" i="43"/>
  <c r="G106" i="43"/>
  <c r="I106" i="43" s="1"/>
  <c r="D107" i="43"/>
  <c r="E107" i="43"/>
  <c r="H112" i="27"/>
  <c r="G112" i="27"/>
  <c r="I112" i="27" s="1"/>
  <c r="D113" i="27"/>
  <c r="E113" i="27"/>
  <c r="D109" i="39"/>
  <c r="G108" i="39"/>
  <c r="I108" i="39" s="1"/>
  <c r="J108" i="39" s="1"/>
  <c r="E109" i="39"/>
  <c r="G111" i="28"/>
  <c r="I111" i="28" s="1"/>
  <c r="D112" i="28"/>
  <c r="E112" i="28"/>
  <c r="H115" i="25"/>
  <c r="G106" i="42"/>
  <c r="I106" i="42" s="1"/>
  <c r="J106" i="42" s="1"/>
  <c r="D107" i="42"/>
  <c r="E107" i="42"/>
  <c r="H106" i="45"/>
  <c r="D107" i="45"/>
  <c r="G106" i="45"/>
  <c r="I106" i="45" s="1"/>
  <c r="E107" i="45"/>
  <c r="G107" i="41"/>
  <c r="I107" i="41" s="1"/>
  <c r="J107" i="41" s="1"/>
  <c r="D108" i="41"/>
  <c r="E108" i="41"/>
  <c r="H111" i="31"/>
  <c r="H108" i="37"/>
  <c r="G107" i="40"/>
  <c r="I107" i="40" s="1"/>
  <c r="J107" i="40" s="1"/>
  <c r="D108" i="40"/>
  <c r="E108" i="40"/>
  <c r="G116" i="5"/>
  <c r="I116" i="5" s="1"/>
  <c r="D117" i="5"/>
  <c r="E117" i="5"/>
  <c r="H116" i="4"/>
  <c r="H119" i="7"/>
  <c r="H118" i="9"/>
  <c r="G110" i="30"/>
  <c r="I110" i="30" s="1"/>
  <c r="D111" i="30"/>
  <c r="E111" i="30"/>
  <c r="J102" i="50" l="1"/>
  <c r="D104" i="50"/>
  <c r="G103" i="50"/>
  <c r="J106" i="45"/>
  <c r="J106" i="43"/>
  <c r="J116" i="5"/>
  <c r="F113" i="27"/>
  <c r="B113" i="27"/>
  <c r="J117" i="6"/>
  <c r="J117" i="8"/>
  <c r="J116" i="4"/>
  <c r="B111" i="30"/>
  <c r="F111" i="30"/>
  <c r="H111" i="30" s="1"/>
  <c r="J112" i="27"/>
  <c r="F118" i="8"/>
  <c r="B118" i="8"/>
  <c r="F117" i="4"/>
  <c r="H117" i="4" s="1"/>
  <c r="B117" i="4"/>
  <c r="J119" i="7"/>
  <c r="J115" i="25"/>
  <c r="B109" i="37"/>
  <c r="F109" i="37"/>
  <c r="B107" i="43"/>
  <c r="F107" i="43"/>
  <c r="H107" i="43" s="1"/>
  <c r="F115" i="23"/>
  <c r="H115" i="23" s="1"/>
  <c r="B115" i="23"/>
  <c r="F120" i="7"/>
  <c r="B120" i="7"/>
  <c r="J108" i="37"/>
  <c r="F118" i="6"/>
  <c r="H118" i="6" s="1"/>
  <c r="B118" i="6"/>
  <c r="F106" i="46"/>
  <c r="H106" i="46" s="1"/>
  <c r="B106" i="46"/>
  <c r="F108" i="40"/>
  <c r="H108" i="40" s="1"/>
  <c r="B108" i="40"/>
  <c r="F107" i="45"/>
  <c r="B107" i="45"/>
  <c r="B108" i="38"/>
  <c r="F108" i="38"/>
  <c r="J118" i="9"/>
  <c r="B112" i="28"/>
  <c r="F112" i="28"/>
  <c r="H112" i="28" s="1"/>
  <c r="F114" i="24"/>
  <c r="H114" i="24" s="1"/>
  <c r="B114" i="24"/>
  <c r="J111" i="28"/>
  <c r="G119" i="10"/>
  <c r="I119" i="10" s="1"/>
  <c r="D120" i="10"/>
  <c r="E120" i="10"/>
  <c r="F107" i="42"/>
  <c r="H107" i="42" s="1"/>
  <c r="B107" i="42"/>
  <c r="B109" i="39"/>
  <c r="F109" i="39"/>
  <c r="J111" i="29"/>
  <c r="B116" i="22"/>
  <c r="F116" i="22"/>
  <c r="F107" i="44"/>
  <c r="H107" i="44" s="1"/>
  <c r="B107" i="44"/>
  <c r="F117" i="3"/>
  <c r="H117" i="3" s="1"/>
  <c r="B117" i="3"/>
  <c r="B119" i="9"/>
  <c r="F119" i="9"/>
  <c r="H119" i="9" s="1"/>
  <c r="J111" i="31"/>
  <c r="J110" i="30"/>
  <c r="F116" i="25"/>
  <c r="H116" i="25" s="1"/>
  <c r="B116" i="25"/>
  <c r="F117" i="5"/>
  <c r="B117" i="5"/>
  <c r="B108" i="41"/>
  <c r="F108" i="41"/>
  <c r="H108" i="41" s="1"/>
  <c r="B112" i="29"/>
  <c r="F112" i="29"/>
  <c r="F119" i="11"/>
  <c r="H119" i="11" s="1"/>
  <c r="B119" i="11"/>
  <c r="J116" i="3"/>
  <c r="F112" i="31"/>
  <c r="H112" i="31" s="1"/>
  <c r="B112" i="31"/>
  <c r="H103" i="50" l="1"/>
  <c r="I103" i="50"/>
  <c r="E104" i="50"/>
  <c r="F104" i="50" s="1"/>
  <c r="B104" i="50"/>
  <c r="D110" i="37"/>
  <c r="G109" i="37"/>
  <c r="I109" i="37" s="1"/>
  <c r="E110" i="37"/>
  <c r="G107" i="44"/>
  <c r="I107" i="44" s="1"/>
  <c r="J107" i="44" s="1"/>
  <c r="D108" i="44"/>
  <c r="E108" i="44"/>
  <c r="G106" i="46"/>
  <c r="I106" i="46" s="1"/>
  <c r="J106" i="46" s="1"/>
  <c r="D107" i="46"/>
  <c r="E107" i="46"/>
  <c r="H117" i="5"/>
  <c r="G117" i="5"/>
  <c r="I117" i="5" s="1"/>
  <c r="D118" i="5"/>
  <c r="E118" i="5"/>
  <c r="D120" i="9"/>
  <c r="G119" i="9"/>
  <c r="I119" i="9" s="1"/>
  <c r="J119" i="9" s="1"/>
  <c r="E120" i="9"/>
  <c r="H116" i="22"/>
  <c r="D117" i="22"/>
  <c r="G116" i="22"/>
  <c r="I116" i="22" s="1"/>
  <c r="E117" i="22"/>
  <c r="G115" i="23"/>
  <c r="I115" i="23" s="1"/>
  <c r="J115" i="23" s="1"/>
  <c r="D116" i="23"/>
  <c r="E116" i="23"/>
  <c r="G112" i="29"/>
  <c r="I112" i="29" s="1"/>
  <c r="D113" i="29"/>
  <c r="E113" i="29"/>
  <c r="G107" i="42"/>
  <c r="I107" i="42" s="1"/>
  <c r="J107" i="42" s="1"/>
  <c r="D108" i="42"/>
  <c r="E108" i="42"/>
  <c r="D115" i="24"/>
  <c r="G114" i="24"/>
  <c r="I114" i="24" s="1"/>
  <c r="J114" i="24" s="1"/>
  <c r="E115" i="24"/>
  <c r="H107" i="45"/>
  <c r="D108" i="45"/>
  <c r="G107" i="45"/>
  <c r="I107" i="45" s="1"/>
  <c r="E108" i="45"/>
  <c r="G109" i="39"/>
  <c r="I109" i="39" s="1"/>
  <c r="D110" i="39"/>
  <c r="E110" i="39"/>
  <c r="G119" i="11"/>
  <c r="I119" i="11" s="1"/>
  <c r="J119" i="11" s="1"/>
  <c r="D120" i="11"/>
  <c r="E120" i="11"/>
  <c r="G116" i="25"/>
  <c r="I116" i="25" s="1"/>
  <c r="J116" i="25" s="1"/>
  <c r="D117" i="25"/>
  <c r="E117" i="25"/>
  <c r="G118" i="6"/>
  <c r="I118" i="6" s="1"/>
  <c r="D119" i="6"/>
  <c r="E119" i="6"/>
  <c r="G107" i="43"/>
  <c r="I107" i="43" s="1"/>
  <c r="J107" i="43" s="1"/>
  <c r="D108" i="43"/>
  <c r="E108" i="43"/>
  <c r="D112" i="30"/>
  <c r="G111" i="30"/>
  <c r="I111" i="30" s="1"/>
  <c r="E112" i="30"/>
  <c r="H113" i="27"/>
  <c r="G113" i="27"/>
  <c r="I113" i="27" s="1"/>
  <c r="D114" i="27"/>
  <c r="E114" i="27"/>
  <c r="H120" i="7"/>
  <c r="G120" i="7"/>
  <c r="I120" i="7" s="1"/>
  <c r="D121" i="7"/>
  <c r="E121" i="7"/>
  <c r="F120" i="10"/>
  <c r="B120" i="10"/>
  <c r="D113" i="28"/>
  <c r="G112" i="28"/>
  <c r="I112" i="28" s="1"/>
  <c r="E113" i="28"/>
  <c r="H108" i="38"/>
  <c r="G108" i="38"/>
  <c r="I108" i="38" s="1"/>
  <c r="D109" i="38"/>
  <c r="E109" i="38"/>
  <c r="H118" i="8"/>
  <c r="G118" i="8"/>
  <c r="I118" i="8" s="1"/>
  <c r="D119" i="8"/>
  <c r="E119" i="8"/>
  <c r="H112" i="29"/>
  <c r="G112" i="31"/>
  <c r="I112" i="31" s="1"/>
  <c r="D113" i="31"/>
  <c r="E113" i="31"/>
  <c r="G108" i="41"/>
  <c r="I108" i="41" s="1"/>
  <c r="J108" i="41" s="1"/>
  <c r="D109" i="41"/>
  <c r="E109" i="41"/>
  <c r="G117" i="3"/>
  <c r="I117" i="3" s="1"/>
  <c r="D118" i="3"/>
  <c r="E118" i="3"/>
  <c r="H109" i="39"/>
  <c r="J119" i="10"/>
  <c r="D109" i="40"/>
  <c r="G108" i="40"/>
  <c r="I108" i="40" s="1"/>
  <c r="J108" i="40" s="1"/>
  <c r="E109" i="40"/>
  <c r="H109" i="37"/>
  <c r="D118" i="4"/>
  <c r="G117" i="4"/>
  <c r="I117" i="4" s="1"/>
  <c r="J117" i="4" s="1"/>
  <c r="E118" i="4"/>
  <c r="J116" i="22" l="1"/>
  <c r="J103" i="50"/>
  <c r="D105" i="50"/>
  <c r="G104" i="50"/>
  <c r="J107" i="45"/>
  <c r="J112" i="29"/>
  <c r="B118" i="4"/>
  <c r="F118" i="4"/>
  <c r="H118" i="4" s="1"/>
  <c r="J112" i="31"/>
  <c r="J108" i="38"/>
  <c r="J118" i="6"/>
  <c r="B110" i="39"/>
  <c r="F110" i="39"/>
  <c r="H110" i="39" s="1"/>
  <c r="B115" i="24"/>
  <c r="F115" i="24"/>
  <c r="H115" i="24" s="1"/>
  <c r="B116" i="23"/>
  <c r="F116" i="23"/>
  <c r="H116" i="23" s="1"/>
  <c r="B120" i="9"/>
  <c r="F120" i="9"/>
  <c r="H120" i="9" s="1"/>
  <c r="J113" i="27"/>
  <c r="J109" i="39"/>
  <c r="B108" i="44"/>
  <c r="F108" i="44"/>
  <c r="H108" i="44" s="1"/>
  <c r="B107" i="46"/>
  <c r="F107" i="46"/>
  <c r="G120" i="10"/>
  <c r="I120" i="10" s="1"/>
  <c r="D121" i="10"/>
  <c r="E121" i="10"/>
  <c r="J117" i="3"/>
  <c r="J120" i="7"/>
  <c r="F112" i="30"/>
  <c r="H112" i="30" s="1"/>
  <c r="B112" i="30"/>
  <c r="B117" i="25"/>
  <c r="F117" i="25"/>
  <c r="H117" i="25" s="1"/>
  <c r="F108" i="42"/>
  <c r="H108" i="42" s="1"/>
  <c r="B108" i="42"/>
  <c r="F118" i="5"/>
  <c r="B118" i="5"/>
  <c r="F119" i="6"/>
  <c r="H119" i="6" s="1"/>
  <c r="B119" i="6"/>
  <c r="B121" i="7"/>
  <c r="F121" i="7"/>
  <c r="H121" i="7" s="1"/>
  <c r="B119" i="8"/>
  <c r="F119" i="8"/>
  <c r="H119" i="8" s="1"/>
  <c r="J112" i="28"/>
  <c r="J117" i="5"/>
  <c r="B118" i="3"/>
  <c r="F118" i="3"/>
  <c r="B109" i="41"/>
  <c r="F109" i="41"/>
  <c r="H109" i="41" s="1"/>
  <c r="J118" i="8"/>
  <c r="F113" i="28"/>
  <c r="B113" i="28"/>
  <c r="B108" i="43"/>
  <c r="F108" i="43"/>
  <c r="H108" i="43" s="1"/>
  <c r="B108" i="45"/>
  <c r="F108" i="45"/>
  <c r="H108" i="45" s="1"/>
  <c r="B117" i="22"/>
  <c r="F117" i="22"/>
  <c r="H117" i="22" s="1"/>
  <c r="J109" i="37"/>
  <c r="F113" i="31"/>
  <c r="H113" i="31" s="1"/>
  <c r="B113" i="31"/>
  <c r="F109" i="38"/>
  <c r="B109" i="38"/>
  <c r="J111" i="30"/>
  <c r="F109" i="40"/>
  <c r="H109" i="40" s="1"/>
  <c r="B109" i="40"/>
  <c r="H120" i="10"/>
  <c r="F114" i="27"/>
  <c r="B114" i="27"/>
  <c r="B120" i="11"/>
  <c r="F120" i="11"/>
  <c r="H120" i="11" s="1"/>
  <c r="B113" i="29"/>
  <c r="F113" i="29"/>
  <c r="F110" i="37"/>
  <c r="B110" i="37"/>
  <c r="H104" i="50" l="1"/>
  <c r="I104" i="50"/>
  <c r="J104" i="50" s="1"/>
  <c r="E105" i="50"/>
  <c r="F105" i="50" s="1"/>
  <c r="B105" i="50"/>
  <c r="D115" i="27"/>
  <c r="G114" i="27"/>
  <c r="I114" i="27" s="1"/>
  <c r="E115" i="27"/>
  <c r="D114" i="28"/>
  <c r="G113" i="28"/>
  <c r="I113" i="28" s="1"/>
  <c r="E114" i="28"/>
  <c r="D122" i="7"/>
  <c r="G121" i="7"/>
  <c r="I121" i="7" s="1"/>
  <c r="J121" i="7" s="1"/>
  <c r="E122" i="7"/>
  <c r="G112" i="30"/>
  <c r="I112" i="30" s="1"/>
  <c r="J112" i="30" s="1"/>
  <c r="D113" i="30"/>
  <c r="E113" i="30"/>
  <c r="H107" i="46"/>
  <c r="D108" i="46"/>
  <c r="G107" i="46"/>
  <c r="I107" i="46" s="1"/>
  <c r="E108" i="46"/>
  <c r="D114" i="29"/>
  <c r="G113" i="29"/>
  <c r="I113" i="29" s="1"/>
  <c r="E114" i="29"/>
  <c r="G120" i="9"/>
  <c r="I120" i="9" s="1"/>
  <c r="J120" i="9" s="1"/>
  <c r="D121" i="9"/>
  <c r="E121" i="9"/>
  <c r="D110" i="38"/>
  <c r="G109" i="38"/>
  <c r="I109" i="38" s="1"/>
  <c r="E110" i="38"/>
  <c r="G108" i="42"/>
  <c r="I108" i="42" s="1"/>
  <c r="J108" i="42" s="1"/>
  <c r="D109" i="42"/>
  <c r="E109" i="42"/>
  <c r="D111" i="39"/>
  <c r="G110" i="39"/>
  <c r="I110" i="39" s="1"/>
  <c r="J110" i="39" s="1"/>
  <c r="E111" i="39"/>
  <c r="D119" i="4"/>
  <c r="G118" i="4"/>
  <c r="I118" i="4" s="1"/>
  <c r="J118" i="4" s="1"/>
  <c r="E119" i="4"/>
  <c r="H113" i="29"/>
  <c r="D119" i="5"/>
  <c r="G118" i="5"/>
  <c r="I118" i="5" s="1"/>
  <c r="E119" i="5"/>
  <c r="G109" i="41"/>
  <c r="I109" i="41" s="1"/>
  <c r="J109" i="41" s="1"/>
  <c r="D110" i="41"/>
  <c r="E110" i="41"/>
  <c r="G108" i="44"/>
  <c r="I108" i="44" s="1"/>
  <c r="J108" i="44" s="1"/>
  <c r="D109" i="44"/>
  <c r="E109" i="44"/>
  <c r="D116" i="24"/>
  <c r="G115" i="24"/>
  <c r="I115" i="24" s="1"/>
  <c r="J115" i="24" s="1"/>
  <c r="E116" i="24"/>
  <c r="D109" i="45"/>
  <c r="G108" i="45"/>
  <c r="I108" i="45" s="1"/>
  <c r="J108" i="45" s="1"/>
  <c r="E109" i="45"/>
  <c r="G113" i="31"/>
  <c r="I113" i="31" s="1"/>
  <c r="J113" i="31" s="1"/>
  <c r="D114" i="31"/>
  <c r="E114" i="31"/>
  <c r="G108" i="43"/>
  <c r="I108" i="43" s="1"/>
  <c r="J108" i="43" s="1"/>
  <c r="D109" i="43"/>
  <c r="E109" i="43"/>
  <c r="H114" i="27"/>
  <c r="G119" i="6"/>
  <c r="I119" i="6" s="1"/>
  <c r="J119" i="6" s="1"/>
  <c r="D120" i="6"/>
  <c r="E120" i="6"/>
  <c r="D118" i="25"/>
  <c r="G117" i="25"/>
  <c r="I117" i="25" s="1"/>
  <c r="J117" i="25" s="1"/>
  <c r="E118" i="25"/>
  <c r="G116" i="23"/>
  <c r="I116" i="23" s="1"/>
  <c r="J116" i="23" s="1"/>
  <c r="D117" i="23"/>
  <c r="E117" i="23"/>
  <c r="D119" i="3"/>
  <c r="G118" i="3"/>
  <c r="I118" i="3" s="1"/>
  <c r="E119" i="3"/>
  <c r="F121" i="10"/>
  <c r="B121" i="10"/>
  <c r="J120" i="10"/>
  <c r="G120" i="11"/>
  <c r="I120" i="11" s="1"/>
  <c r="J120" i="11" s="1"/>
  <c r="D121" i="11"/>
  <c r="E121" i="11"/>
  <c r="D110" i="40"/>
  <c r="G109" i="40"/>
  <c r="I109" i="40" s="1"/>
  <c r="J109" i="40" s="1"/>
  <c r="E110" i="40"/>
  <c r="H110" i="37"/>
  <c r="D111" i="37"/>
  <c r="G110" i="37"/>
  <c r="I110" i="37" s="1"/>
  <c r="E111" i="37"/>
  <c r="H109" i="38"/>
  <c r="D118" i="22"/>
  <c r="G117" i="22"/>
  <c r="I117" i="22" s="1"/>
  <c r="J117" i="22" s="1"/>
  <c r="E118" i="22"/>
  <c r="H113" i="28"/>
  <c r="H118" i="3"/>
  <c r="D120" i="8"/>
  <c r="G119" i="8"/>
  <c r="I119" i="8" s="1"/>
  <c r="J119" i="8" s="1"/>
  <c r="E120" i="8"/>
  <c r="H118" i="5"/>
  <c r="D106" i="50" l="1"/>
  <c r="G105" i="50"/>
  <c r="J109" i="38"/>
  <c r="J107" i="46"/>
  <c r="J118" i="3"/>
  <c r="B122" i="7"/>
  <c r="F122" i="7"/>
  <c r="H122" i="7" s="1"/>
  <c r="H121" i="10"/>
  <c r="G121" i="10"/>
  <c r="I121" i="10" s="1"/>
  <c r="D122" i="10"/>
  <c r="E122" i="10"/>
  <c r="B108" i="46"/>
  <c r="F108" i="46"/>
  <c r="H108" i="46" s="1"/>
  <c r="B110" i="41"/>
  <c r="F110" i="41"/>
  <c r="H110" i="41" s="1"/>
  <c r="F118" i="22"/>
  <c r="H118" i="22" s="1"/>
  <c r="B118" i="22"/>
  <c r="F110" i="40"/>
  <c r="H110" i="40" s="1"/>
  <c r="B110" i="40"/>
  <c r="F118" i="25"/>
  <c r="H118" i="25" s="1"/>
  <c r="B118" i="25"/>
  <c r="F116" i="24"/>
  <c r="B116" i="24"/>
  <c r="J118" i="5"/>
  <c r="F111" i="39"/>
  <c r="H111" i="39" s="1"/>
  <c r="B111" i="39"/>
  <c r="B121" i="9"/>
  <c r="F121" i="9"/>
  <c r="J113" i="28"/>
  <c r="F119" i="5"/>
  <c r="H119" i="5" s="1"/>
  <c r="B119" i="5"/>
  <c r="B114" i="28"/>
  <c r="F114" i="28"/>
  <c r="H114" i="28" s="1"/>
  <c r="F109" i="43"/>
  <c r="B109" i="43"/>
  <c r="B121" i="11"/>
  <c r="F121" i="11"/>
  <c r="H121" i="11" s="1"/>
  <c r="B119" i="3"/>
  <c r="F119" i="3"/>
  <c r="H119" i="3" s="1"/>
  <c r="B120" i="6"/>
  <c r="F120" i="6"/>
  <c r="H120" i="6" s="1"/>
  <c r="B109" i="44"/>
  <c r="F109" i="44"/>
  <c r="H109" i="44" s="1"/>
  <c r="F109" i="42"/>
  <c r="H109" i="42" s="1"/>
  <c r="B109" i="42"/>
  <c r="F113" i="30"/>
  <c r="H113" i="30" s="1"/>
  <c r="B113" i="30"/>
  <c r="B119" i="4"/>
  <c r="F119" i="4"/>
  <c r="H119" i="4" s="1"/>
  <c r="B110" i="38"/>
  <c r="F110" i="38"/>
  <c r="J110" i="37"/>
  <c r="J113" i="29"/>
  <c r="J114" i="27"/>
  <c r="B109" i="45"/>
  <c r="F109" i="45"/>
  <c r="B114" i="31"/>
  <c r="F114" i="31"/>
  <c r="F120" i="8"/>
  <c r="H120" i="8" s="1"/>
  <c r="B120" i="8"/>
  <c r="F111" i="37"/>
  <c r="H111" i="37" s="1"/>
  <c r="B111" i="37"/>
  <c r="F117" i="23"/>
  <c r="B117" i="23"/>
  <c r="B114" i="29"/>
  <c r="F114" i="29"/>
  <c r="H114" i="29" s="1"/>
  <c r="B115" i="27"/>
  <c r="F115" i="27"/>
  <c r="H115" i="27" s="1"/>
  <c r="H105" i="50" l="1"/>
  <c r="I105" i="50"/>
  <c r="E106" i="50"/>
  <c r="F106" i="50" s="1"/>
  <c r="B106" i="50"/>
  <c r="D115" i="31"/>
  <c r="G114" i="31"/>
  <c r="I114" i="31" s="1"/>
  <c r="E115" i="31"/>
  <c r="G116" i="24"/>
  <c r="I116" i="24" s="1"/>
  <c r="D117" i="24"/>
  <c r="E117" i="24"/>
  <c r="D116" i="27"/>
  <c r="G115" i="27"/>
  <c r="I115" i="27" s="1"/>
  <c r="J115" i="27" s="1"/>
  <c r="E116" i="27"/>
  <c r="G119" i="3"/>
  <c r="I119" i="3" s="1"/>
  <c r="J119" i="3" s="1"/>
  <c r="D120" i="3"/>
  <c r="E120" i="3"/>
  <c r="H114" i="31"/>
  <c r="H110" i="38"/>
  <c r="G110" i="38"/>
  <c r="I110" i="38" s="1"/>
  <c r="D111" i="38"/>
  <c r="E111" i="38"/>
  <c r="H121" i="9"/>
  <c r="D122" i="9"/>
  <c r="G121" i="9"/>
  <c r="I121" i="9" s="1"/>
  <c r="E122" i="9"/>
  <c r="D110" i="42"/>
  <c r="G109" i="42"/>
  <c r="I109" i="42" s="1"/>
  <c r="J109" i="42" s="1"/>
  <c r="E110" i="42"/>
  <c r="J121" i="10"/>
  <c r="G109" i="43"/>
  <c r="I109" i="43" s="1"/>
  <c r="D110" i="43"/>
  <c r="E110" i="43"/>
  <c r="G111" i="37"/>
  <c r="I111" i="37" s="1"/>
  <c r="J111" i="37" s="1"/>
  <c r="D112" i="37"/>
  <c r="E112" i="37"/>
  <c r="G110" i="41"/>
  <c r="I110" i="41" s="1"/>
  <c r="J110" i="41" s="1"/>
  <c r="D111" i="41"/>
  <c r="E111" i="41"/>
  <c r="H109" i="45"/>
  <c r="G109" i="45"/>
  <c r="I109" i="45" s="1"/>
  <c r="D110" i="45"/>
  <c r="E110" i="45"/>
  <c r="D122" i="11"/>
  <c r="G121" i="11"/>
  <c r="I121" i="11" s="1"/>
  <c r="J121" i="11" s="1"/>
  <c r="E122" i="11"/>
  <c r="G111" i="39"/>
  <c r="I111" i="39" s="1"/>
  <c r="J111" i="39" s="1"/>
  <c r="D112" i="39"/>
  <c r="E112" i="39"/>
  <c r="B122" i="10"/>
  <c r="F122" i="10"/>
  <c r="H122" i="10" s="1"/>
  <c r="D110" i="44"/>
  <c r="G109" i="44"/>
  <c r="I109" i="44" s="1"/>
  <c r="J109" i="44" s="1"/>
  <c r="E110" i="44"/>
  <c r="G114" i="29"/>
  <c r="I114" i="29" s="1"/>
  <c r="J114" i="29" s="1"/>
  <c r="D115" i="29"/>
  <c r="E115" i="29"/>
  <c r="G122" i="7"/>
  <c r="I122" i="7" s="1"/>
  <c r="J122" i="7" s="1"/>
  <c r="D123" i="7"/>
  <c r="E123" i="7"/>
  <c r="D118" i="23"/>
  <c r="G117" i="23"/>
  <c r="I117" i="23" s="1"/>
  <c r="E118" i="23"/>
  <c r="D119" i="22"/>
  <c r="G118" i="22"/>
  <c r="I118" i="22" s="1"/>
  <c r="J118" i="22" s="1"/>
  <c r="E119" i="22"/>
  <c r="D120" i="4"/>
  <c r="G119" i="4"/>
  <c r="I119" i="4" s="1"/>
  <c r="J119" i="4" s="1"/>
  <c r="E120" i="4"/>
  <c r="G114" i="28"/>
  <c r="I114" i="28" s="1"/>
  <c r="J114" i="28" s="1"/>
  <c r="D115" i="28"/>
  <c r="E115" i="28"/>
  <c r="D119" i="25"/>
  <c r="G118" i="25"/>
  <c r="I118" i="25" s="1"/>
  <c r="J118" i="25" s="1"/>
  <c r="E119" i="25"/>
  <c r="H117" i="23"/>
  <c r="D121" i="8"/>
  <c r="G120" i="8"/>
  <c r="I120" i="8" s="1"/>
  <c r="J120" i="8" s="1"/>
  <c r="E121" i="8"/>
  <c r="G113" i="30"/>
  <c r="I113" i="30" s="1"/>
  <c r="J113" i="30" s="1"/>
  <c r="D114" i="30"/>
  <c r="E114" i="30"/>
  <c r="D121" i="6"/>
  <c r="G120" i="6"/>
  <c r="I120" i="6" s="1"/>
  <c r="J120" i="6" s="1"/>
  <c r="E121" i="6"/>
  <c r="H109" i="43"/>
  <c r="D120" i="5"/>
  <c r="G119" i="5"/>
  <c r="I119" i="5" s="1"/>
  <c r="J119" i="5" s="1"/>
  <c r="E120" i="5"/>
  <c r="H116" i="24"/>
  <c r="D111" i="40"/>
  <c r="G110" i="40"/>
  <c r="I110" i="40" s="1"/>
  <c r="J110" i="40" s="1"/>
  <c r="E111" i="40"/>
  <c r="G108" i="46"/>
  <c r="I108" i="46" s="1"/>
  <c r="J108" i="46" s="1"/>
  <c r="D109" i="46"/>
  <c r="E109" i="46"/>
  <c r="J105" i="50" l="1"/>
  <c r="D107" i="50"/>
  <c r="G106" i="50"/>
  <c r="E107" i="50"/>
  <c r="J110" i="38"/>
  <c r="J121" i="9"/>
  <c r="J109" i="45"/>
  <c r="F121" i="6"/>
  <c r="B121" i="6"/>
  <c r="F122" i="11"/>
  <c r="B122" i="11"/>
  <c r="B116" i="27"/>
  <c r="F116" i="27"/>
  <c r="H116" i="27" s="1"/>
  <c r="G122" i="10"/>
  <c r="I122" i="10" s="1"/>
  <c r="J122" i="10" s="1"/>
  <c r="D123" i="10"/>
  <c r="E123" i="10"/>
  <c r="F112" i="37"/>
  <c r="B112" i="37"/>
  <c r="B110" i="42"/>
  <c r="F110" i="42"/>
  <c r="H110" i="42" s="1"/>
  <c r="B120" i="4"/>
  <c r="F120" i="4"/>
  <c r="H120" i="4" s="1"/>
  <c r="B114" i="30"/>
  <c r="F114" i="30"/>
  <c r="H114" i="30" s="1"/>
  <c r="B119" i="25"/>
  <c r="F119" i="25"/>
  <c r="H119" i="25" s="1"/>
  <c r="F110" i="45"/>
  <c r="H110" i="45" s="1"/>
  <c r="B110" i="45"/>
  <c r="F117" i="24"/>
  <c r="H117" i="24" s="1"/>
  <c r="B117" i="24"/>
  <c r="F110" i="44"/>
  <c r="B110" i="44"/>
  <c r="J116" i="24"/>
  <c r="B111" i="40"/>
  <c r="F111" i="40"/>
  <c r="H111" i="40" s="1"/>
  <c r="F119" i="22"/>
  <c r="H119" i="22" s="1"/>
  <c r="B119" i="22"/>
  <c r="F120" i="5"/>
  <c r="H120" i="5" s="1"/>
  <c r="B120" i="5"/>
  <c r="F112" i="39"/>
  <c r="B112" i="39"/>
  <c r="B110" i="43"/>
  <c r="F110" i="43"/>
  <c r="H110" i="43" s="1"/>
  <c r="B122" i="9"/>
  <c r="F122" i="9"/>
  <c r="H122" i="9" s="1"/>
  <c r="B120" i="3"/>
  <c r="F120" i="3"/>
  <c r="H120" i="3" s="1"/>
  <c r="B111" i="38"/>
  <c r="F111" i="38"/>
  <c r="B123" i="7"/>
  <c r="F123" i="7"/>
  <c r="F109" i="46"/>
  <c r="B109" i="46"/>
  <c r="J117" i="23"/>
  <c r="J109" i="43"/>
  <c r="J114" i="31"/>
  <c r="F115" i="29"/>
  <c r="B115" i="29"/>
  <c r="B115" i="28"/>
  <c r="F115" i="28"/>
  <c r="H115" i="28" s="1"/>
  <c r="F121" i="8"/>
  <c r="H121" i="8" s="1"/>
  <c r="B121" i="8"/>
  <c r="F118" i="23"/>
  <c r="H118" i="23" s="1"/>
  <c r="B118" i="23"/>
  <c r="B111" i="41"/>
  <c r="F111" i="41"/>
  <c r="H111" i="41" s="1"/>
  <c r="B115" i="31"/>
  <c r="F115" i="31"/>
  <c r="H106" i="50" l="1"/>
  <c r="I106" i="50"/>
  <c r="J106" i="50" s="1"/>
  <c r="B107" i="50"/>
  <c r="F107" i="50"/>
  <c r="H111" i="38"/>
  <c r="D112" i="38"/>
  <c r="G111" i="38"/>
  <c r="I111" i="38" s="1"/>
  <c r="E112" i="38"/>
  <c r="G110" i="44"/>
  <c r="I110" i="44" s="1"/>
  <c r="D111" i="44"/>
  <c r="E111" i="44"/>
  <c r="G121" i="8"/>
  <c r="I121" i="8" s="1"/>
  <c r="J121" i="8" s="1"/>
  <c r="D122" i="8"/>
  <c r="E122" i="8"/>
  <c r="G119" i="22"/>
  <c r="I119" i="22" s="1"/>
  <c r="J119" i="22" s="1"/>
  <c r="D120" i="22"/>
  <c r="E120" i="22"/>
  <c r="G110" i="42"/>
  <c r="I110" i="42" s="1"/>
  <c r="J110" i="42" s="1"/>
  <c r="D111" i="42"/>
  <c r="E111" i="42"/>
  <c r="G116" i="27"/>
  <c r="I116" i="27" s="1"/>
  <c r="J116" i="27" s="1"/>
  <c r="D117" i="27"/>
  <c r="E117" i="27"/>
  <c r="D120" i="25"/>
  <c r="G119" i="25"/>
  <c r="I119" i="25" s="1"/>
  <c r="J119" i="25" s="1"/>
  <c r="E120" i="25"/>
  <c r="D112" i="41"/>
  <c r="G111" i="41"/>
  <c r="I111" i="41" s="1"/>
  <c r="J111" i="41" s="1"/>
  <c r="E112" i="41"/>
  <c r="D121" i="3"/>
  <c r="G120" i="3"/>
  <c r="I120" i="3" s="1"/>
  <c r="J120" i="3" s="1"/>
  <c r="E121" i="3"/>
  <c r="D116" i="28"/>
  <c r="G115" i="28"/>
  <c r="I115" i="28" s="1"/>
  <c r="J115" i="28" s="1"/>
  <c r="E116" i="28"/>
  <c r="H112" i="39"/>
  <c r="G112" i="39"/>
  <c r="I112" i="39" s="1"/>
  <c r="D113" i="39"/>
  <c r="E113" i="39"/>
  <c r="D112" i="40"/>
  <c r="G111" i="40"/>
  <c r="I111" i="40" s="1"/>
  <c r="J111" i="40" s="1"/>
  <c r="E112" i="40"/>
  <c r="G117" i="24"/>
  <c r="I117" i="24" s="1"/>
  <c r="J117" i="24" s="1"/>
  <c r="D118" i="24"/>
  <c r="E118" i="24"/>
  <c r="G114" i="30"/>
  <c r="I114" i="30" s="1"/>
  <c r="J114" i="30" s="1"/>
  <c r="D115" i="30"/>
  <c r="E115" i="30"/>
  <c r="G110" i="43"/>
  <c r="I110" i="43" s="1"/>
  <c r="J110" i="43" s="1"/>
  <c r="D111" i="43"/>
  <c r="E111" i="43"/>
  <c r="H109" i="46"/>
  <c r="G109" i="46"/>
  <c r="I109" i="46" s="1"/>
  <c r="D110" i="46"/>
  <c r="E110" i="46"/>
  <c r="H112" i="37"/>
  <c r="D113" i="37"/>
  <c r="G112" i="37"/>
  <c r="I112" i="37" s="1"/>
  <c r="E113" i="37"/>
  <c r="H122" i="11"/>
  <c r="G122" i="11"/>
  <c r="I122" i="11" s="1"/>
  <c r="D123" i="11"/>
  <c r="E123" i="11"/>
  <c r="D116" i="31"/>
  <c r="G115" i="31"/>
  <c r="I115" i="31" s="1"/>
  <c r="E116" i="31"/>
  <c r="G115" i="29"/>
  <c r="I115" i="29" s="1"/>
  <c r="D116" i="29"/>
  <c r="E116" i="29"/>
  <c r="H115" i="29"/>
  <c r="H123" i="7"/>
  <c r="D124" i="7"/>
  <c r="G123" i="7"/>
  <c r="I123" i="7" s="1"/>
  <c r="E124" i="7"/>
  <c r="G122" i="9"/>
  <c r="I122" i="9" s="1"/>
  <c r="J122" i="9" s="1"/>
  <c r="D123" i="9"/>
  <c r="E123" i="9"/>
  <c r="H115" i="31"/>
  <c r="G118" i="23"/>
  <c r="I118" i="23" s="1"/>
  <c r="J118" i="23" s="1"/>
  <c r="D119" i="23"/>
  <c r="E119" i="23"/>
  <c r="D121" i="5"/>
  <c r="G120" i="5"/>
  <c r="I120" i="5" s="1"/>
  <c r="J120" i="5" s="1"/>
  <c r="E121" i="5"/>
  <c r="H110" i="44"/>
  <c r="D111" i="45"/>
  <c r="G110" i="45"/>
  <c r="I110" i="45" s="1"/>
  <c r="J110" i="45" s="1"/>
  <c r="E111" i="45"/>
  <c r="G120" i="4"/>
  <c r="I120" i="4" s="1"/>
  <c r="J120" i="4" s="1"/>
  <c r="D121" i="4"/>
  <c r="E121" i="4"/>
  <c r="F123" i="10"/>
  <c r="B123" i="10"/>
  <c r="H121" i="6"/>
  <c r="D122" i="6"/>
  <c r="G121" i="6"/>
  <c r="I121" i="6" s="1"/>
  <c r="E122" i="6"/>
  <c r="G107" i="50" l="1"/>
  <c r="D108" i="50"/>
  <c r="J111" i="38"/>
  <c r="J115" i="29"/>
  <c r="J112" i="37"/>
  <c r="J115" i="31"/>
  <c r="J121" i="6"/>
  <c r="F112" i="41"/>
  <c r="H112" i="41" s="1"/>
  <c r="B112" i="41"/>
  <c r="B121" i="4"/>
  <c r="F121" i="4"/>
  <c r="H121" i="4" s="1"/>
  <c r="F121" i="5"/>
  <c r="B121" i="5"/>
  <c r="B111" i="43"/>
  <c r="F111" i="43"/>
  <c r="H111" i="43" s="1"/>
  <c r="F111" i="44"/>
  <c r="H111" i="44" s="1"/>
  <c r="B111" i="44"/>
  <c r="J123" i="7"/>
  <c r="B113" i="37"/>
  <c r="F113" i="37"/>
  <c r="H113" i="37" s="1"/>
  <c r="F116" i="28"/>
  <c r="H116" i="28" s="1"/>
  <c r="B116" i="28"/>
  <c r="J110" i="44"/>
  <c r="F123" i="9"/>
  <c r="B123" i="9"/>
  <c r="F118" i="24"/>
  <c r="H118" i="24" s="1"/>
  <c r="B118" i="24"/>
  <c r="B119" i="23"/>
  <c r="F119" i="23"/>
  <c r="H119" i="23" s="1"/>
  <c r="F124" i="7"/>
  <c r="H124" i="7" s="1"/>
  <c r="B124" i="7"/>
  <c r="B116" i="31"/>
  <c r="F116" i="31"/>
  <c r="H116" i="31" s="1"/>
  <c r="F112" i="40"/>
  <c r="B112" i="40"/>
  <c r="B120" i="25"/>
  <c r="F120" i="25"/>
  <c r="H120" i="25" s="1"/>
  <c r="F120" i="22"/>
  <c r="H120" i="22" s="1"/>
  <c r="B120" i="22"/>
  <c r="B111" i="42"/>
  <c r="F111" i="42"/>
  <c r="B122" i="6"/>
  <c r="F122" i="6"/>
  <c r="H122" i="6" s="1"/>
  <c r="F115" i="30"/>
  <c r="H115" i="30" s="1"/>
  <c r="B115" i="30"/>
  <c r="F116" i="29"/>
  <c r="B116" i="29"/>
  <c r="B111" i="45"/>
  <c r="F111" i="45"/>
  <c r="F123" i="11"/>
  <c r="H123" i="11" s="1"/>
  <c r="B123" i="11"/>
  <c r="B110" i="46"/>
  <c r="F110" i="46"/>
  <c r="H110" i="46" s="1"/>
  <c r="F113" i="39"/>
  <c r="H113" i="39" s="1"/>
  <c r="B113" i="39"/>
  <c r="F121" i="3"/>
  <c r="H121" i="3" s="1"/>
  <c r="B121" i="3"/>
  <c r="B117" i="27"/>
  <c r="F117" i="27"/>
  <c r="H117" i="27" s="1"/>
  <c r="F112" i="38"/>
  <c r="B112" i="38"/>
  <c r="H123" i="10"/>
  <c r="D124" i="10"/>
  <c r="G123" i="10"/>
  <c r="I123" i="10" s="1"/>
  <c r="E124" i="10"/>
  <c r="J122" i="11"/>
  <c r="J109" i="46"/>
  <c r="J112" i="39"/>
  <c r="B122" i="8"/>
  <c r="F122" i="8"/>
  <c r="H122" i="8" s="1"/>
  <c r="E108" i="50" l="1"/>
  <c r="B108" i="50"/>
  <c r="F108" i="50"/>
  <c r="H107" i="50"/>
  <c r="I107" i="50"/>
  <c r="J123" i="10"/>
  <c r="D117" i="29"/>
  <c r="G116" i="29"/>
  <c r="I116" i="29" s="1"/>
  <c r="E117" i="29"/>
  <c r="G115" i="30"/>
  <c r="I115" i="30" s="1"/>
  <c r="J115" i="30" s="1"/>
  <c r="D116" i="30"/>
  <c r="E116" i="30"/>
  <c r="G116" i="31"/>
  <c r="I116" i="31" s="1"/>
  <c r="J116" i="31" s="1"/>
  <c r="D117" i="31"/>
  <c r="E117" i="31"/>
  <c r="G111" i="44"/>
  <c r="I111" i="44" s="1"/>
  <c r="J111" i="44" s="1"/>
  <c r="D112" i="44"/>
  <c r="E112" i="44"/>
  <c r="D122" i="4"/>
  <c r="G121" i="4"/>
  <c r="I121" i="4" s="1"/>
  <c r="J121" i="4" s="1"/>
  <c r="E122" i="4"/>
  <c r="H112" i="38"/>
  <c r="D113" i="38"/>
  <c r="G112" i="38"/>
  <c r="I112" i="38" s="1"/>
  <c r="E113" i="38"/>
  <c r="H111" i="45"/>
  <c r="G111" i="45"/>
  <c r="I111" i="45" s="1"/>
  <c r="D112" i="45"/>
  <c r="E112" i="45"/>
  <c r="D117" i="28"/>
  <c r="G116" i="28"/>
  <c r="I116" i="28" s="1"/>
  <c r="J116" i="28" s="1"/>
  <c r="E117" i="28"/>
  <c r="G123" i="9"/>
  <c r="I123" i="9" s="1"/>
  <c r="D124" i="9"/>
  <c r="E124" i="9"/>
  <c r="D124" i="11"/>
  <c r="G123" i="11"/>
  <c r="I123" i="11" s="1"/>
  <c r="J123" i="11" s="1"/>
  <c r="E124" i="11"/>
  <c r="G120" i="22"/>
  <c r="I120" i="22" s="1"/>
  <c r="J120" i="22" s="1"/>
  <c r="D121" i="22"/>
  <c r="E121" i="22"/>
  <c r="D123" i="6"/>
  <c r="G122" i="6"/>
  <c r="I122" i="6" s="1"/>
  <c r="J122" i="6" s="1"/>
  <c r="E123" i="6"/>
  <c r="G120" i="25"/>
  <c r="I120" i="25" s="1"/>
  <c r="J120" i="25" s="1"/>
  <c r="D121" i="25"/>
  <c r="E121" i="25"/>
  <c r="G118" i="24"/>
  <c r="I118" i="24" s="1"/>
  <c r="J118" i="24" s="1"/>
  <c r="D119" i="24"/>
  <c r="E119" i="24"/>
  <c r="D112" i="43"/>
  <c r="G111" i="43"/>
  <c r="I111" i="43" s="1"/>
  <c r="J111" i="43" s="1"/>
  <c r="E112" i="43"/>
  <c r="B124" i="10"/>
  <c r="F124" i="10"/>
  <c r="H124" i="10" s="1"/>
  <c r="D113" i="40"/>
  <c r="G112" i="40"/>
  <c r="I112" i="40" s="1"/>
  <c r="E113" i="40"/>
  <c r="G121" i="5"/>
  <c r="I121" i="5" s="1"/>
  <c r="D122" i="5"/>
  <c r="E122" i="5"/>
  <c r="G122" i="8"/>
  <c r="I122" i="8" s="1"/>
  <c r="J122" i="8" s="1"/>
  <c r="D123" i="8"/>
  <c r="E123" i="8"/>
  <c r="H116" i="29"/>
  <c r="H123" i="9"/>
  <c r="G113" i="37"/>
  <c r="I113" i="37" s="1"/>
  <c r="J113" i="37" s="1"/>
  <c r="D114" i="37"/>
  <c r="E114" i="37"/>
  <c r="G119" i="23"/>
  <c r="I119" i="23" s="1"/>
  <c r="J119" i="23" s="1"/>
  <c r="D120" i="23"/>
  <c r="E120" i="23"/>
  <c r="D122" i="3"/>
  <c r="G121" i="3"/>
  <c r="I121" i="3" s="1"/>
  <c r="J121" i="3" s="1"/>
  <c r="E122" i="3"/>
  <c r="D114" i="39"/>
  <c r="G113" i="39"/>
  <c r="I113" i="39" s="1"/>
  <c r="J113" i="39" s="1"/>
  <c r="E114" i="39"/>
  <c r="D118" i="27"/>
  <c r="G117" i="27"/>
  <c r="I117" i="27" s="1"/>
  <c r="J117" i="27" s="1"/>
  <c r="E118" i="27"/>
  <c r="D111" i="46"/>
  <c r="G110" i="46"/>
  <c r="I110" i="46" s="1"/>
  <c r="J110" i="46" s="1"/>
  <c r="E111" i="46"/>
  <c r="H111" i="42"/>
  <c r="D112" i="42"/>
  <c r="G111" i="42"/>
  <c r="I111" i="42" s="1"/>
  <c r="E112" i="42"/>
  <c r="H112" i="40"/>
  <c r="D125" i="7"/>
  <c r="G124" i="7"/>
  <c r="I124" i="7" s="1"/>
  <c r="J124" i="7" s="1"/>
  <c r="E125" i="7"/>
  <c r="H121" i="5"/>
  <c r="G112" i="41"/>
  <c r="I112" i="41" s="1"/>
  <c r="J112" i="41" s="1"/>
  <c r="D113" i="41"/>
  <c r="E113" i="41"/>
  <c r="J107" i="50" l="1"/>
  <c r="G108" i="50"/>
  <c r="D109" i="50"/>
  <c r="J111" i="45"/>
  <c r="B117" i="31"/>
  <c r="F117" i="31"/>
  <c r="H117" i="31" s="1"/>
  <c r="F114" i="39"/>
  <c r="H114" i="39" s="1"/>
  <c r="B114" i="39"/>
  <c r="B114" i="37"/>
  <c r="F114" i="37"/>
  <c r="F122" i="5"/>
  <c r="H122" i="5" s="1"/>
  <c r="B122" i="5"/>
  <c r="J121" i="5"/>
  <c r="B124" i="11"/>
  <c r="F124" i="11"/>
  <c r="H124" i="11" s="1"/>
  <c r="F112" i="45"/>
  <c r="H112" i="45" s="1"/>
  <c r="B112" i="45"/>
  <c r="B123" i="6"/>
  <c r="F123" i="6"/>
  <c r="H123" i="6" s="1"/>
  <c r="F124" i="9"/>
  <c r="B124" i="9"/>
  <c r="B121" i="25"/>
  <c r="F121" i="25"/>
  <c r="B116" i="30"/>
  <c r="F116" i="30"/>
  <c r="H116" i="30" s="1"/>
  <c r="F122" i="3"/>
  <c r="B122" i="3"/>
  <c r="B113" i="40"/>
  <c r="F113" i="40"/>
  <c r="H113" i="40" s="1"/>
  <c r="B119" i="24"/>
  <c r="F119" i="24"/>
  <c r="J123" i="9"/>
  <c r="F112" i="44"/>
  <c r="B112" i="44"/>
  <c r="F117" i="28"/>
  <c r="H117" i="28" s="1"/>
  <c r="B117" i="28"/>
  <c r="F125" i="7"/>
  <c r="H125" i="7" s="1"/>
  <c r="B125" i="7"/>
  <c r="B112" i="43"/>
  <c r="F112" i="43"/>
  <c r="H112" i="43" s="1"/>
  <c r="B122" i="4"/>
  <c r="F122" i="4"/>
  <c r="H122" i="4" s="1"/>
  <c r="F113" i="41"/>
  <c r="B113" i="41"/>
  <c r="F118" i="27"/>
  <c r="B118" i="27"/>
  <c r="B123" i="8"/>
  <c r="F123" i="8"/>
  <c r="H123" i="8" s="1"/>
  <c r="B121" i="22"/>
  <c r="F121" i="22"/>
  <c r="H121" i="22" s="1"/>
  <c r="J112" i="38"/>
  <c r="J116" i="29"/>
  <c r="F111" i="46"/>
  <c r="H111" i="46" s="1"/>
  <c r="B111" i="46"/>
  <c r="J112" i="40"/>
  <c r="J111" i="42"/>
  <c r="B120" i="23"/>
  <c r="F120" i="23"/>
  <c r="H120" i="23" s="1"/>
  <c r="B112" i="42"/>
  <c r="F112" i="42"/>
  <c r="H112" i="42" s="1"/>
  <c r="G124" i="10"/>
  <c r="I124" i="10" s="1"/>
  <c r="J124" i="10" s="1"/>
  <c r="D125" i="10"/>
  <c r="E125" i="10"/>
  <c r="F113" i="38"/>
  <c r="H113" i="38" s="1"/>
  <c r="B113" i="38"/>
  <c r="F117" i="29"/>
  <c r="H117" i="29" s="1"/>
  <c r="B117" i="29"/>
  <c r="E109" i="50" l="1"/>
  <c r="F109" i="50" s="1"/>
  <c r="B109" i="50"/>
  <c r="H108" i="50"/>
  <c r="I108" i="50"/>
  <c r="G118" i="27"/>
  <c r="I118" i="27" s="1"/>
  <c r="D119" i="27"/>
  <c r="E119" i="27"/>
  <c r="D122" i="22"/>
  <c r="G121" i="22"/>
  <c r="I121" i="22" s="1"/>
  <c r="J121" i="22" s="1"/>
  <c r="E122" i="22"/>
  <c r="G124" i="9"/>
  <c r="I124" i="9" s="1"/>
  <c r="D125" i="9"/>
  <c r="E125" i="9"/>
  <c r="H113" i="41"/>
  <c r="D114" i="41"/>
  <c r="G113" i="41"/>
  <c r="I113" i="41" s="1"/>
  <c r="E114" i="41"/>
  <c r="H119" i="24"/>
  <c r="G119" i="24"/>
  <c r="I119" i="24" s="1"/>
  <c r="D120" i="24"/>
  <c r="E120" i="24"/>
  <c r="D123" i="3"/>
  <c r="G122" i="3"/>
  <c r="I122" i="3" s="1"/>
  <c r="E123" i="3"/>
  <c r="D126" i="7"/>
  <c r="G125" i="7"/>
  <c r="I125" i="7" s="1"/>
  <c r="J125" i="7" s="1"/>
  <c r="E126" i="7"/>
  <c r="D117" i="30"/>
  <c r="G116" i="30"/>
  <c r="I116" i="30" s="1"/>
  <c r="J116" i="30" s="1"/>
  <c r="E117" i="30"/>
  <c r="G123" i="6"/>
  <c r="I123" i="6" s="1"/>
  <c r="J123" i="6" s="1"/>
  <c r="D124" i="6"/>
  <c r="E124" i="6"/>
  <c r="G114" i="37"/>
  <c r="I114" i="37" s="1"/>
  <c r="D115" i="37"/>
  <c r="E115" i="37"/>
  <c r="G124" i="11"/>
  <c r="I124" i="11" s="1"/>
  <c r="J124" i="11" s="1"/>
  <c r="D125" i="11"/>
  <c r="E125" i="11"/>
  <c r="G117" i="29"/>
  <c r="I117" i="29" s="1"/>
  <c r="J117" i="29" s="1"/>
  <c r="D118" i="29"/>
  <c r="E118" i="29"/>
  <c r="D113" i="42"/>
  <c r="G112" i="42"/>
  <c r="I112" i="42" s="1"/>
  <c r="J112" i="42" s="1"/>
  <c r="E113" i="42"/>
  <c r="G123" i="8"/>
  <c r="I123" i="8" s="1"/>
  <c r="J123" i="8" s="1"/>
  <c r="D124" i="8"/>
  <c r="E124" i="8"/>
  <c r="D123" i="4"/>
  <c r="G122" i="4"/>
  <c r="I122" i="4" s="1"/>
  <c r="J122" i="4" s="1"/>
  <c r="E123" i="4"/>
  <c r="G114" i="39"/>
  <c r="I114" i="39" s="1"/>
  <c r="J114" i="39" s="1"/>
  <c r="D115" i="39"/>
  <c r="E115" i="39"/>
  <c r="B125" i="10"/>
  <c r="F125" i="10"/>
  <c r="H125" i="10" s="1"/>
  <c r="D112" i="46"/>
  <c r="G111" i="46"/>
  <c r="I111" i="46" s="1"/>
  <c r="J111" i="46" s="1"/>
  <c r="E112" i="46"/>
  <c r="G113" i="40"/>
  <c r="I113" i="40" s="1"/>
  <c r="J113" i="40" s="1"/>
  <c r="D114" i="40"/>
  <c r="E114" i="40"/>
  <c r="H121" i="25"/>
  <c r="G121" i="25"/>
  <c r="I121" i="25" s="1"/>
  <c r="D122" i="25"/>
  <c r="E122" i="25"/>
  <c r="H112" i="44"/>
  <c r="D113" i="44"/>
  <c r="G112" i="44"/>
  <c r="I112" i="44" s="1"/>
  <c r="E113" i="44"/>
  <c r="H118" i="27"/>
  <c r="D118" i="28"/>
  <c r="G117" i="28"/>
  <c r="I117" i="28" s="1"/>
  <c r="J117" i="28" s="1"/>
  <c r="E118" i="28"/>
  <c r="G122" i="5"/>
  <c r="I122" i="5" s="1"/>
  <c r="J122" i="5" s="1"/>
  <c r="D123" i="5"/>
  <c r="E123" i="5"/>
  <c r="G117" i="31"/>
  <c r="I117" i="31" s="1"/>
  <c r="J117" i="31" s="1"/>
  <c r="D118" i="31"/>
  <c r="E118" i="31"/>
  <c r="G113" i="38"/>
  <c r="I113" i="38" s="1"/>
  <c r="J113" i="38" s="1"/>
  <c r="D114" i="38"/>
  <c r="E114" i="38"/>
  <c r="G120" i="23"/>
  <c r="I120" i="23" s="1"/>
  <c r="J120" i="23" s="1"/>
  <c r="D121" i="23"/>
  <c r="E121" i="23"/>
  <c r="D113" i="43"/>
  <c r="G112" i="43"/>
  <c r="I112" i="43" s="1"/>
  <c r="J112" i="43" s="1"/>
  <c r="E113" i="43"/>
  <c r="H122" i="3"/>
  <c r="H124" i="9"/>
  <c r="D113" i="45"/>
  <c r="G112" i="45"/>
  <c r="I112" i="45" s="1"/>
  <c r="J112" i="45" s="1"/>
  <c r="E113" i="45"/>
  <c r="H114" i="37"/>
  <c r="J108" i="50" l="1"/>
  <c r="G109" i="50"/>
  <c r="D110" i="50"/>
  <c r="E110" i="50"/>
  <c r="J113" i="41"/>
  <c r="J119" i="24"/>
  <c r="J121" i="25"/>
  <c r="F112" i="46"/>
  <c r="H112" i="46" s="1"/>
  <c r="B112" i="46"/>
  <c r="J114" i="37"/>
  <c r="F117" i="30"/>
  <c r="H117" i="30" s="1"/>
  <c r="B117" i="30"/>
  <c r="F114" i="38"/>
  <c r="B114" i="38"/>
  <c r="F115" i="37"/>
  <c r="H115" i="37" s="1"/>
  <c r="B115" i="37"/>
  <c r="F123" i="4"/>
  <c r="H123" i="4" s="1"/>
  <c r="B123" i="4"/>
  <c r="B118" i="29"/>
  <c r="F118" i="29"/>
  <c r="B126" i="7"/>
  <c r="F126" i="7"/>
  <c r="B113" i="43"/>
  <c r="F113" i="43"/>
  <c r="H113" i="43" s="1"/>
  <c r="B124" i="6"/>
  <c r="F124" i="6"/>
  <c r="H124" i="6" s="1"/>
  <c r="B122" i="22"/>
  <c r="F122" i="22"/>
  <c r="H122" i="22" s="1"/>
  <c r="B113" i="42"/>
  <c r="F113" i="42"/>
  <c r="H113" i="42" s="1"/>
  <c r="F118" i="31"/>
  <c r="H118" i="31" s="1"/>
  <c r="B118" i="31"/>
  <c r="F124" i="8"/>
  <c r="H124" i="8" s="1"/>
  <c r="B124" i="8"/>
  <c r="J122" i="3"/>
  <c r="B114" i="41"/>
  <c r="F114" i="41"/>
  <c r="B125" i="9"/>
  <c r="F125" i="9"/>
  <c r="H125" i="9" s="1"/>
  <c r="J124" i="9"/>
  <c r="J112" i="44"/>
  <c r="B114" i="40"/>
  <c r="F114" i="40"/>
  <c r="F125" i="11"/>
  <c r="H125" i="11" s="1"/>
  <c r="B125" i="11"/>
  <c r="B123" i="3"/>
  <c r="F123" i="3"/>
  <c r="H123" i="3" s="1"/>
  <c r="B119" i="27"/>
  <c r="F119" i="27"/>
  <c r="H119" i="27" s="1"/>
  <c r="B120" i="24"/>
  <c r="F120" i="24"/>
  <c r="H120" i="24" s="1"/>
  <c r="B122" i="25"/>
  <c r="F122" i="25"/>
  <c r="H122" i="25" s="1"/>
  <c r="F118" i="28"/>
  <c r="H118" i="28" s="1"/>
  <c r="B118" i="28"/>
  <c r="D126" i="10"/>
  <c r="G125" i="10"/>
  <c r="I125" i="10" s="1"/>
  <c r="J125" i="10" s="1"/>
  <c r="E126" i="10"/>
  <c r="F121" i="23"/>
  <c r="B121" i="23"/>
  <c r="B113" i="45"/>
  <c r="F113" i="45"/>
  <c r="H113" i="45" s="1"/>
  <c r="B123" i="5"/>
  <c r="F123" i="5"/>
  <c r="H123" i="5" s="1"/>
  <c r="B113" i="44"/>
  <c r="F113" i="44"/>
  <c r="H113" i="44" s="1"/>
  <c r="B115" i="39"/>
  <c r="F115" i="39"/>
  <c r="H115" i="39" s="1"/>
  <c r="J118" i="27"/>
  <c r="F110" i="50" l="1"/>
  <c r="B110" i="50"/>
  <c r="H109" i="50"/>
  <c r="I109" i="50"/>
  <c r="D123" i="25"/>
  <c r="G122" i="25"/>
  <c r="I122" i="25" s="1"/>
  <c r="J122" i="25" s="1"/>
  <c r="E123" i="25"/>
  <c r="G123" i="5"/>
  <c r="I123" i="5" s="1"/>
  <c r="J123" i="5" s="1"/>
  <c r="D124" i="5"/>
  <c r="E124" i="5"/>
  <c r="G123" i="3"/>
  <c r="I123" i="3" s="1"/>
  <c r="J123" i="3" s="1"/>
  <c r="D124" i="3"/>
  <c r="E124" i="3"/>
  <c r="D114" i="43"/>
  <c r="G113" i="43"/>
  <c r="I113" i="43" s="1"/>
  <c r="J113" i="43" s="1"/>
  <c r="E114" i="43"/>
  <c r="D124" i="4"/>
  <c r="G123" i="4"/>
  <c r="I123" i="4" s="1"/>
  <c r="J123" i="4" s="1"/>
  <c r="E124" i="4"/>
  <c r="G114" i="38"/>
  <c r="I114" i="38" s="1"/>
  <c r="D115" i="38"/>
  <c r="E115" i="38"/>
  <c r="G117" i="30"/>
  <c r="I117" i="30" s="1"/>
  <c r="J117" i="30" s="1"/>
  <c r="D118" i="30"/>
  <c r="E118" i="30"/>
  <c r="D115" i="40"/>
  <c r="G114" i="40"/>
  <c r="I114" i="40" s="1"/>
  <c r="E115" i="40"/>
  <c r="G115" i="39"/>
  <c r="I115" i="39" s="1"/>
  <c r="J115" i="39" s="1"/>
  <c r="D116" i="39"/>
  <c r="E116" i="39"/>
  <c r="F126" i="10"/>
  <c r="B126" i="10"/>
  <c r="D121" i="24"/>
  <c r="G120" i="24"/>
  <c r="I120" i="24" s="1"/>
  <c r="J120" i="24" s="1"/>
  <c r="E121" i="24"/>
  <c r="G124" i="8"/>
  <c r="I124" i="8" s="1"/>
  <c r="J124" i="8" s="1"/>
  <c r="D125" i="8"/>
  <c r="E125" i="8"/>
  <c r="D123" i="22"/>
  <c r="G122" i="22"/>
  <c r="I122" i="22" s="1"/>
  <c r="J122" i="22" s="1"/>
  <c r="E123" i="22"/>
  <c r="H126" i="7"/>
  <c r="G126" i="7"/>
  <c r="I126" i="7" s="1"/>
  <c r="D127" i="7"/>
  <c r="E127" i="7"/>
  <c r="G113" i="45"/>
  <c r="I113" i="45" s="1"/>
  <c r="J113" i="45" s="1"/>
  <c r="D114" i="45"/>
  <c r="E114" i="45"/>
  <c r="D126" i="9"/>
  <c r="G125" i="9"/>
  <c r="I125" i="9" s="1"/>
  <c r="J125" i="9" s="1"/>
  <c r="E126" i="9"/>
  <c r="G115" i="37"/>
  <c r="I115" i="37" s="1"/>
  <c r="J115" i="37" s="1"/>
  <c r="D116" i="37"/>
  <c r="E116" i="37"/>
  <c r="G113" i="42"/>
  <c r="I113" i="42" s="1"/>
  <c r="J113" i="42" s="1"/>
  <c r="D114" i="42"/>
  <c r="E114" i="42"/>
  <c r="D126" i="11"/>
  <c r="G125" i="11"/>
  <c r="I125" i="11" s="1"/>
  <c r="J125" i="11" s="1"/>
  <c r="E126" i="11"/>
  <c r="H118" i="29"/>
  <c r="D119" i="29"/>
  <c r="G118" i="29"/>
  <c r="I118" i="29" s="1"/>
  <c r="E119" i="29"/>
  <c r="H114" i="38"/>
  <c r="G121" i="23"/>
  <c r="I121" i="23" s="1"/>
  <c r="D122" i="23"/>
  <c r="E122" i="23"/>
  <c r="G113" i="44"/>
  <c r="I113" i="44" s="1"/>
  <c r="J113" i="44" s="1"/>
  <c r="D114" i="44"/>
  <c r="E114" i="44"/>
  <c r="H121" i="23"/>
  <c r="G118" i="28"/>
  <c r="I118" i="28" s="1"/>
  <c r="J118" i="28" s="1"/>
  <c r="D119" i="28"/>
  <c r="E119" i="28"/>
  <c r="D120" i="27"/>
  <c r="G119" i="27"/>
  <c r="I119" i="27" s="1"/>
  <c r="J119" i="27" s="1"/>
  <c r="E120" i="27"/>
  <c r="H114" i="40"/>
  <c r="H114" i="41"/>
  <c r="G114" i="41"/>
  <c r="I114" i="41" s="1"/>
  <c r="D115" i="41"/>
  <c r="E115" i="41"/>
  <c r="G118" i="31"/>
  <c r="I118" i="31" s="1"/>
  <c r="J118" i="31" s="1"/>
  <c r="D119" i="31"/>
  <c r="E119" i="31"/>
  <c r="D125" i="6"/>
  <c r="G124" i="6"/>
  <c r="I124" i="6" s="1"/>
  <c r="J124" i="6" s="1"/>
  <c r="E125" i="6"/>
  <c r="D113" i="46"/>
  <c r="G112" i="46"/>
  <c r="I112" i="46" s="1"/>
  <c r="J112" i="46" s="1"/>
  <c r="E113" i="46"/>
  <c r="J109" i="50" l="1"/>
  <c r="D111" i="50"/>
  <c r="G110" i="50"/>
  <c r="E111" i="50"/>
  <c r="J118" i="29"/>
  <c r="J126" i="7"/>
  <c r="J114" i="38"/>
  <c r="F124" i="3"/>
  <c r="H124" i="3" s="1"/>
  <c r="B124" i="3"/>
  <c r="F119" i="28"/>
  <c r="H119" i="28" s="1"/>
  <c r="B119" i="28"/>
  <c r="J121" i="23"/>
  <c r="F126" i="11"/>
  <c r="B126" i="11"/>
  <c r="J114" i="40"/>
  <c r="F113" i="46"/>
  <c r="H113" i="46" s="1"/>
  <c r="B113" i="46"/>
  <c r="F115" i="41"/>
  <c r="B115" i="41"/>
  <c r="J114" i="41"/>
  <c r="F126" i="9"/>
  <c r="H126" i="9" s="1"/>
  <c r="B126" i="9"/>
  <c r="F121" i="24"/>
  <c r="B121" i="24"/>
  <c r="F115" i="40"/>
  <c r="B115" i="40"/>
  <c r="B114" i="42"/>
  <c r="F114" i="42"/>
  <c r="B124" i="4"/>
  <c r="F124" i="4"/>
  <c r="H124" i="4" s="1"/>
  <c r="B124" i="5"/>
  <c r="F124" i="5"/>
  <c r="H124" i="5" s="1"/>
  <c r="F122" i="23"/>
  <c r="H122" i="23" s="1"/>
  <c r="B122" i="23"/>
  <c r="B125" i="6"/>
  <c r="F125" i="6"/>
  <c r="H125" i="6" s="1"/>
  <c r="F114" i="45"/>
  <c r="H114" i="45" s="1"/>
  <c r="B114" i="45"/>
  <c r="B123" i="22"/>
  <c r="F123" i="22"/>
  <c r="H123" i="22" s="1"/>
  <c r="H126" i="10"/>
  <c r="D127" i="10"/>
  <c r="G126" i="10"/>
  <c r="I126" i="10" s="1"/>
  <c r="E127" i="10"/>
  <c r="B118" i="30"/>
  <c r="F118" i="30"/>
  <c r="H118" i="30" s="1"/>
  <c r="B119" i="29"/>
  <c r="F119" i="29"/>
  <c r="H119" i="29" s="1"/>
  <c r="B119" i="31"/>
  <c r="F119" i="31"/>
  <c r="H119" i="31" s="1"/>
  <c r="B116" i="37"/>
  <c r="F116" i="37"/>
  <c r="B125" i="8"/>
  <c r="F125" i="8"/>
  <c r="B116" i="39"/>
  <c r="F116" i="39"/>
  <c r="H116" i="39" s="1"/>
  <c r="F114" i="43"/>
  <c r="H114" i="43" s="1"/>
  <c r="B114" i="43"/>
  <c r="B114" i="44"/>
  <c r="F114" i="44"/>
  <c r="B120" i="27"/>
  <c r="F120" i="27"/>
  <c r="H120" i="27" s="1"/>
  <c r="F127" i="7"/>
  <c r="H127" i="7" s="1"/>
  <c r="B127" i="7"/>
  <c r="B115" i="38"/>
  <c r="F115" i="38"/>
  <c r="H115" i="38" s="1"/>
  <c r="F123" i="25"/>
  <c r="B123" i="25"/>
  <c r="H110" i="50" l="1"/>
  <c r="I110" i="50"/>
  <c r="F111" i="50"/>
  <c r="B111" i="50"/>
  <c r="G125" i="8"/>
  <c r="I125" i="8" s="1"/>
  <c r="D126" i="8"/>
  <c r="E126" i="8"/>
  <c r="D116" i="40"/>
  <c r="G115" i="40"/>
  <c r="I115" i="40" s="1"/>
  <c r="E116" i="40"/>
  <c r="D125" i="4"/>
  <c r="G124" i="4"/>
  <c r="I124" i="4" s="1"/>
  <c r="J124" i="4" s="1"/>
  <c r="E125" i="4"/>
  <c r="H121" i="24"/>
  <c r="D122" i="24"/>
  <c r="G121" i="24"/>
  <c r="I121" i="24" s="1"/>
  <c r="E122" i="24"/>
  <c r="G116" i="37"/>
  <c r="I116" i="37" s="1"/>
  <c r="D117" i="37"/>
  <c r="E117" i="37"/>
  <c r="D124" i="22"/>
  <c r="G123" i="22"/>
  <c r="I123" i="22" s="1"/>
  <c r="J123" i="22" s="1"/>
  <c r="E124" i="22"/>
  <c r="G126" i="11"/>
  <c r="I126" i="11" s="1"/>
  <c r="D127" i="11"/>
  <c r="E127" i="11"/>
  <c r="D115" i="43"/>
  <c r="G114" i="43"/>
  <c r="I114" i="43" s="1"/>
  <c r="J114" i="43" s="1"/>
  <c r="E115" i="43"/>
  <c r="G118" i="30"/>
  <c r="I118" i="30" s="1"/>
  <c r="J118" i="30" s="1"/>
  <c r="D119" i="30"/>
  <c r="E119" i="30"/>
  <c r="H114" i="42"/>
  <c r="D115" i="42"/>
  <c r="G114" i="42"/>
  <c r="I114" i="42" s="1"/>
  <c r="E115" i="42"/>
  <c r="G113" i="46"/>
  <c r="I113" i="46" s="1"/>
  <c r="J113" i="46" s="1"/>
  <c r="D114" i="46"/>
  <c r="E114" i="46"/>
  <c r="D120" i="28"/>
  <c r="G119" i="28"/>
  <c r="I119" i="28" s="1"/>
  <c r="J119" i="28" s="1"/>
  <c r="E120" i="28"/>
  <c r="D120" i="29"/>
  <c r="G119" i="29"/>
  <c r="I119" i="29" s="1"/>
  <c r="J119" i="29" s="1"/>
  <c r="E120" i="29"/>
  <c r="H116" i="37"/>
  <c r="G127" i="7"/>
  <c r="I127" i="7" s="1"/>
  <c r="J127" i="7" s="1"/>
  <c r="D128" i="7"/>
  <c r="E128" i="7"/>
  <c r="H123" i="25"/>
  <c r="G123" i="25"/>
  <c r="I123" i="25" s="1"/>
  <c r="D124" i="25"/>
  <c r="E124" i="25"/>
  <c r="D121" i="27"/>
  <c r="G120" i="27"/>
  <c r="I120" i="27" s="1"/>
  <c r="J120" i="27" s="1"/>
  <c r="E121" i="27"/>
  <c r="D117" i="39"/>
  <c r="G116" i="39"/>
  <c r="I116" i="39" s="1"/>
  <c r="J116" i="39" s="1"/>
  <c r="E117" i="39"/>
  <c r="D123" i="23"/>
  <c r="G122" i="23"/>
  <c r="I122" i="23" s="1"/>
  <c r="J122" i="23" s="1"/>
  <c r="E123" i="23"/>
  <c r="G126" i="9"/>
  <c r="I126" i="9" s="1"/>
  <c r="J126" i="9" s="1"/>
  <c r="D127" i="9"/>
  <c r="E127" i="9"/>
  <c r="B127" i="10"/>
  <c r="F127" i="10"/>
  <c r="H127" i="10" s="1"/>
  <c r="G119" i="31"/>
  <c r="I119" i="31" s="1"/>
  <c r="J119" i="31" s="1"/>
  <c r="D120" i="31"/>
  <c r="E120" i="31"/>
  <c r="H115" i="40"/>
  <c r="H126" i="11"/>
  <c r="D126" i="6"/>
  <c r="G125" i="6"/>
  <c r="I125" i="6" s="1"/>
  <c r="J125" i="6" s="1"/>
  <c r="E126" i="6"/>
  <c r="G115" i="41"/>
  <c r="I115" i="41" s="1"/>
  <c r="D116" i="41"/>
  <c r="E116" i="41"/>
  <c r="G115" i="38"/>
  <c r="I115" i="38" s="1"/>
  <c r="J115" i="38" s="1"/>
  <c r="D116" i="38"/>
  <c r="E116" i="38"/>
  <c r="H114" i="44"/>
  <c r="G114" i="44"/>
  <c r="I114" i="44" s="1"/>
  <c r="D115" i="44"/>
  <c r="E115" i="44"/>
  <c r="H125" i="8"/>
  <c r="J126" i="10"/>
  <c r="G114" i="45"/>
  <c r="I114" i="45" s="1"/>
  <c r="J114" i="45" s="1"/>
  <c r="D115" i="45"/>
  <c r="E115" i="45"/>
  <c r="D125" i="5"/>
  <c r="G124" i="5"/>
  <c r="I124" i="5" s="1"/>
  <c r="J124" i="5" s="1"/>
  <c r="E125" i="5"/>
  <c r="H115" i="41"/>
  <c r="G124" i="3"/>
  <c r="I124" i="3" s="1"/>
  <c r="J124" i="3" s="1"/>
  <c r="D125" i="3"/>
  <c r="E125" i="3"/>
  <c r="J110" i="50" l="1"/>
  <c r="G111" i="50"/>
  <c r="D112" i="50"/>
  <c r="J114" i="44"/>
  <c r="J123" i="25"/>
  <c r="J114" i="42"/>
  <c r="J115" i="40"/>
  <c r="F115" i="45"/>
  <c r="H115" i="45" s="1"/>
  <c r="B115" i="45"/>
  <c r="F126" i="6"/>
  <c r="H126" i="6" s="1"/>
  <c r="B126" i="6"/>
  <c r="F115" i="42"/>
  <c r="B115" i="42"/>
  <c r="J116" i="37"/>
  <c r="F123" i="23"/>
  <c r="H123" i="23" s="1"/>
  <c r="B123" i="23"/>
  <c r="G127" i="10"/>
  <c r="I127" i="10" s="1"/>
  <c r="J127" i="10" s="1"/>
  <c r="D128" i="10"/>
  <c r="E128" i="10"/>
  <c r="B120" i="29"/>
  <c r="F120" i="29"/>
  <c r="H120" i="29" s="1"/>
  <c r="F117" i="37"/>
  <c r="B117" i="37"/>
  <c r="B117" i="39"/>
  <c r="F117" i="39"/>
  <c r="H117" i="39" s="1"/>
  <c r="F127" i="11"/>
  <c r="H127" i="11" s="1"/>
  <c r="B127" i="11"/>
  <c r="F125" i="5"/>
  <c r="H125" i="5" s="1"/>
  <c r="B125" i="5"/>
  <c r="B125" i="3"/>
  <c r="F125" i="3"/>
  <c r="B116" i="38"/>
  <c r="F116" i="38"/>
  <c r="F127" i="9"/>
  <c r="B127" i="9"/>
  <c r="B128" i="7"/>
  <c r="F128" i="7"/>
  <c r="H128" i="7" s="1"/>
  <c r="F120" i="28"/>
  <c r="H120" i="28" s="1"/>
  <c r="B120" i="28"/>
  <c r="J126" i="11"/>
  <c r="J121" i="24"/>
  <c r="B116" i="40"/>
  <c r="F116" i="40"/>
  <c r="H116" i="40" s="1"/>
  <c r="B119" i="30"/>
  <c r="F119" i="30"/>
  <c r="H119" i="30" s="1"/>
  <c r="F122" i="24"/>
  <c r="H122" i="24" s="1"/>
  <c r="B122" i="24"/>
  <c r="F125" i="4"/>
  <c r="B125" i="4"/>
  <c r="B116" i="41"/>
  <c r="F116" i="41"/>
  <c r="H116" i="41" s="1"/>
  <c r="B121" i="27"/>
  <c r="F121" i="27"/>
  <c r="H121" i="27" s="1"/>
  <c r="B114" i="46"/>
  <c r="F114" i="46"/>
  <c r="H114" i="46" s="1"/>
  <c r="F126" i="8"/>
  <c r="H126" i="8" s="1"/>
  <c r="B126" i="8"/>
  <c r="F124" i="25"/>
  <c r="H124" i="25" s="1"/>
  <c r="B124" i="25"/>
  <c r="B115" i="43"/>
  <c r="F115" i="43"/>
  <c r="H115" i="43" s="1"/>
  <c r="B120" i="31"/>
  <c r="F120" i="31"/>
  <c r="H120" i="31" s="1"/>
  <c r="F115" i="44"/>
  <c r="B115" i="44"/>
  <c r="J115" i="41"/>
  <c r="F124" i="22"/>
  <c r="H124" i="22" s="1"/>
  <c r="B124" i="22"/>
  <c r="J125" i="8"/>
  <c r="E112" i="50" l="1"/>
  <c r="F112" i="50" s="1"/>
  <c r="B112" i="50"/>
  <c r="H111" i="50"/>
  <c r="I111" i="50"/>
  <c r="D117" i="40"/>
  <c r="G116" i="40"/>
  <c r="I116" i="40" s="1"/>
  <c r="J116" i="40" s="1"/>
  <c r="E117" i="40"/>
  <c r="D125" i="25"/>
  <c r="G124" i="25"/>
  <c r="I124" i="25" s="1"/>
  <c r="J124" i="25" s="1"/>
  <c r="E125" i="25"/>
  <c r="G121" i="27"/>
  <c r="I121" i="27" s="1"/>
  <c r="J121" i="27" s="1"/>
  <c r="D122" i="27"/>
  <c r="E122" i="27"/>
  <c r="G117" i="39"/>
  <c r="I117" i="39" s="1"/>
  <c r="J117" i="39" s="1"/>
  <c r="D118" i="39"/>
  <c r="E118" i="39"/>
  <c r="G128" i="7"/>
  <c r="I128" i="7" s="1"/>
  <c r="J128" i="7" s="1"/>
  <c r="D129" i="7"/>
  <c r="E129" i="7"/>
  <c r="D123" i="24"/>
  <c r="G122" i="24"/>
  <c r="I122" i="24" s="1"/>
  <c r="J122" i="24" s="1"/>
  <c r="E123" i="24"/>
  <c r="H127" i="9"/>
  <c r="G127" i="9"/>
  <c r="I127" i="9" s="1"/>
  <c r="D128" i="9"/>
  <c r="E128" i="9"/>
  <c r="D126" i="5"/>
  <c r="G125" i="5"/>
  <c r="I125" i="5" s="1"/>
  <c r="J125" i="5" s="1"/>
  <c r="E126" i="5"/>
  <c r="H117" i="37"/>
  <c r="G117" i="37"/>
  <c r="I117" i="37" s="1"/>
  <c r="D118" i="37"/>
  <c r="E118" i="37"/>
  <c r="G126" i="6"/>
  <c r="I126" i="6" s="1"/>
  <c r="J126" i="6" s="1"/>
  <c r="D127" i="6"/>
  <c r="E127" i="6"/>
  <c r="B128" i="10"/>
  <c r="F128" i="10"/>
  <c r="H128" i="10" s="1"/>
  <c r="D117" i="41"/>
  <c r="G116" i="41"/>
  <c r="I116" i="41" s="1"/>
  <c r="J116" i="41" s="1"/>
  <c r="E117" i="41"/>
  <c r="H116" i="38"/>
  <c r="D117" i="38"/>
  <c r="G116" i="38"/>
  <c r="I116" i="38" s="1"/>
  <c r="E117" i="38"/>
  <c r="G123" i="23"/>
  <c r="I123" i="23" s="1"/>
  <c r="J123" i="23" s="1"/>
  <c r="D124" i="23"/>
  <c r="E124" i="23"/>
  <c r="G125" i="3"/>
  <c r="I125" i="3" s="1"/>
  <c r="D126" i="3"/>
  <c r="E126" i="3"/>
  <c r="D116" i="44"/>
  <c r="G115" i="44"/>
  <c r="I115" i="44" s="1"/>
  <c r="E116" i="44"/>
  <c r="G125" i="4"/>
  <c r="I125" i="4" s="1"/>
  <c r="D126" i="4"/>
  <c r="E126" i="4"/>
  <c r="D116" i="42"/>
  <c r="G115" i="42"/>
  <c r="I115" i="42" s="1"/>
  <c r="E116" i="42"/>
  <c r="D121" i="31"/>
  <c r="G120" i="31"/>
  <c r="I120" i="31" s="1"/>
  <c r="J120" i="31" s="1"/>
  <c r="E121" i="31"/>
  <c r="D125" i="22"/>
  <c r="G124" i="22"/>
  <c r="I124" i="22" s="1"/>
  <c r="J124" i="22" s="1"/>
  <c r="E125" i="22"/>
  <c r="G115" i="43"/>
  <c r="I115" i="43" s="1"/>
  <c r="J115" i="43" s="1"/>
  <c r="D116" i="43"/>
  <c r="E116" i="43"/>
  <c r="G119" i="30"/>
  <c r="I119" i="30" s="1"/>
  <c r="J119" i="30" s="1"/>
  <c r="D120" i="30"/>
  <c r="E120" i="30"/>
  <c r="G120" i="29"/>
  <c r="I120" i="29" s="1"/>
  <c r="J120" i="29" s="1"/>
  <c r="D121" i="29"/>
  <c r="E121" i="29"/>
  <c r="G126" i="8"/>
  <c r="I126" i="8" s="1"/>
  <c r="J126" i="8" s="1"/>
  <c r="D127" i="8"/>
  <c r="E127" i="8"/>
  <c r="H115" i="44"/>
  <c r="D115" i="46"/>
  <c r="G114" i="46"/>
  <c r="I114" i="46" s="1"/>
  <c r="J114" i="46" s="1"/>
  <c r="E115" i="46"/>
  <c r="H125" i="4"/>
  <c r="D121" i="28"/>
  <c r="G120" i="28"/>
  <c r="I120" i="28" s="1"/>
  <c r="J120" i="28" s="1"/>
  <c r="E121" i="28"/>
  <c r="H125" i="3"/>
  <c r="D128" i="11"/>
  <c r="G127" i="11"/>
  <c r="I127" i="11" s="1"/>
  <c r="J127" i="11" s="1"/>
  <c r="E128" i="11"/>
  <c r="H115" i="42"/>
  <c r="G115" i="45"/>
  <c r="I115" i="45" s="1"/>
  <c r="J115" i="45" s="1"/>
  <c r="D116" i="45"/>
  <c r="E116" i="45"/>
  <c r="J111" i="50" l="1"/>
  <c r="D113" i="50"/>
  <c r="G112" i="50"/>
  <c r="E113" i="50"/>
  <c r="J127" i="9"/>
  <c r="J125" i="3"/>
  <c r="J117" i="37"/>
  <c r="J115" i="42"/>
  <c r="F117" i="38"/>
  <c r="B117" i="38"/>
  <c r="F123" i="24"/>
  <c r="H123" i="24" s="1"/>
  <c r="B123" i="24"/>
  <c r="B122" i="27"/>
  <c r="F122" i="27"/>
  <c r="B127" i="6"/>
  <c r="F127" i="6"/>
  <c r="H127" i="6" s="1"/>
  <c r="B128" i="11"/>
  <c r="F128" i="11"/>
  <c r="H128" i="11" s="1"/>
  <c r="F115" i="46"/>
  <c r="B115" i="46"/>
  <c r="B125" i="22"/>
  <c r="F125" i="22"/>
  <c r="H125" i="22" s="1"/>
  <c r="B126" i="4"/>
  <c r="F126" i="4"/>
  <c r="H126" i="4" s="1"/>
  <c r="B128" i="9"/>
  <c r="F128" i="9"/>
  <c r="H128" i="9" s="1"/>
  <c r="B126" i="5"/>
  <c r="F126" i="5"/>
  <c r="H126" i="5" s="1"/>
  <c r="B129" i="7"/>
  <c r="F129" i="7"/>
  <c r="F120" i="30"/>
  <c r="H120" i="30" s="1"/>
  <c r="B120" i="30"/>
  <c r="J125" i="4"/>
  <c r="F124" i="23"/>
  <c r="H124" i="23" s="1"/>
  <c r="B124" i="23"/>
  <c r="B117" i="41"/>
  <c r="F117" i="41"/>
  <c r="H117" i="41" s="1"/>
  <c r="B118" i="37"/>
  <c r="F118" i="37"/>
  <c r="F125" i="25"/>
  <c r="H125" i="25" s="1"/>
  <c r="B125" i="25"/>
  <c r="F126" i="3"/>
  <c r="H126" i="3" s="1"/>
  <c r="B126" i="3"/>
  <c r="F118" i="39"/>
  <c r="H118" i="39" s="1"/>
  <c r="B118" i="39"/>
  <c r="F121" i="29"/>
  <c r="B121" i="29"/>
  <c r="B116" i="42"/>
  <c r="F116" i="42"/>
  <c r="B116" i="45"/>
  <c r="F116" i="45"/>
  <c r="B127" i="8"/>
  <c r="F127" i="8"/>
  <c r="H127" i="8" s="1"/>
  <c r="B121" i="31"/>
  <c r="F121" i="31"/>
  <c r="J115" i="44"/>
  <c r="D129" i="10"/>
  <c r="G128" i="10"/>
  <c r="I128" i="10" s="1"/>
  <c r="J128" i="10" s="1"/>
  <c r="E129" i="10"/>
  <c r="B121" i="28"/>
  <c r="F121" i="28"/>
  <c r="H121" i="28" s="1"/>
  <c r="F116" i="43"/>
  <c r="H116" i="43" s="1"/>
  <c r="B116" i="43"/>
  <c r="B116" i="44"/>
  <c r="F116" i="44"/>
  <c r="J116" i="38"/>
  <c r="F117" i="40"/>
  <c r="H117" i="40" s="1"/>
  <c r="B117" i="40"/>
  <c r="H112" i="50" l="1"/>
  <c r="I112" i="50"/>
  <c r="J112" i="50" s="1"/>
  <c r="B113" i="50"/>
  <c r="F113" i="50"/>
  <c r="D122" i="28"/>
  <c r="G121" i="28"/>
  <c r="I121" i="28" s="1"/>
  <c r="J121" i="28" s="1"/>
  <c r="E122" i="28"/>
  <c r="H116" i="44"/>
  <c r="D117" i="44"/>
  <c r="G116" i="44"/>
  <c r="I116" i="44" s="1"/>
  <c r="E117" i="44"/>
  <c r="G127" i="8"/>
  <c r="I127" i="8" s="1"/>
  <c r="J127" i="8" s="1"/>
  <c r="D128" i="8"/>
  <c r="E128" i="8"/>
  <c r="G129" i="7"/>
  <c r="I129" i="7" s="1"/>
  <c r="D130" i="7"/>
  <c r="E130" i="7"/>
  <c r="G115" i="46"/>
  <c r="I115" i="46" s="1"/>
  <c r="D116" i="46"/>
  <c r="E116" i="46"/>
  <c r="G122" i="27"/>
  <c r="I122" i="27" s="1"/>
  <c r="D123" i="27"/>
  <c r="E123" i="27"/>
  <c r="D117" i="42"/>
  <c r="G116" i="42"/>
  <c r="I116" i="42" s="1"/>
  <c r="E117" i="42"/>
  <c r="G121" i="29"/>
  <c r="I121" i="29" s="1"/>
  <c r="D122" i="29"/>
  <c r="E122" i="29"/>
  <c r="B129" i="10"/>
  <c r="F129" i="10"/>
  <c r="H129" i="10" s="1"/>
  <c r="D126" i="25"/>
  <c r="G125" i="25"/>
  <c r="I125" i="25" s="1"/>
  <c r="J125" i="25" s="1"/>
  <c r="E126" i="25"/>
  <c r="H118" i="37"/>
  <c r="D119" i="37"/>
  <c r="G118" i="37"/>
  <c r="I118" i="37" s="1"/>
  <c r="E119" i="37"/>
  <c r="D127" i="5"/>
  <c r="G126" i="5"/>
  <c r="I126" i="5" s="1"/>
  <c r="J126" i="5" s="1"/>
  <c r="E127" i="5"/>
  <c r="G121" i="31"/>
  <c r="I121" i="31" s="1"/>
  <c r="D122" i="31"/>
  <c r="E122" i="31"/>
  <c r="G126" i="4"/>
  <c r="I126" i="4" s="1"/>
  <c r="J126" i="4" s="1"/>
  <c r="D127" i="4"/>
  <c r="E127" i="4"/>
  <c r="H116" i="45"/>
  <c r="G116" i="45"/>
  <c r="I116" i="45" s="1"/>
  <c r="D117" i="45"/>
  <c r="E117" i="45"/>
  <c r="D125" i="23"/>
  <c r="G124" i="23"/>
  <c r="I124" i="23" s="1"/>
  <c r="J124" i="23" s="1"/>
  <c r="E125" i="23"/>
  <c r="D129" i="11"/>
  <c r="G128" i="11"/>
  <c r="I128" i="11" s="1"/>
  <c r="J128" i="11" s="1"/>
  <c r="E129" i="11"/>
  <c r="G116" i="43"/>
  <c r="I116" i="43" s="1"/>
  <c r="J116" i="43" s="1"/>
  <c r="D117" i="43"/>
  <c r="E117" i="43"/>
  <c r="H121" i="31"/>
  <c r="H116" i="42"/>
  <c r="D119" i="39"/>
  <c r="G118" i="39"/>
  <c r="I118" i="39" s="1"/>
  <c r="J118" i="39" s="1"/>
  <c r="E119" i="39"/>
  <c r="G125" i="22"/>
  <c r="I125" i="22" s="1"/>
  <c r="J125" i="22" s="1"/>
  <c r="D126" i="22"/>
  <c r="E126" i="22"/>
  <c r="G123" i="24"/>
  <c r="I123" i="24" s="1"/>
  <c r="J123" i="24" s="1"/>
  <c r="D124" i="24"/>
  <c r="E124" i="24"/>
  <c r="D128" i="6"/>
  <c r="G127" i="6"/>
  <c r="I127" i="6" s="1"/>
  <c r="J127" i="6" s="1"/>
  <c r="E128" i="6"/>
  <c r="G117" i="41"/>
  <c r="I117" i="41" s="1"/>
  <c r="J117" i="41" s="1"/>
  <c r="D118" i="41"/>
  <c r="E118" i="41"/>
  <c r="G120" i="30"/>
  <c r="I120" i="30" s="1"/>
  <c r="J120" i="30" s="1"/>
  <c r="D121" i="30"/>
  <c r="E121" i="30"/>
  <c r="D129" i="9"/>
  <c r="G128" i="9"/>
  <c r="I128" i="9" s="1"/>
  <c r="J128" i="9" s="1"/>
  <c r="E129" i="9"/>
  <c r="H115" i="46"/>
  <c r="H117" i="38"/>
  <c r="D118" i="38"/>
  <c r="G117" i="38"/>
  <c r="I117" i="38" s="1"/>
  <c r="E118" i="38"/>
  <c r="G117" i="40"/>
  <c r="I117" i="40" s="1"/>
  <c r="J117" i="40" s="1"/>
  <c r="D118" i="40"/>
  <c r="E118" i="40"/>
  <c r="H121" i="29"/>
  <c r="G126" i="3"/>
  <c r="I126" i="3" s="1"/>
  <c r="J126" i="3" s="1"/>
  <c r="D127" i="3"/>
  <c r="E127" i="3"/>
  <c r="H129" i="7"/>
  <c r="H122" i="27"/>
  <c r="D114" i="50" l="1"/>
  <c r="B114" i="50" s="1"/>
  <c r="G113" i="50"/>
  <c r="E114" i="50"/>
  <c r="J116" i="44"/>
  <c r="J121" i="31"/>
  <c r="J116" i="45"/>
  <c r="J121" i="29"/>
  <c r="F129" i="9"/>
  <c r="H129" i="9" s="1"/>
  <c r="B129" i="9"/>
  <c r="J115" i="46"/>
  <c r="B117" i="43"/>
  <c r="F117" i="43"/>
  <c r="H117" i="43" s="1"/>
  <c r="F117" i="45"/>
  <c r="B117" i="45"/>
  <c r="B128" i="6"/>
  <c r="F128" i="6"/>
  <c r="H128" i="6" s="1"/>
  <c r="F126" i="25"/>
  <c r="H126" i="25" s="1"/>
  <c r="B126" i="25"/>
  <c r="J116" i="42"/>
  <c r="F117" i="44"/>
  <c r="H117" i="44" s="1"/>
  <c r="B117" i="44"/>
  <c r="B126" i="22"/>
  <c r="F126" i="22"/>
  <c r="H126" i="22" s="1"/>
  <c r="F116" i="46"/>
  <c r="B116" i="46"/>
  <c r="J117" i="38"/>
  <c r="B121" i="30"/>
  <c r="F121" i="30"/>
  <c r="F119" i="39"/>
  <c r="H119" i="39" s="1"/>
  <c r="B119" i="39"/>
  <c r="F129" i="11"/>
  <c r="H129" i="11" s="1"/>
  <c r="B129" i="11"/>
  <c r="F127" i="5"/>
  <c r="B127" i="5"/>
  <c r="F117" i="42"/>
  <c r="H117" i="42" s="1"/>
  <c r="B117" i="42"/>
  <c r="F130" i="7"/>
  <c r="H130" i="7" s="1"/>
  <c r="B130" i="7"/>
  <c r="F127" i="3"/>
  <c r="H127" i="3" s="1"/>
  <c r="B127" i="3"/>
  <c r="F118" i="38"/>
  <c r="B118" i="38"/>
  <c r="B124" i="24"/>
  <c r="F124" i="24"/>
  <c r="H124" i="24" s="1"/>
  <c r="B127" i="4"/>
  <c r="F127" i="4"/>
  <c r="H127" i="4" s="1"/>
  <c r="D130" i="10"/>
  <c r="G129" i="10"/>
  <c r="I129" i="10" s="1"/>
  <c r="J129" i="10" s="1"/>
  <c r="E130" i="10"/>
  <c r="J129" i="7"/>
  <c r="B122" i="31"/>
  <c r="F122" i="31"/>
  <c r="J118" i="37"/>
  <c r="B123" i="27"/>
  <c r="F123" i="27"/>
  <c r="B122" i="29"/>
  <c r="F122" i="29"/>
  <c r="H122" i="29" s="1"/>
  <c r="B118" i="40"/>
  <c r="F118" i="40"/>
  <c r="F118" i="41"/>
  <c r="B118" i="41"/>
  <c r="B125" i="23"/>
  <c r="F125" i="23"/>
  <c r="F119" i="37"/>
  <c r="B119" i="37"/>
  <c r="J122" i="27"/>
  <c r="B128" i="8"/>
  <c r="F128" i="8"/>
  <c r="H128" i="8" s="1"/>
  <c r="F122" i="28"/>
  <c r="H122" i="28" s="1"/>
  <c r="B122" i="28"/>
  <c r="F114" i="50" l="1"/>
  <c r="G114" i="50" s="1"/>
  <c r="H113" i="50"/>
  <c r="I113" i="50"/>
  <c r="B130" i="10"/>
  <c r="F130" i="10"/>
  <c r="H130" i="10" s="1"/>
  <c r="D117" i="46"/>
  <c r="G116" i="46"/>
  <c r="I116" i="46" s="1"/>
  <c r="E117" i="46"/>
  <c r="D118" i="45"/>
  <c r="G117" i="45"/>
  <c r="I117" i="45" s="1"/>
  <c r="E118" i="45"/>
  <c r="D129" i="8"/>
  <c r="G128" i="8"/>
  <c r="I128" i="8" s="1"/>
  <c r="J128" i="8" s="1"/>
  <c r="E129" i="8"/>
  <c r="H118" i="41"/>
  <c r="D119" i="41"/>
  <c r="G118" i="41"/>
  <c r="I118" i="41" s="1"/>
  <c r="E119" i="41"/>
  <c r="D119" i="38"/>
  <c r="G118" i="38"/>
  <c r="I118" i="38" s="1"/>
  <c r="E119" i="38"/>
  <c r="H118" i="40"/>
  <c r="D119" i="40"/>
  <c r="G118" i="40"/>
  <c r="I118" i="40" s="1"/>
  <c r="E119" i="40"/>
  <c r="D128" i="4"/>
  <c r="G127" i="4"/>
  <c r="I127" i="4" s="1"/>
  <c r="J127" i="4" s="1"/>
  <c r="E128" i="4"/>
  <c r="D118" i="42"/>
  <c r="G117" i="42"/>
  <c r="I117" i="42" s="1"/>
  <c r="J117" i="42" s="1"/>
  <c r="E118" i="42"/>
  <c r="D120" i="39"/>
  <c r="G119" i="39"/>
  <c r="I119" i="39" s="1"/>
  <c r="J119" i="39" s="1"/>
  <c r="E120" i="39"/>
  <c r="G126" i="22"/>
  <c r="I126" i="22" s="1"/>
  <c r="J126" i="22" s="1"/>
  <c r="D127" i="22"/>
  <c r="E127" i="22"/>
  <c r="D127" i="25"/>
  <c r="G126" i="25"/>
  <c r="I126" i="25" s="1"/>
  <c r="J126" i="25" s="1"/>
  <c r="E127" i="25"/>
  <c r="D118" i="43"/>
  <c r="G117" i="43"/>
  <c r="I117" i="43" s="1"/>
  <c r="J117" i="43" s="1"/>
  <c r="E118" i="43"/>
  <c r="D124" i="27"/>
  <c r="G123" i="27"/>
  <c r="I123" i="27" s="1"/>
  <c r="E124" i="27"/>
  <c r="H121" i="30"/>
  <c r="D122" i="30"/>
  <c r="G121" i="30"/>
  <c r="I121" i="30" s="1"/>
  <c r="E122" i="30"/>
  <c r="D128" i="3"/>
  <c r="G127" i="3"/>
  <c r="I127" i="3" s="1"/>
  <c r="J127" i="3" s="1"/>
  <c r="E128" i="3"/>
  <c r="H127" i="5"/>
  <c r="G127" i="5"/>
  <c r="I127" i="5" s="1"/>
  <c r="D128" i="5"/>
  <c r="E128" i="5"/>
  <c r="D129" i="6"/>
  <c r="G128" i="6"/>
  <c r="I128" i="6" s="1"/>
  <c r="J128" i="6" s="1"/>
  <c r="E129" i="6"/>
  <c r="H122" i="31"/>
  <c r="D123" i="31"/>
  <c r="G122" i="31"/>
  <c r="I122" i="31" s="1"/>
  <c r="E123" i="31"/>
  <c r="G122" i="29"/>
  <c r="I122" i="29" s="1"/>
  <c r="J122" i="29" s="1"/>
  <c r="D123" i="29"/>
  <c r="E123" i="29"/>
  <c r="D125" i="24"/>
  <c r="G124" i="24"/>
  <c r="I124" i="24" s="1"/>
  <c r="J124" i="24" s="1"/>
  <c r="E125" i="24"/>
  <c r="H125" i="23"/>
  <c r="D126" i="23"/>
  <c r="G125" i="23"/>
  <c r="I125" i="23" s="1"/>
  <c r="E126" i="23"/>
  <c r="H116" i="46"/>
  <c r="G117" i="44"/>
  <c r="I117" i="44" s="1"/>
  <c r="J117" i="44" s="1"/>
  <c r="D118" i="44"/>
  <c r="E118" i="44"/>
  <c r="H117" i="45"/>
  <c r="H119" i="37"/>
  <c r="G119" i="37"/>
  <c r="I119" i="37" s="1"/>
  <c r="D120" i="37"/>
  <c r="E120" i="37"/>
  <c r="G122" i="28"/>
  <c r="I122" i="28" s="1"/>
  <c r="J122" i="28" s="1"/>
  <c r="D123" i="28"/>
  <c r="E123" i="28"/>
  <c r="H123" i="27"/>
  <c r="H118" i="38"/>
  <c r="G130" i="7"/>
  <c r="I130" i="7" s="1"/>
  <c r="J130" i="7" s="1"/>
  <c r="D131" i="7"/>
  <c r="E131" i="7"/>
  <c r="D130" i="11"/>
  <c r="G129" i="11"/>
  <c r="I129" i="11" s="1"/>
  <c r="J129" i="11" s="1"/>
  <c r="E130" i="11"/>
  <c r="G129" i="9"/>
  <c r="I129" i="9" s="1"/>
  <c r="J129" i="9" s="1"/>
  <c r="D130" i="9"/>
  <c r="E130" i="9"/>
  <c r="D115" i="50" l="1"/>
  <c r="J113" i="50"/>
  <c r="H114" i="50"/>
  <c r="I114" i="50"/>
  <c r="E115" i="50"/>
  <c r="F115" i="50" s="1"/>
  <c r="B115" i="50"/>
  <c r="J119" i="37"/>
  <c r="J121" i="30"/>
  <c r="J118" i="41"/>
  <c r="J122" i="31"/>
  <c r="J127" i="5"/>
  <c r="F129" i="6"/>
  <c r="H129" i="6" s="1"/>
  <c r="B129" i="6"/>
  <c r="B118" i="45"/>
  <c r="F118" i="45"/>
  <c r="H118" i="45" s="1"/>
  <c r="B130" i="9"/>
  <c r="F130" i="9"/>
  <c r="B126" i="23"/>
  <c r="F126" i="23"/>
  <c r="H126" i="23" s="1"/>
  <c r="F128" i="5"/>
  <c r="B128" i="5"/>
  <c r="B122" i="30"/>
  <c r="F122" i="30"/>
  <c r="F120" i="39"/>
  <c r="H120" i="39" s="1"/>
  <c r="B120" i="39"/>
  <c r="J118" i="40"/>
  <c r="F119" i="41"/>
  <c r="H119" i="41" s="1"/>
  <c r="B119" i="41"/>
  <c r="B119" i="40"/>
  <c r="F119" i="40"/>
  <c r="H119" i="40" s="1"/>
  <c r="J116" i="46"/>
  <c r="B120" i="37"/>
  <c r="F120" i="37"/>
  <c r="H120" i="37" s="1"/>
  <c r="F123" i="29"/>
  <c r="B123" i="29"/>
  <c r="J117" i="45"/>
  <c r="B123" i="31"/>
  <c r="F123" i="31"/>
  <c r="H123" i="31" s="1"/>
  <c r="B127" i="25"/>
  <c r="F127" i="25"/>
  <c r="H127" i="25" s="1"/>
  <c r="F117" i="46"/>
  <c r="B117" i="46"/>
  <c r="F131" i="7"/>
  <c r="H131" i="7" s="1"/>
  <c r="B131" i="7"/>
  <c r="B128" i="4"/>
  <c r="F128" i="4"/>
  <c r="J125" i="23"/>
  <c r="B118" i="43"/>
  <c r="F118" i="43"/>
  <c r="H118" i="43" s="1"/>
  <c r="F123" i="28"/>
  <c r="H123" i="28" s="1"/>
  <c r="B123" i="28"/>
  <c r="F118" i="44"/>
  <c r="B118" i="44"/>
  <c r="J123" i="27"/>
  <c r="B118" i="42"/>
  <c r="F118" i="42"/>
  <c r="H118" i="42" s="1"/>
  <c r="B130" i="11"/>
  <c r="F130" i="11"/>
  <c r="F125" i="24"/>
  <c r="H125" i="24" s="1"/>
  <c r="B125" i="24"/>
  <c r="F124" i="27"/>
  <c r="H124" i="27" s="1"/>
  <c r="B124" i="27"/>
  <c r="B127" i="22"/>
  <c r="F127" i="22"/>
  <c r="H127" i="22" s="1"/>
  <c r="J118" i="38"/>
  <c r="F129" i="8"/>
  <c r="H129" i="8" s="1"/>
  <c r="B129" i="8"/>
  <c r="D131" i="10"/>
  <c r="G130" i="10"/>
  <c r="I130" i="10" s="1"/>
  <c r="J130" i="10" s="1"/>
  <c r="E131" i="10"/>
  <c r="F128" i="3"/>
  <c r="H128" i="3" s="1"/>
  <c r="B128" i="3"/>
  <c r="B119" i="38"/>
  <c r="F119" i="38"/>
  <c r="H119" i="38" s="1"/>
  <c r="J114" i="50" l="1"/>
  <c r="G115" i="50"/>
  <c r="D116" i="50"/>
  <c r="D128" i="22"/>
  <c r="G127" i="22"/>
  <c r="I127" i="22" s="1"/>
  <c r="J127" i="22" s="1"/>
  <c r="E128" i="22"/>
  <c r="H130" i="11"/>
  <c r="D131" i="11"/>
  <c r="G130" i="11"/>
  <c r="I130" i="11" s="1"/>
  <c r="E131" i="11"/>
  <c r="G118" i="44"/>
  <c r="I118" i="44" s="1"/>
  <c r="D119" i="44"/>
  <c r="E119" i="44"/>
  <c r="H128" i="4"/>
  <c r="D129" i="4"/>
  <c r="G128" i="4"/>
  <c r="I128" i="4" s="1"/>
  <c r="E129" i="4"/>
  <c r="D128" i="25"/>
  <c r="G127" i="25"/>
  <c r="I127" i="25" s="1"/>
  <c r="J127" i="25" s="1"/>
  <c r="E128" i="25"/>
  <c r="G123" i="29"/>
  <c r="I123" i="29" s="1"/>
  <c r="D124" i="29"/>
  <c r="E124" i="29"/>
  <c r="D123" i="30"/>
  <c r="G122" i="30"/>
  <c r="I122" i="30" s="1"/>
  <c r="E123" i="30"/>
  <c r="G130" i="9"/>
  <c r="I130" i="9" s="1"/>
  <c r="D131" i="9"/>
  <c r="E131" i="9"/>
  <c r="G123" i="31"/>
  <c r="I123" i="31" s="1"/>
  <c r="J123" i="31" s="1"/>
  <c r="D124" i="31"/>
  <c r="E124" i="31"/>
  <c r="H128" i="5"/>
  <c r="D129" i="5"/>
  <c r="G128" i="5"/>
  <c r="I128" i="5" s="1"/>
  <c r="E129" i="5"/>
  <c r="D119" i="45"/>
  <c r="G118" i="45"/>
  <c r="I118" i="45" s="1"/>
  <c r="J118" i="45" s="1"/>
  <c r="E119" i="45"/>
  <c r="D121" i="37"/>
  <c r="G120" i="37"/>
  <c r="I120" i="37" s="1"/>
  <c r="J120" i="37" s="1"/>
  <c r="E121" i="37"/>
  <c r="G124" i="27"/>
  <c r="I124" i="27" s="1"/>
  <c r="J124" i="27" s="1"/>
  <c r="D125" i="27"/>
  <c r="E125" i="27"/>
  <c r="D132" i="7"/>
  <c r="G131" i="7"/>
  <c r="I131" i="7" s="1"/>
  <c r="J131" i="7" s="1"/>
  <c r="E132" i="7"/>
  <c r="F131" i="10"/>
  <c r="H131" i="10" s="1"/>
  <c r="B131" i="10"/>
  <c r="G119" i="41"/>
  <c r="I119" i="41" s="1"/>
  <c r="J119" i="41" s="1"/>
  <c r="D120" i="41"/>
  <c r="E120" i="41"/>
  <c r="G123" i="28"/>
  <c r="I123" i="28" s="1"/>
  <c r="J123" i="28" s="1"/>
  <c r="D124" i="28"/>
  <c r="E124" i="28"/>
  <c r="G129" i="8"/>
  <c r="I129" i="8" s="1"/>
  <c r="J129" i="8" s="1"/>
  <c r="D130" i="8"/>
  <c r="E130" i="8"/>
  <c r="G118" i="43"/>
  <c r="I118" i="43" s="1"/>
  <c r="J118" i="43" s="1"/>
  <c r="D119" i="43"/>
  <c r="E119" i="43"/>
  <c r="D127" i="23"/>
  <c r="G126" i="23"/>
  <c r="I126" i="23" s="1"/>
  <c r="J126" i="23" s="1"/>
  <c r="E127" i="23"/>
  <c r="G119" i="38"/>
  <c r="I119" i="38" s="1"/>
  <c r="J119" i="38" s="1"/>
  <c r="D120" i="38"/>
  <c r="E120" i="38"/>
  <c r="G118" i="42"/>
  <c r="I118" i="42" s="1"/>
  <c r="J118" i="42" s="1"/>
  <c r="D119" i="42"/>
  <c r="E119" i="42"/>
  <c r="H118" i="44"/>
  <c r="H117" i="46"/>
  <c r="G117" i="46"/>
  <c r="I117" i="46" s="1"/>
  <c r="D118" i="46"/>
  <c r="E118" i="46"/>
  <c r="H123" i="29"/>
  <c r="G119" i="40"/>
  <c r="I119" i="40" s="1"/>
  <c r="J119" i="40" s="1"/>
  <c r="D120" i="40"/>
  <c r="E120" i="40"/>
  <c r="G120" i="39"/>
  <c r="I120" i="39" s="1"/>
  <c r="J120" i="39" s="1"/>
  <c r="D121" i="39"/>
  <c r="E121" i="39"/>
  <c r="D129" i="3"/>
  <c r="G128" i="3"/>
  <c r="I128" i="3" s="1"/>
  <c r="J128" i="3" s="1"/>
  <c r="E129" i="3"/>
  <c r="G125" i="24"/>
  <c r="I125" i="24" s="1"/>
  <c r="J125" i="24" s="1"/>
  <c r="D126" i="24"/>
  <c r="E126" i="24"/>
  <c r="H122" i="30"/>
  <c r="H130" i="9"/>
  <c r="G129" i="6"/>
  <c r="I129" i="6" s="1"/>
  <c r="J129" i="6" s="1"/>
  <c r="D130" i="6"/>
  <c r="E130" i="6"/>
  <c r="E116" i="50" l="1"/>
  <c r="F116" i="50" s="1"/>
  <c r="B116" i="50"/>
  <c r="H115" i="50"/>
  <c r="I115" i="50"/>
  <c r="J130" i="11"/>
  <c r="J155" i="11" s="1"/>
  <c r="J117" i="46"/>
  <c r="J128" i="5"/>
  <c r="J130" i="9"/>
  <c r="J155" i="9" s="1"/>
  <c r="J128" i="4"/>
  <c r="J118" i="44"/>
  <c r="D132" i="10"/>
  <c r="G131" i="10"/>
  <c r="I131" i="10" s="1"/>
  <c r="J131" i="10" s="1"/>
  <c r="E132" i="10"/>
  <c r="J122" i="30"/>
  <c r="F121" i="39"/>
  <c r="H121" i="39" s="1"/>
  <c r="B121" i="39"/>
  <c r="F120" i="40"/>
  <c r="H120" i="40" s="1"/>
  <c r="B120" i="40"/>
  <c r="F127" i="23"/>
  <c r="B127" i="23"/>
  <c r="B124" i="28"/>
  <c r="F124" i="28"/>
  <c r="H124" i="28" s="1"/>
  <c r="B121" i="37"/>
  <c r="F121" i="37"/>
  <c r="H121" i="37" s="1"/>
  <c r="F123" i="30"/>
  <c r="H123" i="30" s="1"/>
  <c r="B123" i="30"/>
  <c r="B131" i="11"/>
  <c r="F131" i="11"/>
  <c r="B119" i="42"/>
  <c r="F119" i="42"/>
  <c r="H119" i="42" s="1"/>
  <c r="B124" i="31"/>
  <c r="F124" i="31"/>
  <c r="H124" i="31" s="1"/>
  <c r="F129" i="4"/>
  <c r="B129" i="4"/>
  <c r="B128" i="25"/>
  <c r="F128" i="25"/>
  <c r="H128" i="25" s="1"/>
  <c r="F119" i="43"/>
  <c r="B119" i="43"/>
  <c r="B132" i="7"/>
  <c r="F132" i="7"/>
  <c r="H132" i="7" s="1"/>
  <c r="F124" i="29"/>
  <c r="H124" i="29" s="1"/>
  <c r="B124" i="29"/>
  <c r="F129" i="5"/>
  <c r="B129" i="5"/>
  <c r="F126" i="24"/>
  <c r="B126" i="24"/>
  <c r="B129" i="3"/>
  <c r="F129" i="3"/>
  <c r="H129" i="3" s="1"/>
  <c r="F120" i="41"/>
  <c r="B120" i="41"/>
  <c r="F119" i="45"/>
  <c r="B119" i="45"/>
  <c r="J123" i="29"/>
  <c r="B130" i="8"/>
  <c r="F130" i="8"/>
  <c r="B130" i="6"/>
  <c r="F130" i="6"/>
  <c r="B118" i="46"/>
  <c r="F118" i="46"/>
  <c r="F120" i="38"/>
  <c r="H120" i="38" s="1"/>
  <c r="B120" i="38"/>
  <c r="F125" i="27"/>
  <c r="H125" i="27" s="1"/>
  <c r="B125" i="27"/>
  <c r="F131" i="9"/>
  <c r="B131" i="9"/>
  <c r="F119" i="44"/>
  <c r="B119" i="44"/>
  <c r="B128" i="22"/>
  <c r="F128" i="22"/>
  <c r="H128" i="22" s="1"/>
  <c r="J115" i="50" l="1"/>
  <c r="G116" i="50"/>
  <c r="D117" i="50"/>
  <c r="B117" i="50" s="1"/>
  <c r="E117" i="50"/>
  <c r="D125" i="28"/>
  <c r="G124" i="28"/>
  <c r="I124" i="28" s="1"/>
  <c r="J124" i="28" s="1"/>
  <c r="E125" i="28"/>
  <c r="H130" i="6"/>
  <c r="G130" i="6"/>
  <c r="I130" i="6" s="1"/>
  <c r="D131" i="6"/>
  <c r="E131" i="6"/>
  <c r="D129" i="22"/>
  <c r="G128" i="22"/>
  <c r="I128" i="22" s="1"/>
  <c r="J128" i="22" s="1"/>
  <c r="E129" i="22"/>
  <c r="H120" i="41"/>
  <c r="D121" i="41"/>
  <c r="G120" i="41"/>
  <c r="I120" i="41" s="1"/>
  <c r="E121" i="41"/>
  <c r="H129" i="5"/>
  <c r="D130" i="5"/>
  <c r="G129" i="5"/>
  <c r="I129" i="5" s="1"/>
  <c r="E130" i="5"/>
  <c r="H119" i="43"/>
  <c r="G119" i="43"/>
  <c r="I119" i="43" s="1"/>
  <c r="D120" i="43"/>
  <c r="E120" i="43"/>
  <c r="G124" i="31"/>
  <c r="I124" i="31" s="1"/>
  <c r="J124" i="31" s="1"/>
  <c r="D125" i="31"/>
  <c r="E125" i="31"/>
  <c r="G121" i="39"/>
  <c r="I121" i="39" s="1"/>
  <c r="J121" i="39" s="1"/>
  <c r="D122" i="39"/>
  <c r="E122" i="39"/>
  <c r="D127" i="24"/>
  <c r="G126" i="24"/>
  <c r="I126" i="24" s="1"/>
  <c r="E127" i="24"/>
  <c r="D130" i="4"/>
  <c r="G129" i="4"/>
  <c r="I129" i="4" s="1"/>
  <c r="E130" i="4"/>
  <c r="G125" i="27"/>
  <c r="I125" i="27" s="1"/>
  <c r="J125" i="27" s="1"/>
  <c r="D126" i="27"/>
  <c r="E126" i="27"/>
  <c r="D130" i="3"/>
  <c r="G129" i="3"/>
  <c r="I129" i="3" s="1"/>
  <c r="J129" i="3" s="1"/>
  <c r="E130" i="3"/>
  <c r="D129" i="25"/>
  <c r="G128" i="25"/>
  <c r="I128" i="25" s="1"/>
  <c r="J128" i="25" s="1"/>
  <c r="E129" i="25"/>
  <c r="D124" i="30"/>
  <c r="G123" i="30"/>
  <c r="I123" i="30" s="1"/>
  <c r="J123" i="30" s="1"/>
  <c r="E124" i="30"/>
  <c r="H127" i="23"/>
  <c r="G127" i="23"/>
  <c r="I127" i="23" s="1"/>
  <c r="D128" i="23"/>
  <c r="E128" i="23"/>
  <c r="G131" i="11"/>
  <c r="I131" i="11" s="1"/>
  <c r="D132" i="11"/>
  <c r="E132" i="11"/>
  <c r="H119" i="44"/>
  <c r="D120" i="44"/>
  <c r="G119" i="44"/>
  <c r="I119" i="44" s="1"/>
  <c r="E120" i="44"/>
  <c r="D125" i="29"/>
  <c r="G124" i="29"/>
  <c r="I124" i="29" s="1"/>
  <c r="J124" i="29" s="1"/>
  <c r="E125" i="29"/>
  <c r="D120" i="42"/>
  <c r="G119" i="42"/>
  <c r="I119" i="42" s="1"/>
  <c r="J119" i="42" s="1"/>
  <c r="E120" i="42"/>
  <c r="D132" i="9"/>
  <c r="G131" i="9"/>
  <c r="I131" i="9" s="1"/>
  <c r="E132" i="9"/>
  <c r="D120" i="45"/>
  <c r="G119" i="45"/>
  <c r="I119" i="45" s="1"/>
  <c r="E120" i="45"/>
  <c r="H131" i="9"/>
  <c r="D121" i="38"/>
  <c r="G120" i="38"/>
  <c r="I120" i="38" s="1"/>
  <c r="J120" i="38" s="1"/>
  <c r="E121" i="38"/>
  <c r="H119" i="45"/>
  <c r="H126" i="24"/>
  <c r="H129" i="4"/>
  <c r="G121" i="37"/>
  <c r="I121" i="37" s="1"/>
  <c r="J121" i="37" s="1"/>
  <c r="D122" i="37"/>
  <c r="E122" i="37"/>
  <c r="F132" i="10"/>
  <c r="B132" i="10"/>
  <c r="H130" i="8"/>
  <c r="D131" i="8"/>
  <c r="G130" i="8"/>
  <c r="I130" i="8" s="1"/>
  <c r="E131" i="8"/>
  <c r="H118" i="46"/>
  <c r="D119" i="46"/>
  <c r="G118" i="46"/>
  <c r="I118" i="46" s="1"/>
  <c r="E119" i="46"/>
  <c r="D133" i="7"/>
  <c r="G132" i="7"/>
  <c r="I132" i="7" s="1"/>
  <c r="J132" i="7" s="1"/>
  <c r="E133" i="7"/>
  <c r="H131" i="11"/>
  <c r="G120" i="40"/>
  <c r="I120" i="40" s="1"/>
  <c r="J120" i="40" s="1"/>
  <c r="D121" i="40"/>
  <c r="E121" i="40"/>
  <c r="F117" i="50" l="1"/>
  <c r="D118" i="50" s="1"/>
  <c r="H116" i="50"/>
  <c r="I116" i="50"/>
  <c r="J130" i="6"/>
  <c r="J130" i="8"/>
  <c r="J120" i="41"/>
  <c r="J126" i="24"/>
  <c r="J119" i="43"/>
  <c r="J118" i="46"/>
  <c r="H132" i="10"/>
  <c r="G132" i="10"/>
  <c r="I132" i="10" s="1"/>
  <c r="D133" i="10"/>
  <c r="E133" i="10"/>
  <c r="B132" i="9"/>
  <c r="F132" i="9"/>
  <c r="J119" i="44"/>
  <c r="J127" i="23"/>
  <c r="F130" i="4"/>
  <c r="H130" i="4" s="1"/>
  <c r="B130" i="4"/>
  <c r="B125" i="31"/>
  <c r="F125" i="31"/>
  <c r="H125" i="31" s="1"/>
  <c r="F130" i="5"/>
  <c r="B130" i="5"/>
  <c r="B129" i="22"/>
  <c r="F129" i="22"/>
  <c r="H129" i="22" s="1"/>
  <c r="B120" i="42"/>
  <c r="F120" i="42"/>
  <c r="H120" i="42" s="1"/>
  <c r="B127" i="24"/>
  <c r="F127" i="24"/>
  <c r="H127" i="24" s="1"/>
  <c r="B120" i="43"/>
  <c r="F120" i="43"/>
  <c r="H120" i="43" s="1"/>
  <c r="B121" i="40"/>
  <c r="F121" i="40"/>
  <c r="B130" i="3"/>
  <c r="F130" i="3"/>
  <c r="H130" i="3" s="1"/>
  <c r="B131" i="6"/>
  <c r="F131" i="6"/>
  <c r="J119" i="45"/>
  <c r="F124" i="30"/>
  <c r="B124" i="30"/>
  <c r="B126" i="27"/>
  <c r="F126" i="27"/>
  <c r="H126" i="27" s="1"/>
  <c r="B121" i="41"/>
  <c r="F121" i="41"/>
  <c r="F120" i="44"/>
  <c r="B120" i="44"/>
  <c r="F122" i="37"/>
  <c r="H122" i="37" s="1"/>
  <c r="B122" i="37"/>
  <c r="F132" i="11"/>
  <c r="B132" i="11"/>
  <c r="B131" i="8"/>
  <c r="F131" i="8"/>
  <c r="H131" i="8" s="1"/>
  <c r="B120" i="45"/>
  <c r="F120" i="45"/>
  <c r="B122" i="39"/>
  <c r="F122" i="39"/>
  <c r="F119" i="46"/>
  <c r="B119" i="46"/>
  <c r="B133" i="7"/>
  <c r="F133" i="7"/>
  <c r="H133" i="7" s="1"/>
  <c r="B125" i="29"/>
  <c r="F125" i="29"/>
  <c r="H125" i="29" s="1"/>
  <c r="F121" i="38"/>
  <c r="B121" i="38"/>
  <c r="B128" i="23"/>
  <c r="F128" i="23"/>
  <c r="H128" i="23" s="1"/>
  <c r="B129" i="25"/>
  <c r="F129" i="25"/>
  <c r="H129" i="25" s="1"/>
  <c r="J129" i="4"/>
  <c r="J129" i="5"/>
  <c r="B125" i="28"/>
  <c r="F125" i="28"/>
  <c r="H125" i="28" s="1"/>
  <c r="G117" i="50" l="1"/>
  <c r="H117" i="50" s="1"/>
  <c r="J116" i="50"/>
  <c r="E118" i="50"/>
  <c r="F118" i="50" s="1"/>
  <c r="B118" i="50"/>
  <c r="J132" i="10"/>
  <c r="D122" i="41"/>
  <c r="G121" i="41"/>
  <c r="I121" i="41" s="1"/>
  <c r="E122" i="41"/>
  <c r="H121" i="38"/>
  <c r="G121" i="38"/>
  <c r="I121" i="38" s="1"/>
  <c r="D122" i="38"/>
  <c r="E122" i="38"/>
  <c r="H121" i="41"/>
  <c r="D125" i="30"/>
  <c r="G124" i="30"/>
  <c r="I124" i="30" s="1"/>
  <c r="E125" i="30"/>
  <c r="G121" i="40"/>
  <c r="I121" i="40" s="1"/>
  <c r="D122" i="40"/>
  <c r="E122" i="40"/>
  <c r="D131" i="5"/>
  <c r="G130" i="5"/>
  <c r="I130" i="5" s="1"/>
  <c r="E131" i="5"/>
  <c r="H131" i="6"/>
  <c r="G131" i="6"/>
  <c r="I131" i="6" s="1"/>
  <c r="D132" i="6"/>
  <c r="E132" i="6"/>
  <c r="G120" i="43"/>
  <c r="I120" i="43" s="1"/>
  <c r="J120" i="43" s="1"/>
  <c r="D121" i="43"/>
  <c r="E121" i="43"/>
  <c r="D130" i="25"/>
  <c r="G129" i="25"/>
  <c r="I129" i="25" s="1"/>
  <c r="J129" i="25" s="1"/>
  <c r="E130" i="25"/>
  <c r="G125" i="29"/>
  <c r="I125" i="29" s="1"/>
  <c r="J125" i="29" s="1"/>
  <c r="D126" i="29"/>
  <c r="E126" i="29"/>
  <c r="H132" i="11"/>
  <c r="G132" i="11"/>
  <c r="I132" i="11" s="1"/>
  <c r="D133" i="11"/>
  <c r="E133" i="11"/>
  <c r="D126" i="31"/>
  <c r="G125" i="31"/>
  <c r="I125" i="31" s="1"/>
  <c r="J125" i="31" s="1"/>
  <c r="E126" i="31"/>
  <c r="H120" i="45"/>
  <c r="G120" i="45"/>
  <c r="I120" i="45" s="1"/>
  <c r="D121" i="45"/>
  <c r="E121" i="45"/>
  <c r="D127" i="27"/>
  <c r="G126" i="27"/>
  <c r="I126" i="27" s="1"/>
  <c r="J126" i="27" s="1"/>
  <c r="E127" i="27"/>
  <c r="D130" i="22"/>
  <c r="G129" i="22"/>
  <c r="I129" i="22" s="1"/>
  <c r="J129" i="22" s="1"/>
  <c r="E130" i="22"/>
  <c r="F133" i="10"/>
  <c r="B133" i="10"/>
  <c r="D129" i="23"/>
  <c r="G128" i="23"/>
  <c r="I128" i="23" s="1"/>
  <c r="J128" i="23" s="1"/>
  <c r="E129" i="23"/>
  <c r="D134" i="7"/>
  <c r="G133" i="7"/>
  <c r="I133" i="7" s="1"/>
  <c r="J133" i="7" s="1"/>
  <c r="E134" i="7"/>
  <c r="D123" i="37"/>
  <c r="G122" i="37"/>
  <c r="I122" i="37" s="1"/>
  <c r="J122" i="37" s="1"/>
  <c r="E123" i="37"/>
  <c r="G130" i="3"/>
  <c r="I130" i="3" s="1"/>
  <c r="J130" i="3" s="1"/>
  <c r="D131" i="3"/>
  <c r="E131" i="3"/>
  <c r="H124" i="30"/>
  <c r="D128" i="24"/>
  <c r="G127" i="24"/>
  <c r="I127" i="24" s="1"/>
  <c r="J127" i="24" s="1"/>
  <c r="E128" i="24"/>
  <c r="H130" i="5"/>
  <c r="D131" i="4"/>
  <c r="G130" i="4"/>
  <c r="I130" i="4" s="1"/>
  <c r="J130" i="4" s="1"/>
  <c r="E131" i="4"/>
  <c r="D120" i="46"/>
  <c r="G119" i="46"/>
  <c r="I119" i="46" s="1"/>
  <c r="E120" i="46"/>
  <c r="G120" i="42"/>
  <c r="I120" i="42" s="1"/>
  <c r="J120" i="42" s="1"/>
  <c r="D121" i="42"/>
  <c r="E121" i="42"/>
  <c r="H132" i="9"/>
  <c r="D133" i="9"/>
  <c r="G132" i="9"/>
  <c r="I132" i="9" s="1"/>
  <c r="E133" i="9"/>
  <c r="H122" i="39"/>
  <c r="G122" i="39"/>
  <c r="I122" i="39" s="1"/>
  <c r="D123" i="39"/>
  <c r="E123" i="39"/>
  <c r="D126" i="28"/>
  <c r="G125" i="28"/>
  <c r="I125" i="28" s="1"/>
  <c r="J125" i="28" s="1"/>
  <c r="E126" i="28"/>
  <c r="H119" i="46"/>
  <c r="G131" i="8"/>
  <c r="I131" i="8" s="1"/>
  <c r="J131" i="8" s="1"/>
  <c r="D132" i="8"/>
  <c r="E132" i="8"/>
  <c r="H120" i="44"/>
  <c r="D121" i="44"/>
  <c r="G120" i="44"/>
  <c r="I120" i="44" s="1"/>
  <c r="E121" i="44"/>
  <c r="H121" i="40"/>
  <c r="I117" i="50" l="1"/>
  <c r="J117" i="50" s="1"/>
  <c r="D119" i="50"/>
  <c r="G118" i="50"/>
  <c r="E119" i="50"/>
  <c r="J121" i="38"/>
  <c r="J130" i="5"/>
  <c r="J120" i="44"/>
  <c r="J120" i="45"/>
  <c r="J131" i="6"/>
  <c r="G133" i="10"/>
  <c r="I133" i="10" s="1"/>
  <c r="D134" i="10"/>
  <c r="E134" i="10"/>
  <c r="B120" i="46"/>
  <c r="F120" i="46"/>
  <c r="H120" i="46" s="1"/>
  <c r="B131" i="5"/>
  <c r="F131" i="5"/>
  <c r="B122" i="38"/>
  <c r="F122" i="38"/>
  <c r="H122" i="38" s="1"/>
  <c r="B130" i="22"/>
  <c r="F130" i="22"/>
  <c r="H130" i="22" s="1"/>
  <c r="B126" i="29"/>
  <c r="F126" i="29"/>
  <c r="F122" i="40"/>
  <c r="H122" i="40" s="1"/>
  <c r="B122" i="40"/>
  <c r="B128" i="24"/>
  <c r="F128" i="24"/>
  <c r="H128" i="24" s="1"/>
  <c r="F134" i="7"/>
  <c r="B134" i="7"/>
  <c r="B121" i="44"/>
  <c r="F121" i="44"/>
  <c r="B131" i="4"/>
  <c r="F131" i="4"/>
  <c r="H131" i="4" s="1"/>
  <c r="B132" i="6"/>
  <c r="F132" i="6"/>
  <c r="J121" i="40"/>
  <c r="J119" i="46"/>
  <c r="B121" i="43"/>
  <c r="F121" i="43"/>
  <c r="H121" i="43" s="1"/>
  <c r="B126" i="28"/>
  <c r="F126" i="28"/>
  <c r="H126" i="28" s="1"/>
  <c r="F123" i="39"/>
  <c r="H123" i="39" s="1"/>
  <c r="B123" i="39"/>
  <c r="B129" i="23"/>
  <c r="F129" i="23"/>
  <c r="H129" i="23" s="1"/>
  <c r="B126" i="31"/>
  <c r="F126" i="31"/>
  <c r="B121" i="45"/>
  <c r="F121" i="45"/>
  <c r="H121" i="45" s="1"/>
  <c r="B133" i="9"/>
  <c r="F133" i="9"/>
  <c r="H133" i="9" s="1"/>
  <c r="F131" i="3"/>
  <c r="B131" i="3"/>
  <c r="F121" i="42"/>
  <c r="H121" i="42" s="1"/>
  <c r="B121" i="42"/>
  <c r="B132" i="8"/>
  <c r="F132" i="8"/>
  <c r="H132" i="8" s="1"/>
  <c r="J122" i="39"/>
  <c r="H133" i="10"/>
  <c r="B127" i="27"/>
  <c r="F127" i="27"/>
  <c r="J124" i="30"/>
  <c r="J121" i="41"/>
  <c r="B123" i="37"/>
  <c r="F123" i="37"/>
  <c r="B133" i="11"/>
  <c r="F133" i="11"/>
  <c r="H133" i="11" s="1"/>
  <c r="B130" i="25"/>
  <c r="F130" i="25"/>
  <c r="B125" i="30"/>
  <c r="F125" i="30"/>
  <c r="B122" i="41"/>
  <c r="F122" i="41"/>
  <c r="H118" i="50" l="1"/>
  <c r="I118" i="50"/>
  <c r="J118" i="50" s="1"/>
  <c r="B119" i="50"/>
  <c r="F119" i="50"/>
  <c r="G132" i="8"/>
  <c r="I132" i="8" s="1"/>
  <c r="J132" i="8" s="1"/>
  <c r="D133" i="8"/>
  <c r="E133" i="8"/>
  <c r="G133" i="9"/>
  <c r="I133" i="9" s="1"/>
  <c r="D134" i="9"/>
  <c r="E134" i="9"/>
  <c r="D129" i="24"/>
  <c r="G128" i="24"/>
  <c r="I128" i="24" s="1"/>
  <c r="J128" i="24" s="1"/>
  <c r="E129" i="24"/>
  <c r="D131" i="22"/>
  <c r="G130" i="22"/>
  <c r="I130" i="22" s="1"/>
  <c r="J130" i="22" s="1"/>
  <c r="J155" i="22" s="1"/>
  <c r="E131" i="22"/>
  <c r="H125" i="30"/>
  <c r="D126" i="30"/>
  <c r="G125" i="30"/>
  <c r="I125" i="30" s="1"/>
  <c r="E126" i="30"/>
  <c r="G126" i="31"/>
  <c r="I126" i="31" s="1"/>
  <c r="D127" i="31"/>
  <c r="E127" i="31"/>
  <c r="D130" i="23"/>
  <c r="G129" i="23"/>
  <c r="I129" i="23" s="1"/>
  <c r="J129" i="23" s="1"/>
  <c r="E130" i="23"/>
  <c r="D132" i="4"/>
  <c r="G131" i="4"/>
  <c r="I131" i="4" s="1"/>
  <c r="J131" i="4" s="1"/>
  <c r="E132" i="4"/>
  <c r="G120" i="46"/>
  <c r="I120" i="46" s="1"/>
  <c r="J120" i="46" s="1"/>
  <c r="D121" i="46"/>
  <c r="E121" i="46"/>
  <c r="G131" i="3"/>
  <c r="I131" i="3" s="1"/>
  <c r="D132" i="3"/>
  <c r="E132" i="3"/>
  <c r="H132" i="6"/>
  <c r="G132" i="6"/>
  <c r="I132" i="6" s="1"/>
  <c r="D133" i="6"/>
  <c r="E133" i="6"/>
  <c r="D132" i="5"/>
  <c r="G131" i="5"/>
  <c r="I131" i="5" s="1"/>
  <c r="E132" i="5"/>
  <c r="H130" i="25"/>
  <c r="G130" i="25"/>
  <c r="I130" i="25" s="1"/>
  <c r="D131" i="25"/>
  <c r="E131" i="25"/>
  <c r="D134" i="11"/>
  <c r="G133" i="11"/>
  <c r="I133" i="11" s="1"/>
  <c r="E134" i="11"/>
  <c r="G121" i="42"/>
  <c r="I121" i="42" s="1"/>
  <c r="J121" i="42" s="1"/>
  <c r="D122" i="42"/>
  <c r="E122" i="42"/>
  <c r="D122" i="45"/>
  <c r="G121" i="45"/>
  <c r="I121" i="45" s="1"/>
  <c r="J121" i="45" s="1"/>
  <c r="E122" i="45"/>
  <c r="H121" i="44"/>
  <c r="G121" i="44"/>
  <c r="I121" i="44" s="1"/>
  <c r="D122" i="44"/>
  <c r="E122" i="44"/>
  <c r="G122" i="38"/>
  <c r="I122" i="38" s="1"/>
  <c r="J122" i="38" s="1"/>
  <c r="D123" i="38"/>
  <c r="E123" i="38"/>
  <c r="G126" i="28"/>
  <c r="I126" i="28" s="1"/>
  <c r="J126" i="28" s="1"/>
  <c r="D127" i="28"/>
  <c r="E127" i="28"/>
  <c r="H127" i="27"/>
  <c r="G127" i="27"/>
  <c r="I127" i="27" s="1"/>
  <c r="D128" i="27"/>
  <c r="E128" i="27"/>
  <c r="G121" i="43"/>
  <c r="I121" i="43" s="1"/>
  <c r="J121" i="43" s="1"/>
  <c r="D122" i="43"/>
  <c r="E122" i="43"/>
  <c r="H122" i="41"/>
  <c r="G122" i="41"/>
  <c r="I122" i="41" s="1"/>
  <c r="D123" i="41"/>
  <c r="E123" i="41"/>
  <c r="H131" i="3"/>
  <c r="G122" i="40"/>
  <c r="I122" i="40" s="1"/>
  <c r="J122" i="40" s="1"/>
  <c r="D123" i="40"/>
  <c r="E123" i="40"/>
  <c r="F134" i="10"/>
  <c r="B134" i="10"/>
  <c r="D124" i="37"/>
  <c r="G123" i="37"/>
  <c r="I123" i="37" s="1"/>
  <c r="E124" i="37"/>
  <c r="H134" i="7"/>
  <c r="D135" i="7"/>
  <c r="G134" i="7"/>
  <c r="I134" i="7" s="1"/>
  <c r="E135" i="7"/>
  <c r="H123" i="37"/>
  <c r="H126" i="31"/>
  <c r="G123" i="39"/>
  <c r="I123" i="39" s="1"/>
  <c r="J123" i="39" s="1"/>
  <c r="D124" i="39"/>
  <c r="E124" i="39"/>
  <c r="H126" i="29"/>
  <c r="D127" i="29"/>
  <c r="G126" i="29"/>
  <c r="I126" i="29" s="1"/>
  <c r="E127" i="29"/>
  <c r="H131" i="5"/>
  <c r="J133" i="10"/>
  <c r="D120" i="50" l="1"/>
  <c r="G119" i="50"/>
  <c r="J121" i="44"/>
  <c r="J123" i="37"/>
  <c r="J127" i="27"/>
  <c r="J125" i="30"/>
  <c r="J126" i="29"/>
  <c r="J130" i="25"/>
  <c r="F129" i="24"/>
  <c r="H129" i="24" s="1"/>
  <c r="B129" i="24"/>
  <c r="J122" i="41"/>
  <c r="F122" i="44"/>
  <c r="H122" i="44" s="1"/>
  <c r="B122" i="44"/>
  <c r="B132" i="3"/>
  <c r="F132" i="3"/>
  <c r="F126" i="30"/>
  <c r="H126" i="30" s="1"/>
  <c r="B126" i="30"/>
  <c r="B123" i="41"/>
  <c r="F123" i="41"/>
  <c r="H123" i="41" s="1"/>
  <c r="H134" i="10"/>
  <c r="D135" i="10"/>
  <c r="G134" i="10"/>
  <c r="I134" i="10" s="1"/>
  <c r="E135" i="10"/>
  <c r="J131" i="5"/>
  <c r="J131" i="3"/>
  <c r="B134" i="9"/>
  <c r="F134" i="9"/>
  <c r="H134" i="9" s="1"/>
  <c r="F122" i="42"/>
  <c r="B122" i="42"/>
  <c r="F132" i="4"/>
  <c r="H132" i="4" s="1"/>
  <c r="B132" i="4"/>
  <c r="F127" i="29"/>
  <c r="B127" i="29"/>
  <c r="J134" i="7"/>
  <c r="F127" i="28"/>
  <c r="H127" i="28" s="1"/>
  <c r="B127" i="28"/>
  <c r="F132" i="5"/>
  <c r="B132" i="5"/>
  <c r="F130" i="23"/>
  <c r="H130" i="23" s="1"/>
  <c r="B130" i="23"/>
  <c r="F135" i="7"/>
  <c r="H135" i="7" s="1"/>
  <c r="B135" i="7"/>
  <c r="F123" i="40"/>
  <c r="H123" i="40" s="1"/>
  <c r="B123" i="40"/>
  <c r="B122" i="43"/>
  <c r="F122" i="43"/>
  <c r="B134" i="11"/>
  <c r="F134" i="11"/>
  <c r="H134" i="11" s="1"/>
  <c r="B121" i="46"/>
  <c r="F121" i="46"/>
  <c r="H121" i="46" s="1"/>
  <c r="B128" i="27"/>
  <c r="F128" i="27"/>
  <c r="B124" i="37"/>
  <c r="F124" i="37"/>
  <c r="H124" i="37" s="1"/>
  <c r="F133" i="6"/>
  <c r="B133" i="6"/>
  <c r="F127" i="31"/>
  <c r="B127" i="31"/>
  <c r="B131" i="22"/>
  <c r="F131" i="22"/>
  <c r="H131" i="22" s="1"/>
  <c r="B133" i="8"/>
  <c r="F133" i="8"/>
  <c r="H133" i="8" s="1"/>
  <c r="F124" i="39"/>
  <c r="B124" i="39"/>
  <c r="F123" i="38"/>
  <c r="B123" i="38"/>
  <c r="F122" i="45"/>
  <c r="H122" i="45" s="1"/>
  <c r="B122" i="45"/>
  <c r="F131" i="25"/>
  <c r="B131" i="25"/>
  <c r="J132" i="6"/>
  <c r="J126" i="31"/>
  <c r="H119" i="50" l="1"/>
  <c r="I119" i="50"/>
  <c r="E120" i="50"/>
  <c r="F120" i="50" s="1"/>
  <c r="B120" i="50"/>
  <c r="H124" i="39"/>
  <c r="D125" i="39"/>
  <c r="G124" i="39"/>
  <c r="I124" i="39" s="1"/>
  <c r="E125" i="39"/>
  <c r="G128" i="27"/>
  <c r="I128" i="27" s="1"/>
  <c r="D129" i="27"/>
  <c r="E129" i="27"/>
  <c r="H122" i="43"/>
  <c r="G122" i="43"/>
  <c r="I122" i="43" s="1"/>
  <c r="D123" i="43"/>
  <c r="E123" i="43"/>
  <c r="G131" i="25"/>
  <c r="I131" i="25" s="1"/>
  <c r="D132" i="25"/>
  <c r="E132" i="25"/>
  <c r="G127" i="31"/>
  <c r="I127" i="31" s="1"/>
  <c r="D128" i="31"/>
  <c r="E128" i="31"/>
  <c r="G121" i="46"/>
  <c r="I121" i="46" s="1"/>
  <c r="J121" i="46" s="1"/>
  <c r="D122" i="46"/>
  <c r="E122" i="46"/>
  <c r="G122" i="44"/>
  <c r="I122" i="44" s="1"/>
  <c r="J122" i="44" s="1"/>
  <c r="D123" i="44"/>
  <c r="E123" i="44"/>
  <c r="D135" i="9"/>
  <c r="G134" i="9"/>
  <c r="I134" i="9" s="1"/>
  <c r="E135" i="9"/>
  <c r="D134" i="8"/>
  <c r="G133" i="8"/>
  <c r="I133" i="8" s="1"/>
  <c r="J133" i="8" s="1"/>
  <c r="E134" i="8"/>
  <c r="D131" i="23"/>
  <c r="G130" i="23"/>
  <c r="I130" i="23" s="1"/>
  <c r="J130" i="23" s="1"/>
  <c r="J155" i="23" s="1"/>
  <c r="E131" i="23"/>
  <c r="G123" i="41"/>
  <c r="I123" i="41" s="1"/>
  <c r="J123" i="41" s="1"/>
  <c r="D124" i="41"/>
  <c r="E124" i="41"/>
  <c r="H133" i="6"/>
  <c r="D134" i="6"/>
  <c r="G133" i="6"/>
  <c r="I133" i="6" s="1"/>
  <c r="E134" i="6"/>
  <c r="G122" i="45"/>
  <c r="I122" i="45" s="1"/>
  <c r="J122" i="45" s="1"/>
  <c r="D123" i="45"/>
  <c r="E123" i="45"/>
  <c r="G123" i="40"/>
  <c r="I123" i="40" s="1"/>
  <c r="J123" i="40" s="1"/>
  <c r="D124" i="40"/>
  <c r="E124" i="40"/>
  <c r="H132" i="5"/>
  <c r="G132" i="5"/>
  <c r="I132" i="5" s="1"/>
  <c r="D133" i="5"/>
  <c r="E133" i="5"/>
  <c r="H127" i="29"/>
  <c r="G127" i="29"/>
  <c r="I127" i="29" s="1"/>
  <c r="D128" i="29"/>
  <c r="E128" i="29"/>
  <c r="G132" i="4"/>
  <c r="I132" i="4" s="1"/>
  <c r="J132" i="4" s="1"/>
  <c r="D133" i="4"/>
  <c r="E133" i="4"/>
  <c r="G124" i="37"/>
  <c r="I124" i="37" s="1"/>
  <c r="J124" i="37" s="1"/>
  <c r="D125" i="37"/>
  <c r="E125" i="37"/>
  <c r="H123" i="38"/>
  <c r="G123" i="38"/>
  <c r="I123" i="38" s="1"/>
  <c r="D124" i="38"/>
  <c r="E124" i="38"/>
  <c r="D135" i="11"/>
  <c r="G134" i="11"/>
  <c r="I134" i="11" s="1"/>
  <c r="E135" i="11"/>
  <c r="J134" i="10"/>
  <c r="G126" i="30"/>
  <c r="I126" i="30" s="1"/>
  <c r="J126" i="30" s="1"/>
  <c r="D127" i="30"/>
  <c r="E127" i="30"/>
  <c r="G131" i="22"/>
  <c r="I131" i="22" s="1"/>
  <c r="D132" i="22"/>
  <c r="E132" i="22"/>
  <c r="H131" i="25"/>
  <c r="H127" i="31"/>
  <c r="H128" i="27"/>
  <c r="D136" i="7"/>
  <c r="G135" i="7"/>
  <c r="I135" i="7" s="1"/>
  <c r="J135" i="7" s="1"/>
  <c r="E136" i="7"/>
  <c r="G127" i="28"/>
  <c r="I127" i="28" s="1"/>
  <c r="J127" i="28" s="1"/>
  <c r="D128" i="28"/>
  <c r="E128" i="28"/>
  <c r="H122" i="42"/>
  <c r="D123" i="42"/>
  <c r="G122" i="42"/>
  <c r="I122" i="42" s="1"/>
  <c r="E123" i="42"/>
  <c r="B135" i="10"/>
  <c r="F135" i="10"/>
  <c r="H132" i="3"/>
  <c r="G132" i="3"/>
  <c r="I132" i="3" s="1"/>
  <c r="D133" i="3"/>
  <c r="E133" i="3"/>
  <c r="D130" i="24"/>
  <c r="G129" i="24"/>
  <c r="I129" i="24" s="1"/>
  <c r="J129" i="24" s="1"/>
  <c r="E130" i="24"/>
  <c r="J119" i="50" l="1"/>
  <c r="D121" i="50"/>
  <c r="G120" i="50"/>
  <c r="J124" i="39"/>
  <c r="J133" i="6"/>
  <c r="J132" i="3"/>
  <c r="J122" i="42"/>
  <c r="J123" i="38"/>
  <c r="J132" i="5"/>
  <c r="J127" i="31"/>
  <c r="J128" i="27"/>
  <c r="J127" i="29"/>
  <c r="F130" i="24"/>
  <c r="H130" i="24" s="1"/>
  <c r="B130" i="24"/>
  <c r="B124" i="38"/>
  <c r="F124" i="38"/>
  <c r="H124" i="38" s="1"/>
  <c r="F131" i="23"/>
  <c r="B131" i="23"/>
  <c r="B123" i="44"/>
  <c r="F123" i="44"/>
  <c r="B129" i="27"/>
  <c r="F129" i="27"/>
  <c r="B128" i="31"/>
  <c r="F128" i="31"/>
  <c r="H128" i="31" s="1"/>
  <c r="B133" i="5"/>
  <c r="F133" i="5"/>
  <c r="B133" i="3"/>
  <c r="F133" i="3"/>
  <c r="H133" i="3" s="1"/>
  <c r="B123" i="42"/>
  <c r="F123" i="42"/>
  <c r="H123" i="42" s="1"/>
  <c r="F128" i="29"/>
  <c r="H128" i="29" s="1"/>
  <c r="B128" i="29"/>
  <c r="B124" i="40"/>
  <c r="F124" i="40"/>
  <c r="H124" i="40" s="1"/>
  <c r="J131" i="25"/>
  <c r="D136" i="10"/>
  <c r="G135" i="10"/>
  <c r="I135" i="10" s="1"/>
  <c r="E136" i="10"/>
  <c r="B135" i="11"/>
  <c r="F135" i="11"/>
  <c r="B135" i="9"/>
  <c r="F135" i="9"/>
  <c r="F127" i="30"/>
  <c r="B127" i="30"/>
  <c r="F134" i="8"/>
  <c r="H134" i="8" s="1"/>
  <c r="B134" i="8"/>
  <c r="B122" i="46"/>
  <c r="F122" i="46"/>
  <c r="F133" i="4"/>
  <c r="B133" i="4"/>
  <c r="B136" i="7"/>
  <c r="F136" i="7"/>
  <c r="H136" i="7" s="1"/>
  <c r="B134" i="6"/>
  <c r="F134" i="6"/>
  <c r="B125" i="37"/>
  <c r="F125" i="37"/>
  <c r="F124" i="41"/>
  <c r="H124" i="41" s="1"/>
  <c r="B124" i="41"/>
  <c r="F123" i="43"/>
  <c r="H123" i="43" s="1"/>
  <c r="B123" i="43"/>
  <c r="F125" i="39"/>
  <c r="B125" i="39"/>
  <c r="B132" i="22"/>
  <c r="F132" i="22"/>
  <c r="H132" i="22" s="1"/>
  <c r="F132" i="25"/>
  <c r="H132" i="25" s="1"/>
  <c r="B132" i="25"/>
  <c r="H135" i="10"/>
  <c r="F128" i="28"/>
  <c r="H128" i="28" s="1"/>
  <c r="B128" i="28"/>
  <c r="F123" i="45"/>
  <c r="H123" i="45" s="1"/>
  <c r="B123" i="45"/>
  <c r="J122" i="43"/>
  <c r="H120" i="50" l="1"/>
  <c r="I120" i="50"/>
  <c r="E121" i="50"/>
  <c r="F121" i="50" s="1"/>
  <c r="B121" i="50"/>
  <c r="G125" i="39"/>
  <c r="I125" i="39" s="1"/>
  <c r="D126" i="39"/>
  <c r="E126" i="39"/>
  <c r="B136" i="10"/>
  <c r="F136" i="10"/>
  <c r="D134" i="4"/>
  <c r="G133" i="4"/>
  <c r="I133" i="4" s="1"/>
  <c r="E134" i="4"/>
  <c r="G127" i="30"/>
  <c r="I127" i="30" s="1"/>
  <c r="D128" i="30"/>
  <c r="E128" i="30"/>
  <c r="D124" i="42"/>
  <c r="G123" i="42"/>
  <c r="I123" i="42" s="1"/>
  <c r="J123" i="42" s="1"/>
  <c r="E124" i="42"/>
  <c r="D129" i="31"/>
  <c r="G128" i="31"/>
  <c r="I128" i="31" s="1"/>
  <c r="J128" i="31" s="1"/>
  <c r="E129" i="31"/>
  <c r="G131" i="23"/>
  <c r="I131" i="23" s="1"/>
  <c r="D132" i="23"/>
  <c r="E132" i="23"/>
  <c r="D133" i="25"/>
  <c r="G132" i="25"/>
  <c r="I132" i="25" s="1"/>
  <c r="J132" i="25" s="1"/>
  <c r="J155" i="25" s="1"/>
  <c r="E133" i="25"/>
  <c r="H134" i="6"/>
  <c r="G134" i="6"/>
  <c r="I134" i="6" s="1"/>
  <c r="D135" i="6"/>
  <c r="E135" i="6"/>
  <c r="H122" i="46"/>
  <c r="D123" i="46"/>
  <c r="G122" i="46"/>
  <c r="I122" i="46" s="1"/>
  <c r="E123" i="46"/>
  <c r="H135" i="9"/>
  <c r="G135" i="9"/>
  <c r="I135" i="9" s="1"/>
  <c r="D136" i="9"/>
  <c r="E136" i="9"/>
  <c r="D124" i="45"/>
  <c r="G123" i="45"/>
  <c r="I123" i="45" s="1"/>
  <c r="J123" i="45" s="1"/>
  <c r="E124" i="45"/>
  <c r="D133" i="22"/>
  <c r="G132" i="22"/>
  <c r="I132" i="22" s="1"/>
  <c r="E133" i="22"/>
  <c r="H135" i="11"/>
  <c r="D136" i="11"/>
  <c r="G135" i="11"/>
  <c r="I135" i="11" s="1"/>
  <c r="E136" i="11"/>
  <c r="G133" i="3"/>
  <c r="I133" i="3" s="1"/>
  <c r="J133" i="3" s="1"/>
  <c r="D134" i="3"/>
  <c r="E134" i="3"/>
  <c r="D126" i="37"/>
  <c r="G125" i="37"/>
  <c r="I125" i="37" s="1"/>
  <c r="E126" i="37"/>
  <c r="G124" i="38"/>
  <c r="I124" i="38" s="1"/>
  <c r="J124" i="38" s="1"/>
  <c r="D125" i="38"/>
  <c r="E125" i="38"/>
  <c r="G136" i="7"/>
  <c r="I136" i="7" s="1"/>
  <c r="J136" i="7" s="1"/>
  <c r="D137" i="7"/>
  <c r="E137" i="7"/>
  <c r="H123" i="44"/>
  <c r="G123" i="44"/>
  <c r="I123" i="44" s="1"/>
  <c r="D124" i="44"/>
  <c r="E124" i="44"/>
  <c r="D129" i="28"/>
  <c r="G128" i="28"/>
  <c r="I128" i="28" s="1"/>
  <c r="J128" i="28" s="1"/>
  <c r="E129" i="28"/>
  <c r="H125" i="39"/>
  <c r="G124" i="41"/>
  <c r="I124" i="41" s="1"/>
  <c r="J124" i="41" s="1"/>
  <c r="D125" i="41"/>
  <c r="E125" i="41"/>
  <c r="G134" i="8"/>
  <c r="I134" i="8" s="1"/>
  <c r="J134" i="8" s="1"/>
  <c r="D135" i="8"/>
  <c r="E135" i="8"/>
  <c r="H133" i="5"/>
  <c r="G133" i="5"/>
  <c r="I133" i="5" s="1"/>
  <c r="D134" i="5"/>
  <c r="E134" i="5"/>
  <c r="D124" i="43"/>
  <c r="G123" i="43"/>
  <c r="I123" i="43" s="1"/>
  <c r="J123" i="43" s="1"/>
  <c r="E124" i="43"/>
  <c r="G124" i="40"/>
  <c r="I124" i="40" s="1"/>
  <c r="J124" i="40" s="1"/>
  <c r="D125" i="40"/>
  <c r="E125" i="40"/>
  <c r="H129" i="27"/>
  <c r="D130" i="27"/>
  <c r="G129" i="27"/>
  <c r="I129" i="27" s="1"/>
  <c r="E130" i="27"/>
  <c r="H125" i="37"/>
  <c r="H133" i="4"/>
  <c r="H127" i="30"/>
  <c r="J135" i="10"/>
  <c r="G128" i="29"/>
  <c r="I128" i="29" s="1"/>
  <c r="J128" i="29" s="1"/>
  <c r="D129" i="29"/>
  <c r="E129" i="29"/>
  <c r="H131" i="23"/>
  <c r="D131" i="24"/>
  <c r="G130" i="24"/>
  <c r="I130" i="24" s="1"/>
  <c r="J130" i="24" s="1"/>
  <c r="J155" i="24" s="1"/>
  <c r="E131" i="24"/>
  <c r="J120" i="50" l="1"/>
  <c r="D122" i="50"/>
  <c r="G121" i="50"/>
  <c r="J122" i="46"/>
  <c r="J129" i="27"/>
  <c r="J123" i="44"/>
  <c r="B125" i="40"/>
  <c r="F125" i="40"/>
  <c r="F137" i="7"/>
  <c r="B137" i="7"/>
  <c r="B134" i="3"/>
  <c r="F134" i="3"/>
  <c r="H134" i="3" s="1"/>
  <c r="B133" i="22"/>
  <c r="F133" i="22"/>
  <c r="H133" i="22" s="1"/>
  <c r="F129" i="31"/>
  <c r="H129" i="31" s="1"/>
  <c r="B129" i="31"/>
  <c r="J133" i="4"/>
  <c r="B135" i="8"/>
  <c r="F135" i="8"/>
  <c r="F129" i="28"/>
  <c r="B129" i="28"/>
  <c r="B134" i="4"/>
  <c r="F134" i="4"/>
  <c r="H134" i="4" s="1"/>
  <c r="F125" i="38"/>
  <c r="B125" i="38"/>
  <c r="F123" i="46"/>
  <c r="H123" i="46" s="1"/>
  <c r="B123" i="46"/>
  <c r="B133" i="25"/>
  <c r="F133" i="25"/>
  <c r="H133" i="25" s="1"/>
  <c r="H136" i="10"/>
  <c r="G136" i="10"/>
  <c r="I136" i="10" s="1"/>
  <c r="D137" i="10"/>
  <c r="E137" i="10"/>
  <c r="F124" i="43"/>
  <c r="H124" i="43" s="1"/>
  <c r="B124" i="43"/>
  <c r="F124" i="44"/>
  <c r="B124" i="44"/>
  <c r="F124" i="45"/>
  <c r="B124" i="45"/>
  <c r="F124" i="42"/>
  <c r="H124" i="42" s="1"/>
  <c r="B124" i="42"/>
  <c r="B129" i="29"/>
  <c r="F129" i="29"/>
  <c r="F130" i="27"/>
  <c r="B130" i="27"/>
  <c r="F125" i="41"/>
  <c r="H125" i="41" s="1"/>
  <c r="B125" i="41"/>
  <c r="F136" i="11"/>
  <c r="H136" i="11" s="1"/>
  <c r="B136" i="11"/>
  <c r="B132" i="23"/>
  <c r="F132" i="23"/>
  <c r="H132" i="23" s="1"/>
  <c r="B134" i="5"/>
  <c r="F134" i="5"/>
  <c r="H134" i="5" s="1"/>
  <c r="J125" i="37"/>
  <c r="F136" i="9"/>
  <c r="B136" i="9"/>
  <c r="B135" i="6"/>
  <c r="F135" i="6"/>
  <c r="B128" i="30"/>
  <c r="F128" i="30"/>
  <c r="H128" i="30" s="1"/>
  <c r="B126" i="39"/>
  <c r="F126" i="39"/>
  <c r="B131" i="24"/>
  <c r="F131" i="24"/>
  <c r="H131" i="24" s="1"/>
  <c r="J133" i="5"/>
  <c r="F126" i="37"/>
  <c r="B126" i="37"/>
  <c r="J134" i="6"/>
  <c r="J127" i="30"/>
  <c r="J125" i="39"/>
  <c r="H121" i="50" l="1"/>
  <c r="I121" i="50"/>
  <c r="E122" i="50"/>
  <c r="B122" i="50"/>
  <c r="F122" i="50"/>
  <c r="J136" i="10"/>
  <c r="G136" i="9"/>
  <c r="I136" i="9" s="1"/>
  <c r="D137" i="9"/>
  <c r="E137" i="9"/>
  <c r="H125" i="38"/>
  <c r="D126" i="38"/>
  <c r="G125" i="38"/>
  <c r="I125" i="38" s="1"/>
  <c r="E126" i="38"/>
  <c r="H126" i="37"/>
  <c r="D127" i="37"/>
  <c r="G126" i="37"/>
  <c r="I126" i="37" s="1"/>
  <c r="E127" i="37"/>
  <c r="H124" i="44"/>
  <c r="G124" i="44"/>
  <c r="I124" i="44" s="1"/>
  <c r="D125" i="44"/>
  <c r="E125" i="44"/>
  <c r="G134" i="3"/>
  <c r="I134" i="3" s="1"/>
  <c r="J134" i="3" s="1"/>
  <c r="D135" i="3"/>
  <c r="E135" i="3"/>
  <c r="H130" i="27"/>
  <c r="D131" i="27"/>
  <c r="G130" i="27"/>
  <c r="I130" i="27" s="1"/>
  <c r="E131" i="27"/>
  <c r="D129" i="30"/>
  <c r="G128" i="30"/>
  <c r="I128" i="30" s="1"/>
  <c r="J128" i="30" s="1"/>
  <c r="E129" i="30"/>
  <c r="G133" i="25"/>
  <c r="I133" i="25" s="1"/>
  <c r="D134" i="25"/>
  <c r="E134" i="25"/>
  <c r="D135" i="4"/>
  <c r="G134" i="4"/>
  <c r="I134" i="4" s="1"/>
  <c r="J134" i="4" s="1"/>
  <c r="E135" i="4"/>
  <c r="H129" i="29"/>
  <c r="G129" i="29"/>
  <c r="I129" i="29" s="1"/>
  <c r="D130" i="29"/>
  <c r="E130" i="29"/>
  <c r="G134" i="5"/>
  <c r="I134" i="5" s="1"/>
  <c r="J134" i="5" s="1"/>
  <c r="D135" i="5"/>
  <c r="E135" i="5"/>
  <c r="G124" i="43"/>
  <c r="I124" i="43" s="1"/>
  <c r="J124" i="43" s="1"/>
  <c r="D125" i="43"/>
  <c r="E125" i="43"/>
  <c r="G129" i="31"/>
  <c r="I129" i="31" s="1"/>
  <c r="J129" i="31" s="1"/>
  <c r="D130" i="31"/>
  <c r="E130" i="31"/>
  <c r="H137" i="7"/>
  <c r="G137" i="7"/>
  <c r="I137" i="7" s="1"/>
  <c r="D138" i="7"/>
  <c r="E138" i="7"/>
  <c r="G124" i="45"/>
  <c r="I124" i="45" s="1"/>
  <c r="D125" i="45"/>
  <c r="E125" i="45"/>
  <c r="D136" i="8"/>
  <c r="G135" i="8"/>
  <c r="I135" i="8" s="1"/>
  <c r="E136" i="8"/>
  <c r="D137" i="11"/>
  <c r="G136" i="11"/>
  <c r="I136" i="11" s="1"/>
  <c r="E137" i="11"/>
  <c r="G131" i="24"/>
  <c r="I131" i="24" s="1"/>
  <c r="D132" i="24"/>
  <c r="E132" i="24"/>
  <c r="H135" i="6"/>
  <c r="D136" i="6"/>
  <c r="G135" i="6"/>
  <c r="I135" i="6" s="1"/>
  <c r="E136" i="6"/>
  <c r="G125" i="41"/>
  <c r="I125" i="41" s="1"/>
  <c r="J125" i="41" s="1"/>
  <c r="D126" i="41"/>
  <c r="E126" i="41"/>
  <c r="H124" i="45"/>
  <c r="H129" i="28"/>
  <c r="G129" i="28"/>
  <c r="I129" i="28" s="1"/>
  <c r="D130" i="28"/>
  <c r="E130" i="28"/>
  <c r="H125" i="40"/>
  <c r="D126" i="40"/>
  <c r="G125" i="40"/>
  <c r="I125" i="40" s="1"/>
  <c r="E126" i="40"/>
  <c r="D127" i="39"/>
  <c r="G126" i="39"/>
  <c r="I126" i="39" s="1"/>
  <c r="E127" i="39"/>
  <c r="G124" i="42"/>
  <c r="I124" i="42" s="1"/>
  <c r="J124" i="42" s="1"/>
  <c r="D125" i="42"/>
  <c r="E125" i="42"/>
  <c r="H126" i="39"/>
  <c r="H136" i="9"/>
  <c r="G132" i="23"/>
  <c r="I132" i="23" s="1"/>
  <c r="D133" i="23"/>
  <c r="E133" i="23"/>
  <c r="F137" i="10"/>
  <c r="B137" i="10"/>
  <c r="G123" i="46"/>
  <c r="I123" i="46" s="1"/>
  <c r="J123" i="46" s="1"/>
  <c r="D124" i="46"/>
  <c r="E124" i="46"/>
  <c r="H135" i="8"/>
  <c r="D134" i="22"/>
  <c r="G133" i="22"/>
  <c r="I133" i="22" s="1"/>
  <c r="E134" i="22"/>
  <c r="J121" i="50" l="1"/>
  <c r="G122" i="50"/>
  <c r="D123" i="50"/>
  <c r="E123" i="50"/>
  <c r="J124" i="44"/>
  <c r="J125" i="40"/>
  <c r="J135" i="6"/>
  <c r="F137" i="11"/>
  <c r="H137" i="11" s="1"/>
  <c r="B137" i="11"/>
  <c r="B129" i="30"/>
  <c r="F129" i="30"/>
  <c r="H129" i="30" s="1"/>
  <c r="F134" i="22"/>
  <c r="B134" i="22"/>
  <c r="F133" i="23"/>
  <c r="H133" i="23" s="1"/>
  <c r="B133" i="23"/>
  <c r="J126" i="39"/>
  <c r="J129" i="28"/>
  <c r="F136" i="6"/>
  <c r="H136" i="6" s="1"/>
  <c r="B136" i="6"/>
  <c r="J137" i="7"/>
  <c r="F125" i="44"/>
  <c r="H125" i="44" s="1"/>
  <c r="B125" i="44"/>
  <c r="J125" i="38"/>
  <c r="B125" i="43"/>
  <c r="F125" i="43"/>
  <c r="F130" i="28"/>
  <c r="B130" i="28"/>
  <c r="B127" i="39"/>
  <c r="F127" i="39"/>
  <c r="H127" i="39" s="1"/>
  <c r="J135" i="8"/>
  <c r="F135" i="5"/>
  <c r="H135" i="5" s="1"/>
  <c r="B135" i="5"/>
  <c r="B135" i="4"/>
  <c r="F135" i="4"/>
  <c r="J130" i="27"/>
  <c r="B126" i="38"/>
  <c r="F126" i="38"/>
  <c r="B138" i="7"/>
  <c r="F138" i="7"/>
  <c r="F136" i="8"/>
  <c r="B136" i="8"/>
  <c r="F131" i="27"/>
  <c r="B131" i="27"/>
  <c r="F124" i="46"/>
  <c r="B124" i="46"/>
  <c r="F132" i="24"/>
  <c r="B132" i="24"/>
  <c r="B130" i="31"/>
  <c r="F130" i="31"/>
  <c r="H130" i="31" s="1"/>
  <c r="F134" i="25"/>
  <c r="H134" i="25" s="1"/>
  <c r="B134" i="25"/>
  <c r="H137" i="10"/>
  <c r="D138" i="10"/>
  <c r="G137" i="10"/>
  <c r="I137" i="10" s="1"/>
  <c r="E138" i="10"/>
  <c r="F126" i="40"/>
  <c r="H126" i="40" s="1"/>
  <c r="B126" i="40"/>
  <c r="B126" i="41"/>
  <c r="F126" i="41"/>
  <c r="H126" i="41" s="1"/>
  <c r="B125" i="45"/>
  <c r="F125" i="45"/>
  <c r="B130" i="29"/>
  <c r="F130" i="29"/>
  <c r="J126" i="37"/>
  <c r="B137" i="9"/>
  <c r="F137" i="9"/>
  <c r="F125" i="42"/>
  <c r="B125" i="42"/>
  <c r="J124" i="45"/>
  <c r="J129" i="29"/>
  <c r="B135" i="3"/>
  <c r="F135" i="3"/>
  <c r="H135" i="3" s="1"/>
  <c r="F127" i="37"/>
  <c r="B127" i="37"/>
  <c r="B123" i="50" l="1"/>
  <c r="F123" i="50"/>
  <c r="H122" i="50"/>
  <c r="I122" i="50"/>
  <c r="G125" i="42"/>
  <c r="I125" i="42" s="1"/>
  <c r="D126" i="42"/>
  <c r="E126" i="42"/>
  <c r="D137" i="8"/>
  <c r="G136" i="8"/>
  <c r="I136" i="8" s="1"/>
  <c r="E137" i="8"/>
  <c r="H130" i="28"/>
  <c r="D131" i="28"/>
  <c r="G130" i="28"/>
  <c r="I130" i="28" s="1"/>
  <c r="E131" i="28"/>
  <c r="D136" i="5"/>
  <c r="G135" i="5"/>
  <c r="I135" i="5" s="1"/>
  <c r="J135" i="5" s="1"/>
  <c r="E136" i="5"/>
  <c r="D137" i="6"/>
  <c r="G136" i="6"/>
  <c r="I136" i="6" s="1"/>
  <c r="J136" i="6" s="1"/>
  <c r="E137" i="6"/>
  <c r="H126" i="38"/>
  <c r="G126" i="38"/>
  <c r="I126" i="38" s="1"/>
  <c r="D127" i="38"/>
  <c r="E127" i="38"/>
  <c r="D130" i="30"/>
  <c r="G129" i="30"/>
  <c r="I129" i="30" s="1"/>
  <c r="J129" i="30" s="1"/>
  <c r="E130" i="30"/>
  <c r="F138" i="10"/>
  <c r="B138" i="10"/>
  <c r="H132" i="24"/>
  <c r="G132" i="24"/>
  <c r="I132" i="24" s="1"/>
  <c r="D133" i="24"/>
  <c r="E133" i="24"/>
  <c r="H125" i="43"/>
  <c r="G125" i="43"/>
  <c r="I125" i="43" s="1"/>
  <c r="D126" i="43"/>
  <c r="E126" i="43"/>
  <c r="H134" i="22"/>
  <c r="D135" i="22"/>
  <c r="G134" i="22"/>
  <c r="I134" i="22" s="1"/>
  <c r="E135" i="22"/>
  <c r="H127" i="37"/>
  <c r="D128" i="37"/>
  <c r="G127" i="37"/>
  <c r="I127" i="37" s="1"/>
  <c r="E128" i="37"/>
  <c r="D127" i="40"/>
  <c r="G126" i="40"/>
  <c r="I126" i="40" s="1"/>
  <c r="J126" i="40" s="1"/>
  <c r="E127" i="40"/>
  <c r="H131" i="27"/>
  <c r="G131" i="27"/>
  <c r="I131" i="27" s="1"/>
  <c r="D132" i="27"/>
  <c r="E132" i="27"/>
  <c r="G127" i="39"/>
  <c r="I127" i="39" s="1"/>
  <c r="J127" i="39" s="1"/>
  <c r="D128" i="39"/>
  <c r="E128" i="39"/>
  <c r="G126" i="41"/>
  <c r="I126" i="41" s="1"/>
  <c r="J126" i="41" s="1"/>
  <c r="D127" i="41"/>
  <c r="E127" i="41"/>
  <c r="H138" i="7"/>
  <c r="D139" i="7"/>
  <c r="G138" i="7"/>
  <c r="I138" i="7" s="1"/>
  <c r="E139" i="7"/>
  <c r="H124" i="46"/>
  <c r="D125" i="46"/>
  <c r="G124" i="46"/>
  <c r="I124" i="46" s="1"/>
  <c r="E125" i="46"/>
  <c r="D135" i="25"/>
  <c r="G134" i="25"/>
  <c r="I134" i="25" s="1"/>
  <c r="E135" i="25"/>
  <c r="H125" i="42"/>
  <c r="H136" i="8"/>
  <c r="G125" i="44"/>
  <c r="I125" i="44" s="1"/>
  <c r="J125" i="44" s="1"/>
  <c r="D126" i="44"/>
  <c r="E126" i="44"/>
  <c r="H137" i="9"/>
  <c r="G137" i="9"/>
  <c r="I137" i="9" s="1"/>
  <c r="D138" i="9"/>
  <c r="E138" i="9"/>
  <c r="G135" i="3"/>
  <c r="I135" i="3" s="1"/>
  <c r="J135" i="3" s="1"/>
  <c r="D136" i="3"/>
  <c r="E136" i="3"/>
  <c r="H130" i="29"/>
  <c r="D131" i="29"/>
  <c r="G130" i="29"/>
  <c r="I130" i="29" s="1"/>
  <c r="E131" i="29"/>
  <c r="H125" i="45"/>
  <c r="D126" i="45"/>
  <c r="G125" i="45"/>
  <c r="I125" i="45" s="1"/>
  <c r="E126" i="45"/>
  <c r="G130" i="31"/>
  <c r="I130" i="31" s="1"/>
  <c r="J130" i="31" s="1"/>
  <c r="D131" i="31"/>
  <c r="E131" i="31"/>
  <c r="H135" i="4"/>
  <c r="D136" i="4"/>
  <c r="G135" i="4"/>
  <c r="I135" i="4" s="1"/>
  <c r="E136" i="4"/>
  <c r="J137" i="10"/>
  <c r="D134" i="23"/>
  <c r="G133" i="23"/>
  <c r="I133" i="23" s="1"/>
  <c r="E134" i="23"/>
  <c r="G137" i="11"/>
  <c r="I137" i="11" s="1"/>
  <c r="D138" i="11"/>
  <c r="E138" i="11"/>
  <c r="J122" i="50" l="1"/>
  <c r="D124" i="50"/>
  <c r="G123" i="50"/>
  <c r="J126" i="38"/>
  <c r="J125" i="43"/>
  <c r="J131" i="27"/>
  <c r="J135" i="4"/>
  <c r="J136" i="8"/>
  <c r="J125" i="45"/>
  <c r="B128" i="37"/>
  <c r="F128" i="37"/>
  <c r="H128" i="37" s="1"/>
  <c r="F131" i="28"/>
  <c r="H131" i="28" s="1"/>
  <c r="B131" i="28"/>
  <c r="F134" i="23"/>
  <c r="B134" i="23"/>
  <c r="F131" i="29"/>
  <c r="B131" i="29"/>
  <c r="F126" i="44"/>
  <c r="H126" i="44" s="1"/>
  <c r="B126" i="44"/>
  <c r="J124" i="46"/>
  <c r="B127" i="41"/>
  <c r="F127" i="41"/>
  <c r="B137" i="6"/>
  <c r="F137" i="6"/>
  <c r="B131" i="31"/>
  <c r="F131" i="31"/>
  <c r="H131" i="31" s="1"/>
  <c r="B135" i="25"/>
  <c r="F135" i="25"/>
  <c r="F126" i="45"/>
  <c r="H126" i="45" s="1"/>
  <c r="B126" i="45"/>
  <c r="F135" i="22"/>
  <c r="H135" i="22" s="1"/>
  <c r="B135" i="22"/>
  <c r="B137" i="8"/>
  <c r="F137" i="8"/>
  <c r="H137" i="8" s="1"/>
  <c r="B136" i="3"/>
  <c r="F136" i="3"/>
  <c r="H136" i="3" s="1"/>
  <c r="B136" i="4"/>
  <c r="F136" i="4"/>
  <c r="H136" i="4" s="1"/>
  <c r="B128" i="39"/>
  <c r="F128" i="39"/>
  <c r="H128" i="39" s="1"/>
  <c r="B127" i="40"/>
  <c r="F127" i="40"/>
  <c r="H127" i="40" s="1"/>
  <c r="B127" i="38"/>
  <c r="F127" i="38"/>
  <c r="B136" i="5"/>
  <c r="F136" i="5"/>
  <c r="H136" i="5" s="1"/>
  <c r="F132" i="27"/>
  <c r="B132" i="27"/>
  <c r="D139" i="10"/>
  <c r="G138" i="10"/>
  <c r="I138" i="10" s="1"/>
  <c r="E139" i="10"/>
  <c r="F125" i="46"/>
  <c r="H125" i="46" s="1"/>
  <c r="B125" i="46"/>
  <c r="B130" i="30"/>
  <c r="F130" i="30"/>
  <c r="H130" i="30" s="1"/>
  <c r="F138" i="9"/>
  <c r="B138" i="9"/>
  <c r="J138" i="7"/>
  <c r="H138" i="10"/>
  <c r="F126" i="42"/>
  <c r="H126" i="42" s="1"/>
  <c r="B126" i="42"/>
  <c r="F133" i="24"/>
  <c r="B133" i="24"/>
  <c r="F138" i="11"/>
  <c r="H138" i="11" s="1"/>
  <c r="B138" i="11"/>
  <c r="J130" i="29"/>
  <c r="F139" i="7"/>
  <c r="B139" i="7"/>
  <c r="J127" i="37"/>
  <c r="F126" i="43"/>
  <c r="H126" i="43" s="1"/>
  <c r="B126" i="43"/>
  <c r="J130" i="28"/>
  <c r="J125" i="42"/>
  <c r="H123" i="50" l="1"/>
  <c r="I123" i="50"/>
  <c r="J123" i="50" s="1"/>
  <c r="E124" i="50"/>
  <c r="F124" i="50" s="1"/>
  <c r="B124" i="50"/>
  <c r="J138" i="10"/>
  <c r="G138" i="9"/>
  <c r="I138" i="9" s="1"/>
  <c r="D139" i="9"/>
  <c r="E139" i="9"/>
  <c r="D131" i="30"/>
  <c r="G130" i="30"/>
  <c r="I130" i="30" s="1"/>
  <c r="J130" i="30" s="1"/>
  <c r="E131" i="30"/>
  <c r="D128" i="40"/>
  <c r="G127" i="40"/>
  <c r="I127" i="40" s="1"/>
  <c r="J127" i="40" s="1"/>
  <c r="E128" i="40"/>
  <c r="G135" i="22"/>
  <c r="I135" i="22" s="1"/>
  <c r="D136" i="22"/>
  <c r="E136" i="22"/>
  <c r="D132" i="31"/>
  <c r="G131" i="31"/>
  <c r="I131" i="31" s="1"/>
  <c r="J131" i="31" s="1"/>
  <c r="E132" i="31"/>
  <c r="G139" i="7"/>
  <c r="I139" i="7" s="1"/>
  <c r="D140" i="7"/>
  <c r="E140" i="7" s="1"/>
  <c r="F140" i="7" s="1"/>
  <c r="H132" i="27"/>
  <c r="D133" i="27"/>
  <c r="G132" i="27"/>
  <c r="I132" i="27" s="1"/>
  <c r="E133" i="27"/>
  <c r="G136" i="3"/>
  <c r="I136" i="3" s="1"/>
  <c r="J136" i="3" s="1"/>
  <c r="D137" i="3"/>
  <c r="E137" i="3"/>
  <c r="D127" i="44"/>
  <c r="G126" i="44"/>
  <c r="I126" i="44" s="1"/>
  <c r="J126" i="44" s="1"/>
  <c r="E127" i="44"/>
  <c r="G131" i="28"/>
  <c r="I131" i="28" s="1"/>
  <c r="J131" i="28" s="1"/>
  <c r="D132" i="28"/>
  <c r="E132" i="28"/>
  <c r="G133" i="24"/>
  <c r="I133" i="24" s="1"/>
  <c r="D134" i="24"/>
  <c r="E134" i="24"/>
  <c r="G136" i="4"/>
  <c r="I136" i="4" s="1"/>
  <c r="J136" i="4" s="1"/>
  <c r="D137" i="4"/>
  <c r="E137" i="4"/>
  <c r="D135" i="23"/>
  <c r="G134" i="23"/>
  <c r="I134" i="23" s="1"/>
  <c r="E135" i="23"/>
  <c r="G126" i="42"/>
  <c r="I126" i="42" s="1"/>
  <c r="J126" i="42" s="1"/>
  <c r="D127" i="42"/>
  <c r="E127" i="42"/>
  <c r="G136" i="5"/>
  <c r="I136" i="5" s="1"/>
  <c r="J136" i="5" s="1"/>
  <c r="D137" i="5"/>
  <c r="E137" i="5"/>
  <c r="H137" i="6"/>
  <c r="G137" i="6"/>
  <c r="I137" i="6" s="1"/>
  <c r="D138" i="6"/>
  <c r="E138" i="6"/>
  <c r="D128" i="38"/>
  <c r="G127" i="38"/>
  <c r="I127" i="38" s="1"/>
  <c r="E128" i="38"/>
  <c r="H133" i="24"/>
  <c r="H138" i="9"/>
  <c r="D126" i="46"/>
  <c r="G125" i="46"/>
  <c r="I125" i="46" s="1"/>
  <c r="J125" i="46" s="1"/>
  <c r="E126" i="46"/>
  <c r="D129" i="39"/>
  <c r="G128" i="39"/>
  <c r="I128" i="39" s="1"/>
  <c r="J128" i="39" s="1"/>
  <c r="E129" i="39"/>
  <c r="D127" i="45"/>
  <c r="G126" i="45"/>
  <c r="I126" i="45" s="1"/>
  <c r="J126" i="45" s="1"/>
  <c r="E127" i="45"/>
  <c r="H131" i="29"/>
  <c r="G131" i="29"/>
  <c r="I131" i="29" s="1"/>
  <c r="D132" i="29"/>
  <c r="E132" i="29"/>
  <c r="G128" i="37"/>
  <c r="I128" i="37" s="1"/>
  <c r="J128" i="37" s="1"/>
  <c r="D129" i="37"/>
  <c r="E129" i="37"/>
  <c r="D136" i="25"/>
  <c r="G135" i="25"/>
  <c r="I135" i="25" s="1"/>
  <c r="E136" i="25"/>
  <c r="F139" i="10"/>
  <c r="B139" i="10"/>
  <c r="D127" i="43"/>
  <c r="G126" i="43"/>
  <c r="I126" i="43" s="1"/>
  <c r="J126" i="43" s="1"/>
  <c r="E127" i="43"/>
  <c r="G138" i="11"/>
  <c r="I138" i="11" s="1"/>
  <c r="D139" i="11"/>
  <c r="E139" i="11"/>
  <c r="H139" i="7"/>
  <c r="H127" i="38"/>
  <c r="G137" i="8"/>
  <c r="I137" i="8" s="1"/>
  <c r="J137" i="8" s="1"/>
  <c r="D138" i="8"/>
  <c r="E138" i="8"/>
  <c r="H135" i="25"/>
  <c r="H127" i="41"/>
  <c r="G127" i="41"/>
  <c r="I127" i="41" s="1"/>
  <c r="D128" i="41"/>
  <c r="E128" i="41"/>
  <c r="H134" i="23"/>
  <c r="D125" i="50" l="1"/>
  <c r="G124" i="50"/>
  <c r="J132" i="27"/>
  <c r="J131" i="29"/>
  <c r="J127" i="41"/>
  <c r="J137" i="6"/>
  <c r="F136" i="25"/>
  <c r="B136" i="25"/>
  <c r="F126" i="46"/>
  <c r="B126" i="46"/>
  <c r="B137" i="3"/>
  <c r="F137" i="3"/>
  <c r="H137" i="3" s="1"/>
  <c r="J139" i="7"/>
  <c r="B128" i="40"/>
  <c r="F128" i="40"/>
  <c r="H128" i="40" s="1"/>
  <c r="B138" i="8"/>
  <c r="F138" i="8"/>
  <c r="H138" i="8" s="1"/>
  <c r="F129" i="37"/>
  <c r="B129" i="37"/>
  <c r="F127" i="45"/>
  <c r="H127" i="45" s="1"/>
  <c r="B127" i="45"/>
  <c r="F135" i="23"/>
  <c r="H135" i="23" s="1"/>
  <c r="B135" i="23"/>
  <c r="B132" i="28"/>
  <c r="F132" i="28"/>
  <c r="J127" i="38"/>
  <c r="B137" i="4"/>
  <c r="F137" i="4"/>
  <c r="H137" i="4" s="1"/>
  <c r="B133" i="27"/>
  <c r="F133" i="27"/>
  <c r="H133" i="27" s="1"/>
  <c r="F131" i="30"/>
  <c r="H131" i="30" s="1"/>
  <c r="B131" i="30"/>
  <c r="F137" i="5"/>
  <c r="B137" i="5"/>
  <c r="F132" i="31"/>
  <c r="B132" i="31"/>
  <c r="F128" i="41"/>
  <c r="B128" i="41"/>
  <c r="H139" i="10"/>
  <c r="D140" i="10"/>
  <c r="G139" i="10"/>
  <c r="I139" i="10" s="1"/>
  <c r="E140" i="10"/>
  <c r="B132" i="29"/>
  <c r="F132" i="29"/>
  <c r="B129" i="39"/>
  <c r="F129" i="39"/>
  <c r="F128" i="38"/>
  <c r="B128" i="38"/>
  <c r="F136" i="22"/>
  <c r="H136" i="22" s="1"/>
  <c r="B136" i="22"/>
  <c r="B127" i="44"/>
  <c r="F127" i="44"/>
  <c r="H127" i="44" s="1"/>
  <c r="D141" i="7"/>
  <c r="E141" i="7" s="1"/>
  <c r="F141" i="7" s="1"/>
  <c r="G140" i="7"/>
  <c r="I140" i="7" s="1"/>
  <c r="F139" i="9"/>
  <c r="B139" i="9"/>
  <c r="B127" i="43"/>
  <c r="F127" i="43"/>
  <c r="H127" i="43" s="1"/>
  <c r="F127" i="42"/>
  <c r="B127" i="42"/>
  <c r="F139" i="11"/>
  <c r="B139" i="11"/>
  <c r="F138" i="6"/>
  <c r="B138" i="6"/>
  <c r="B134" i="24"/>
  <c r="F134" i="24"/>
  <c r="H134" i="24" s="1"/>
  <c r="B140" i="7"/>
  <c r="H140" i="7"/>
  <c r="H124" i="50" l="1"/>
  <c r="I124" i="50"/>
  <c r="E125" i="50"/>
  <c r="F125" i="50" s="1"/>
  <c r="B125" i="50"/>
  <c r="J140" i="7"/>
  <c r="J139" i="10"/>
  <c r="H132" i="29"/>
  <c r="G132" i="29"/>
  <c r="I132" i="29" s="1"/>
  <c r="D133" i="29"/>
  <c r="E133" i="29"/>
  <c r="H139" i="9"/>
  <c r="G139" i="9"/>
  <c r="I139" i="9" s="1"/>
  <c r="D140" i="9"/>
  <c r="E140" i="9" s="1"/>
  <c r="F140" i="9" s="1"/>
  <c r="H132" i="31"/>
  <c r="G132" i="31"/>
  <c r="I132" i="31" s="1"/>
  <c r="D133" i="31"/>
  <c r="E133" i="31"/>
  <c r="G137" i="3"/>
  <c r="I137" i="3" s="1"/>
  <c r="J137" i="3" s="1"/>
  <c r="D138" i="3"/>
  <c r="E138" i="3"/>
  <c r="H139" i="11"/>
  <c r="D140" i="11"/>
  <c r="G139" i="11"/>
  <c r="I139" i="11" s="1"/>
  <c r="G141" i="7"/>
  <c r="I141" i="7" s="1"/>
  <c r="D142" i="7"/>
  <c r="B142" i="7" s="1"/>
  <c r="D137" i="22"/>
  <c r="G136" i="22"/>
  <c r="I136" i="22" s="1"/>
  <c r="E137" i="22"/>
  <c r="D136" i="23"/>
  <c r="G135" i="23"/>
  <c r="I135" i="23" s="1"/>
  <c r="E136" i="23"/>
  <c r="G138" i="8"/>
  <c r="I138" i="8" s="1"/>
  <c r="J138" i="8" s="1"/>
  <c r="D139" i="8"/>
  <c r="E139" i="8"/>
  <c r="G128" i="41"/>
  <c r="I128" i="41" s="1"/>
  <c r="D129" i="41"/>
  <c r="E129" i="41"/>
  <c r="G133" i="27"/>
  <c r="I133" i="27" s="1"/>
  <c r="J133" i="27" s="1"/>
  <c r="D134" i="27"/>
  <c r="E134" i="27"/>
  <c r="G129" i="37"/>
  <c r="I129" i="37" s="1"/>
  <c r="D130" i="37"/>
  <c r="E130" i="37"/>
  <c r="H137" i="5"/>
  <c r="G137" i="5"/>
  <c r="I137" i="5" s="1"/>
  <c r="D138" i="5"/>
  <c r="E138" i="5"/>
  <c r="D138" i="4"/>
  <c r="G137" i="4"/>
  <c r="I137" i="4" s="1"/>
  <c r="J137" i="4" s="1"/>
  <c r="E138" i="4"/>
  <c r="D135" i="24"/>
  <c r="G134" i="24"/>
  <c r="I134" i="24" s="1"/>
  <c r="E135" i="24"/>
  <c r="H127" i="42"/>
  <c r="D128" i="42"/>
  <c r="G127" i="42"/>
  <c r="I127" i="42" s="1"/>
  <c r="E128" i="42"/>
  <c r="B141" i="7"/>
  <c r="H141" i="7"/>
  <c r="H128" i="38"/>
  <c r="G128" i="38"/>
  <c r="I128" i="38" s="1"/>
  <c r="D129" i="38"/>
  <c r="E129" i="38"/>
  <c r="H126" i="46"/>
  <c r="G126" i="46"/>
  <c r="I126" i="46" s="1"/>
  <c r="D127" i="46"/>
  <c r="E127" i="46"/>
  <c r="G138" i="6"/>
  <c r="I138" i="6" s="1"/>
  <c r="D139" i="6"/>
  <c r="E139" i="6"/>
  <c r="F140" i="10"/>
  <c r="B140" i="10"/>
  <c r="H129" i="39"/>
  <c r="G129" i="39"/>
  <c r="I129" i="39" s="1"/>
  <c r="D130" i="39"/>
  <c r="E130" i="39"/>
  <c r="H128" i="41"/>
  <c r="D128" i="45"/>
  <c r="G127" i="45"/>
  <c r="I127" i="45" s="1"/>
  <c r="J127" i="45" s="1"/>
  <c r="E128" i="45"/>
  <c r="G128" i="40"/>
  <c r="I128" i="40" s="1"/>
  <c r="J128" i="40" s="1"/>
  <c r="D129" i="40"/>
  <c r="E129" i="40"/>
  <c r="H138" i="6"/>
  <c r="D128" i="43"/>
  <c r="G127" i="43"/>
  <c r="I127" i="43" s="1"/>
  <c r="J127" i="43" s="1"/>
  <c r="E128" i="43"/>
  <c r="G127" i="44"/>
  <c r="I127" i="44" s="1"/>
  <c r="J127" i="44" s="1"/>
  <c r="D128" i="44"/>
  <c r="E128" i="44"/>
  <c r="D132" i="30"/>
  <c r="G131" i="30"/>
  <c r="I131" i="30" s="1"/>
  <c r="J131" i="30" s="1"/>
  <c r="E132" i="30"/>
  <c r="H132" i="28"/>
  <c r="D133" i="28"/>
  <c r="G132" i="28"/>
  <c r="I132" i="28" s="1"/>
  <c r="E133" i="28"/>
  <c r="H129" i="37"/>
  <c r="H136" i="25"/>
  <c r="D137" i="25"/>
  <c r="G136" i="25"/>
  <c r="I136" i="25" s="1"/>
  <c r="E137" i="25"/>
  <c r="J124" i="50" l="1"/>
  <c r="G125" i="50"/>
  <c r="D126" i="50"/>
  <c r="J132" i="29"/>
  <c r="J132" i="31"/>
  <c r="J132" i="28"/>
  <c r="J128" i="41"/>
  <c r="E142" i="7"/>
  <c r="F142" i="7" s="1"/>
  <c r="G142" i="7" s="1"/>
  <c r="I142" i="7" s="1"/>
  <c r="J129" i="39"/>
  <c r="J127" i="42"/>
  <c r="J138" i="6"/>
  <c r="F135" i="24"/>
  <c r="H135" i="24" s="1"/>
  <c r="B135" i="24"/>
  <c r="B129" i="40"/>
  <c r="F129" i="40"/>
  <c r="H129" i="40" s="1"/>
  <c r="F127" i="46"/>
  <c r="B127" i="46"/>
  <c r="F130" i="37"/>
  <c r="H130" i="37" s="1"/>
  <c r="B130" i="37"/>
  <c r="F137" i="22"/>
  <c r="H137" i="22" s="1"/>
  <c r="B137" i="22"/>
  <c r="B138" i="3"/>
  <c r="F138" i="3"/>
  <c r="B137" i="25"/>
  <c r="F137" i="25"/>
  <c r="H137" i="25" s="1"/>
  <c r="F129" i="41"/>
  <c r="B129" i="41"/>
  <c r="B140" i="9"/>
  <c r="H140" i="9"/>
  <c r="B128" i="44"/>
  <c r="F128" i="44"/>
  <c r="H128" i="44" s="1"/>
  <c r="J126" i="46"/>
  <c r="J129" i="37"/>
  <c r="B139" i="8"/>
  <c r="F139" i="8"/>
  <c r="H139" i="8" s="1"/>
  <c r="F130" i="39"/>
  <c r="H130" i="39" s="1"/>
  <c r="B130" i="39"/>
  <c r="F138" i="4"/>
  <c r="B138" i="4"/>
  <c r="F132" i="30"/>
  <c r="H132" i="30" s="1"/>
  <c r="B132" i="30"/>
  <c r="F128" i="42"/>
  <c r="H128" i="42" s="1"/>
  <c r="B128" i="42"/>
  <c r="J141" i="7"/>
  <c r="B133" i="31"/>
  <c r="F133" i="31"/>
  <c r="F133" i="29"/>
  <c r="B133" i="29"/>
  <c r="F133" i="28"/>
  <c r="H133" i="28" s="1"/>
  <c r="B133" i="28"/>
  <c r="H140" i="10"/>
  <c r="D141" i="10"/>
  <c r="E141" i="10" s="1"/>
  <c r="F141" i="10" s="1"/>
  <c r="G140" i="10"/>
  <c r="I140" i="10" s="1"/>
  <c r="B134" i="27"/>
  <c r="F134" i="27"/>
  <c r="B128" i="45"/>
  <c r="F128" i="45"/>
  <c r="H128" i="45" s="1"/>
  <c r="B129" i="38"/>
  <c r="F129" i="38"/>
  <c r="B138" i="5"/>
  <c r="F138" i="5"/>
  <c r="D141" i="9"/>
  <c r="E141" i="9" s="1"/>
  <c r="F141" i="9" s="1"/>
  <c r="G140" i="9"/>
  <c r="I140" i="9" s="1"/>
  <c r="F128" i="43"/>
  <c r="B128" i="43"/>
  <c r="B139" i="6"/>
  <c r="F139" i="6"/>
  <c r="H139" i="6" s="1"/>
  <c r="J128" i="38"/>
  <c r="J137" i="5"/>
  <c r="B136" i="23"/>
  <c r="F136" i="23"/>
  <c r="E140" i="11"/>
  <c r="F140" i="11" s="1"/>
  <c r="H140" i="11" s="1"/>
  <c r="B140" i="11"/>
  <c r="E126" i="50" l="1"/>
  <c r="F126" i="50" s="1"/>
  <c r="B126" i="50"/>
  <c r="H125" i="50"/>
  <c r="I125" i="50"/>
  <c r="D143" i="7"/>
  <c r="B143" i="7" s="1"/>
  <c r="H142" i="7"/>
  <c r="J142" i="7" s="1"/>
  <c r="D142" i="10"/>
  <c r="G141" i="10"/>
  <c r="I141" i="10" s="1"/>
  <c r="H138" i="4"/>
  <c r="G138" i="4"/>
  <c r="I138" i="4" s="1"/>
  <c r="D139" i="4"/>
  <c r="D128" i="46"/>
  <c r="G127" i="46"/>
  <c r="I127" i="46" s="1"/>
  <c r="E128" i="46"/>
  <c r="H136" i="23"/>
  <c r="D137" i="23"/>
  <c r="G136" i="23"/>
  <c r="I136" i="23" s="1"/>
  <c r="E137" i="23"/>
  <c r="G141" i="9"/>
  <c r="I141" i="9" s="1"/>
  <c r="D142" i="9"/>
  <c r="B142" i="9" s="1"/>
  <c r="B141" i="9"/>
  <c r="H141" i="9"/>
  <c r="H134" i="27"/>
  <c r="D135" i="27"/>
  <c r="G134" i="27"/>
  <c r="I134" i="27" s="1"/>
  <c r="E135" i="27"/>
  <c r="D134" i="28"/>
  <c r="G133" i="28"/>
  <c r="I133" i="28" s="1"/>
  <c r="J133" i="28" s="1"/>
  <c r="E134" i="28"/>
  <c r="G128" i="42"/>
  <c r="I128" i="42" s="1"/>
  <c r="J128" i="42" s="1"/>
  <c r="D129" i="42"/>
  <c r="E129" i="42"/>
  <c r="G130" i="39"/>
  <c r="I130" i="39" s="1"/>
  <c r="J130" i="39" s="1"/>
  <c r="J155" i="39" s="1"/>
  <c r="D131" i="39"/>
  <c r="E131" i="39"/>
  <c r="H129" i="41"/>
  <c r="D130" i="41"/>
  <c r="G129" i="41"/>
  <c r="I129" i="41" s="1"/>
  <c r="E130" i="41"/>
  <c r="D138" i="22"/>
  <c r="G137" i="22"/>
  <c r="I137" i="22" s="1"/>
  <c r="E138" i="22"/>
  <c r="D130" i="40"/>
  <c r="G129" i="40"/>
  <c r="I129" i="40" s="1"/>
  <c r="J129" i="40" s="1"/>
  <c r="E130" i="40"/>
  <c r="H128" i="43"/>
  <c r="D129" i="43"/>
  <c r="G128" i="43"/>
  <c r="I128" i="43" s="1"/>
  <c r="E129" i="43"/>
  <c r="D129" i="45"/>
  <c r="G128" i="45"/>
  <c r="I128" i="45" s="1"/>
  <c r="J128" i="45" s="1"/>
  <c r="E129" i="45"/>
  <c r="H138" i="5"/>
  <c r="G138" i="5"/>
  <c r="I138" i="5" s="1"/>
  <c r="D139" i="5"/>
  <c r="E139" i="5"/>
  <c r="D140" i="6"/>
  <c r="G139" i="6"/>
  <c r="I139" i="6" s="1"/>
  <c r="J139" i="6" s="1"/>
  <c r="H133" i="29"/>
  <c r="D134" i="29"/>
  <c r="G133" i="29"/>
  <c r="I133" i="29" s="1"/>
  <c r="E134" i="29"/>
  <c r="G137" i="25"/>
  <c r="I137" i="25" s="1"/>
  <c r="D138" i="25"/>
  <c r="E138" i="25"/>
  <c r="H129" i="38"/>
  <c r="D130" i="38"/>
  <c r="G129" i="38"/>
  <c r="I129" i="38" s="1"/>
  <c r="E130" i="38"/>
  <c r="J140" i="10"/>
  <c r="H133" i="31"/>
  <c r="G133" i="31"/>
  <c r="I133" i="31" s="1"/>
  <c r="D134" i="31"/>
  <c r="E134" i="31"/>
  <c r="G132" i="30"/>
  <c r="I132" i="30" s="1"/>
  <c r="J132" i="30" s="1"/>
  <c r="D133" i="30"/>
  <c r="E133" i="30"/>
  <c r="G128" i="44"/>
  <c r="I128" i="44" s="1"/>
  <c r="J128" i="44" s="1"/>
  <c r="D129" i="44"/>
  <c r="E129" i="44"/>
  <c r="G130" i="37"/>
  <c r="I130" i="37" s="1"/>
  <c r="J130" i="37" s="1"/>
  <c r="J155" i="37" s="1"/>
  <c r="D131" i="37"/>
  <c r="E131" i="37"/>
  <c r="D140" i="8"/>
  <c r="G139" i="8"/>
  <c r="I139" i="8" s="1"/>
  <c r="J139" i="8" s="1"/>
  <c r="D141" i="11"/>
  <c r="B141" i="11" s="1"/>
  <c r="G140" i="11"/>
  <c r="I140" i="11" s="1"/>
  <c r="B141" i="10"/>
  <c r="H141" i="10"/>
  <c r="H138" i="3"/>
  <c r="D139" i="3"/>
  <c r="G138" i="3"/>
  <c r="I138" i="3" s="1"/>
  <c r="E139" i="3"/>
  <c r="H127" i="46"/>
  <c r="D136" i="24"/>
  <c r="G135" i="24"/>
  <c r="I135" i="24" s="1"/>
  <c r="E136" i="24"/>
  <c r="J125" i="50" l="1"/>
  <c r="D127" i="50"/>
  <c r="G126" i="50"/>
  <c r="E143" i="7"/>
  <c r="F143" i="7" s="1"/>
  <c r="J133" i="29"/>
  <c r="J128" i="43"/>
  <c r="E141" i="11"/>
  <c r="F141" i="11" s="1"/>
  <c r="H141" i="11" s="1"/>
  <c r="J138" i="3"/>
  <c r="J133" i="31"/>
  <c r="J134" i="27"/>
  <c r="J138" i="4"/>
  <c r="J129" i="38"/>
  <c r="B140" i="6"/>
  <c r="B130" i="41"/>
  <c r="F130" i="41"/>
  <c r="H130" i="41" s="1"/>
  <c r="F129" i="44"/>
  <c r="H129" i="44" s="1"/>
  <c r="B129" i="44"/>
  <c r="E142" i="9"/>
  <c r="F142" i="9" s="1"/>
  <c r="J127" i="46"/>
  <c r="F138" i="25"/>
  <c r="B138" i="25"/>
  <c r="B130" i="40"/>
  <c r="F130" i="40"/>
  <c r="H130" i="40" s="1"/>
  <c r="B134" i="28"/>
  <c r="F134" i="28"/>
  <c r="H134" i="28" s="1"/>
  <c r="F128" i="46"/>
  <c r="B128" i="46"/>
  <c r="F139" i="3"/>
  <c r="H139" i="3" s="1"/>
  <c r="B139" i="3"/>
  <c r="E140" i="8"/>
  <c r="F140" i="8" s="1"/>
  <c r="H140" i="8" s="1"/>
  <c r="B140" i="8"/>
  <c r="F133" i="30"/>
  <c r="H133" i="30" s="1"/>
  <c r="B133" i="30"/>
  <c r="B134" i="29"/>
  <c r="F134" i="29"/>
  <c r="F136" i="24"/>
  <c r="H136" i="24" s="1"/>
  <c r="B136" i="24"/>
  <c r="B130" i="38"/>
  <c r="F130" i="38"/>
  <c r="H130" i="38" s="1"/>
  <c r="B138" i="22"/>
  <c r="F138" i="22"/>
  <c r="H138" i="22" s="1"/>
  <c r="F135" i="27"/>
  <c r="B135" i="27"/>
  <c r="B129" i="45"/>
  <c r="F129" i="45"/>
  <c r="H129" i="45" s="1"/>
  <c r="F131" i="39"/>
  <c r="B131" i="39"/>
  <c r="E139" i="4"/>
  <c r="F139" i="4" s="1"/>
  <c r="H139" i="4" s="1"/>
  <c r="B139" i="4"/>
  <c r="F131" i="37"/>
  <c r="H131" i="37" s="1"/>
  <c r="B131" i="37"/>
  <c r="E140" i="6"/>
  <c r="F140" i="6" s="1"/>
  <c r="B139" i="5"/>
  <c r="F139" i="5"/>
  <c r="H139" i="5" s="1"/>
  <c r="B129" i="43"/>
  <c r="F129" i="43"/>
  <c r="H129" i="43" s="1"/>
  <c r="B129" i="42"/>
  <c r="F129" i="42"/>
  <c r="H129" i="42" s="1"/>
  <c r="F137" i="23"/>
  <c r="B137" i="23"/>
  <c r="J141" i="10"/>
  <c r="B134" i="31"/>
  <c r="F134" i="31"/>
  <c r="H134" i="31" s="1"/>
  <c r="J138" i="5"/>
  <c r="J129" i="41"/>
  <c r="E142" i="10"/>
  <c r="F142" i="10" s="1"/>
  <c r="B142" i="10"/>
  <c r="H126" i="50" l="1"/>
  <c r="I126" i="50"/>
  <c r="E127" i="50"/>
  <c r="F127" i="50" s="1"/>
  <c r="B127" i="50"/>
  <c r="G141" i="11"/>
  <c r="I141" i="11" s="1"/>
  <c r="D142" i="11"/>
  <c r="E142" i="11" s="1"/>
  <c r="F142" i="11" s="1"/>
  <c r="G142" i="11" s="1"/>
  <c r="I142" i="11" s="1"/>
  <c r="G143" i="7"/>
  <c r="I143" i="7" s="1"/>
  <c r="D144" i="7"/>
  <c r="H143" i="7"/>
  <c r="G135" i="27"/>
  <c r="I135" i="27" s="1"/>
  <c r="D136" i="27"/>
  <c r="E136" i="27"/>
  <c r="D137" i="24"/>
  <c r="G136" i="24"/>
  <c r="I136" i="24" s="1"/>
  <c r="E137" i="24"/>
  <c r="G140" i="8"/>
  <c r="I140" i="8" s="1"/>
  <c r="J140" i="8" s="1"/>
  <c r="D141" i="8"/>
  <c r="B141" i="8" s="1"/>
  <c r="G134" i="28"/>
  <c r="I134" i="28" s="1"/>
  <c r="J134" i="28" s="1"/>
  <c r="D135" i="28"/>
  <c r="E135" i="28"/>
  <c r="D130" i="44"/>
  <c r="G129" i="44"/>
  <c r="I129" i="44" s="1"/>
  <c r="J129" i="44" s="1"/>
  <c r="E130" i="44"/>
  <c r="G139" i="5"/>
  <c r="I139" i="5" s="1"/>
  <c r="J139" i="5" s="1"/>
  <c r="D140" i="5"/>
  <c r="B140" i="5" s="1"/>
  <c r="G129" i="42"/>
  <c r="I129" i="42" s="1"/>
  <c r="J129" i="42" s="1"/>
  <c r="D130" i="42"/>
  <c r="E130" i="42"/>
  <c r="D141" i="6"/>
  <c r="E141" i="6" s="1"/>
  <c r="F141" i="6" s="1"/>
  <c r="G140" i="6"/>
  <c r="I140" i="6" s="1"/>
  <c r="H131" i="39"/>
  <c r="G131" i="39"/>
  <c r="I131" i="39" s="1"/>
  <c r="D132" i="39"/>
  <c r="E132" i="39"/>
  <c r="G138" i="22"/>
  <c r="I138" i="22" s="1"/>
  <c r="D139" i="22"/>
  <c r="E139" i="22" s="1"/>
  <c r="F139" i="22" s="1"/>
  <c r="H134" i="29"/>
  <c r="G134" i="29"/>
  <c r="I134" i="29" s="1"/>
  <c r="D135" i="29"/>
  <c r="E135" i="29"/>
  <c r="D140" i="4"/>
  <c r="B140" i="4" s="1"/>
  <c r="G139" i="4"/>
  <c r="I139" i="4" s="1"/>
  <c r="J139" i="4" s="1"/>
  <c r="D135" i="31"/>
  <c r="G134" i="31"/>
  <c r="I134" i="31" s="1"/>
  <c r="J134" i="31" s="1"/>
  <c r="E135" i="31"/>
  <c r="G130" i="41"/>
  <c r="I130" i="41" s="1"/>
  <c r="J130" i="41" s="1"/>
  <c r="J155" i="41" s="1"/>
  <c r="D131" i="41"/>
  <c r="E131" i="41"/>
  <c r="D143" i="10"/>
  <c r="G142" i="10"/>
  <c r="I142" i="10" s="1"/>
  <c r="G128" i="46"/>
  <c r="I128" i="46" s="1"/>
  <c r="D129" i="46"/>
  <c r="E129" i="46"/>
  <c r="G139" i="3"/>
  <c r="I139" i="3" s="1"/>
  <c r="J139" i="3" s="1"/>
  <c r="D140" i="3"/>
  <c r="B140" i="3" s="1"/>
  <c r="D131" i="40"/>
  <c r="G130" i="40"/>
  <c r="I130" i="40" s="1"/>
  <c r="J130" i="40" s="1"/>
  <c r="J155" i="40" s="1"/>
  <c r="E131" i="40"/>
  <c r="D138" i="23"/>
  <c r="G137" i="23"/>
  <c r="I137" i="23" s="1"/>
  <c r="E138" i="23"/>
  <c r="G129" i="45"/>
  <c r="I129" i="45" s="1"/>
  <c r="J129" i="45" s="1"/>
  <c r="D130" i="45"/>
  <c r="E130" i="45"/>
  <c r="H142" i="10"/>
  <c r="D130" i="43"/>
  <c r="G129" i="43"/>
  <c r="I129" i="43" s="1"/>
  <c r="J129" i="43" s="1"/>
  <c r="E130" i="43"/>
  <c r="G131" i="37"/>
  <c r="I131" i="37" s="1"/>
  <c r="D132" i="37"/>
  <c r="E132" i="37"/>
  <c r="G130" i="38"/>
  <c r="I130" i="38" s="1"/>
  <c r="J130" i="38" s="1"/>
  <c r="J155" i="38" s="1"/>
  <c r="D131" i="38"/>
  <c r="E131" i="38"/>
  <c r="H128" i="46"/>
  <c r="H142" i="9"/>
  <c r="G142" i="9"/>
  <c r="I142" i="9" s="1"/>
  <c r="D143" i="9"/>
  <c r="E143" i="9" s="1"/>
  <c r="F143" i="9" s="1"/>
  <c r="H140" i="6"/>
  <c r="H138" i="25"/>
  <c r="G138" i="25"/>
  <c r="I138" i="25" s="1"/>
  <c r="D139" i="25"/>
  <c r="E139" i="25"/>
  <c r="H137" i="23"/>
  <c r="H135" i="27"/>
  <c r="D134" i="30"/>
  <c r="G133" i="30"/>
  <c r="I133" i="30" s="1"/>
  <c r="J133" i="30" s="1"/>
  <c r="E134" i="30"/>
  <c r="D143" i="11" l="1"/>
  <c r="B143" i="11" s="1"/>
  <c r="J126" i="50"/>
  <c r="G127" i="50"/>
  <c r="D128" i="50"/>
  <c r="B128" i="50" s="1"/>
  <c r="E128" i="50"/>
  <c r="H142" i="11"/>
  <c r="B142" i="11"/>
  <c r="B144" i="7"/>
  <c r="E144" i="7"/>
  <c r="F144" i="7" s="1"/>
  <c r="J143" i="7"/>
  <c r="E140" i="3"/>
  <c r="F140" i="3" s="1"/>
  <c r="D141" i="3" s="1"/>
  <c r="E141" i="3" s="1"/>
  <c r="F141" i="3" s="1"/>
  <c r="E140" i="4"/>
  <c r="F140" i="4" s="1"/>
  <c r="D141" i="4" s="1"/>
  <c r="E141" i="4" s="1"/>
  <c r="F141" i="4" s="1"/>
  <c r="J142" i="10"/>
  <c r="E140" i="5"/>
  <c r="F140" i="5" s="1"/>
  <c r="H140" i="5" s="1"/>
  <c r="G141" i="6"/>
  <c r="I141" i="6" s="1"/>
  <c r="D142" i="6"/>
  <c r="E142" i="6" s="1"/>
  <c r="F142" i="6" s="1"/>
  <c r="B130" i="45"/>
  <c r="F130" i="45"/>
  <c r="B143" i="9"/>
  <c r="H143" i="9"/>
  <c r="B132" i="37"/>
  <c r="F132" i="37"/>
  <c r="B139" i="22"/>
  <c r="H139" i="22"/>
  <c r="B141" i="6"/>
  <c r="H141" i="6"/>
  <c r="F131" i="40"/>
  <c r="H131" i="40" s="1"/>
  <c r="B131" i="40"/>
  <c r="B131" i="41"/>
  <c r="F131" i="41"/>
  <c r="B130" i="44"/>
  <c r="F130" i="44"/>
  <c r="D140" i="22"/>
  <c r="B140" i="22" s="1"/>
  <c r="G139" i="22"/>
  <c r="I139" i="22" s="1"/>
  <c r="B130" i="42"/>
  <c r="F130" i="42"/>
  <c r="B137" i="24"/>
  <c r="F137" i="24"/>
  <c r="D144" i="9"/>
  <c r="G143" i="9"/>
  <c r="I143" i="9" s="1"/>
  <c r="B143" i="10"/>
  <c r="B139" i="25"/>
  <c r="F139" i="25"/>
  <c r="H139" i="25" s="1"/>
  <c r="F138" i="23"/>
  <c r="H138" i="23" s="1"/>
  <c r="B138" i="23"/>
  <c r="F129" i="46"/>
  <c r="B129" i="46"/>
  <c r="B132" i="39"/>
  <c r="F132" i="39"/>
  <c r="F135" i="28"/>
  <c r="H135" i="28" s="1"/>
  <c r="B135" i="28"/>
  <c r="B130" i="43"/>
  <c r="F130" i="43"/>
  <c r="H130" i="43" s="1"/>
  <c r="J128" i="46"/>
  <c r="B135" i="29"/>
  <c r="F135" i="29"/>
  <c r="B136" i="27"/>
  <c r="F136" i="27"/>
  <c r="J140" i="6"/>
  <c r="B134" i="30"/>
  <c r="F134" i="30"/>
  <c r="H134" i="30" s="1"/>
  <c r="B131" i="38"/>
  <c r="F131" i="38"/>
  <c r="E143" i="10"/>
  <c r="F143" i="10" s="1"/>
  <c r="H143" i="10" s="1"/>
  <c r="F135" i="31"/>
  <c r="B135" i="31"/>
  <c r="J134" i="29"/>
  <c r="E141" i="8"/>
  <c r="F141" i="8" s="1"/>
  <c r="J135" i="27"/>
  <c r="E143" i="11" l="1"/>
  <c r="F143" i="11" s="1"/>
  <c r="H143" i="11" s="1"/>
  <c r="F128" i="50"/>
  <c r="H127" i="50"/>
  <c r="I127" i="50"/>
  <c r="G140" i="3"/>
  <c r="I140" i="3" s="1"/>
  <c r="H140" i="3"/>
  <c r="H140" i="4"/>
  <c r="G140" i="4"/>
  <c r="I140" i="4" s="1"/>
  <c r="D141" i="5"/>
  <c r="E141" i="5" s="1"/>
  <c r="F141" i="5" s="1"/>
  <c r="D142" i="5" s="1"/>
  <c r="E142" i="5" s="1"/>
  <c r="F142" i="5" s="1"/>
  <c r="E140" i="22"/>
  <c r="F140" i="22" s="1"/>
  <c r="G140" i="22" s="1"/>
  <c r="I140" i="22" s="1"/>
  <c r="D145" i="7"/>
  <c r="H144" i="7"/>
  <c r="G144" i="7"/>
  <c r="I144" i="7" s="1"/>
  <c r="G140" i="5"/>
  <c r="I140" i="5" s="1"/>
  <c r="J140" i="5" s="1"/>
  <c r="D144" i="10"/>
  <c r="E144" i="10" s="1"/>
  <c r="F144" i="10" s="1"/>
  <c r="G143" i="10"/>
  <c r="I143" i="10" s="1"/>
  <c r="J143" i="10" s="1"/>
  <c r="H129" i="46"/>
  <c r="D130" i="46"/>
  <c r="G129" i="46"/>
  <c r="I129" i="46" s="1"/>
  <c r="E130" i="46"/>
  <c r="H130" i="42"/>
  <c r="D131" i="42"/>
  <c r="G130" i="42"/>
  <c r="I130" i="42" s="1"/>
  <c r="E131" i="42"/>
  <c r="H131" i="38"/>
  <c r="G131" i="38"/>
  <c r="I131" i="38" s="1"/>
  <c r="D132" i="38"/>
  <c r="E132" i="38"/>
  <c r="B141" i="3"/>
  <c r="H141" i="3"/>
  <c r="H135" i="29"/>
  <c r="G135" i="29"/>
  <c r="I135" i="29" s="1"/>
  <c r="D136" i="29"/>
  <c r="E136" i="29"/>
  <c r="H131" i="41"/>
  <c r="D132" i="41"/>
  <c r="G131" i="41"/>
  <c r="I131" i="41" s="1"/>
  <c r="E132" i="41"/>
  <c r="G131" i="40"/>
  <c r="I131" i="40" s="1"/>
  <c r="D132" i="40"/>
  <c r="E132" i="40"/>
  <c r="H130" i="45"/>
  <c r="D131" i="45"/>
  <c r="G130" i="45"/>
  <c r="I130" i="45" s="1"/>
  <c r="E131" i="45"/>
  <c r="D139" i="23"/>
  <c r="G138" i="23"/>
  <c r="I138" i="23" s="1"/>
  <c r="D142" i="4"/>
  <c r="B142" i="4" s="1"/>
  <c r="G141" i="4"/>
  <c r="I141" i="4" s="1"/>
  <c r="G141" i="3"/>
  <c r="I141" i="3" s="1"/>
  <c r="D142" i="3"/>
  <c r="B142" i="3" s="1"/>
  <c r="H130" i="44"/>
  <c r="D131" i="44"/>
  <c r="G130" i="44"/>
  <c r="I130" i="44" s="1"/>
  <c r="E131" i="44"/>
  <c r="H141" i="8"/>
  <c r="D142" i="8"/>
  <c r="B142" i="8" s="1"/>
  <c r="G141" i="8"/>
  <c r="I141" i="8" s="1"/>
  <c r="G134" i="30"/>
  <c r="I134" i="30" s="1"/>
  <c r="J134" i="30" s="1"/>
  <c r="D135" i="30"/>
  <c r="E135" i="30"/>
  <c r="G135" i="28"/>
  <c r="I135" i="28" s="1"/>
  <c r="J135" i="28" s="1"/>
  <c r="D136" i="28"/>
  <c r="E136" i="28"/>
  <c r="B141" i="4"/>
  <c r="H141" i="4"/>
  <c r="D143" i="6"/>
  <c r="E143" i="6" s="1"/>
  <c r="F143" i="6" s="1"/>
  <c r="G142" i="6"/>
  <c r="I142" i="6" s="1"/>
  <c r="H135" i="31"/>
  <c r="G135" i="31"/>
  <c r="I135" i="31" s="1"/>
  <c r="D136" i="31"/>
  <c r="E136" i="31"/>
  <c r="G130" i="43"/>
  <c r="I130" i="43" s="1"/>
  <c r="J130" i="43" s="1"/>
  <c r="J155" i="43" s="1"/>
  <c r="D131" i="43"/>
  <c r="E131" i="43"/>
  <c r="H132" i="39"/>
  <c r="D133" i="39"/>
  <c r="G132" i="39"/>
  <c r="I132" i="39" s="1"/>
  <c r="E133" i="39"/>
  <c r="G139" i="25"/>
  <c r="I139" i="25" s="1"/>
  <c r="D140" i="25"/>
  <c r="E140" i="25"/>
  <c r="E144" i="9"/>
  <c r="F144" i="9" s="1"/>
  <c r="H144" i="9" s="1"/>
  <c r="B144" i="9"/>
  <c r="B142" i="6"/>
  <c r="H142" i="6"/>
  <c r="H136" i="27"/>
  <c r="G136" i="27"/>
  <c r="I136" i="27" s="1"/>
  <c r="D137" i="27"/>
  <c r="E137" i="27"/>
  <c r="H137" i="24"/>
  <c r="D138" i="24"/>
  <c r="G137" i="24"/>
  <c r="I137" i="24" s="1"/>
  <c r="E138" i="24"/>
  <c r="H132" i="37"/>
  <c r="D133" i="37"/>
  <c r="G132" i="37"/>
  <c r="I132" i="37" s="1"/>
  <c r="E133" i="37"/>
  <c r="J141" i="6"/>
  <c r="J140" i="3" l="1"/>
  <c r="G143" i="11"/>
  <c r="I143" i="11" s="1"/>
  <c r="D144" i="11"/>
  <c r="J127" i="50"/>
  <c r="G128" i="50"/>
  <c r="D129" i="50"/>
  <c r="E129" i="50"/>
  <c r="D141" i="22"/>
  <c r="B141" i="22" s="1"/>
  <c r="H141" i="5"/>
  <c r="J140" i="4"/>
  <c r="H140" i="22"/>
  <c r="B141" i="5"/>
  <c r="G141" i="5"/>
  <c r="I141" i="5" s="1"/>
  <c r="J144" i="7"/>
  <c r="J130" i="45"/>
  <c r="J155" i="45" s="1"/>
  <c r="E145" i="7"/>
  <c r="F145" i="7" s="1"/>
  <c r="H145" i="7" s="1"/>
  <c r="B145" i="7"/>
  <c r="E142" i="4"/>
  <c r="F142" i="4" s="1"/>
  <c r="H142" i="4" s="1"/>
  <c r="J141" i="3"/>
  <c r="J141" i="8"/>
  <c r="J130" i="42"/>
  <c r="J155" i="42" s="1"/>
  <c r="J136" i="27"/>
  <c r="J130" i="44"/>
  <c r="J155" i="44" s="1"/>
  <c r="J142" i="6"/>
  <c r="J129" i="46"/>
  <c r="E142" i="8"/>
  <c r="F142" i="8" s="1"/>
  <c r="H142" i="8" s="1"/>
  <c r="E142" i="3"/>
  <c r="F142" i="3" s="1"/>
  <c r="G142" i="3" s="1"/>
  <c r="I142" i="3" s="1"/>
  <c r="F137" i="27"/>
  <c r="H137" i="27" s="1"/>
  <c r="B137" i="27"/>
  <c r="E144" i="11"/>
  <c r="F144" i="11" s="1"/>
  <c r="H144" i="11" s="1"/>
  <c r="B144" i="11"/>
  <c r="F140" i="25"/>
  <c r="B140" i="25"/>
  <c r="G143" i="6"/>
  <c r="I143" i="6" s="1"/>
  <c r="D144" i="6"/>
  <c r="E144" i="6" s="1"/>
  <c r="F144" i="6" s="1"/>
  <c r="F132" i="40"/>
  <c r="B132" i="40"/>
  <c r="F130" i="46"/>
  <c r="B130" i="46"/>
  <c r="B139" i="23"/>
  <c r="G142" i="5"/>
  <c r="I142" i="5" s="1"/>
  <c r="D143" i="5"/>
  <c r="B136" i="29"/>
  <c r="F136" i="29"/>
  <c r="B131" i="43"/>
  <c r="F131" i="43"/>
  <c r="H131" i="43" s="1"/>
  <c r="B132" i="38"/>
  <c r="F132" i="38"/>
  <c r="H132" i="38" s="1"/>
  <c r="B138" i="24"/>
  <c r="F138" i="24"/>
  <c r="B143" i="6"/>
  <c r="H143" i="6"/>
  <c r="F136" i="28"/>
  <c r="B136" i="28"/>
  <c r="J135" i="29"/>
  <c r="J141" i="4"/>
  <c r="B142" i="5"/>
  <c r="H142" i="5"/>
  <c r="F132" i="41"/>
  <c r="H132" i="41" s="1"/>
  <c r="B132" i="41"/>
  <c r="B131" i="42"/>
  <c r="F131" i="42"/>
  <c r="H131" i="42" s="1"/>
  <c r="G144" i="10"/>
  <c r="I144" i="10" s="1"/>
  <c r="D145" i="10"/>
  <c r="E145" i="10" s="1"/>
  <c r="F145" i="10" s="1"/>
  <c r="B133" i="39"/>
  <c r="F133" i="39"/>
  <c r="F136" i="31"/>
  <c r="B136" i="31"/>
  <c r="F135" i="30"/>
  <c r="B135" i="30"/>
  <c r="F131" i="44"/>
  <c r="H131" i="44" s="1"/>
  <c r="B131" i="44"/>
  <c r="E139" i="23"/>
  <c r="F139" i="23" s="1"/>
  <c r="H139" i="23" s="1"/>
  <c r="B131" i="45"/>
  <c r="F131" i="45"/>
  <c r="H131" i="45" s="1"/>
  <c r="B133" i="37"/>
  <c r="F133" i="37"/>
  <c r="D145" i="9"/>
  <c r="G144" i="9"/>
  <c r="I144" i="9" s="1"/>
  <c r="J135" i="31"/>
  <c r="B144" i="10"/>
  <c r="H144" i="10"/>
  <c r="E141" i="22" l="1"/>
  <c r="F141" i="22" s="1"/>
  <c r="G141" i="22" s="1"/>
  <c r="I141" i="22" s="1"/>
  <c r="B129" i="50"/>
  <c r="F129" i="50"/>
  <c r="J141" i="5"/>
  <c r="H128" i="50"/>
  <c r="I128" i="50"/>
  <c r="H142" i="3"/>
  <c r="J142" i="3" s="1"/>
  <c r="G142" i="4"/>
  <c r="I142" i="4" s="1"/>
  <c r="J142" i="4" s="1"/>
  <c r="D143" i="4"/>
  <c r="B143" i="4" s="1"/>
  <c r="D143" i="3"/>
  <c r="E143" i="3" s="1"/>
  <c r="F143" i="3" s="1"/>
  <c r="H143" i="3" s="1"/>
  <c r="D146" i="7"/>
  <c r="E146" i="7" s="1"/>
  <c r="F146" i="7" s="1"/>
  <c r="G145" i="7"/>
  <c r="I145" i="7" s="1"/>
  <c r="J145" i="7" s="1"/>
  <c r="D143" i="8"/>
  <c r="E143" i="8" s="1"/>
  <c r="F143" i="8" s="1"/>
  <c r="H143" i="8" s="1"/>
  <c r="G142" i="8"/>
  <c r="I142" i="8" s="1"/>
  <c r="J142" i="8" s="1"/>
  <c r="J142" i="5"/>
  <c r="H133" i="39"/>
  <c r="G133" i="39"/>
  <c r="I133" i="39" s="1"/>
  <c r="D134" i="39"/>
  <c r="E134" i="39"/>
  <c r="E143" i="5"/>
  <c r="F143" i="5" s="1"/>
  <c r="H143" i="5" s="1"/>
  <c r="B143" i="5"/>
  <c r="D133" i="40"/>
  <c r="G132" i="40"/>
  <c r="I132" i="40" s="1"/>
  <c r="E133" i="40"/>
  <c r="D141" i="25"/>
  <c r="B141" i="25" s="1"/>
  <c r="G140" i="25"/>
  <c r="I140" i="25" s="1"/>
  <c r="H133" i="37"/>
  <c r="G133" i="37"/>
  <c r="I133" i="37" s="1"/>
  <c r="D134" i="37"/>
  <c r="E134" i="37"/>
  <c r="D132" i="44"/>
  <c r="G131" i="44"/>
  <c r="I131" i="44" s="1"/>
  <c r="E132" i="44"/>
  <c r="H136" i="28"/>
  <c r="D137" i="28"/>
  <c r="G136" i="28"/>
  <c r="I136" i="28" s="1"/>
  <c r="E137" i="28"/>
  <c r="D132" i="42"/>
  <c r="G131" i="42"/>
  <c r="I131" i="42" s="1"/>
  <c r="E132" i="42"/>
  <c r="D133" i="38"/>
  <c r="G132" i="38"/>
  <c r="I132" i="38" s="1"/>
  <c r="E133" i="38"/>
  <c r="H135" i="30"/>
  <c r="G135" i="30"/>
  <c r="I135" i="30" s="1"/>
  <c r="D136" i="30"/>
  <c r="E136" i="30"/>
  <c r="G131" i="43"/>
  <c r="I131" i="43" s="1"/>
  <c r="D132" i="43"/>
  <c r="E132" i="43"/>
  <c r="G144" i="6"/>
  <c r="I144" i="6" s="1"/>
  <c r="D145" i="6"/>
  <c r="G144" i="11"/>
  <c r="I144" i="11" s="1"/>
  <c r="D145" i="11"/>
  <c r="E145" i="9"/>
  <c r="F145" i="9" s="1"/>
  <c r="H145" i="9" s="1"/>
  <c r="B145" i="9"/>
  <c r="G131" i="45"/>
  <c r="I131" i="45" s="1"/>
  <c r="D132" i="45"/>
  <c r="E132" i="45"/>
  <c r="G145" i="10"/>
  <c r="I145" i="10" s="1"/>
  <c r="D146" i="10"/>
  <c r="E146" i="10" s="1"/>
  <c r="F146" i="10" s="1"/>
  <c r="G132" i="41"/>
  <c r="I132" i="41" s="1"/>
  <c r="D133" i="41"/>
  <c r="E133" i="41"/>
  <c r="H130" i="46"/>
  <c r="D131" i="46"/>
  <c r="G130" i="46"/>
  <c r="I130" i="46" s="1"/>
  <c r="E131" i="46"/>
  <c r="B144" i="6"/>
  <c r="H144" i="6"/>
  <c r="B145" i="10"/>
  <c r="H145" i="10"/>
  <c r="H138" i="24"/>
  <c r="G138" i="24"/>
  <c r="I138" i="24" s="1"/>
  <c r="D139" i="24"/>
  <c r="B139" i="24" s="1"/>
  <c r="H136" i="29"/>
  <c r="D137" i="29"/>
  <c r="G136" i="29"/>
  <c r="I136" i="29" s="1"/>
  <c r="E137" i="29"/>
  <c r="H132" i="40"/>
  <c r="J143" i="6"/>
  <c r="G139" i="23"/>
  <c r="I139" i="23" s="1"/>
  <c r="D140" i="23"/>
  <c r="B140" i="23" s="1"/>
  <c r="H136" i="31"/>
  <c r="D137" i="31"/>
  <c r="G136" i="31"/>
  <c r="I136" i="31" s="1"/>
  <c r="E137" i="31"/>
  <c r="J144" i="10"/>
  <c r="H140" i="25"/>
  <c r="D138" i="27"/>
  <c r="G137" i="27"/>
  <c r="I137" i="27" s="1"/>
  <c r="J137" i="27" s="1"/>
  <c r="D142" i="22" l="1"/>
  <c r="B142" i="22" s="1"/>
  <c r="J128" i="50"/>
  <c r="H141" i="22"/>
  <c r="D130" i="50"/>
  <c r="G129" i="50"/>
  <c r="B143" i="3"/>
  <c r="E143" i="4"/>
  <c r="F143" i="4" s="1"/>
  <c r="H143" i="4" s="1"/>
  <c r="B143" i="8"/>
  <c r="G146" i="7"/>
  <c r="I146" i="7" s="1"/>
  <c r="D147" i="7"/>
  <c r="B147" i="7" s="1"/>
  <c r="B146" i="7"/>
  <c r="H146" i="7"/>
  <c r="J135" i="30"/>
  <c r="J136" i="29"/>
  <c r="J136" i="28"/>
  <c r="E140" i="23"/>
  <c r="F140" i="23" s="1"/>
  <c r="H140" i="23" s="1"/>
  <c r="G146" i="10"/>
  <c r="I146" i="10" s="1"/>
  <c r="D147" i="10"/>
  <c r="E147" i="10" s="1"/>
  <c r="F147" i="10" s="1"/>
  <c r="B137" i="31"/>
  <c r="F137" i="31"/>
  <c r="H137" i="31" s="1"/>
  <c r="J145" i="10"/>
  <c r="J136" i="31"/>
  <c r="B132" i="45"/>
  <c r="F132" i="45"/>
  <c r="H132" i="45" s="1"/>
  <c r="E145" i="11"/>
  <c r="F145" i="11" s="1"/>
  <c r="H145" i="11" s="1"/>
  <c r="B145" i="11"/>
  <c r="F136" i="30"/>
  <c r="B136" i="30"/>
  <c r="F132" i="42"/>
  <c r="H132" i="42" s="1"/>
  <c r="B132" i="42"/>
  <c r="E141" i="25"/>
  <c r="F141" i="25" s="1"/>
  <c r="B133" i="40"/>
  <c r="F133" i="40"/>
  <c r="H133" i="40" s="1"/>
  <c r="E145" i="6"/>
  <c r="F145" i="6" s="1"/>
  <c r="H145" i="6" s="1"/>
  <c r="B145" i="6"/>
  <c r="J144" i="6"/>
  <c r="B132" i="44"/>
  <c r="F132" i="44"/>
  <c r="H132" i="44" s="1"/>
  <c r="G143" i="5"/>
  <c r="I143" i="5" s="1"/>
  <c r="J143" i="5" s="1"/>
  <c r="D144" i="5"/>
  <c r="E144" i="5" s="1"/>
  <c r="F144" i="5" s="1"/>
  <c r="B146" i="10"/>
  <c r="H146" i="10"/>
  <c r="E138" i="27"/>
  <c r="F138" i="27" s="1"/>
  <c r="B138" i="27"/>
  <c r="E139" i="24"/>
  <c r="F139" i="24" s="1"/>
  <c r="G143" i="3"/>
  <c r="I143" i="3" s="1"/>
  <c r="J143" i="3" s="1"/>
  <c r="D144" i="3"/>
  <c r="B144" i="3" s="1"/>
  <c r="B132" i="43"/>
  <c r="F132" i="43"/>
  <c r="B133" i="38"/>
  <c r="F133" i="38"/>
  <c r="F134" i="37"/>
  <c r="H134" i="37" s="1"/>
  <c r="B134" i="37"/>
  <c r="G143" i="8"/>
  <c r="I143" i="8" s="1"/>
  <c r="J143" i="8" s="1"/>
  <c r="D144" i="8"/>
  <c r="B144" i="8" s="1"/>
  <c r="B134" i="39"/>
  <c r="F134" i="39"/>
  <c r="H134" i="39" s="1"/>
  <c r="J130" i="46"/>
  <c r="J155" i="46" s="1"/>
  <c r="B133" i="41"/>
  <c r="F133" i="41"/>
  <c r="H133" i="41" s="1"/>
  <c r="F137" i="28"/>
  <c r="H137" i="28" s="1"/>
  <c r="B137" i="28"/>
  <c r="F137" i="29"/>
  <c r="B137" i="29"/>
  <c r="F131" i="46"/>
  <c r="B131" i="46"/>
  <c r="D146" i="9"/>
  <c r="G145" i="9"/>
  <c r="I145" i="9" s="1"/>
  <c r="G143" i="4" l="1"/>
  <c r="I143" i="4" s="1"/>
  <c r="J143" i="4" s="1"/>
  <c r="E142" i="22"/>
  <c r="F142" i="22" s="1"/>
  <c r="H142" i="22" s="1"/>
  <c r="H129" i="50"/>
  <c r="I129" i="50"/>
  <c r="E130" i="50"/>
  <c r="F130" i="50" s="1"/>
  <c r="B130" i="50"/>
  <c r="D144" i="4"/>
  <c r="B144" i="4" s="1"/>
  <c r="E147" i="7"/>
  <c r="F147" i="7" s="1"/>
  <c r="J146" i="7"/>
  <c r="G140" i="23"/>
  <c r="I140" i="23" s="1"/>
  <c r="D141" i="23"/>
  <c r="E141" i="23" s="1"/>
  <c r="F141" i="23" s="1"/>
  <c r="H141" i="23" s="1"/>
  <c r="G144" i="5"/>
  <c r="I144" i="5" s="1"/>
  <c r="D145" i="5"/>
  <c r="B145" i="5" s="1"/>
  <c r="E146" i="9"/>
  <c r="F146" i="9" s="1"/>
  <c r="H146" i="9" s="1"/>
  <c r="B146" i="9"/>
  <c r="E144" i="8"/>
  <c r="F144" i="8" s="1"/>
  <c r="H132" i="43"/>
  <c r="G132" i="43"/>
  <c r="I132" i="43" s="1"/>
  <c r="D133" i="43"/>
  <c r="E133" i="43"/>
  <c r="G138" i="27"/>
  <c r="I138" i="27" s="1"/>
  <c r="D139" i="27"/>
  <c r="E139" i="27" s="1"/>
  <c r="F139" i="27" s="1"/>
  <c r="D134" i="40"/>
  <c r="G133" i="40"/>
  <c r="I133" i="40" s="1"/>
  <c r="E134" i="40"/>
  <c r="H131" i="46"/>
  <c r="G131" i="46"/>
  <c r="I131" i="46" s="1"/>
  <c r="D132" i="46"/>
  <c r="E132" i="46"/>
  <c r="E144" i="3"/>
  <c r="F144" i="3" s="1"/>
  <c r="D133" i="44"/>
  <c r="G132" i="44"/>
  <c r="I132" i="44" s="1"/>
  <c r="E133" i="44"/>
  <c r="D146" i="6"/>
  <c r="B146" i="6" s="1"/>
  <c r="G145" i="6"/>
  <c r="I145" i="6" s="1"/>
  <c r="J145" i="6" s="1"/>
  <c r="H141" i="25"/>
  <c r="G141" i="25"/>
  <c r="I141" i="25" s="1"/>
  <c r="D142" i="25"/>
  <c r="B142" i="25" s="1"/>
  <c r="G137" i="31"/>
  <c r="I137" i="31" s="1"/>
  <c r="J137" i="31" s="1"/>
  <c r="D138" i="31"/>
  <c r="E138" i="31"/>
  <c r="G133" i="41"/>
  <c r="I133" i="41" s="1"/>
  <c r="D134" i="41"/>
  <c r="E134" i="41"/>
  <c r="G145" i="11"/>
  <c r="I145" i="11" s="1"/>
  <c r="D146" i="11"/>
  <c r="B146" i="11" s="1"/>
  <c r="D135" i="37"/>
  <c r="G134" i="37"/>
  <c r="I134" i="37" s="1"/>
  <c r="E135" i="37"/>
  <c r="H139" i="24"/>
  <c r="G139" i="24"/>
  <c r="I139" i="24" s="1"/>
  <c r="D140" i="24"/>
  <c r="B140" i="24" s="1"/>
  <c r="G147" i="10"/>
  <c r="I147" i="10" s="1"/>
  <c r="D148" i="10"/>
  <c r="E148" i="10" s="1"/>
  <c r="F148" i="10" s="1"/>
  <c r="D135" i="39"/>
  <c r="G134" i="39"/>
  <c r="I134" i="39" s="1"/>
  <c r="E135" i="39"/>
  <c r="H133" i="38"/>
  <c r="D134" i="38"/>
  <c r="G133" i="38"/>
  <c r="I133" i="38" s="1"/>
  <c r="E134" i="38"/>
  <c r="D133" i="42"/>
  <c r="G132" i="42"/>
  <c r="I132" i="42" s="1"/>
  <c r="E133" i="42"/>
  <c r="G132" i="45"/>
  <c r="I132" i="45" s="1"/>
  <c r="D133" i="45"/>
  <c r="E133" i="45"/>
  <c r="B147" i="10"/>
  <c r="H147" i="10"/>
  <c r="G136" i="30"/>
  <c r="I136" i="30" s="1"/>
  <c r="D137" i="30"/>
  <c r="E137" i="30"/>
  <c r="H137" i="29"/>
  <c r="G137" i="29"/>
  <c r="I137" i="29" s="1"/>
  <c r="D138" i="29"/>
  <c r="E138" i="29"/>
  <c r="D138" i="28"/>
  <c r="B138" i="28" s="1"/>
  <c r="G137" i="28"/>
  <c r="I137" i="28" s="1"/>
  <c r="J137" i="28" s="1"/>
  <c r="H138" i="27"/>
  <c r="B144" i="5"/>
  <c r="H144" i="5"/>
  <c r="H136" i="30"/>
  <c r="J146" i="10"/>
  <c r="D143" i="22" l="1"/>
  <c r="B143" i="22" s="1"/>
  <c r="G142" i="22"/>
  <c r="I142" i="22" s="1"/>
  <c r="J129" i="50"/>
  <c r="E144" i="4"/>
  <c r="F144" i="4" s="1"/>
  <c r="D145" i="4" s="1"/>
  <c r="G130" i="50"/>
  <c r="D131" i="50"/>
  <c r="H147" i="7"/>
  <c r="G147" i="7"/>
  <c r="I147" i="7" s="1"/>
  <c r="D148" i="7"/>
  <c r="E148" i="7" s="1"/>
  <c r="F148" i="7" s="1"/>
  <c r="E138" i="28"/>
  <c r="F138" i="28" s="1"/>
  <c r="H138" i="28" s="1"/>
  <c r="B141" i="23"/>
  <c r="E146" i="6"/>
  <c r="F146" i="6" s="1"/>
  <c r="H146" i="6" s="1"/>
  <c r="J137" i="29"/>
  <c r="E143" i="22"/>
  <c r="F143" i="22" s="1"/>
  <c r="E145" i="5"/>
  <c r="F145" i="5" s="1"/>
  <c r="H145" i="5" s="1"/>
  <c r="F137" i="30"/>
  <c r="H137" i="30" s="1"/>
  <c r="B137" i="30"/>
  <c r="E140" i="24"/>
  <c r="F140" i="24" s="1"/>
  <c r="H144" i="8"/>
  <c r="D145" i="8"/>
  <c r="G144" i="8"/>
  <c r="I144" i="8" s="1"/>
  <c r="E146" i="11"/>
  <c r="F146" i="11" s="1"/>
  <c r="B134" i="41"/>
  <c r="F134" i="41"/>
  <c r="B134" i="40"/>
  <c r="F134" i="40"/>
  <c r="G139" i="27"/>
  <c r="I139" i="27" s="1"/>
  <c r="D140" i="27"/>
  <c r="E140" i="27" s="1"/>
  <c r="F140" i="27" s="1"/>
  <c r="B148" i="10"/>
  <c r="H148" i="10"/>
  <c r="B138" i="31"/>
  <c r="F138" i="31"/>
  <c r="H138" i="31" s="1"/>
  <c r="B139" i="27"/>
  <c r="H139" i="27"/>
  <c r="J136" i="30"/>
  <c r="J147" i="10"/>
  <c r="B132" i="46"/>
  <c r="F132" i="46"/>
  <c r="J138" i="27"/>
  <c r="G146" i="9"/>
  <c r="I146" i="9" s="1"/>
  <c r="D147" i="9"/>
  <c r="E147" i="9" s="1"/>
  <c r="F147" i="9" s="1"/>
  <c r="B135" i="39"/>
  <c r="F135" i="39"/>
  <c r="H135" i="39" s="1"/>
  <c r="G148" i="10"/>
  <c r="I148" i="10" s="1"/>
  <c r="D149" i="10"/>
  <c r="F138" i="29"/>
  <c r="B138" i="29"/>
  <c r="F134" i="38"/>
  <c r="B134" i="38"/>
  <c r="E142" i="25"/>
  <c r="F142" i="25" s="1"/>
  <c r="D142" i="23"/>
  <c r="B142" i="23" s="1"/>
  <c r="G141" i="23"/>
  <c r="I141" i="23" s="1"/>
  <c r="F133" i="42"/>
  <c r="H133" i="42" s="1"/>
  <c r="B133" i="42"/>
  <c r="H144" i="3"/>
  <c r="G144" i="3"/>
  <c r="I144" i="3" s="1"/>
  <c r="D145" i="3"/>
  <c r="B145" i="3" s="1"/>
  <c r="F133" i="44"/>
  <c r="B133" i="44"/>
  <c r="B133" i="43"/>
  <c r="F133" i="43"/>
  <c r="B133" i="45"/>
  <c r="F133" i="45"/>
  <c r="F135" i="37"/>
  <c r="H135" i="37" s="1"/>
  <c r="B135" i="37"/>
  <c r="J144" i="5"/>
  <c r="G144" i="4" l="1"/>
  <c r="I144" i="4" s="1"/>
  <c r="H144" i="4"/>
  <c r="E131" i="50"/>
  <c r="F131" i="50" s="1"/>
  <c r="B131" i="50"/>
  <c r="H130" i="50"/>
  <c r="I130" i="50"/>
  <c r="J147" i="7"/>
  <c r="G138" i="28"/>
  <c r="I138" i="28" s="1"/>
  <c r="J138" i="28" s="1"/>
  <c r="D139" i="28"/>
  <c r="B139" i="28" s="1"/>
  <c r="G146" i="6"/>
  <c r="I146" i="6" s="1"/>
  <c r="J146" i="6" s="1"/>
  <c r="D149" i="7"/>
  <c r="G148" i="7"/>
  <c r="I148" i="7" s="1"/>
  <c r="D147" i="6"/>
  <c r="B147" i="6" s="1"/>
  <c r="B148" i="7"/>
  <c r="H148" i="7"/>
  <c r="B145" i="4"/>
  <c r="D144" i="22"/>
  <c r="G143" i="22"/>
  <c r="I143" i="22" s="1"/>
  <c r="D146" i="5"/>
  <c r="E146" i="5" s="1"/>
  <c r="F146" i="5" s="1"/>
  <c r="E145" i="4"/>
  <c r="F145" i="4" s="1"/>
  <c r="G145" i="5"/>
  <c r="I145" i="5" s="1"/>
  <c r="J145" i="5" s="1"/>
  <c r="J148" i="10"/>
  <c r="H143" i="22"/>
  <c r="J144" i="8"/>
  <c r="J139" i="27"/>
  <c r="J144" i="3"/>
  <c r="G133" i="45"/>
  <c r="I133" i="45" s="1"/>
  <c r="D134" i="45"/>
  <c r="E134" i="45"/>
  <c r="E145" i="3"/>
  <c r="F145" i="3" s="1"/>
  <c r="B149" i="10"/>
  <c r="H146" i="11"/>
  <c r="G146" i="11"/>
  <c r="I146" i="11" s="1"/>
  <c r="D147" i="11"/>
  <c r="G140" i="27"/>
  <c r="I140" i="27" s="1"/>
  <c r="D141" i="27"/>
  <c r="B141" i="27" s="1"/>
  <c r="H133" i="43"/>
  <c r="D134" i="43"/>
  <c r="G133" i="43"/>
  <c r="I133" i="43" s="1"/>
  <c r="E134" i="43"/>
  <c r="H138" i="29"/>
  <c r="G138" i="29"/>
  <c r="I138" i="29" s="1"/>
  <c r="D139" i="29"/>
  <c r="E139" i="29" s="1"/>
  <c r="F139" i="29" s="1"/>
  <c r="G135" i="39"/>
  <c r="I135" i="39" s="1"/>
  <c r="D136" i="39"/>
  <c r="E136" i="39"/>
  <c r="E145" i="8"/>
  <c r="F145" i="8" s="1"/>
  <c r="H145" i="8" s="1"/>
  <c r="B145" i="8"/>
  <c r="D135" i="38"/>
  <c r="G134" i="38"/>
  <c r="I134" i="38" s="1"/>
  <c r="E135" i="38"/>
  <c r="H140" i="24"/>
  <c r="G140" i="24"/>
  <c r="I140" i="24" s="1"/>
  <c r="D141" i="24"/>
  <c r="B141" i="24" s="1"/>
  <c r="H134" i="40"/>
  <c r="D135" i="40"/>
  <c r="G134" i="40"/>
  <c r="I134" i="40" s="1"/>
  <c r="E135" i="40"/>
  <c r="D138" i="30"/>
  <c r="B138" i="30" s="1"/>
  <c r="G137" i="30"/>
  <c r="I137" i="30" s="1"/>
  <c r="J137" i="30" s="1"/>
  <c r="D139" i="31"/>
  <c r="E139" i="31" s="1"/>
  <c r="F139" i="31" s="1"/>
  <c r="G138" i="31"/>
  <c r="I138" i="31" s="1"/>
  <c r="J138" i="31" s="1"/>
  <c r="B140" i="27"/>
  <c r="H140" i="27"/>
  <c r="G147" i="9"/>
  <c r="I147" i="9" s="1"/>
  <c r="D148" i="9"/>
  <c r="H132" i="46"/>
  <c r="G132" i="46"/>
  <c r="I132" i="46" s="1"/>
  <c r="D133" i="46"/>
  <c r="E133" i="46"/>
  <c r="H133" i="44"/>
  <c r="G133" i="44"/>
  <c r="I133" i="44" s="1"/>
  <c r="D134" i="44"/>
  <c r="E134" i="44"/>
  <c r="D136" i="37"/>
  <c r="G135" i="37"/>
  <c r="I135" i="37" s="1"/>
  <c r="E136" i="37"/>
  <c r="D134" i="42"/>
  <c r="G133" i="42"/>
  <c r="I133" i="42" s="1"/>
  <c r="E134" i="42"/>
  <c r="H142" i="25"/>
  <c r="D143" i="25"/>
  <c r="E143" i="25" s="1"/>
  <c r="F143" i="25" s="1"/>
  <c r="G142" i="25"/>
  <c r="I142" i="25" s="1"/>
  <c r="B147" i="9"/>
  <c r="H147" i="9"/>
  <c r="H134" i="41"/>
  <c r="G134" i="41"/>
  <c r="I134" i="41" s="1"/>
  <c r="D135" i="41"/>
  <c r="E135" i="41"/>
  <c r="H133" i="45"/>
  <c r="E142" i="23"/>
  <c r="F142" i="23" s="1"/>
  <c r="H134" i="38"/>
  <c r="E149" i="10"/>
  <c r="F149" i="10" s="1"/>
  <c r="H149" i="10" s="1"/>
  <c r="J144" i="4" l="1"/>
  <c r="J130" i="50"/>
  <c r="J155" i="50" s="1"/>
  <c r="E139" i="28"/>
  <c r="F139" i="28" s="1"/>
  <c r="H139" i="28" s="1"/>
  <c r="D132" i="50"/>
  <c r="G131" i="50"/>
  <c r="B146" i="5"/>
  <c r="E147" i="6"/>
  <c r="F147" i="6" s="1"/>
  <c r="G147" i="6" s="1"/>
  <c r="I147" i="6" s="1"/>
  <c r="J148" i="7"/>
  <c r="B149" i="7"/>
  <c r="E149" i="7"/>
  <c r="F149" i="7" s="1"/>
  <c r="E141" i="24"/>
  <c r="F141" i="24" s="1"/>
  <c r="G141" i="24" s="1"/>
  <c r="I141" i="24" s="1"/>
  <c r="G146" i="5"/>
  <c r="I146" i="5" s="1"/>
  <c r="H146" i="5"/>
  <c r="D147" i="5"/>
  <c r="B147" i="5" s="1"/>
  <c r="E144" i="22"/>
  <c r="F144" i="22" s="1"/>
  <c r="H144" i="22" s="1"/>
  <c r="B144" i="22"/>
  <c r="D146" i="4"/>
  <c r="G145" i="4"/>
  <c r="I145" i="4" s="1"/>
  <c r="H145" i="4"/>
  <c r="E141" i="27"/>
  <c r="F141" i="27" s="1"/>
  <c r="G141" i="27" s="1"/>
  <c r="I141" i="27" s="1"/>
  <c r="E138" i="30"/>
  <c r="F138" i="30" s="1"/>
  <c r="G138" i="30" s="1"/>
  <c r="I138" i="30" s="1"/>
  <c r="G139" i="29"/>
  <c r="I139" i="29" s="1"/>
  <c r="D140" i="29"/>
  <c r="E140" i="29" s="1"/>
  <c r="F140" i="29" s="1"/>
  <c r="B143" i="25"/>
  <c r="H143" i="25"/>
  <c r="B136" i="39"/>
  <c r="F136" i="39"/>
  <c r="F135" i="41"/>
  <c r="B135" i="41"/>
  <c r="B133" i="46"/>
  <c r="F133" i="46"/>
  <c r="D146" i="8"/>
  <c r="G145" i="8"/>
  <c r="I145" i="8" s="1"/>
  <c r="J145" i="8" s="1"/>
  <c r="F134" i="43"/>
  <c r="B134" i="43"/>
  <c r="B134" i="44"/>
  <c r="F134" i="44"/>
  <c r="H134" i="44" s="1"/>
  <c r="G149" i="10"/>
  <c r="I149" i="10" s="1"/>
  <c r="J149" i="10" s="1"/>
  <c r="D150" i="10"/>
  <c r="E150" i="10" s="1"/>
  <c r="F150" i="10" s="1"/>
  <c r="B139" i="31"/>
  <c r="H139" i="31"/>
  <c r="B139" i="29"/>
  <c r="H139" i="29"/>
  <c r="B135" i="40"/>
  <c r="F135" i="40"/>
  <c r="F134" i="42"/>
  <c r="H134" i="42" s="1"/>
  <c r="B134" i="42"/>
  <c r="J138" i="29"/>
  <c r="H145" i="3"/>
  <c r="D146" i="3"/>
  <c r="G145" i="3"/>
  <c r="I145" i="3" s="1"/>
  <c r="H142" i="23"/>
  <c r="G142" i="23"/>
  <c r="I142" i="23" s="1"/>
  <c r="D143" i="23"/>
  <c r="B143" i="23" s="1"/>
  <c r="E148" i="9"/>
  <c r="F148" i="9" s="1"/>
  <c r="H148" i="9" s="1"/>
  <c r="B148" i="9"/>
  <c r="J140" i="27"/>
  <c r="B134" i="45"/>
  <c r="F134" i="45"/>
  <c r="D140" i="31"/>
  <c r="G139" i="31"/>
  <c r="I139" i="31" s="1"/>
  <c r="G143" i="25"/>
  <c r="I143" i="25" s="1"/>
  <c r="D144" i="25"/>
  <c r="B136" i="37"/>
  <c r="F136" i="37"/>
  <c r="F135" i="38"/>
  <c r="B135" i="38"/>
  <c r="E147" i="11"/>
  <c r="F147" i="11" s="1"/>
  <c r="H147" i="11" s="1"/>
  <c r="B147" i="11"/>
  <c r="D140" i="28" l="1"/>
  <c r="G139" i="28"/>
  <c r="I139" i="28" s="1"/>
  <c r="J139" i="28" s="1"/>
  <c r="E147" i="5"/>
  <c r="F147" i="5" s="1"/>
  <c r="H147" i="5" s="1"/>
  <c r="H131" i="50"/>
  <c r="I131" i="50"/>
  <c r="E132" i="50"/>
  <c r="F132" i="50" s="1"/>
  <c r="B132" i="50"/>
  <c r="D148" i="6"/>
  <c r="H147" i="6"/>
  <c r="J147" i="6" s="1"/>
  <c r="D142" i="24"/>
  <c r="B142" i="24" s="1"/>
  <c r="H141" i="27"/>
  <c r="J141" i="27" s="1"/>
  <c r="H141" i="24"/>
  <c r="G149" i="7"/>
  <c r="I149" i="7" s="1"/>
  <c r="H149" i="7"/>
  <c r="D150" i="7"/>
  <c r="J146" i="5"/>
  <c r="J145" i="4"/>
  <c r="D139" i="30"/>
  <c r="G144" i="22"/>
  <c r="I144" i="22" s="1"/>
  <c r="D145" i="22"/>
  <c r="E145" i="22" s="1"/>
  <c r="F145" i="22" s="1"/>
  <c r="B146" i="4"/>
  <c r="H138" i="30"/>
  <c r="J138" i="30" s="1"/>
  <c r="D142" i="27"/>
  <c r="B142" i="27" s="1"/>
  <c r="J139" i="29"/>
  <c r="E146" i="4"/>
  <c r="F146" i="4" s="1"/>
  <c r="H146" i="4" s="1"/>
  <c r="E143" i="23"/>
  <c r="F143" i="23" s="1"/>
  <c r="G143" i="23" s="1"/>
  <c r="I143" i="23" s="1"/>
  <c r="J145" i="3"/>
  <c r="H136" i="39"/>
  <c r="D137" i="39"/>
  <c r="E137" i="39" s="1"/>
  <c r="F137" i="39" s="1"/>
  <c r="G136" i="39"/>
  <c r="I136" i="39" s="1"/>
  <c r="D149" i="9"/>
  <c r="B149" i="9" s="1"/>
  <c r="G148" i="9"/>
  <c r="I148" i="9" s="1"/>
  <c r="D135" i="42"/>
  <c r="G134" i="42"/>
  <c r="I134" i="42" s="1"/>
  <c r="E135" i="42"/>
  <c r="G150" i="10"/>
  <c r="I150" i="10" s="1"/>
  <c r="D151" i="10"/>
  <c r="B151" i="10" s="1"/>
  <c r="G134" i="44"/>
  <c r="I134" i="44" s="1"/>
  <c r="D135" i="44"/>
  <c r="E135" i="44"/>
  <c r="H133" i="46"/>
  <c r="G133" i="46"/>
  <c r="I133" i="46" s="1"/>
  <c r="D134" i="46"/>
  <c r="E134" i="46"/>
  <c r="H136" i="37"/>
  <c r="G136" i="37"/>
  <c r="I136" i="37" s="1"/>
  <c r="D137" i="37"/>
  <c r="H135" i="40"/>
  <c r="G135" i="40"/>
  <c r="I135" i="40" s="1"/>
  <c r="D136" i="40"/>
  <c r="E136" i="40"/>
  <c r="B150" i="10"/>
  <c r="H150" i="10"/>
  <c r="H135" i="38"/>
  <c r="G135" i="38"/>
  <c r="I135" i="38" s="1"/>
  <c r="D136" i="38"/>
  <c r="E136" i="38"/>
  <c r="G147" i="5"/>
  <c r="I147" i="5" s="1"/>
  <c r="D148" i="5"/>
  <c r="E148" i="5" s="1"/>
  <c r="F148" i="5" s="1"/>
  <c r="E140" i="28"/>
  <c r="F140" i="28" s="1"/>
  <c r="H140" i="28" s="1"/>
  <c r="B140" i="28"/>
  <c r="E146" i="3"/>
  <c r="F146" i="3" s="1"/>
  <c r="B146" i="3"/>
  <c r="H134" i="43"/>
  <c r="G134" i="43"/>
  <c r="I134" i="43" s="1"/>
  <c r="D135" i="43"/>
  <c r="E135" i="43"/>
  <c r="G140" i="29"/>
  <c r="I140" i="29" s="1"/>
  <c r="D141" i="29"/>
  <c r="B141" i="29" s="1"/>
  <c r="H135" i="41"/>
  <c r="G135" i="41"/>
  <c r="I135" i="41" s="1"/>
  <c r="D136" i="41"/>
  <c r="E136" i="41"/>
  <c r="B140" i="29"/>
  <c r="H140" i="29"/>
  <c r="E140" i="31"/>
  <c r="F140" i="31" s="1"/>
  <c r="H140" i="31" s="1"/>
  <c r="B140" i="31"/>
  <c r="H134" i="45"/>
  <c r="G134" i="45"/>
  <c r="I134" i="45" s="1"/>
  <c r="D135" i="45"/>
  <c r="E135" i="45"/>
  <c r="E144" i="25"/>
  <c r="F144" i="25" s="1"/>
  <c r="B144" i="25"/>
  <c r="D148" i="11"/>
  <c r="B148" i="11" s="1"/>
  <c r="G147" i="11"/>
  <c r="I147" i="11" s="1"/>
  <c r="J139" i="31"/>
  <c r="E146" i="8"/>
  <c r="F146" i="8" s="1"/>
  <c r="H146" i="8" s="1"/>
  <c r="B146" i="8"/>
  <c r="G132" i="50" l="1"/>
  <c r="D133" i="50"/>
  <c r="E142" i="24"/>
  <c r="F142" i="24" s="1"/>
  <c r="D143" i="24" s="1"/>
  <c r="B143" i="24" s="1"/>
  <c r="E148" i="6"/>
  <c r="F148" i="6" s="1"/>
  <c r="B148" i="6"/>
  <c r="D144" i="23"/>
  <c r="B144" i="23" s="1"/>
  <c r="H143" i="23"/>
  <c r="E150" i="7"/>
  <c r="F150" i="7" s="1"/>
  <c r="H150" i="7" s="1"/>
  <c r="B150" i="7"/>
  <c r="J149" i="7"/>
  <c r="D146" i="22"/>
  <c r="E146" i="22" s="1"/>
  <c r="G145" i="22"/>
  <c r="I145" i="22" s="1"/>
  <c r="E142" i="27"/>
  <c r="F142" i="27" s="1"/>
  <c r="D143" i="27" s="1"/>
  <c r="B145" i="22"/>
  <c r="H145" i="22"/>
  <c r="G146" i="4"/>
  <c r="I146" i="4" s="1"/>
  <c r="J146" i="4" s="1"/>
  <c r="D147" i="4"/>
  <c r="E147" i="4" s="1"/>
  <c r="F147" i="4" s="1"/>
  <c r="B139" i="30"/>
  <c r="E139" i="30"/>
  <c r="F139" i="30" s="1"/>
  <c r="J150" i="10"/>
  <c r="J140" i="29"/>
  <c r="J147" i="5"/>
  <c r="G148" i="5"/>
  <c r="I148" i="5" s="1"/>
  <c r="D149" i="5"/>
  <c r="E149" i="5" s="1"/>
  <c r="F149" i="5" s="1"/>
  <c r="D145" i="25"/>
  <c r="G144" i="25"/>
  <c r="I144" i="25" s="1"/>
  <c r="F136" i="41"/>
  <c r="H136" i="41" s="1"/>
  <c r="B136" i="41"/>
  <c r="B135" i="43"/>
  <c r="F135" i="43"/>
  <c r="H146" i="3"/>
  <c r="G146" i="3"/>
  <c r="I146" i="3" s="1"/>
  <c r="D147" i="3"/>
  <c r="E147" i="3" s="1"/>
  <c r="F147" i="3" s="1"/>
  <c r="E151" i="10"/>
  <c r="F151" i="10" s="1"/>
  <c r="B135" i="45"/>
  <c r="F135" i="45"/>
  <c r="H135" i="45" s="1"/>
  <c r="B134" i="46"/>
  <c r="F134" i="46"/>
  <c r="E148" i="11"/>
  <c r="F148" i="11" s="1"/>
  <c r="E141" i="29"/>
  <c r="F141" i="29" s="1"/>
  <c r="E143" i="24"/>
  <c r="F143" i="24" s="1"/>
  <c r="G140" i="28"/>
  <c r="I140" i="28" s="1"/>
  <c r="J140" i="28" s="1"/>
  <c r="D141" i="28"/>
  <c r="B136" i="38"/>
  <c r="F136" i="38"/>
  <c r="B137" i="39"/>
  <c r="H137" i="39"/>
  <c r="F136" i="40"/>
  <c r="B136" i="40"/>
  <c r="D138" i="39"/>
  <c r="E138" i="39" s="1"/>
  <c r="F138" i="39" s="1"/>
  <c r="G137" i="39"/>
  <c r="I137" i="39" s="1"/>
  <c r="B148" i="5"/>
  <c r="H148" i="5"/>
  <c r="B135" i="42"/>
  <c r="F135" i="42"/>
  <c r="E137" i="37"/>
  <c r="F137" i="37" s="1"/>
  <c r="B137" i="37"/>
  <c r="B135" i="44"/>
  <c r="F135" i="44"/>
  <c r="H135" i="44" s="1"/>
  <c r="E149" i="9"/>
  <c r="F149" i="9" s="1"/>
  <c r="D147" i="8"/>
  <c r="G146" i="8"/>
  <c r="I146" i="8" s="1"/>
  <c r="J146" i="8" s="1"/>
  <c r="H144" i="25"/>
  <c r="D141" i="31"/>
  <c r="E141" i="31" s="1"/>
  <c r="F141" i="31" s="1"/>
  <c r="G140" i="31"/>
  <c r="I140" i="31" s="1"/>
  <c r="J140" i="31" s="1"/>
  <c r="H142" i="24" l="1"/>
  <c r="G142" i="24"/>
  <c r="I142" i="24" s="1"/>
  <c r="G142" i="27"/>
  <c r="I142" i="27" s="1"/>
  <c r="H142" i="27"/>
  <c r="E133" i="50"/>
  <c r="F133" i="50" s="1"/>
  <c r="B133" i="50"/>
  <c r="H132" i="50"/>
  <c r="I132" i="50"/>
  <c r="E144" i="23"/>
  <c r="F144" i="23" s="1"/>
  <c r="H144" i="23" s="1"/>
  <c r="D149" i="6"/>
  <c r="H148" i="6"/>
  <c r="G148" i="6"/>
  <c r="I148" i="6" s="1"/>
  <c r="F146" i="22"/>
  <c r="D147" i="22" s="1"/>
  <c r="D151" i="7"/>
  <c r="B151" i="7" s="1"/>
  <c r="G150" i="7"/>
  <c r="I150" i="7" s="1"/>
  <c r="J150" i="7" s="1"/>
  <c r="J148" i="5"/>
  <c r="D148" i="4"/>
  <c r="E148" i="4" s="1"/>
  <c r="F148" i="4" s="1"/>
  <c r="G147" i="4"/>
  <c r="I147" i="4" s="1"/>
  <c r="B147" i="4"/>
  <c r="H147" i="4"/>
  <c r="G139" i="30"/>
  <c r="I139" i="30" s="1"/>
  <c r="D140" i="30"/>
  <c r="E140" i="30" s="1"/>
  <c r="F140" i="30" s="1"/>
  <c r="H139" i="30"/>
  <c r="B146" i="22"/>
  <c r="J146" i="3"/>
  <c r="D138" i="37"/>
  <c r="B138" i="37" s="1"/>
  <c r="G137" i="37"/>
  <c r="I137" i="37" s="1"/>
  <c r="H137" i="37"/>
  <c r="H149" i="9"/>
  <c r="G149" i="9"/>
  <c r="I149" i="9" s="1"/>
  <c r="D150" i="9"/>
  <c r="B150" i="9" s="1"/>
  <c r="G141" i="31"/>
  <c r="I141" i="31" s="1"/>
  <c r="D142" i="31"/>
  <c r="B142" i="31" s="1"/>
  <c r="E147" i="8"/>
  <c r="F147" i="8" s="1"/>
  <c r="H147" i="8" s="1"/>
  <c r="B147" i="8"/>
  <c r="E143" i="27"/>
  <c r="F143" i="27" s="1"/>
  <c r="B143" i="27"/>
  <c r="H143" i="24"/>
  <c r="G143" i="24"/>
  <c r="I143" i="24" s="1"/>
  <c r="D144" i="24"/>
  <c r="E144" i="24" s="1"/>
  <c r="F144" i="24" s="1"/>
  <c r="H151" i="10"/>
  <c r="G151" i="10"/>
  <c r="I151" i="10" s="1"/>
  <c r="D152" i="10"/>
  <c r="H141" i="29"/>
  <c r="D142" i="29"/>
  <c r="E142" i="29" s="1"/>
  <c r="F142" i="29" s="1"/>
  <c r="G141" i="29"/>
  <c r="I141" i="29" s="1"/>
  <c r="G136" i="41"/>
  <c r="I136" i="41" s="1"/>
  <c r="D137" i="41"/>
  <c r="B137" i="41" s="1"/>
  <c r="G135" i="44"/>
  <c r="I135" i="44" s="1"/>
  <c r="D136" i="44"/>
  <c r="E136" i="44"/>
  <c r="H134" i="46"/>
  <c r="G134" i="46"/>
  <c r="I134" i="46" s="1"/>
  <c r="D135" i="46"/>
  <c r="E135" i="46"/>
  <c r="B147" i="3"/>
  <c r="H147" i="3"/>
  <c r="G147" i="3"/>
  <c r="I147" i="3" s="1"/>
  <c r="D148" i="3"/>
  <c r="B138" i="39"/>
  <c r="H138" i="39"/>
  <c r="H136" i="38"/>
  <c r="G136" i="38"/>
  <c r="I136" i="38" s="1"/>
  <c r="D137" i="38"/>
  <c r="E137" i="38"/>
  <c r="E145" i="25"/>
  <c r="F145" i="25" s="1"/>
  <c r="H145" i="25" s="1"/>
  <c r="B145" i="25"/>
  <c r="H136" i="40"/>
  <c r="D137" i="40"/>
  <c r="G136" i="40"/>
  <c r="I136" i="40" s="1"/>
  <c r="H148" i="11"/>
  <c r="G148" i="11"/>
  <c r="I148" i="11" s="1"/>
  <c r="D149" i="11"/>
  <c r="B149" i="11" s="1"/>
  <c r="G149" i="5"/>
  <c r="I149" i="5" s="1"/>
  <c r="D150" i="5"/>
  <c r="E150" i="5" s="1"/>
  <c r="F150" i="5" s="1"/>
  <c r="G138" i="39"/>
  <c r="I138" i="39" s="1"/>
  <c r="D139" i="39"/>
  <c r="H135" i="42"/>
  <c r="G135" i="42"/>
  <c r="I135" i="42" s="1"/>
  <c r="D136" i="42"/>
  <c r="E136" i="42"/>
  <c r="E141" i="28"/>
  <c r="F141" i="28" s="1"/>
  <c r="H141" i="28" s="1"/>
  <c r="B141" i="28"/>
  <c r="G135" i="45"/>
  <c r="I135" i="45" s="1"/>
  <c r="D136" i="45"/>
  <c r="E136" i="45"/>
  <c r="H135" i="43"/>
  <c r="G135" i="43"/>
  <c r="I135" i="43" s="1"/>
  <c r="D136" i="43"/>
  <c r="E136" i="43"/>
  <c r="B149" i="5"/>
  <c r="H149" i="5"/>
  <c r="B141" i="31"/>
  <c r="H141" i="31"/>
  <c r="J142" i="27" l="1"/>
  <c r="D134" i="50"/>
  <c r="G133" i="50"/>
  <c r="G144" i="23"/>
  <c r="I144" i="23" s="1"/>
  <c r="D145" i="23"/>
  <c r="B145" i="23" s="1"/>
  <c r="G146" i="22"/>
  <c r="I146" i="22" s="1"/>
  <c r="J148" i="6"/>
  <c r="H146" i="22"/>
  <c r="E149" i="6"/>
  <c r="F149" i="6" s="1"/>
  <c r="H149" i="6" s="1"/>
  <c r="B149" i="6"/>
  <c r="E151" i="7"/>
  <c r="F151" i="7" s="1"/>
  <c r="H151" i="7" s="1"/>
  <c r="D141" i="30"/>
  <c r="B141" i="30" s="1"/>
  <c r="G140" i="30"/>
  <c r="I140" i="30" s="1"/>
  <c r="J139" i="30"/>
  <c r="E142" i="31"/>
  <c r="F142" i="31" s="1"/>
  <c r="H142" i="31" s="1"/>
  <c r="J151" i="10"/>
  <c r="E147" i="22"/>
  <c r="F147" i="22" s="1"/>
  <c r="H147" i="22" s="1"/>
  <c r="B147" i="22"/>
  <c r="G148" i="4"/>
  <c r="I148" i="4" s="1"/>
  <c r="D149" i="4"/>
  <c r="J147" i="4"/>
  <c r="E137" i="41"/>
  <c r="F137" i="41" s="1"/>
  <c r="G137" i="41" s="1"/>
  <c r="I137" i="41" s="1"/>
  <c r="E138" i="37"/>
  <c r="F138" i="37" s="1"/>
  <c r="H138" i="37" s="1"/>
  <c r="B140" i="30"/>
  <c r="H140" i="30"/>
  <c r="B148" i="4"/>
  <c r="H148" i="4"/>
  <c r="J141" i="29"/>
  <c r="E149" i="11"/>
  <c r="F149" i="11" s="1"/>
  <c r="H149" i="11" s="1"/>
  <c r="E150" i="9"/>
  <c r="F150" i="9" s="1"/>
  <c r="D151" i="9" s="1"/>
  <c r="E151" i="9" s="1"/>
  <c r="F151" i="9" s="1"/>
  <c r="B136" i="42"/>
  <c r="F136" i="42"/>
  <c r="H136" i="42" s="1"/>
  <c r="G143" i="27"/>
  <c r="I143" i="27" s="1"/>
  <c r="D144" i="27"/>
  <c r="E144" i="27" s="1"/>
  <c r="F144" i="27" s="1"/>
  <c r="D151" i="5"/>
  <c r="E151" i="5" s="1"/>
  <c r="F151" i="5" s="1"/>
  <c r="G150" i="5"/>
  <c r="I150" i="5" s="1"/>
  <c r="B136" i="45"/>
  <c r="F136" i="45"/>
  <c r="B150" i="5"/>
  <c r="H150" i="5"/>
  <c r="F135" i="46"/>
  <c r="B135" i="46"/>
  <c r="G144" i="24"/>
  <c r="I144" i="24" s="1"/>
  <c r="D145" i="24"/>
  <c r="B145" i="24" s="1"/>
  <c r="J147" i="3"/>
  <c r="J149" i="5"/>
  <c r="D146" i="25"/>
  <c r="E146" i="25" s="1"/>
  <c r="F146" i="25" s="1"/>
  <c r="G145" i="25"/>
  <c r="I145" i="25" s="1"/>
  <c r="D143" i="29"/>
  <c r="B143" i="29" s="1"/>
  <c r="G142" i="29"/>
  <c r="I142" i="29" s="1"/>
  <c r="B144" i="24"/>
  <c r="H144" i="24"/>
  <c r="G147" i="8"/>
  <c r="I147" i="8" s="1"/>
  <c r="J147" i="8" s="1"/>
  <c r="D148" i="8"/>
  <c r="B148" i="8" s="1"/>
  <c r="E137" i="40"/>
  <c r="F137" i="40" s="1"/>
  <c r="H137" i="40" s="1"/>
  <c r="B137" i="40"/>
  <c r="B139" i="39"/>
  <c r="E152" i="10"/>
  <c r="F152" i="10" s="1"/>
  <c r="H152" i="10" s="1"/>
  <c r="B152" i="10"/>
  <c r="B137" i="38"/>
  <c r="F137" i="38"/>
  <c r="B142" i="29"/>
  <c r="H142" i="29"/>
  <c r="E145" i="23"/>
  <c r="F145" i="23" s="1"/>
  <c r="H145" i="23" s="1"/>
  <c r="F136" i="43"/>
  <c r="H136" i="43" s="1"/>
  <c r="B136" i="43"/>
  <c r="D142" i="28"/>
  <c r="B142" i="28" s="1"/>
  <c r="G141" i="28"/>
  <c r="I141" i="28" s="1"/>
  <c r="J141" i="28" s="1"/>
  <c r="E139" i="39"/>
  <c r="F139" i="39" s="1"/>
  <c r="H139" i="39" s="1"/>
  <c r="E148" i="3"/>
  <c r="F148" i="3" s="1"/>
  <c r="H148" i="3" s="1"/>
  <c r="B148" i="3"/>
  <c r="B136" i="44"/>
  <c r="F136" i="44"/>
  <c r="H143" i="27"/>
  <c r="J141" i="31"/>
  <c r="H133" i="50" l="1"/>
  <c r="I133" i="50"/>
  <c r="E134" i="50"/>
  <c r="F134" i="50" s="1"/>
  <c r="B134" i="50"/>
  <c r="D150" i="6"/>
  <c r="E150" i="6" s="1"/>
  <c r="F150" i="6" s="1"/>
  <c r="G149" i="6"/>
  <c r="I149" i="6" s="1"/>
  <c r="J149" i="6" s="1"/>
  <c r="D139" i="37"/>
  <c r="B139" i="37" s="1"/>
  <c r="G138" i="37"/>
  <c r="I138" i="37" s="1"/>
  <c r="G151" i="7"/>
  <c r="I151" i="7" s="1"/>
  <c r="J151" i="7" s="1"/>
  <c r="D152" i="7"/>
  <c r="E152" i="7" s="1"/>
  <c r="F152" i="7" s="1"/>
  <c r="E141" i="30"/>
  <c r="F141" i="30" s="1"/>
  <c r="H141" i="30" s="1"/>
  <c r="D143" i="31"/>
  <c r="E143" i="31" s="1"/>
  <c r="F143" i="31" s="1"/>
  <c r="G143" i="31" s="1"/>
  <c r="I143" i="31" s="1"/>
  <c r="D138" i="41"/>
  <c r="E138" i="41" s="1"/>
  <c r="F138" i="41" s="1"/>
  <c r="G138" i="41" s="1"/>
  <c r="I138" i="41" s="1"/>
  <c r="G142" i="31"/>
  <c r="I142" i="31" s="1"/>
  <c r="J142" i="31" s="1"/>
  <c r="H137" i="41"/>
  <c r="J140" i="30"/>
  <c r="G150" i="9"/>
  <c r="I150" i="9" s="1"/>
  <c r="H150" i="9"/>
  <c r="B149" i="4"/>
  <c r="J148" i="4"/>
  <c r="D150" i="11"/>
  <c r="B150" i="11" s="1"/>
  <c r="G149" i="11"/>
  <c r="I149" i="11" s="1"/>
  <c r="E149" i="4"/>
  <c r="F149" i="4" s="1"/>
  <c r="J150" i="5"/>
  <c r="G147" i="22"/>
  <c r="I147" i="22" s="1"/>
  <c r="D148" i="22"/>
  <c r="E145" i="24"/>
  <c r="F145" i="24" s="1"/>
  <c r="H145" i="24" s="1"/>
  <c r="D152" i="9"/>
  <c r="B152" i="9" s="1"/>
  <c r="G151" i="9"/>
  <c r="I151" i="9" s="1"/>
  <c r="H136" i="44"/>
  <c r="D137" i="44"/>
  <c r="G136" i="44"/>
  <c r="I136" i="44" s="1"/>
  <c r="E137" i="44"/>
  <c r="E148" i="8"/>
  <c r="F148" i="8" s="1"/>
  <c r="B151" i="9"/>
  <c r="H151" i="9"/>
  <c r="J143" i="27"/>
  <c r="D147" i="25"/>
  <c r="G146" i="25"/>
  <c r="I146" i="25" s="1"/>
  <c r="D152" i="5"/>
  <c r="B152" i="5" s="1"/>
  <c r="G151" i="5"/>
  <c r="I151" i="5" s="1"/>
  <c r="G136" i="43"/>
  <c r="I136" i="43" s="1"/>
  <c r="D137" i="43"/>
  <c r="G152" i="10"/>
  <c r="I152" i="10" s="1"/>
  <c r="J152" i="10" s="1"/>
  <c r="D153" i="10"/>
  <c r="D138" i="40"/>
  <c r="B138" i="40" s="1"/>
  <c r="G137" i="40"/>
  <c r="I137" i="40" s="1"/>
  <c r="H135" i="46"/>
  <c r="D136" i="46"/>
  <c r="G135" i="46"/>
  <c r="I135" i="46" s="1"/>
  <c r="E136" i="46"/>
  <c r="D146" i="23"/>
  <c r="G145" i="23"/>
  <c r="I145" i="23" s="1"/>
  <c r="G148" i="3"/>
  <c r="I148" i="3" s="1"/>
  <c r="J148" i="3" s="1"/>
  <c r="D149" i="3"/>
  <c r="B149" i="3" s="1"/>
  <c r="H137" i="38"/>
  <c r="D138" i="38"/>
  <c r="G137" i="38"/>
  <c r="I137" i="38" s="1"/>
  <c r="B146" i="25"/>
  <c r="H146" i="25"/>
  <c r="B151" i="5"/>
  <c r="H151" i="5"/>
  <c r="D140" i="39"/>
  <c r="G139" i="39"/>
  <c r="I139" i="39" s="1"/>
  <c r="E143" i="29"/>
  <c r="F143" i="29" s="1"/>
  <c r="G144" i="27"/>
  <c r="I144" i="27" s="1"/>
  <c r="D145" i="27"/>
  <c r="B145" i="27" s="1"/>
  <c r="E142" i="28"/>
  <c r="F142" i="28" s="1"/>
  <c r="J142" i="29"/>
  <c r="H136" i="45"/>
  <c r="G136" i="45"/>
  <c r="I136" i="45" s="1"/>
  <c r="D137" i="45"/>
  <c r="E137" i="45" s="1"/>
  <c r="F137" i="45" s="1"/>
  <c r="B144" i="27"/>
  <c r="H144" i="27"/>
  <c r="G136" i="42"/>
  <c r="I136" i="42" s="1"/>
  <c r="D137" i="42"/>
  <c r="B137" i="42" s="1"/>
  <c r="D135" i="50" l="1"/>
  <c r="G134" i="50"/>
  <c r="E135" i="50"/>
  <c r="E139" i="37"/>
  <c r="F139" i="37" s="1"/>
  <c r="H139" i="37" s="1"/>
  <c r="G150" i="6"/>
  <c r="I150" i="6" s="1"/>
  <c r="D151" i="6"/>
  <c r="B150" i="6"/>
  <c r="H150" i="6"/>
  <c r="D144" i="31"/>
  <c r="B144" i="31" s="1"/>
  <c r="B152" i="7"/>
  <c r="D142" i="30"/>
  <c r="G141" i="30"/>
  <c r="I141" i="30" s="1"/>
  <c r="J141" i="30" s="1"/>
  <c r="H143" i="31"/>
  <c r="J143" i="31" s="1"/>
  <c r="B143" i="31"/>
  <c r="H138" i="41"/>
  <c r="D139" i="41"/>
  <c r="E139" i="41" s="1"/>
  <c r="F139" i="41" s="1"/>
  <c r="G139" i="41" s="1"/>
  <c r="I139" i="41" s="1"/>
  <c r="B138" i="41"/>
  <c r="D146" i="24"/>
  <c r="E146" i="24" s="1"/>
  <c r="F146" i="24" s="1"/>
  <c r="H146" i="24" s="1"/>
  <c r="G145" i="24"/>
  <c r="I145" i="24" s="1"/>
  <c r="G152" i="7"/>
  <c r="I152" i="7" s="1"/>
  <c r="D153" i="7"/>
  <c r="E153" i="7" s="1"/>
  <c r="F153" i="7" s="1"/>
  <c r="H152" i="7"/>
  <c r="E150" i="11"/>
  <c r="F150" i="11" s="1"/>
  <c r="G150" i="11" s="1"/>
  <c r="I150" i="11" s="1"/>
  <c r="D150" i="4"/>
  <c r="B150" i="4" s="1"/>
  <c r="G149" i="4"/>
  <c r="I149" i="4" s="1"/>
  <c r="B148" i="22"/>
  <c r="E148" i="22"/>
  <c r="F148" i="22" s="1"/>
  <c r="H149" i="4"/>
  <c r="E152" i="9"/>
  <c r="F152" i="9" s="1"/>
  <c r="H152" i="9" s="1"/>
  <c r="E149" i="3"/>
  <c r="F149" i="3" s="1"/>
  <c r="H149" i="3" s="1"/>
  <c r="E137" i="42"/>
  <c r="F137" i="42" s="1"/>
  <c r="B140" i="39"/>
  <c r="J151" i="5"/>
  <c r="F137" i="44"/>
  <c r="B137" i="44"/>
  <c r="B146" i="23"/>
  <c r="E145" i="27"/>
  <c r="F145" i="27" s="1"/>
  <c r="E153" i="10"/>
  <c r="F153" i="10" s="1"/>
  <c r="B153" i="10"/>
  <c r="E147" i="25"/>
  <c r="F147" i="25" s="1"/>
  <c r="H147" i="25" s="1"/>
  <c r="B147" i="25"/>
  <c r="B136" i="46"/>
  <c r="F136" i="46"/>
  <c r="H142" i="28"/>
  <c r="D143" i="28"/>
  <c r="E143" i="28" s="1"/>
  <c r="F143" i="28" s="1"/>
  <c r="G142" i="28"/>
  <c r="I142" i="28" s="1"/>
  <c r="G137" i="45"/>
  <c r="I137" i="45" s="1"/>
  <c r="D138" i="45"/>
  <c r="H143" i="29"/>
  <c r="G143" i="29"/>
  <c r="I143" i="29" s="1"/>
  <c r="D144" i="29"/>
  <c r="E137" i="43"/>
  <c r="F137" i="43" s="1"/>
  <c r="H137" i="43" s="1"/>
  <c r="B137" i="43"/>
  <c r="H148" i="8"/>
  <c r="G148" i="8"/>
  <c r="I148" i="8" s="1"/>
  <c r="D149" i="8"/>
  <c r="B149" i="8" s="1"/>
  <c r="B137" i="45"/>
  <c r="H137" i="45"/>
  <c r="E140" i="39"/>
  <c r="F140" i="39" s="1"/>
  <c r="E138" i="40"/>
  <c r="F138" i="40" s="1"/>
  <c r="J144" i="27"/>
  <c r="E138" i="38"/>
  <c r="F138" i="38" s="1"/>
  <c r="H138" i="38" s="1"/>
  <c r="B138" i="38"/>
  <c r="E146" i="23"/>
  <c r="F146" i="23" s="1"/>
  <c r="E152" i="5"/>
  <c r="F152" i="5" s="1"/>
  <c r="H134" i="50" l="1"/>
  <c r="I134" i="50"/>
  <c r="B135" i="50"/>
  <c r="F135" i="50"/>
  <c r="G139" i="37"/>
  <c r="I139" i="37" s="1"/>
  <c r="D140" i="37"/>
  <c r="B140" i="37" s="1"/>
  <c r="E151" i="6"/>
  <c r="F151" i="6" s="1"/>
  <c r="H151" i="6" s="1"/>
  <c r="B151" i="6"/>
  <c r="E144" i="31"/>
  <c r="F144" i="31" s="1"/>
  <c r="D145" i="31" s="1"/>
  <c r="E145" i="31" s="1"/>
  <c r="F145" i="31" s="1"/>
  <c r="D146" i="31" s="1"/>
  <c r="E146" i="31" s="1"/>
  <c r="F146" i="31" s="1"/>
  <c r="J150" i="6"/>
  <c r="H139" i="41"/>
  <c r="D140" i="41"/>
  <c r="B140" i="41" s="1"/>
  <c r="B139" i="41"/>
  <c r="E142" i="30"/>
  <c r="F142" i="30" s="1"/>
  <c r="B142" i="30"/>
  <c r="B146" i="24"/>
  <c r="D153" i="9"/>
  <c r="B153" i="9" s="1"/>
  <c r="H150" i="11"/>
  <c r="G152" i="9"/>
  <c r="I152" i="9" s="1"/>
  <c r="D151" i="11"/>
  <c r="E151" i="11" s="1"/>
  <c r="F151" i="11" s="1"/>
  <c r="H151" i="11" s="1"/>
  <c r="D154" i="7"/>
  <c r="B154" i="7" s="1"/>
  <c r="G153" i="7"/>
  <c r="I153" i="7" s="1"/>
  <c r="B153" i="7"/>
  <c r="H153" i="7"/>
  <c r="J152" i="7"/>
  <c r="E149" i="8"/>
  <c r="F149" i="8" s="1"/>
  <c r="D150" i="8" s="1"/>
  <c r="G149" i="3"/>
  <c r="I149" i="3" s="1"/>
  <c r="J149" i="3" s="1"/>
  <c r="J143" i="29"/>
  <c r="J149" i="4"/>
  <c r="D150" i="3"/>
  <c r="B150" i="3" s="1"/>
  <c r="D149" i="22"/>
  <c r="E149" i="22" s="1"/>
  <c r="F149" i="22" s="1"/>
  <c r="G148" i="22"/>
  <c r="I148" i="22" s="1"/>
  <c r="H148" i="22"/>
  <c r="E150" i="4"/>
  <c r="F150" i="4" s="1"/>
  <c r="J148" i="8"/>
  <c r="J142" i="28"/>
  <c r="H138" i="40"/>
  <c r="D139" i="40"/>
  <c r="E139" i="40" s="1"/>
  <c r="F139" i="40" s="1"/>
  <c r="G138" i="40"/>
  <c r="I138" i="40" s="1"/>
  <c r="H137" i="42"/>
  <c r="D138" i="42"/>
  <c r="B138" i="42" s="1"/>
  <c r="G137" i="42"/>
  <c r="I137" i="42" s="1"/>
  <c r="G153" i="10"/>
  <c r="I153" i="10" s="1"/>
  <c r="D154" i="10"/>
  <c r="E154" i="10" s="1"/>
  <c r="E155" i="10" s="1"/>
  <c r="G146" i="23"/>
  <c r="I146" i="23" s="1"/>
  <c r="D147" i="23"/>
  <c r="B147" i="23" s="1"/>
  <c r="E138" i="45"/>
  <c r="F138" i="45" s="1"/>
  <c r="B138" i="45"/>
  <c r="H146" i="23"/>
  <c r="D138" i="43"/>
  <c r="G137" i="43"/>
  <c r="I137" i="43" s="1"/>
  <c r="H152" i="5"/>
  <c r="D153" i="5"/>
  <c r="G152" i="5"/>
  <c r="I152" i="5" s="1"/>
  <c r="D144" i="28"/>
  <c r="G143" i="28"/>
  <c r="I143" i="28" s="1"/>
  <c r="D148" i="25"/>
  <c r="B148" i="25" s="1"/>
  <c r="G147" i="25"/>
  <c r="I147" i="25" s="1"/>
  <c r="H145" i="27"/>
  <c r="D146" i="27"/>
  <c r="E146" i="27" s="1"/>
  <c r="F146" i="27" s="1"/>
  <c r="G145" i="27"/>
  <c r="I145" i="27" s="1"/>
  <c r="H137" i="44"/>
  <c r="D138" i="44"/>
  <c r="B138" i="44" s="1"/>
  <c r="G137" i="44"/>
  <c r="I137" i="44" s="1"/>
  <c r="D141" i="39"/>
  <c r="B141" i="39" s="1"/>
  <c r="G140" i="39"/>
  <c r="I140" i="39" s="1"/>
  <c r="G138" i="38"/>
  <c r="I138" i="38" s="1"/>
  <c r="D139" i="38"/>
  <c r="B139" i="38" s="1"/>
  <c r="B143" i="28"/>
  <c r="H143" i="28"/>
  <c r="H153" i="10"/>
  <c r="G146" i="24"/>
  <c r="I146" i="24" s="1"/>
  <c r="D147" i="24"/>
  <c r="B147" i="24" s="1"/>
  <c r="E144" i="29"/>
  <c r="F144" i="29" s="1"/>
  <c r="H144" i="29" s="1"/>
  <c r="B144" i="29"/>
  <c r="H136" i="46"/>
  <c r="D137" i="46"/>
  <c r="G136" i="46"/>
  <c r="I136" i="46" s="1"/>
  <c r="E137" i="46"/>
  <c r="H140" i="39"/>
  <c r="E140" i="37" l="1"/>
  <c r="F140" i="37" s="1"/>
  <c r="D141" i="37" s="1"/>
  <c r="E141" i="37" s="1"/>
  <c r="F141" i="37" s="1"/>
  <c r="D136" i="50"/>
  <c r="G135" i="50"/>
  <c r="E140" i="41"/>
  <c r="F140" i="41" s="1"/>
  <c r="G140" i="41" s="1"/>
  <c r="I140" i="41" s="1"/>
  <c r="G144" i="31"/>
  <c r="I144" i="31" s="1"/>
  <c r="B145" i="31"/>
  <c r="G145" i="31"/>
  <c r="I145" i="31" s="1"/>
  <c r="H145" i="31"/>
  <c r="H144" i="31"/>
  <c r="G151" i="6"/>
  <c r="I151" i="6" s="1"/>
  <c r="J151" i="6" s="1"/>
  <c r="D152" i="6"/>
  <c r="B152" i="6" s="1"/>
  <c r="G149" i="8"/>
  <c r="I149" i="8" s="1"/>
  <c r="H149" i="8"/>
  <c r="E153" i="9"/>
  <c r="F153" i="9" s="1"/>
  <c r="H142" i="30"/>
  <c r="D143" i="30"/>
  <c r="G142" i="30"/>
  <c r="I142" i="30" s="1"/>
  <c r="G151" i="11"/>
  <c r="I151" i="11" s="1"/>
  <c r="E154" i="7"/>
  <c r="E155" i="7" s="1"/>
  <c r="D152" i="11"/>
  <c r="B152" i="11" s="1"/>
  <c r="D141" i="41"/>
  <c r="E141" i="41" s="1"/>
  <c r="F141" i="41" s="1"/>
  <c r="G141" i="41" s="1"/>
  <c r="I141" i="41" s="1"/>
  <c r="B151" i="11"/>
  <c r="J153" i="7"/>
  <c r="E150" i="3"/>
  <c r="F150" i="3" s="1"/>
  <c r="H150" i="3" s="1"/>
  <c r="E147" i="24"/>
  <c r="F147" i="24" s="1"/>
  <c r="D148" i="24" s="1"/>
  <c r="B148" i="24" s="1"/>
  <c r="J152" i="5"/>
  <c r="H150" i="4"/>
  <c r="D151" i="4"/>
  <c r="E151" i="4" s="1"/>
  <c r="F151" i="4" s="1"/>
  <c r="G150" i="4"/>
  <c r="I150" i="4" s="1"/>
  <c r="G149" i="22"/>
  <c r="I149" i="22" s="1"/>
  <c r="D150" i="22"/>
  <c r="E138" i="44"/>
  <c r="F138" i="44" s="1"/>
  <c r="G138" i="44" s="1"/>
  <c r="I138" i="44" s="1"/>
  <c r="E148" i="25"/>
  <c r="F148" i="25" s="1"/>
  <c r="D149" i="25" s="1"/>
  <c r="B149" i="22"/>
  <c r="H149" i="22"/>
  <c r="E141" i="39"/>
  <c r="F141" i="39" s="1"/>
  <c r="H141" i="39" s="1"/>
  <c r="E147" i="23"/>
  <c r="F147" i="23" s="1"/>
  <c r="H147" i="23" s="1"/>
  <c r="E139" i="38"/>
  <c r="F139" i="38" s="1"/>
  <c r="H139" i="38" s="1"/>
  <c r="B138" i="43"/>
  <c r="E138" i="42"/>
  <c r="F138" i="42" s="1"/>
  <c r="E150" i="8"/>
  <c r="F150" i="8" s="1"/>
  <c r="H150" i="8" s="1"/>
  <c r="B150" i="8"/>
  <c r="G138" i="45"/>
  <c r="I138" i="45" s="1"/>
  <c r="D139" i="45"/>
  <c r="D145" i="29"/>
  <c r="E145" i="29" s="1"/>
  <c r="F145" i="29" s="1"/>
  <c r="G144" i="29"/>
  <c r="I144" i="29" s="1"/>
  <c r="J144" i="29" s="1"/>
  <c r="B139" i="40"/>
  <c r="H139" i="40"/>
  <c r="D147" i="27"/>
  <c r="E147" i="27" s="1"/>
  <c r="F147" i="27" s="1"/>
  <c r="G146" i="27"/>
  <c r="I146" i="27" s="1"/>
  <c r="G139" i="40"/>
  <c r="I139" i="40" s="1"/>
  <c r="D140" i="40"/>
  <c r="J145" i="27"/>
  <c r="J143" i="28"/>
  <c r="E153" i="5"/>
  <c r="F153" i="5" s="1"/>
  <c r="H153" i="5" s="1"/>
  <c r="B153" i="5"/>
  <c r="G146" i="31"/>
  <c r="I146" i="31" s="1"/>
  <c r="D147" i="31"/>
  <c r="B137" i="46"/>
  <c r="F137" i="46"/>
  <c r="B146" i="27"/>
  <c r="H146" i="27"/>
  <c r="E144" i="28"/>
  <c r="F144" i="28" s="1"/>
  <c r="B144" i="28"/>
  <c r="B154" i="10"/>
  <c r="F154" i="10"/>
  <c r="G154" i="10" s="1"/>
  <c r="E138" i="43"/>
  <c r="F138" i="43" s="1"/>
  <c r="H138" i="43" s="1"/>
  <c r="H138" i="45"/>
  <c r="J153" i="10"/>
  <c r="B146" i="31"/>
  <c r="H146" i="31"/>
  <c r="G140" i="37" l="1"/>
  <c r="I140" i="37" s="1"/>
  <c r="J144" i="31"/>
  <c r="H140" i="37"/>
  <c r="H140" i="41"/>
  <c r="J145" i="31"/>
  <c r="H135" i="50"/>
  <c r="I135" i="50"/>
  <c r="E136" i="50"/>
  <c r="F136" i="50" s="1"/>
  <c r="B136" i="50"/>
  <c r="J149" i="8"/>
  <c r="E152" i="6"/>
  <c r="F152" i="6" s="1"/>
  <c r="H152" i="6" s="1"/>
  <c r="J142" i="30"/>
  <c r="D142" i="41"/>
  <c r="B142" i="41" s="1"/>
  <c r="D154" i="9"/>
  <c r="E154" i="9" s="1"/>
  <c r="E155" i="9" s="1"/>
  <c r="G153" i="9"/>
  <c r="I153" i="9" s="1"/>
  <c r="H153" i="9"/>
  <c r="E152" i="11"/>
  <c r="F152" i="11" s="1"/>
  <c r="G152" i="11" s="1"/>
  <c r="I152" i="11" s="1"/>
  <c r="F154" i="7"/>
  <c r="G154" i="7" s="1"/>
  <c r="I154" i="7" s="1"/>
  <c r="B143" i="30"/>
  <c r="E143" i="30"/>
  <c r="F143" i="30" s="1"/>
  <c r="H141" i="41"/>
  <c r="G147" i="24"/>
  <c r="I147" i="24" s="1"/>
  <c r="B141" i="41"/>
  <c r="D151" i="3"/>
  <c r="B151" i="3" s="1"/>
  <c r="H147" i="24"/>
  <c r="D140" i="38"/>
  <c r="B140" i="38" s="1"/>
  <c r="G139" i="38"/>
  <c r="I139" i="38" s="1"/>
  <c r="G150" i="3"/>
  <c r="I150" i="3" s="1"/>
  <c r="J150" i="3" s="1"/>
  <c r="G147" i="23"/>
  <c r="I147" i="23" s="1"/>
  <c r="D148" i="23"/>
  <c r="B148" i="23" s="1"/>
  <c r="D142" i="39"/>
  <c r="B142" i="39" s="1"/>
  <c r="H148" i="25"/>
  <c r="J150" i="4"/>
  <c r="G141" i="39"/>
  <c r="I141" i="39" s="1"/>
  <c r="G148" i="25"/>
  <c r="I148" i="25" s="1"/>
  <c r="G151" i="4"/>
  <c r="I151" i="4" s="1"/>
  <c r="D152" i="4"/>
  <c r="E152" i="4" s="1"/>
  <c r="F152" i="4" s="1"/>
  <c r="B151" i="4"/>
  <c r="H151" i="4"/>
  <c r="H138" i="44"/>
  <c r="E150" i="22"/>
  <c r="F150" i="22" s="1"/>
  <c r="B150" i="22"/>
  <c r="D139" i="44"/>
  <c r="B139" i="44" s="1"/>
  <c r="J146" i="31"/>
  <c r="E148" i="24"/>
  <c r="F148" i="24" s="1"/>
  <c r="D149" i="24" s="1"/>
  <c r="E149" i="24" s="1"/>
  <c r="F149" i="24" s="1"/>
  <c r="H154" i="10"/>
  <c r="H155" i="10" s="1"/>
  <c r="I154" i="10"/>
  <c r="E147" i="31"/>
  <c r="F147" i="31" s="1"/>
  <c r="H147" i="31" s="1"/>
  <c r="B147" i="31"/>
  <c r="G145" i="29"/>
  <c r="I145" i="29" s="1"/>
  <c r="D146" i="29"/>
  <c r="H137" i="46"/>
  <c r="D138" i="46"/>
  <c r="B138" i="46" s="1"/>
  <c r="G137" i="46"/>
  <c r="I137" i="46" s="1"/>
  <c r="G147" i="27"/>
  <c r="I147" i="27" s="1"/>
  <c r="D148" i="27"/>
  <c r="B148" i="27" s="1"/>
  <c r="B145" i="29"/>
  <c r="H145" i="29"/>
  <c r="D151" i="8"/>
  <c r="E151" i="8" s="1"/>
  <c r="F151" i="8" s="1"/>
  <c r="G150" i="8"/>
  <c r="I150" i="8" s="1"/>
  <c r="J150" i="8" s="1"/>
  <c r="J146" i="27"/>
  <c r="E139" i="45"/>
  <c r="F139" i="45" s="1"/>
  <c r="H139" i="45" s="1"/>
  <c r="B139" i="45"/>
  <c r="D145" i="28"/>
  <c r="B145" i="28" s="1"/>
  <c r="G144" i="28"/>
  <c r="I144" i="28" s="1"/>
  <c r="D154" i="5"/>
  <c r="G153" i="5"/>
  <c r="I153" i="5" s="1"/>
  <c r="J153" i="5" s="1"/>
  <c r="E140" i="40"/>
  <c r="F140" i="40" s="1"/>
  <c r="H140" i="40" s="1"/>
  <c r="B140" i="40"/>
  <c r="E149" i="25"/>
  <c r="F149" i="25" s="1"/>
  <c r="B149" i="25"/>
  <c r="H144" i="28"/>
  <c r="G141" i="37"/>
  <c r="I141" i="37" s="1"/>
  <c r="D142" i="37"/>
  <c r="B142" i="37" s="1"/>
  <c r="B147" i="27"/>
  <c r="H147" i="27"/>
  <c r="B141" i="37"/>
  <c r="H141" i="37"/>
  <c r="D139" i="43"/>
  <c r="G138" i="43"/>
  <c r="I138" i="43" s="1"/>
  <c r="H138" i="42"/>
  <c r="D139" i="42"/>
  <c r="B139" i="42" s="1"/>
  <c r="G138" i="42"/>
  <c r="I138" i="42" s="1"/>
  <c r="D137" i="50" l="1"/>
  <c r="G136" i="50"/>
  <c r="G152" i="6"/>
  <c r="I152" i="6" s="1"/>
  <c r="J152" i="6" s="1"/>
  <c r="D153" i="6"/>
  <c r="E153" i="6" s="1"/>
  <c r="F153" i="6" s="1"/>
  <c r="H153" i="6" s="1"/>
  <c r="F154" i="9"/>
  <c r="G154" i="9" s="1"/>
  <c r="I154" i="9" s="1"/>
  <c r="I155" i="9" s="1"/>
  <c r="B154" i="9"/>
  <c r="E142" i="41"/>
  <c r="F142" i="41" s="1"/>
  <c r="G142" i="41" s="1"/>
  <c r="I142" i="41" s="1"/>
  <c r="H154" i="7"/>
  <c r="H155" i="7" s="1"/>
  <c r="E140" i="38"/>
  <c r="F140" i="38" s="1"/>
  <c r="D153" i="11"/>
  <c r="H152" i="11"/>
  <c r="H143" i="30"/>
  <c r="G143" i="30"/>
  <c r="I143" i="30" s="1"/>
  <c r="D144" i="30"/>
  <c r="E144" i="30" s="1"/>
  <c r="E151" i="3"/>
  <c r="F151" i="3" s="1"/>
  <c r="E148" i="23"/>
  <c r="F148" i="23" s="1"/>
  <c r="G148" i="23" s="1"/>
  <c r="I148" i="23" s="1"/>
  <c r="I155" i="7"/>
  <c r="E142" i="39"/>
  <c r="F142" i="39" s="1"/>
  <c r="H142" i="39" s="1"/>
  <c r="E139" i="44"/>
  <c r="F139" i="44" s="1"/>
  <c r="H139" i="44" s="1"/>
  <c r="H148" i="24"/>
  <c r="D153" i="4"/>
  <c r="E153" i="4" s="1"/>
  <c r="F153" i="4" s="1"/>
  <c r="G152" i="4"/>
  <c r="I152" i="4" s="1"/>
  <c r="D151" i="22"/>
  <c r="E151" i="22" s="1"/>
  <c r="F151" i="22" s="1"/>
  <c r="G150" i="22"/>
  <c r="I150" i="22" s="1"/>
  <c r="G148" i="24"/>
  <c r="I148" i="24" s="1"/>
  <c r="B152" i="4"/>
  <c r="H152" i="4"/>
  <c r="H150" i="22"/>
  <c r="J151" i="4"/>
  <c r="J147" i="27"/>
  <c r="E139" i="42"/>
  <c r="F139" i="42" s="1"/>
  <c r="H139" i="42" s="1"/>
  <c r="E142" i="37"/>
  <c r="F142" i="37" s="1"/>
  <c r="H142" i="37" s="1"/>
  <c r="E138" i="46"/>
  <c r="F138" i="46" s="1"/>
  <c r="D139" i="46" s="1"/>
  <c r="D152" i="8"/>
  <c r="B152" i="8" s="1"/>
  <c r="G151" i="8"/>
  <c r="I151" i="8" s="1"/>
  <c r="E139" i="43"/>
  <c r="F139" i="43" s="1"/>
  <c r="H139" i="43" s="1"/>
  <c r="B139" i="43"/>
  <c r="E145" i="28"/>
  <c r="F145" i="28" s="1"/>
  <c r="H149" i="25"/>
  <c r="D150" i="25"/>
  <c r="E150" i="25" s="1"/>
  <c r="F150" i="25" s="1"/>
  <c r="G149" i="25"/>
  <c r="I149" i="25" s="1"/>
  <c r="J144" i="28"/>
  <c r="D140" i="45"/>
  <c r="E140" i="45" s="1"/>
  <c r="F140" i="45" s="1"/>
  <c r="G139" i="45"/>
  <c r="I139" i="45" s="1"/>
  <c r="B154" i="5"/>
  <c r="H154" i="9"/>
  <c r="H155" i="9" s="1"/>
  <c r="B151" i="8"/>
  <c r="H151" i="8"/>
  <c r="D148" i="31"/>
  <c r="B148" i="31" s="1"/>
  <c r="G147" i="31"/>
  <c r="I147" i="31" s="1"/>
  <c r="J147" i="31" s="1"/>
  <c r="D141" i="40"/>
  <c r="G140" i="40"/>
  <c r="I140" i="40" s="1"/>
  <c r="E146" i="29"/>
  <c r="F146" i="29" s="1"/>
  <c r="H146" i="29" s="1"/>
  <c r="B146" i="29"/>
  <c r="J154" i="10"/>
  <c r="J155" i="10" s="1"/>
  <c r="I155" i="10"/>
  <c r="G149" i="24"/>
  <c r="I149" i="24" s="1"/>
  <c r="D150" i="24"/>
  <c r="E150" i="24" s="1"/>
  <c r="F150" i="24" s="1"/>
  <c r="B149" i="24"/>
  <c r="H149" i="24"/>
  <c r="E154" i="5"/>
  <c r="E155" i="5" s="1"/>
  <c r="E148" i="27"/>
  <c r="F148" i="27" s="1"/>
  <c r="J145" i="29"/>
  <c r="B153" i="6" l="1"/>
  <c r="H136" i="50"/>
  <c r="I136" i="50"/>
  <c r="E137" i="50"/>
  <c r="F137" i="50" s="1"/>
  <c r="B137" i="50"/>
  <c r="D143" i="41"/>
  <c r="E143" i="41" s="1"/>
  <c r="F143" i="41" s="1"/>
  <c r="G143" i="41" s="1"/>
  <c r="I143" i="41" s="1"/>
  <c r="G153" i="6"/>
  <c r="I153" i="6" s="1"/>
  <c r="D154" i="6"/>
  <c r="J143" i="30"/>
  <c r="H142" i="41"/>
  <c r="J154" i="7"/>
  <c r="J155" i="7" s="1"/>
  <c r="D141" i="38"/>
  <c r="E141" i="38" s="1"/>
  <c r="F141" i="38" s="1"/>
  <c r="G141" i="38" s="1"/>
  <c r="I141" i="38" s="1"/>
  <c r="H140" i="38"/>
  <c r="G140" i="38"/>
  <c r="I140" i="38" s="1"/>
  <c r="B153" i="11"/>
  <c r="E153" i="11"/>
  <c r="F153" i="11" s="1"/>
  <c r="D149" i="23"/>
  <c r="E149" i="23" s="1"/>
  <c r="F149" i="23" s="1"/>
  <c r="D150" i="23" s="1"/>
  <c r="H148" i="23"/>
  <c r="F144" i="30"/>
  <c r="G144" i="30" s="1"/>
  <c r="I144" i="30" s="1"/>
  <c r="B144" i="30"/>
  <c r="G139" i="42"/>
  <c r="I139" i="42" s="1"/>
  <c r="D140" i="42"/>
  <c r="B140" i="42" s="1"/>
  <c r="D140" i="44"/>
  <c r="B140" i="44" s="1"/>
  <c r="H151" i="3"/>
  <c r="D152" i="3"/>
  <c r="G151" i="3"/>
  <c r="I151" i="3" s="1"/>
  <c r="G142" i="37"/>
  <c r="I142" i="37" s="1"/>
  <c r="D143" i="37"/>
  <c r="B143" i="37" s="1"/>
  <c r="H138" i="46"/>
  <c r="G139" i="44"/>
  <c r="I139" i="44" s="1"/>
  <c r="G142" i="39"/>
  <c r="I142" i="39" s="1"/>
  <c r="D143" i="39"/>
  <c r="G138" i="46"/>
  <c r="I138" i="46" s="1"/>
  <c r="B139" i="46"/>
  <c r="E139" i="46"/>
  <c r="F139" i="46" s="1"/>
  <c r="G139" i="46" s="1"/>
  <c r="I139" i="46" s="1"/>
  <c r="D152" i="22"/>
  <c r="E152" i="22" s="1"/>
  <c r="F152" i="22" s="1"/>
  <c r="G151" i="22"/>
  <c r="I151" i="22" s="1"/>
  <c r="D154" i="4"/>
  <c r="E154" i="4" s="1"/>
  <c r="E155" i="4" s="1"/>
  <c r="G153" i="4"/>
  <c r="I153" i="4" s="1"/>
  <c r="J152" i="4"/>
  <c r="B153" i="4"/>
  <c r="H153" i="4"/>
  <c r="H151" i="22"/>
  <c r="B151" i="22"/>
  <c r="E148" i="31"/>
  <c r="F148" i="31" s="1"/>
  <c r="H148" i="31" s="1"/>
  <c r="J151" i="8"/>
  <c r="E152" i="8"/>
  <c r="F152" i="8" s="1"/>
  <c r="G150" i="24"/>
  <c r="I150" i="24" s="1"/>
  <c r="D151" i="24"/>
  <c r="B151" i="24" s="1"/>
  <c r="B150" i="24"/>
  <c r="H150" i="24"/>
  <c r="B140" i="45"/>
  <c r="H140" i="45"/>
  <c r="H145" i="28"/>
  <c r="D146" i="28"/>
  <c r="B146" i="28" s="1"/>
  <c r="G145" i="28"/>
  <c r="I145" i="28" s="1"/>
  <c r="H148" i="27"/>
  <c r="G148" i="27"/>
  <c r="I148" i="27" s="1"/>
  <c r="D149" i="27"/>
  <c r="B149" i="27" s="1"/>
  <c r="G146" i="29"/>
  <c r="I146" i="29" s="1"/>
  <c r="J146" i="29" s="1"/>
  <c r="D147" i="29"/>
  <c r="E147" i="29" s="1"/>
  <c r="F147" i="29" s="1"/>
  <c r="G150" i="25"/>
  <c r="I150" i="25" s="1"/>
  <c r="D151" i="25"/>
  <c r="B151" i="25" s="1"/>
  <c r="G140" i="45"/>
  <c r="I140" i="45" s="1"/>
  <c r="D141" i="45"/>
  <c r="B141" i="45" s="1"/>
  <c r="E141" i="40"/>
  <c r="F141" i="40" s="1"/>
  <c r="H141" i="40" s="1"/>
  <c r="B141" i="40"/>
  <c r="F154" i="5"/>
  <c r="B150" i="25"/>
  <c r="H150" i="25"/>
  <c r="D140" i="43"/>
  <c r="B140" i="43" s="1"/>
  <c r="G139" i="43"/>
  <c r="I139" i="43" s="1"/>
  <c r="D138" i="50" l="1"/>
  <c r="B138" i="50" s="1"/>
  <c r="G137" i="50"/>
  <c r="H143" i="41"/>
  <c r="B143" i="41"/>
  <c r="D144" i="41"/>
  <c r="B144" i="41" s="1"/>
  <c r="D142" i="38"/>
  <c r="E142" i="38" s="1"/>
  <c r="F142" i="38" s="1"/>
  <c r="H142" i="38" s="1"/>
  <c r="B141" i="38"/>
  <c r="H144" i="30"/>
  <c r="J144" i="30" s="1"/>
  <c r="H141" i="38"/>
  <c r="D145" i="30"/>
  <c r="B145" i="30" s="1"/>
  <c r="G149" i="23"/>
  <c r="I149" i="23" s="1"/>
  <c r="E154" i="6"/>
  <c r="E155" i="6" s="1"/>
  <c r="B154" i="6"/>
  <c r="J153" i="6"/>
  <c r="D154" i="11"/>
  <c r="G153" i="11"/>
  <c r="I153" i="11" s="1"/>
  <c r="H153" i="11"/>
  <c r="H149" i="23"/>
  <c r="B149" i="23"/>
  <c r="E140" i="42"/>
  <c r="F140" i="42" s="1"/>
  <c r="D141" i="42" s="1"/>
  <c r="E141" i="42" s="1"/>
  <c r="F141" i="42" s="1"/>
  <c r="D142" i="42" s="1"/>
  <c r="E143" i="37"/>
  <c r="F143" i="37" s="1"/>
  <c r="H143" i="37" s="1"/>
  <c r="H139" i="46"/>
  <c r="J151" i="3"/>
  <c r="B152" i="3"/>
  <c r="E152" i="3"/>
  <c r="F152" i="3" s="1"/>
  <c r="H152" i="3" s="1"/>
  <c r="E140" i="44"/>
  <c r="F140" i="44" s="1"/>
  <c r="D141" i="44" s="1"/>
  <c r="B141" i="44" s="1"/>
  <c r="G148" i="31"/>
  <c r="I148" i="31" s="1"/>
  <c r="J148" i="31" s="1"/>
  <c r="D149" i="31"/>
  <c r="E149" i="31" s="1"/>
  <c r="F149" i="31" s="1"/>
  <c r="D150" i="31" s="1"/>
  <c r="D140" i="46"/>
  <c r="B140" i="46" s="1"/>
  <c r="B143" i="39"/>
  <c r="E143" i="39"/>
  <c r="F143" i="39" s="1"/>
  <c r="H143" i="39" s="1"/>
  <c r="J153" i="4"/>
  <c r="D153" i="22"/>
  <c r="E153" i="22" s="1"/>
  <c r="F153" i="22" s="1"/>
  <c r="G152" i="22"/>
  <c r="I152" i="22" s="1"/>
  <c r="B154" i="4"/>
  <c r="F154" i="4"/>
  <c r="B152" i="22"/>
  <c r="H152" i="22"/>
  <c r="J148" i="27"/>
  <c r="J145" i="28"/>
  <c r="E151" i="25"/>
  <c r="F151" i="25" s="1"/>
  <c r="D152" i="25" s="1"/>
  <c r="G154" i="5"/>
  <c r="I154" i="5" s="1"/>
  <c r="H154" i="5"/>
  <c r="H155" i="5" s="1"/>
  <c r="G141" i="40"/>
  <c r="I141" i="40" s="1"/>
  <c r="D142" i="40"/>
  <c r="E142" i="40" s="1"/>
  <c r="F142" i="40" s="1"/>
  <c r="E141" i="45"/>
  <c r="F141" i="45" s="1"/>
  <c r="E150" i="23"/>
  <c r="F150" i="23" s="1"/>
  <c r="H150" i="23" s="1"/>
  <c r="B150" i="23"/>
  <c r="E149" i="27"/>
  <c r="F149" i="27" s="1"/>
  <c r="E151" i="24"/>
  <c r="F151" i="24" s="1"/>
  <c r="B147" i="29"/>
  <c r="H147" i="29"/>
  <c r="G147" i="29"/>
  <c r="I147" i="29" s="1"/>
  <c r="D148" i="29"/>
  <c r="E148" i="29" s="1"/>
  <c r="F148" i="29" s="1"/>
  <c r="E140" i="43"/>
  <c r="F140" i="43" s="1"/>
  <c r="H152" i="8"/>
  <c r="G152" i="8"/>
  <c r="I152" i="8" s="1"/>
  <c r="D153" i="8"/>
  <c r="E153" i="8" s="1"/>
  <c r="F153" i="8" s="1"/>
  <c r="E146" i="28"/>
  <c r="F146" i="28" s="1"/>
  <c r="G143" i="37" l="1"/>
  <c r="I143" i="37" s="1"/>
  <c r="D144" i="37"/>
  <c r="B144" i="37" s="1"/>
  <c r="E138" i="50"/>
  <c r="F138" i="50" s="1"/>
  <c r="D139" i="50" s="1"/>
  <c r="E144" i="41"/>
  <c r="F144" i="41" s="1"/>
  <c r="H144" i="41" s="1"/>
  <c r="B142" i="38"/>
  <c r="G138" i="50"/>
  <c r="H137" i="50"/>
  <c r="I137" i="50"/>
  <c r="E145" i="30"/>
  <c r="F145" i="30" s="1"/>
  <c r="H145" i="30" s="1"/>
  <c r="B141" i="42"/>
  <c r="H141" i="42"/>
  <c r="G140" i="42"/>
  <c r="I140" i="42" s="1"/>
  <c r="H140" i="42"/>
  <c r="F154" i="6"/>
  <c r="G154" i="6" s="1"/>
  <c r="I154" i="6" s="1"/>
  <c r="I155" i="6" s="1"/>
  <c r="B154" i="11"/>
  <c r="E154" i="11"/>
  <c r="G141" i="42"/>
  <c r="I141" i="42" s="1"/>
  <c r="E141" i="44"/>
  <c r="F141" i="44" s="1"/>
  <c r="H141" i="44" s="1"/>
  <c r="E140" i="46"/>
  <c r="F140" i="46" s="1"/>
  <c r="H140" i="46" s="1"/>
  <c r="G149" i="31"/>
  <c r="I149" i="31" s="1"/>
  <c r="H149" i="31"/>
  <c r="G140" i="44"/>
  <c r="I140" i="44" s="1"/>
  <c r="B149" i="31"/>
  <c r="G152" i="3"/>
  <c r="I152" i="3" s="1"/>
  <c r="J152" i="3" s="1"/>
  <c r="D153" i="3"/>
  <c r="E153" i="3" s="1"/>
  <c r="F153" i="3" s="1"/>
  <c r="H140" i="44"/>
  <c r="D144" i="39"/>
  <c r="B144" i="39" s="1"/>
  <c r="G143" i="39"/>
  <c r="I143" i="39" s="1"/>
  <c r="G154" i="4"/>
  <c r="I154" i="4" s="1"/>
  <c r="H154" i="4"/>
  <c r="H155" i="4" s="1"/>
  <c r="J147" i="29"/>
  <c r="J152" i="8"/>
  <c r="D154" i="22"/>
  <c r="E154" i="22" s="1"/>
  <c r="E155" i="22" s="1"/>
  <c r="G153" i="22"/>
  <c r="I153" i="22" s="1"/>
  <c r="B153" i="22"/>
  <c r="H153" i="22"/>
  <c r="G151" i="25"/>
  <c r="I151" i="25" s="1"/>
  <c r="H151" i="25"/>
  <c r="G142" i="40"/>
  <c r="I142" i="40" s="1"/>
  <c r="D143" i="40"/>
  <c r="H140" i="43"/>
  <c r="D141" i="43"/>
  <c r="B141" i="43" s="1"/>
  <c r="G140" i="43"/>
  <c r="I140" i="43" s="1"/>
  <c r="E152" i="25"/>
  <c r="F152" i="25" s="1"/>
  <c r="H152" i="25" s="1"/>
  <c r="B152" i="25"/>
  <c r="J154" i="5"/>
  <c r="J155" i="5" s="1"/>
  <c r="I155" i="5"/>
  <c r="B148" i="29"/>
  <c r="H148" i="29"/>
  <c r="D143" i="38"/>
  <c r="E143" i="38" s="1"/>
  <c r="F143" i="38" s="1"/>
  <c r="G142" i="38"/>
  <c r="I142" i="38" s="1"/>
  <c r="G153" i="8"/>
  <c r="I153" i="8" s="1"/>
  <c r="D154" i="8"/>
  <c r="E154" i="8" s="1"/>
  <c r="E155" i="8" s="1"/>
  <c r="H146" i="28"/>
  <c r="G146" i="28"/>
  <c r="I146" i="28" s="1"/>
  <c r="D147" i="28"/>
  <c r="B147" i="28" s="1"/>
  <c r="G150" i="23"/>
  <c r="I150" i="23" s="1"/>
  <c r="D151" i="23"/>
  <c r="B151" i="23" s="1"/>
  <c r="B142" i="40"/>
  <c r="H142" i="40"/>
  <c r="E150" i="31"/>
  <c r="F150" i="31" s="1"/>
  <c r="H150" i="31" s="1"/>
  <c r="B150" i="31"/>
  <c r="B142" i="42"/>
  <c r="G148" i="29"/>
  <c r="I148" i="29" s="1"/>
  <c r="D149" i="29"/>
  <c r="E149" i="29" s="1"/>
  <c r="F149" i="29" s="1"/>
  <c r="B153" i="8"/>
  <c r="H153" i="8"/>
  <c r="E142" i="42"/>
  <c r="F142" i="42" s="1"/>
  <c r="H142" i="42" s="1"/>
  <c r="H151" i="24"/>
  <c r="D152" i="24"/>
  <c r="E152" i="24" s="1"/>
  <c r="F152" i="24" s="1"/>
  <c r="G151" i="24"/>
  <c r="I151" i="24" s="1"/>
  <c r="H141" i="45"/>
  <c r="G141" i="45"/>
  <c r="I141" i="45" s="1"/>
  <c r="D142" i="45"/>
  <c r="E142" i="45" s="1"/>
  <c r="F142" i="45" s="1"/>
  <c r="H149" i="27"/>
  <c r="D150" i="27"/>
  <c r="B150" i="27" s="1"/>
  <c r="G149" i="27"/>
  <c r="I149" i="27" s="1"/>
  <c r="G144" i="41" l="1"/>
  <c r="I144" i="41" s="1"/>
  <c r="D145" i="41"/>
  <c r="B145" i="41" s="1"/>
  <c r="E144" i="37"/>
  <c r="F144" i="37" s="1"/>
  <c r="H144" i="37" s="1"/>
  <c r="D146" i="30"/>
  <c r="E146" i="30" s="1"/>
  <c r="F146" i="30" s="1"/>
  <c r="D147" i="30" s="1"/>
  <c r="H138" i="50"/>
  <c r="I138" i="50"/>
  <c r="E139" i="50"/>
  <c r="F139" i="50" s="1"/>
  <c r="B139" i="50"/>
  <c r="G145" i="30"/>
  <c r="I145" i="30" s="1"/>
  <c r="J145" i="30" s="1"/>
  <c r="G141" i="44"/>
  <c r="I141" i="44" s="1"/>
  <c r="E145" i="41"/>
  <c r="F145" i="41" s="1"/>
  <c r="H145" i="41" s="1"/>
  <c r="D142" i="44"/>
  <c r="E142" i="44" s="1"/>
  <c r="F142" i="44" s="1"/>
  <c r="H142" i="44" s="1"/>
  <c r="H154" i="6"/>
  <c r="H155" i="6" s="1"/>
  <c r="J149" i="31"/>
  <c r="D141" i="46"/>
  <c r="E141" i="46" s="1"/>
  <c r="F141" i="46" s="1"/>
  <c r="H141" i="46" s="1"/>
  <c r="E155" i="11"/>
  <c r="F154" i="11"/>
  <c r="G154" i="11" s="1"/>
  <c r="G140" i="46"/>
  <c r="I140" i="46" s="1"/>
  <c r="H146" i="30"/>
  <c r="D154" i="3"/>
  <c r="G153" i="3"/>
  <c r="I153" i="3" s="1"/>
  <c r="E144" i="39"/>
  <c r="F144" i="39" s="1"/>
  <c r="H144" i="39" s="1"/>
  <c r="B153" i="3"/>
  <c r="H153" i="3"/>
  <c r="E150" i="27"/>
  <c r="F150" i="27" s="1"/>
  <c r="D151" i="27" s="1"/>
  <c r="B154" i="22"/>
  <c r="F154" i="22"/>
  <c r="G154" i="22" s="1"/>
  <c r="I155" i="4"/>
  <c r="J154" i="4"/>
  <c r="J155" i="4" s="1"/>
  <c r="E141" i="43"/>
  <c r="F141" i="43" s="1"/>
  <c r="G141" i="43" s="1"/>
  <c r="I141" i="43" s="1"/>
  <c r="J149" i="27"/>
  <c r="J148" i="29"/>
  <c r="D150" i="29"/>
  <c r="B150" i="29" s="1"/>
  <c r="G149" i="29"/>
  <c r="I149" i="29" s="1"/>
  <c r="E147" i="28"/>
  <c r="F147" i="28" s="1"/>
  <c r="B149" i="29"/>
  <c r="H149" i="29"/>
  <c r="E151" i="23"/>
  <c r="F151" i="23" s="1"/>
  <c r="J146" i="28"/>
  <c r="G143" i="38"/>
  <c r="I143" i="38" s="1"/>
  <c r="D144" i="38"/>
  <c r="B152" i="24"/>
  <c r="H152" i="24"/>
  <c r="B143" i="38"/>
  <c r="H143" i="38"/>
  <c r="D143" i="42"/>
  <c r="E143" i="42" s="1"/>
  <c r="F143" i="42" s="1"/>
  <c r="G142" i="42"/>
  <c r="I142" i="42" s="1"/>
  <c r="B154" i="8"/>
  <c r="F154" i="8"/>
  <c r="G154" i="8" s="1"/>
  <c r="G144" i="37"/>
  <c r="I144" i="37" s="1"/>
  <c r="G152" i="25"/>
  <c r="I152" i="25" s="1"/>
  <c r="D153" i="25"/>
  <c r="G142" i="45"/>
  <c r="I142" i="45" s="1"/>
  <c r="D143" i="45"/>
  <c r="E143" i="45" s="1"/>
  <c r="F143" i="45" s="1"/>
  <c r="J153" i="8"/>
  <c r="E143" i="40"/>
  <c r="F143" i="40" s="1"/>
  <c r="H143" i="40" s="1"/>
  <c r="B143" i="40"/>
  <c r="D153" i="24"/>
  <c r="G152" i="24"/>
  <c r="I152" i="24" s="1"/>
  <c r="B142" i="45"/>
  <c r="H142" i="45"/>
  <c r="G150" i="31"/>
  <c r="I150" i="31" s="1"/>
  <c r="J150" i="31" s="1"/>
  <c r="D151" i="31"/>
  <c r="E151" i="31" s="1"/>
  <c r="F151" i="31" s="1"/>
  <c r="B146" i="30" l="1"/>
  <c r="G146" i="30"/>
  <c r="I146" i="30" s="1"/>
  <c r="D145" i="37"/>
  <c r="D146" i="41"/>
  <c r="B146" i="41" s="1"/>
  <c r="G145" i="41"/>
  <c r="I145" i="41" s="1"/>
  <c r="D140" i="50"/>
  <c r="G139" i="50"/>
  <c r="D143" i="44"/>
  <c r="B143" i="44" s="1"/>
  <c r="G142" i="44"/>
  <c r="I142" i="44" s="1"/>
  <c r="B142" i="44"/>
  <c r="B141" i="46"/>
  <c r="G141" i="46"/>
  <c r="I141" i="46" s="1"/>
  <c r="D142" i="46"/>
  <c r="B142" i="46" s="1"/>
  <c r="J154" i="6"/>
  <c r="J155" i="6" s="1"/>
  <c r="E146" i="41"/>
  <c r="F146" i="41" s="1"/>
  <c r="D147" i="41" s="1"/>
  <c r="E147" i="41" s="1"/>
  <c r="F147" i="41" s="1"/>
  <c r="H154" i="11"/>
  <c r="H155" i="11" s="1"/>
  <c r="I154" i="11"/>
  <c r="I155" i="11" s="1"/>
  <c r="D145" i="39"/>
  <c r="E145" i="39" s="1"/>
  <c r="F145" i="39" s="1"/>
  <c r="G144" i="39"/>
  <c r="I144" i="39" s="1"/>
  <c r="E147" i="30"/>
  <c r="F147" i="30" s="1"/>
  <c r="H147" i="30" s="1"/>
  <c r="B147" i="30"/>
  <c r="J146" i="30"/>
  <c r="J153" i="3"/>
  <c r="G150" i="27"/>
  <c r="I150" i="27" s="1"/>
  <c r="E154" i="3"/>
  <c r="E155" i="3" s="1"/>
  <c r="B154" i="3"/>
  <c r="H150" i="27"/>
  <c r="H141" i="43"/>
  <c r="D142" i="43"/>
  <c r="E142" i="43" s="1"/>
  <c r="F142" i="43" s="1"/>
  <c r="H142" i="43" s="1"/>
  <c r="E150" i="29"/>
  <c r="F150" i="29" s="1"/>
  <c r="H150" i="29" s="1"/>
  <c r="I154" i="22"/>
  <c r="I155" i="22" s="1"/>
  <c r="H154" i="22"/>
  <c r="H155" i="22" s="1"/>
  <c r="B153" i="24"/>
  <c r="E151" i="27"/>
  <c r="F151" i="27" s="1"/>
  <c r="H151" i="27" s="1"/>
  <c r="B151" i="27"/>
  <c r="B143" i="42"/>
  <c r="H143" i="42"/>
  <c r="E153" i="25"/>
  <c r="F153" i="25" s="1"/>
  <c r="H153" i="25" s="1"/>
  <c r="B153" i="25"/>
  <c r="E145" i="37"/>
  <c r="F145" i="37" s="1"/>
  <c r="B145" i="37"/>
  <c r="H151" i="23"/>
  <c r="G151" i="23"/>
  <c r="I151" i="23" s="1"/>
  <c r="D152" i="23"/>
  <c r="E152" i="23" s="1"/>
  <c r="F152" i="23" s="1"/>
  <c r="J149" i="29"/>
  <c r="G143" i="42"/>
  <c r="I143" i="42" s="1"/>
  <c r="D144" i="42"/>
  <c r="E144" i="38"/>
  <c r="F144" i="38" s="1"/>
  <c r="H144" i="38" s="1"/>
  <c r="B144" i="38"/>
  <c r="D152" i="31"/>
  <c r="G151" i="31"/>
  <c r="I151" i="31" s="1"/>
  <c r="G143" i="45"/>
  <c r="I143" i="45" s="1"/>
  <c r="D144" i="45"/>
  <c r="E144" i="45" s="1"/>
  <c r="F144" i="45" s="1"/>
  <c r="D144" i="40"/>
  <c r="B144" i="40" s="1"/>
  <c r="G143" i="40"/>
  <c r="I143" i="40" s="1"/>
  <c r="B151" i="31"/>
  <c r="H151" i="31"/>
  <c r="E153" i="24"/>
  <c r="F153" i="24" s="1"/>
  <c r="B143" i="45"/>
  <c r="H143" i="45"/>
  <c r="H154" i="8"/>
  <c r="H155" i="8" s="1"/>
  <c r="I154" i="8"/>
  <c r="H147" i="28"/>
  <c r="G147" i="28"/>
  <c r="I147" i="28" s="1"/>
  <c r="D148" i="28"/>
  <c r="B148" i="28" s="1"/>
  <c r="E143" i="44" l="1"/>
  <c r="F143" i="44" s="1"/>
  <c r="G143" i="44" s="1"/>
  <c r="I143" i="44" s="1"/>
  <c r="H139" i="50"/>
  <c r="I139" i="50"/>
  <c r="E140" i="50"/>
  <c r="B140" i="50"/>
  <c r="F140" i="50"/>
  <c r="E142" i="46"/>
  <c r="F142" i="46" s="1"/>
  <c r="G142" i="46" s="1"/>
  <c r="I142" i="46" s="1"/>
  <c r="B145" i="39"/>
  <c r="G146" i="41"/>
  <c r="I146" i="41" s="1"/>
  <c r="H146" i="41"/>
  <c r="B147" i="41"/>
  <c r="F154" i="3"/>
  <c r="G154" i="3" s="1"/>
  <c r="I154" i="3" s="1"/>
  <c r="J150" i="27"/>
  <c r="D148" i="30"/>
  <c r="E148" i="30" s="1"/>
  <c r="F148" i="30" s="1"/>
  <c r="G147" i="30"/>
  <c r="I147" i="30" s="1"/>
  <c r="J147" i="30" s="1"/>
  <c r="H143" i="44"/>
  <c r="D144" i="44"/>
  <c r="E144" i="44" s="1"/>
  <c r="F144" i="44" s="1"/>
  <c r="H144" i="44" s="1"/>
  <c r="B142" i="43"/>
  <c r="G145" i="39"/>
  <c r="I145" i="39" s="1"/>
  <c r="D146" i="39"/>
  <c r="B146" i="39" s="1"/>
  <c r="H145" i="39"/>
  <c r="D151" i="29"/>
  <c r="E151" i="29" s="1"/>
  <c r="F151" i="29" s="1"/>
  <c r="H151" i="29" s="1"/>
  <c r="G150" i="29"/>
  <c r="I150" i="29" s="1"/>
  <c r="J150" i="29" s="1"/>
  <c r="E148" i="28"/>
  <c r="F148" i="28" s="1"/>
  <c r="H148" i="28" s="1"/>
  <c r="J151" i="31"/>
  <c r="J147" i="28"/>
  <c r="G152" i="23"/>
  <c r="I152" i="23" s="1"/>
  <c r="D153" i="23"/>
  <c r="E153" i="23" s="1"/>
  <c r="F153" i="23" s="1"/>
  <c r="G153" i="25"/>
  <c r="I153" i="25" s="1"/>
  <c r="D154" i="25"/>
  <c r="B152" i="23"/>
  <c r="H152" i="23"/>
  <c r="D148" i="41"/>
  <c r="G147" i="41"/>
  <c r="I147" i="41" s="1"/>
  <c r="G153" i="24"/>
  <c r="I153" i="24" s="1"/>
  <c r="D154" i="24"/>
  <c r="E154" i="24" s="1"/>
  <c r="E155" i="24" s="1"/>
  <c r="G142" i="43"/>
  <c r="I142" i="43" s="1"/>
  <c r="D143" i="43"/>
  <c r="E143" i="43" s="1"/>
  <c r="F143" i="43" s="1"/>
  <c r="G144" i="38"/>
  <c r="I144" i="38" s="1"/>
  <c r="D145" i="38"/>
  <c r="B152" i="31"/>
  <c r="H147" i="41"/>
  <c r="D152" i="27"/>
  <c r="E152" i="27" s="1"/>
  <c r="F152" i="27" s="1"/>
  <c r="G151" i="27"/>
  <c r="I151" i="27" s="1"/>
  <c r="J151" i="27" s="1"/>
  <c r="D145" i="45"/>
  <c r="B145" i="45" s="1"/>
  <c r="G144" i="45"/>
  <c r="I144" i="45" s="1"/>
  <c r="B144" i="45"/>
  <c r="H144" i="45"/>
  <c r="E144" i="40"/>
  <c r="F144" i="40" s="1"/>
  <c r="H153" i="24"/>
  <c r="J154" i="8"/>
  <c r="J155" i="8" s="1"/>
  <c r="I155" i="8"/>
  <c r="E152" i="31"/>
  <c r="F152" i="31" s="1"/>
  <c r="E144" i="42"/>
  <c r="F144" i="42" s="1"/>
  <c r="B144" i="42"/>
  <c r="H145" i="37"/>
  <c r="D146" i="37"/>
  <c r="G145" i="37"/>
  <c r="I145" i="37" s="1"/>
  <c r="D143" i="46" l="1"/>
  <c r="E143" i="46" s="1"/>
  <c r="F143" i="46" s="1"/>
  <c r="D144" i="46" s="1"/>
  <c r="E144" i="46" s="1"/>
  <c r="F144" i="46" s="1"/>
  <c r="D141" i="50"/>
  <c r="G140" i="50"/>
  <c r="H142" i="46"/>
  <c r="H154" i="3"/>
  <c r="H155" i="3" s="1"/>
  <c r="B144" i="44"/>
  <c r="D149" i="30"/>
  <c r="G148" i="30"/>
  <c r="I148" i="30" s="1"/>
  <c r="B148" i="30"/>
  <c r="H148" i="30"/>
  <c r="I155" i="3"/>
  <c r="E146" i="39"/>
  <c r="F146" i="39" s="1"/>
  <c r="G146" i="39" s="1"/>
  <c r="I146" i="39" s="1"/>
  <c r="B151" i="29"/>
  <c r="D149" i="28"/>
  <c r="B149" i="28" s="1"/>
  <c r="G148" i="28"/>
  <c r="I148" i="28" s="1"/>
  <c r="J148" i="28" s="1"/>
  <c r="G152" i="27"/>
  <c r="I152" i="27" s="1"/>
  <c r="D153" i="27"/>
  <c r="B153" i="27" s="1"/>
  <c r="D154" i="23"/>
  <c r="G153" i="23"/>
  <c r="I153" i="23" s="1"/>
  <c r="H144" i="42"/>
  <c r="G144" i="42"/>
  <c r="I144" i="42" s="1"/>
  <c r="D145" i="42"/>
  <c r="B145" i="42" s="1"/>
  <c r="G152" i="31"/>
  <c r="I152" i="31" s="1"/>
  <c r="D153" i="31"/>
  <c r="G144" i="44"/>
  <c r="I144" i="44" s="1"/>
  <c r="D145" i="44"/>
  <c r="E145" i="44" s="1"/>
  <c r="F145" i="44" s="1"/>
  <c r="H152" i="31"/>
  <c r="B154" i="24"/>
  <c r="F154" i="24"/>
  <c r="G154" i="24" s="1"/>
  <c r="G151" i="29"/>
  <c r="I151" i="29" s="1"/>
  <c r="J151" i="29" s="1"/>
  <c r="D152" i="29"/>
  <c r="B152" i="29" s="1"/>
  <c r="G143" i="46"/>
  <c r="I143" i="46" s="1"/>
  <c r="G143" i="43"/>
  <c r="I143" i="43" s="1"/>
  <c r="D144" i="43"/>
  <c r="B144" i="43" s="1"/>
  <c r="E145" i="45"/>
  <c r="F145" i="45" s="1"/>
  <c r="E145" i="38"/>
  <c r="F145" i="38" s="1"/>
  <c r="H145" i="38" s="1"/>
  <c r="B145" i="38"/>
  <c r="B153" i="23"/>
  <c r="H153" i="23"/>
  <c r="B143" i="43"/>
  <c r="H143" i="43"/>
  <c r="E146" i="37"/>
  <c r="F146" i="37" s="1"/>
  <c r="H146" i="37" s="1"/>
  <c r="B146" i="37"/>
  <c r="H144" i="40"/>
  <c r="G144" i="40"/>
  <c r="I144" i="40" s="1"/>
  <c r="D145" i="40"/>
  <c r="B145" i="40" s="1"/>
  <c r="B152" i="27"/>
  <c r="H152" i="27"/>
  <c r="E148" i="41"/>
  <c r="F148" i="41" s="1"/>
  <c r="H148" i="41" s="1"/>
  <c r="B148" i="41"/>
  <c r="E154" i="25"/>
  <c r="E155" i="25" s="1"/>
  <c r="B154" i="25"/>
  <c r="H143" i="46" l="1"/>
  <c r="B143" i="46"/>
  <c r="J154" i="3"/>
  <c r="J155" i="3" s="1"/>
  <c r="H140" i="50"/>
  <c r="I140" i="50"/>
  <c r="E141" i="50"/>
  <c r="F141" i="50" s="1"/>
  <c r="B141" i="50"/>
  <c r="H146" i="39"/>
  <c r="B149" i="30"/>
  <c r="E149" i="30"/>
  <c r="F149" i="30" s="1"/>
  <c r="J148" i="30"/>
  <c r="D147" i="39"/>
  <c r="B147" i="39" s="1"/>
  <c r="E149" i="28"/>
  <c r="F149" i="28" s="1"/>
  <c r="D150" i="28" s="1"/>
  <c r="E150" i="28" s="1"/>
  <c r="F150" i="28" s="1"/>
  <c r="D151" i="28" s="1"/>
  <c r="E151" i="28" s="1"/>
  <c r="F151" i="28" s="1"/>
  <c r="F154" i="25"/>
  <c r="G154" i="25" s="1"/>
  <c r="I154" i="25" s="1"/>
  <c r="I155" i="25" s="1"/>
  <c r="E152" i="29"/>
  <c r="F152" i="29" s="1"/>
  <c r="H152" i="29" s="1"/>
  <c r="E153" i="27"/>
  <c r="F153" i="27" s="1"/>
  <c r="D154" i="27" s="1"/>
  <c r="E145" i="40"/>
  <c r="F145" i="40" s="1"/>
  <c r="H145" i="40" s="1"/>
  <c r="J152" i="31"/>
  <c r="D145" i="46"/>
  <c r="E145" i="46" s="1"/>
  <c r="F145" i="46" s="1"/>
  <c r="G144" i="46"/>
  <c r="I144" i="46" s="1"/>
  <c r="E154" i="23"/>
  <c r="E155" i="23" s="1"/>
  <c r="B154" i="23"/>
  <c r="B144" i="46"/>
  <c r="H144" i="46"/>
  <c r="I154" i="24"/>
  <c r="I155" i="24" s="1"/>
  <c r="H154" i="24"/>
  <c r="H155" i="24" s="1"/>
  <c r="E153" i="31"/>
  <c r="F153" i="31" s="1"/>
  <c r="H153" i="31" s="1"/>
  <c r="B153" i="31"/>
  <c r="G145" i="44"/>
  <c r="I145" i="44" s="1"/>
  <c r="D146" i="44"/>
  <c r="G148" i="41"/>
  <c r="I148" i="41" s="1"/>
  <c r="D149" i="41"/>
  <c r="G145" i="38"/>
  <c r="I145" i="38" s="1"/>
  <c r="D146" i="38"/>
  <c r="B146" i="38" s="1"/>
  <c r="B145" i="44"/>
  <c r="H145" i="44"/>
  <c r="G146" i="37"/>
  <c r="I146" i="37" s="1"/>
  <c r="D147" i="37"/>
  <c r="E147" i="37" s="1"/>
  <c r="F147" i="37" s="1"/>
  <c r="H145" i="45"/>
  <c r="D146" i="45"/>
  <c r="G145" i="45"/>
  <c r="I145" i="45" s="1"/>
  <c r="E144" i="43"/>
  <c r="F144" i="43" s="1"/>
  <c r="E145" i="42"/>
  <c r="F145" i="42" s="1"/>
  <c r="J152" i="27"/>
  <c r="D142" i="50" l="1"/>
  <c r="G141" i="50"/>
  <c r="H149" i="28"/>
  <c r="D150" i="30"/>
  <c r="G149" i="30"/>
  <c r="I149" i="30" s="1"/>
  <c r="H149" i="30"/>
  <c r="H150" i="28"/>
  <c r="G149" i="28"/>
  <c r="I149" i="28" s="1"/>
  <c r="E147" i="39"/>
  <c r="F147" i="39" s="1"/>
  <c r="G147" i="39" s="1"/>
  <c r="I147" i="39" s="1"/>
  <c r="G150" i="28"/>
  <c r="I150" i="28" s="1"/>
  <c r="G152" i="29"/>
  <c r="I152" i="29" s="1"/>
  <c r="J152" i="29" s="1"/>
  <c r="B150" i="28"/>
  <c r="H154" i="25"/>
  <c r="H155" i="25" s="1"/>
  <c r="D153" i="29"/>
  <c r="B153" i="29" s="1"/>
  <c r="G153" i="27"/>
  <c r="I153" i="27" s="1"/>
  <c r="G145" i="40"/>
  <c r="I145" i="40" s="1"/>
  <c r="D146" i="40"/>
  <c r="B146" i="40" s="1"/>
  <c r="F154" i="23"/>
  <c r="G154" i="23" s="1"/>
  <c r="H154" i="23" s="1"/>
  <c r="H155" i="23" s="1"/>
  <c r="G147" i="37"/>
  <c r="I147" i="37" s="1"/>
  <c r="D148" i="37"/>
  <c r="B148" i="37" s="1"/>
  <c r="E149" i="41"/>
  <c r="F149" i="41" s="1"/>
  <c r="B149" i="41"/>
  <c r="E146" i="44"/>
  <c r="F146" i="44" s="1"/>
  <c r="H146" i="44" s="1"/>
  <c r="B146" i="44"/>
  <c r="B147" i="37"/>
  <c r="H147" i="37"/>
  <c r="B154" i="27"/>
  <c r="H145" i="42"/>
  <c r="G145" i="42"/>
  <c r="I145" i="42" s="1"/>
  <c r="D146" i="42"/>
  <c r="B146" i="42" s="1"/>
  <c r="D146" i="46"/>
  <c r="B146" i="46" s="1"/>
  <c r="G145" i="46"/>
  <c r="I145" i="46" s="1"/>
  <c r="H144" i="43"/>
  <c r="D145" i="43"/>
  <c r="G144" i="43"/>
  <c r="I144" i="43" s="1"/>
  <c r="B151" i="28"/>
  <c r="H151" i="28"/>
  <c r="B145" i="46"/>
  <c r="H145" i="46"/>
  <c r="E146" i="38"/>
  <c r="F146" i="38" s="1"/>
  <c r="E154" i="27"/>
  <c r="E155" i="27" s="1"/>
  <c r="D152" i="28"/>
  <c r="E152" i="28" s="1"/>
  <c r="F152" i="28" s="1"/>
  <c r="G151" i="28"/>
  <c r="I151" i="28" s="1"/>
  <c r="D154" i="31"/>
  <c r="G153" i="31"/>
  <c r="I153" i="31" s="1"/>
  <c r="J153" i="31" s="1"/>
  <c r="E146" i="45"/>
  <c r="F146" i="45" s="1"/>
  <c r="H146" i="45" s="1"/>
  <c r="B146" i="45"/>
  <c r="H141" i="50" l="1"/>
  <c r="I141" i="50"/>
  <c r="E142" i="50"/>
  <c r="F142" i="50" s="1"/>
  <c r="B142" i="50"/>
  <c r="J149" i="28"/>
  <c r="J150" i="28"/>
  <c r="J149" i="30"/>
  <c r="D148" i="39"/>
  <c r="E148" i="39" s="1"/>
  <c r="F148" i="39" s="1"/>
  <c r="E150" i="30"/>
  <c r="F150" i="30" s="1"/>
  <c r="H150" i="30" s="1"/>
  <c r="B150" i="30"/>
  <c r="E146" i="40"/>
  <c r="F146" i="40" s="1"/>
  <c r="G146" i="40" s="1"/>
  <c r="I146" i="40" s="1"/>
  <c r="H147" i="39"/>
  <c r="E146" i="46"/>
  <c r="F146" i="46" s="1"/>
  <c r="H146" i="46" s="1"/>
  <c r="H153" i="27"/>
  <c r="J153" i="27" s="1"/>
  <c r="E153" i="29"/>
  <c r="F153" i="29" s="1"/>
  <c r="I154" i="23"/>
  <c r="I155" i="23" s="1"/>
  <c r="E148" i="37"/>
  <c r="F148" i="37" s="1"/>
  <c r="H148" i="37" s="1"/>
  <c r="J151" i="28"/>
  <c r="E146" i="42"/>
  <c r="F146" i="42" s="1"/>
  <c r="G146" i="42" s="1"/>
  <c r="I146" i="42" s="1"/>
  <c r="D147" i="45"/>
  <c r="G146" i="45"/>
  <c r="I146" i="45" s="1"/>
  <c r="F154" i="27"/>
  <c r="G154" i="27" s="1"/>
  <c r="G146" i="44"/>
  <c r="I146" i="44" s="1"/>
  <c r="D147" i="44"/>
  <c r="B147" i="44" s="1"/>
  <c r="B145" i="43"/>
  <c r="E154" i="31"/>
  <c r="E155" i="31" s="1"/>
  <c r="B154" i="31"/>
  <c r="H146" i="38"/>
  <c r="D147" i="38"/>
  <c r="B147" i="38" s="1"/>
  <c r="G146" i="38"/>
  <c r="I146" i="38" s="1"/>
  <c r="H149" i="41"/>
  <c r="D150" i="41"/>
  <c r="E150" i="41" s="1"/>
  <c r="F150" i="41" s="1"/>
  <c r="G149" i="41"/>
  <c r="I149" i="41" s="1"/>
  <c r="D153" i="28"/>
  <c r="B153" i="28" s="1"/>
  <c r="G152" i="28"/>
  <c r="I152" i="28" s="1"/>
  <c r="B152" i="28"/>
  <c r="H152" i="28"/>
  <c r="E145" i="43"/>
  <c r="F145" i="43" s="1"/>
  <c r="H145" i="43" s="1"/>
  <c r="D143" i="50" l="1"/>
  <c r="G142" i="50"/>
  <c r="B148" i="39"/>
  <c r="D147" i="40"/>
  <c r="E147" i="40" s="1"/>
  <c r="F147" i="40" s="1"/>
  <c r="D148" i="40" s="1"/>
  <c r="H146" i="40"/>
  <c r="H148" i="39"/>
  <c r="G146" i="46"/>
  <c r="I146" i="46" s="1"/>
  <c r="D151" i="30"/>
  <c r="E151" i="30" s="1"/>
  <c r="F151" i="30" s="1"/>
  <c r="G150" i="30"/>
  <c r="I150" i="30" s="1"/>
  <c r="J150" i="30" s="1"/>
  <c r="D147" i="46"/>
  <c r="B147" i="46" s="1"/>
  <c r="H153" i="29"/>
  <c r="D154" i="29"/>
  <c r="G153" i="29"/>
  <c r="I153" i="29" s="1"/>
  <c r="D149" i="39"/>
  <c r="B149" i="39" s="1"/>
  <c r="G148" i="39"/>
  <c r="I148" i="39" s="1"/>
  <c r="D149" i="37"/>
  <c r="E149" i="37" s="1"/>
  <c r="F149" i="37" s="1"/>
  <c r="G149" i="37" s="1"/>
  <c r="I149" i="37" s="1"/>
  <c r="G148" i="37"/>
  <c r="I148" i="37" s="1"/>
  <c r="H146" i="42"/>
  <c r="D147" i="42"/>
  <c r="E147" i="42" s="1"/>
  <c r="F147" i="42" s="1"/>
  <c r="G147" i="42" s="1"/>
  <c r="I147" i="42" s="1"/>
  <c r="J152" i="28"/>
  <c r="E153" i="28"/>
  <c r="F153" i="28" s="1"/>
  <c r="H153" i="28" s="1"/>
  <c r="F154" i="31"/>
  <c r="G154" i="31" s="1"/>
  <c r="H154" i="31" s="1"/>
  <c r="H155" i="31" s="1"/>
  <c r="E147" i="44"/>
  <c r="F147" i="44" s="1"/>
  <c r="D148" i="44" s="1"/>
  <c r="B150" i="41"/>
  <c r="H150" i="41"/>
  <c r="H154" i="27"/>
  <c r="H155" i="27" s="1"/>
  <c r="I154" i="27"/>
  <c r="G150" i="41"/>
  <c r="I150" i="41" s="1"/>
  <c r="D151" i="41"/>
  <c r="E147" i="38"/>
  <c r="F147" i="38" s="1"/>
  <c r="G147" i="40"/>
  <c r="I147" i="40" s="1"/>
  <c r="D146" i="43"/>
  <c r="E146" i="43" s="1"/>
  <c r="F146" i="43" s="1"/>
  <c r="G145" i="43"/>
  <c r="I145" i="43" s="1"/>
  <c r="E147" i="45"/>
  <c r="F147" i="45" s="1"/>
  <c r="H147" i="45" s="1"/>
  <c r="B147" i="45"/>
  <c r="B147" i="40" l="1"/>
  <c r="H142" i="50"/>
  <c r="I142" i="50"/>
  <c r="E143" i="50"/>
  <c r="B143" i="50"/>
  <c r="F143" i="50"/>
  <c r="H147" i="40"/>
  <c r="E147" i="46"/>
  <c r="F147" i="46" s="1"/>
  <c r="H147" i="46" s="1"/>
  <c r="E149" i="39"/>
  <c r="F149" i="39" s="1"/>
  <c r="D150" i="39" s="1"/>
  <c r="E150" i="39" s="1"/>
  <c r="F150" i="39" s="1"/>
  <c r="D148" i="42"/>
  <c r="E148" i="42" s="1"/>
  <c r="F148" i="42" s="1"/>
  <c r="D149" i="42" s="1"/>
  <c r="B149" i="42" s="1"/>
  <c r="D152" i="30"/>
  <c r="E152" i="30" s="1"/>
  <c r="F152" i="30" s="1"/>
  <c r="G151" i="30"/>
  <c r="I151" i="30" s="1"/>
  <c r="B151" i="30"/>
  <c r="H151" i="30"/>
  <c r="J153" i="29"/>
  <c r="D150" i="37"/>
  <c r="B150" i="37" s="1"/>
  <c r="H149" i="37"/>
  <c r="B149" i="37"/>
  <c r="B154" i="29"/>
  <c r="E154" i="29"/>
  <c r="B147" i="42"/>
  <c r="G153" i="28"/>
  <c r="I153" i="28" s="1"/>
  <c r="J153" i="28" s="1"/>
  <c r="D154" i="28"/>
  <c r="E154" i="28" s="1"/>
  <c r="E155" i="28" s="1"/>
  <c r="G147" i="44"/>
  <c r="I147" i="44" s="1"/>
  <c r="H147" i="44"/>
  <c r="I154" i="31"/>
  <c r="I155" i="31" s="1"/>
  <c r="H147" i="42"/>
  <c r="E148" i="40"/>
  <c r="F148" i="40" s="1"/>
  <c r="H148" i="40" s="1"/>
  <c r="B148" i="40"/>
  <c r="H147" i="38"/>
  <c r="D148" i="38"/>
  <c r="E148" i="38" s="1"/>
  <c r="F148" i="38" s="1"/>
  <c r="G147" i="38"/>
  <c r="I147" i="38" s="1"/>
  <c r="E151" i="41"/>
  <c r="F151" i="41" s="1"/>
  <c r="H151" i="41" s="1"/>
  <c r="B151" i="41"/>
  <c r="E148" i="44"/>
  <c r="F148" i="44" s="1"/>
  <c r="H148" i="44" s="1"/>
  <c r="B148" i="44"/>
  <c r="D148" i="45"/>
  <c r="G147" i="45"/>
  <c r="I147" i="45" s="1"/>
  <c r="J154" i="27"/>
  <c r="J155" i="27" s="1"/>
  <c r="I155" i="27"/>
  <c r="G146" i="43"/>
  <c r="I146" i="43" s="1"/>
  <c r="D147" i="43"/>
  <c r="E147" i="43" s="1"/>
  <c r="F147" i="43" s="1"/>
  <c r="B146" i="43"/>
  <c r="H146" i="43"/>
  <c r="H149" i="39" l="1"/>
  <c r="D144" i="50"/>
  <c r="G143" i="50"/>
  <c r="H148" i="42"/>
  <c r="G148" i="42"/>
  <c r="I148" i="42" s="1"/>
  <c r="G149" i="39"/>
  <c r="I149" i="39" s="1"/>
  <c r="B148" i="42"/>
  <c r="G147" i="46"/>
  <c r="I147" i="46" s="1"/>
  <c r="D153" i="30"/>
  <c r="G152" i="30"/>
  <c r="I152" i="30" s="1"/>
  <c r="J151" i="30"/>
  <c r="D148" i="46"/>
  <c r="B148" i="46" s="1"/>
  <c r="B152" i="30"/>
  <c r="H152" i="30"/>
  <c r="E150" i="37"/>
  <c r="F150" i="37" s="1"/>
  <c r="H150" i="37" s="1"/>
  <c r="E155" i="29"/>
  <c r="F154" i="29"/>
  <c r="G154" i="29" s="1"/>
  <c r="G150" i="39"/>
  <c r="I150" i="39" s="1"/>
  <c r="D151" i="39"/>
  <c r="E151" i="39" s="1"/>
  <c r="F151" i="39" s="1"/>
  <c r="B150" i="39"/>
  <c r="H150" i="39"/>
  <c r="B154" i="28"/>
  <c r="F154" i="28"/>
  <c r="G154" i="28" s="1"/>
  <c r="H154" i="28" s="1"/>
  <c r="H155" i="28" s="1"/>
  <c r="J154" i="31"/>
  <c r="J155" i="31" s="1"/>
  <c r="E149" i="42"/>
  <c r="F149" i="42" s="1"/>
  <c r="H149" i="42" s="1"/>
  <c r="B148" i="38"/>
  <c r="H148" i="38"/>
  <c r="B148" i="45"/>
  <c r="G151" i="41"/>
  <c r="I151" i="41" s="1"/>
  <c r="D152" i="41"/>
  <c r="B152" i="41" s="1"/>
  <c r="D148" i="43"/>
  <c r="E148" i="43" s="1"/>
  <c r="F148" i="43" s="1"/>
  <c r="G147" i="43"/>
  <c r="I147" i="43" s="1"/>
  <c r="D149" i="38"/>
  <c r="G148" i="38"/>
  <c r="I148" i="38" s="1"/>
  <c r="B147" i="43"/>
  <c r="H147" i="43"/>
  <c r="E148" i="45"/>
  <c r="F148" i="45" s="1"/>
  <c r="H148" i="45" s="1"/>
  <c r="D149" i="44"/>
  <c r="B149" i="44" s="1"/>
  <c r="G148" i="44"/>
  <c r="I148" i="44" s="1"/>
  <c r="D149" i="40"/>
  <c r="B149" i="40" s="1"/>
  <c r="G148" i="40"/>
  <c r="I148" i="40" s="1"/>
  <c r="H143" i="50" l="1"/>
  <c r="I143" i="50"/>
  <c r="E144" i="50"/>
  <c r="F144" i="50" s="1"/>
  <c r="B144" i="50"/>
  <c r="E148" i="46"/>
  <c r="F148" i="46" s="1"/>
  <c r="H148" i="46" s="1"/>
  <c r="J152" i="30"/>
  <c r="E153" i="30"/>
  <c r="F153" i="30" s="1"/>
  <c r="H153" i="30" s="1"/>
  <c r="B153" i="30"/>
  <c r="I154" i="28"/>
  <c r="J154" i="28" s="1"/>
  <c r="J155" i="28" s="1"/>
  <c r="D151" i="37"/>
  <c r="E151" i="37" s="1"/>
  <c r="F151" i="37" s="1"/>
  <c r="H151" i="37" s="1"/>
  <c r="G150" i="37"/>
  <c r="I150" i="37" s="1"/>
  <c r="I154" i="29"/>
  <c r="H154" i="29"/>
  <c r="H155" i="29" s="1"/>
  <c r="G151" i="39"/>
  <c r="I151" i="39" s="1"/>
  <c r="D152" i="39"/>
  <c r="B151" i="39"/>
  <c r="H151" i="39"/>
  <c r="G149" i="42"/>
  <c r="I149" i="42" s="1"/>
  <c r="D150" i="42"/>
  <c r="E150" i="42" s="1"/>
  <c r="F150" i="42" s="1"/>
  <c r="G150" i="42" s="1"/>
  <c r="I150" i="42" s="1"/>
  <c r="E152" i="41"/>
  <c r="F152" i="41" s="1"/>
  <c r="D153" i="41" s="1"/>
  <c r="B153" i="41" s="1"/>
  <c r="E149" i="40"/>
  <c r="F149" i="40" s="1"/>
  <c r="G149" i="40" s="1"/>
  <c r="I149" i="40" s="1"/>
  <c r="G148" i="43"/>
  <c r="I148" i="43" s="1"/>
  <c r="D149" i="43"/>
  <c r="E149" i="43" s="1"/>
  <c r="F149" i="43" s="1"/>
  <c r="B149" i="38"/>
  <c r="D149" i="45"/>
  <c r="E149" i="45" s="1"/>
  <c r="F149" i="45" s="1"/>
  <c r="G148" i="45"/>
  <c r="I148" i="45" s="1"/>
  <c r="E149" i="38"/>
  <c r="F149" i="38" s="1"/>
  <c r="H149" i="38" s="1"/>
  <c r="B148" i="43"/>
  <c r="H148" i="43"/>
  <c r="E149" i="44"/>
  <c r="F149" i="44" s="1"/>
  <c r="D149" i="46" l="1"/>
  <c r="B149" i="46" s="1"/>
  <c r="D145" i="50"/>
  <c r="G144" i="50"/>
  <c r="G148" i="46"/>
  <c r="I148" i="46" s="1"/>
  <c r="I155" i="28"/>
  <c r="B151" i="37"/>
  <c r="D154" i="30"/>
  <c r="G153" i="30"/>
  <c r="I153" i="30" s="1"/>
  <c r="J153" i="30" s="1"/>
  <c r="G151" i="37"/>
  <c r="I151" i="37" s="1"/>
  <c r="D152" i="37"/>
  <c r="B152" i="37" s="1"/>
  <c r="I155" i="29"/>
  <c r="J154" i="29"/>
  <c r="J155" i="29" s="1"/>
  <c r="G152" i="41"/>
  <c r="I152" i="41" s="1"/>
  <c r="H152" i="41"/>
  <c r="B150" i="42"/>
  <c r="D151" i="42"/>
  <c r="B151" i="42" s="1"/>
  <c r="B152" i="39"/>
  <c r="E152" i="39"/>
  <c r="F152" i="39" s="1"/>
  <c r="D150" i="40"/>
  <c r="B150" i="40" s="1"/>
  <c r="H150" i="42"/>
  <c r="H149" i="40"/>
  <c r="B149" i="45"/>
  <c r="H149" i="45"/>
  <c r="D150" i="45"/>
  <c r="G149" i="45"/>
  <c r="I149" i="45" s="1"/>
  <c r="H149" i="44"/>
  <c r="G149" i="44"/>
  <c r="I149" i="44" s="1"/>
  <c r="D150" i="44"/>
  <c r="B150" i="44" s="1"/>
  <c r="G149" i="38"/>
  <c r="I149" i="38" s="1"/>
  <c r="D150" i="38"/>
  <c r="E150" i="38" s="1"/>
  <c r="F150" i="38" s="1"/>
  <c r="G149" i="43"/>
  <c r="I149" i="43" s="1"/>
  <c r="D150" i="43"/>
  <c r="E153" i="41"/>
  <c r="F153" i="41" s="1"/>
  <c r="B149" i="43"/>
  <c r="H149" i="43"/>
  <c r="E149" i="46" l="1"/>
  <c r="F149" i="46" s="1"/>
  <c r="H149" i="46" s="1"/>
  <c r="H144" i="50"/>
  <c r="I144" i="50"/>
  <c r="E145" i="50"/>
  <c r="B145" i="50"/>
  <c r="F145" i="50"/>
  <c r="E152" i="37"/>
  <c r="F152" i="37" s="1"/>
  <c r="H152" i="37" s="1"/>
  <c r="E154" i="30"/>
  <c r="E155" i="30" s="1"/>
  <c r="B154" i="30"/>
  <c r="E151" i="42"/>
  <c r="F151" i="42" s="1"/>
  <c r="H152" i="39"/>
  <c r="D153" i="39"/>
  <c r="B153" i="39" s="1"/>
  <c r="G152" i="39"/>
  <c r="I152" i="39" s="1"/>
  <c r="E150" i="40"/>
  <c r="F150" i="40" s="1"/>
  <c r="H150" i="40" s="1"/>
  <c r="E150" i="44"/>
  <c r="F150" i="44" s="1"/>
  <c r="H150" i="44" s="1"/>
  <c r="D151" i="38"/>
  <c r="E151" i="38" s="1"/>
  <c r="F151" i="38" s="1"/>
  <c r="G150" i="38"/>
  <c r="I150" i="38" s="1"/>
  <c r="B150" i="38"/>
  <c r="H150" i="38"/>
  <c r="H153" i="41"/>
  <c r="G153" i="41"/>
  <c r="I153" i="41" s="1"/>
  <c r="D154" i="41"/>
  <c r="E150" i="43"/>
  <c r="F150" i="43" s="1"/>
  <c r="B150" i="43"/>
  <c r="E150" i="45"/>
  <c r="F150" i="45" s="1"/>
  <c r="H150" i="45" s="1"/>
  <c r="B150" i="45"/>
  <c r="G149" i="46" l="1"/>
  <c r="I149" i="46" s="1"/>
  <c r="D150" i="46"/>
  <c r="B150" i="46" s="1"/>
  <c r="G145" i="50"/>
  <c r="D146" i="50"/>
  <c r="B146" i="50" s="1"/>
  <c r="D153" i="37"/>
  <c r="B153" i="37" s="1"/>
  <c r="G152" i="37"/>
  <c r="I152" i="37" s="1"/>
  <c r="F154" i="30"/>
  <c r="G154" i="30" s="1"/>
  <c r="I154" i="30" s="1"/>
  <c r="G150" i="40"/>
  <c r="I150" i="40" s="1"/>
  <c r="D151" i="40"/>
  <c r="B151" i="40" s="1"/>
  <c r="E153" i="39"/>
  <c r="F153" i="39" s="1"/>
  <c r="G151" i="42"/>
  <c r="I151" i="42" s="1"/>
  <c r="H151" i="42"/>
  <c r="D152" i="42"/>
  <c r="D151" i="44"/>
  <c r="B151" i="44" s="1"/>
  <c r="G150" i="44"/>
  <c r="I150" i="44" s="1"/>
  <c r="E150" i="46"/>
  <c r="F150" i="46" s="1"/>
  <c r="E154" i="41"/>
  <c r="E155" i="41" s="1"/>
  <c r="B154" i="41"/>
  <c r="D152" i="38"/>
  <c r="G151" i="38"/>
  <c r="I151" i="38" s="1"/>
  <c r="D151" i="43"/>
  <c r="E151" i="43" s="1"/>
  <c r="F151" i="43" s="1"/>
  <c r="G150" i="43"/>
  <c r="I150" i="43" s="1"/>
  <c r="G150" i="45"/>
  <c r="I150" i="45" s="1"/>
  <c r="D151" i="45"/>
  <c r="B151" i="45" s="1"/>
  <c r="H150" i="43"/>
  <c r="B151" i="38"/>
  <c r="H151" i="38"/>
  <c r="E146" i="50" l="1"/>
  <c r="F146" i="50" s="1"/>
  <c r="G146" i="50" s="1"/>
  <c r="H145" i="50"/>
  <c r="I145" i="50"/>
  <c r="E153" i="37"/>
  <c r="F153" i="37" s="1"/>
  <c r="H154" i="30"/>
  <c r="H155" i="30" s="1"/>
  <c r="I155" i="30"/>
  <c r="E151" i="40"/>
  <c r="F151" i="40" s="1"/>
  <c r="H151" i="40" s="1"/>
  <c r="E151" i="44"/>
  <c r="F151" i="44" s="1"/>
  <c r="H151" i="44" s="1"/>
  <c r="E152" i="42"/>
  <c r="F152" i="42" s="1"/>
  <c r="B152" i="42"/>
  <c r="H153" i="39"/>
  <c r="G153" i="39"/>
  <c r="I153" i="39" s="1"/>
  <c r="D154" i="39"/>
  <c r="H150" i="46"/>
  <c r="G150" i="46"/>
  <c r="I150" i="46" s="1"/>
  <c r="D151" i="46"/>
  <c r="E151" i="46" s="1"/>
  <c r="F151" i="46" s="1"/>
  <c r="E151" i="45"/>
  <c r="F151" i="45" s="1"/>
  <c r="H151" i="45" s="1"/>
  <c r="D152" i="43"/>
  <c r="E152" i="43" s="1"/>
  <c r="F152" i="43" s="1"/>
  <c r="G151" i="43"/>
  <c r="I151" i="43" s="1"/>
  <c r="E152" i="38"/>
  <c r="F152" i="38" s="1"/>
  <c r="H152" i="38" s="1"/>
  <c r="B152" i="38"/>
  <c r="F154" i="41"/>
  <c r="G154" i="41" s="1"/>
  <c r="H151" i="43"/>
  <c r="B151" i="43"/>
  <c r="D147" i="50" l="1"/>
  <c r="I146" i="50"/>
  <c r="H146" i="50"/>
  <c r="E147" i="50"/>
  <c r="F147" i="50" s="1"/>
  <c r="B147" i="50"/>
  <c r="G151" i="40"/>
  <c r="I151" i="40" s="1"/>
  <c r="D152" i="40"/>
  <c r="E152" i="40" s="1"/>
  <c r="F152" i="40" s="1"/>
  <c r="G152" i="40" s="1"/>
  <c r="I152" i="40" s="1"/>
  <c r="H153" i="37"/>
  <c r="G153" i="37"/>
  <c r="I153" i="37" s="1"/>
  <c r="D154" i="37"/>
  <c r="J154" i="30"/>
  <c r="J155" i="30" s="1"/>
  <c r="D152" i="44"/>
  <c r="E152" i="44" s="1"/>
  <c r="F152" i="44" s="1"/>
  <c r="H152" i="44" s="1"/>
  <c r="G151" i="44"/>
  <c r="I151" i="44" s="1"/>
  <c r="E154" i="39"/>
  <c r="E155" i="39" s="1"/>
  <c r="B154" i="39"/>
  <c r="H152" i="42"/>
  <c r="D153" i="42"/>
  <c r="G152" i="42"/>
  <c r="I152" i="42" s="1"/>
  <c r="G151" i="46"/>
  <c r="I151" i="46" s="1"/>
  <c r="D152" i="46"/>
  <c r="B151" i="46"/>
  <c r="H151" i="46"/>
  <c r="D152" i="45"/>
  <c r="B152" i="45" s="1"/>
  <c r="G151" i="45"/>
  <c r="I151" i="45" s="1"/>
  <c r="H154" i="41"/>
  <c r="H155" i="41" s="1"/>
  <c r="I154" i="41"/>
  <c r="I155" i="41" s="1"/>
  <c r="D153" i="43"/>
  <c r="E153" i="43" s="1"/>
  <c r="F153" i="43" s="1"/>
  <c r="G152" i="43"/>
  <c r="I152" i="43" s="1"/>
  <c r="G152" i="38"/>
  <c r="I152" i="38" s="1"/>
  <c r="D153" i="38"/>
  <c r="H152" i="43"/>
  <c r="B152" i="43"/>
  <c r="D148" i="50" l="1"/>
  <c r="G147" i="50"/>
  <c r="B152" i="40"/>
  <c r="H152" i="40"/>
  <c r="B152" i="44"/>
  <c r="D153" i="40"/>
  <c r="E153" i="40" s="1"/>
  <c r="F153" i="40" s="1"/>
  <c r="D154" i="40" s="1"/>
  <c r="B154" i="40" s="1"/>
  <c r="E154" i="37"/>
  <c r="E155" i="37" s="1"/>
  <c r="B154" i="37"/>
  <c r="F154" i="39"/>
  <c r="G154" i="39" s="1"/>
  <c r="H154" i="39" s="1"/>
  <c r="H155" i="39" s="1"/>
  <c r="B153" i="42"/>
  <c r="E153" i="42"/>
  <c r="F153" i="42" s="1"/>
  <c r="E152" i="45"/>
  <c r="F152" i="45" s="1"/>
  <c r="H152" i="45" s="1"/>
  <c r="B152" i="46"/>
  <c r="E152" i="46"/>
  <c r="F152" i="46" s="1"/>
  <c r="B153" i="43"/>
  <c r="H153" i="43"/>
  <c r="D154" i="43"/>
  <c r="E154" i="43" s="1"/>
  <c r="E155" i="43" s="1"/>
  <c r="G153" i="43"/>
  <c r="I153" i="43" s="1"/>
  <c r="D153" i="44"/>
  <c r="E153" i="44" s="1"/>
  <c r="F153" i="44" s="1"/>
  <c r="G152" i="44"/>
  <c r="I152" i="44" s="1"/>
  <c r="E153" i="38"/>
  <c r="F153" i="38" s="1"/>
  <c r="H153" i="38" s="1"/>
  <c r="B153" i="38"/>
  <c r="H147" i="50" l="1"/>
  <c r="I147" i="50"/>
  <c r="E148" i="50"/>
  <c r="F148" i="50" s="1"/>
  <c r="B148" i="50"/>
  <c r="H153" i="40"/>
  <c r="E154" i="40"/>
  <c r="E155" i="40" s="1"/>
  <c r="G153" i="40"/>
  <c r="I153" i="40" s="1"/>
  <c r="B153" i="40"/>
  <c r="I154" i="39"/>
  <c r="I155" i="39" s="1"/>
  <c r="F154" i="37"/>
  <c r="G154" i="37" s="1"/>
  <c r="H154" i="37" s="1"/>
  <c r="H155" i="37" s="1"/>
  <c r="G152" i="45"/>
  <c r="I152" i="45" s="1"/>
  <c r="D153" i="45"/>
  <c r="B153" i="45" s="1"/>
  <c r="H153" i="42"/>
  <c r="G153" i="42"/>
  <c r="I153" i="42" s="1"/>
  <c r="D154" i="42"/>
  <c r="D153" i="46"/>
  <c r="B153" i="46" s="1"/>
  <c r="G152" i="46"/>
  <c r="I152" i="46" s="1"/>
  <c r="H152" i="46"/>
  <c r="G153" i="44"/>
  <c r="I153" i="44" s="1"/>
  <c r="D154" i="44"/>
  <c r="E154" i="44" s="1"/>
  <c r="E155" i="44" s="1"/>
  <c r="G153" i="38"/>
  <c r="I153" i="38" s="1"/>
  <c r="D154" i="38"/>
  <c r="E154" i="38" s="1"/>
  <c r="E155" i="38" s="1"/>
  <c r="B153" i="44"/>
  <c r="H153" i="44"/>
  <c r="B154" i="43"/>
  <c r="F154" i="43"/>
  <c r="G154" i="43" s="1"/>
  <c r="F154" i="40" l="1"/>
  <c r="G154" i="40" s="1"/>
  <c r="H154" i="40" s="1"/>
  <c r="H155" i="40" s="1"/>
  <c r="D149" i="50"/>
  <c r="G148" i="50"/>
  <c r="E153" i="45"/>
  <c r="F153" i="45" s="1"/>
  <c r="H153" i="45" s="1"/>
  <c r="I154" i="37"/>
  <c r="I155" i="37" s="1"/>
  <c r="E154" i="42"/>
  <c r="E155" i="42" s="1"/>
  <c r="B154" i="42"/>
  <c r="E153" i="46"/>
  <c r="F153" i="46" s="1"/>
  <c r="H153" i="46" s="1"/>
  <c r="I154" i="40"/>
  <c r="I155" i="40" s="1"/>
  <c r="B154" i="38"/>
  <c r="F154" i="38"/>
  <c r="G154" i="38" s="1"/>
  <c r="B154" i="44"/>
  <c r="F154" i="44"/>
  <c r="G154" i="44" s="1"/>
  <c r="I154" i="43"/>
  <c r="I155" i="43" s="1"/>
  <c r="H154" i="43"/>
  <c r="H155" i="43" s="1"/>
  <c r="H148" i="50" l="1"/>
  <c r="I148" i="50"/>
  <c r="E149" i="50"/>
  <c r="F149" i="50"/>
  <c r="B149" i="50"/>
  <c r="D154" i="45"/>
  <c r="G153" i="45"/>
  <c r="I153" i="45" s="1"/>
  <c r="F154" i="42"/>
  <c r="G154" i="42" s="1"/>
  <c r="H154" i="42" s="1"/>
  <c r="H155" i="42" s="1"/>
  <c r="G153" i="46"/>
  <c r="I153" i="46" s="1"/>
  <c r="D154" i="46"/>
  <c r="B154" i="46" s="1"/>
  <c r="H154" i="44"/>
  <c r="H155" i="44" s="1"/>
  <c r="I154" i="44"/>
  <c r="I155" i="44" s="1"/>
  <c r="H154" i="38"/>
  <c r="H155" i="38" s="1"/>
  <c r="I154" i="38"/>
  <c r="I155" i="38" s="1"/>
  <c r="D150" i="50" l="1"/>
  <c r="B150" i="50" s="1"/>
  <c r="G149" i="50"/>
  <c r="E154" i="46"/>
  <c r="F154" i="46" s="1"/>
  <c r="G154" i="46" s="1"/>
  <c r="B154" i="45"/>
  <c r="E154" i="45"/>
  <c r="E155" i="45" s="1"/>
  <c r="I154" i="42"/>
  <c r="I155" i="42" s="1"/>
  <c r="E150" i="50" l="1"/>
  <c r="F150" i="50" s="1"/>
  <c r="D151" i="50" s="1"/>
  <c r="H149" i="50"/>
  <c r="I149" i="50"/>
  <c r="E155" i="46"/>
  <c r="F154" i="45"/>
  <c r="G154" i="45" s="1"/>
  <c r="I154" i="45" s="1"/>
  <c r="I155" i="45" s="1"/>
  <c r="H154" i="46"/>
  <c r="H155" i="46" s="1"/>
  <c r="I154" i="46"/>
  <c r="I155" i="46" s="1"/>
  <c r="G150" i="50" l="1"/>
  <c r="I150" i="50" s="1"/>
  <c r="H150" i="50"/>
  <c r="E151" i="50"/>
  <c r="F151" i="50" s="1"/>
  <c r="B151" i="50"/>
  <c r="H154" i="45"/>
  <c r="H155" i="45" s="1"/>
  <c r="D152" i="50" l="1"/>
  <c r="G151" i="50"/>
  <c r="H151" i="50" l="1"/>
  <c r="I151" i="50"/>
  <c r="E152" i="50"/>
  <c r="F152" i="50" s="1"/>
  <c r="B152" i="50"/>
  <c r="D153" i="50" l="1"/>
  <c r="G152" i="50"/>
  <c r="I152" i="50" l="1"/>
  <c r="H152" i="50"/>
  <c r="E153" i="50"/>
  <c r="F153" i="50" s="1"/>
  <c r="B153" i="50"/>
  <c r="G153" i="50" l="1"/>
  <c r="D154" i="50"/>
  <c r="E154" i="50" l="1"/>
  <c r="E155" i="50" s="1"/>
  <c r="B154" i="50"/>
  <c r="H153" i="50"/>
  <c r="I153" i="50"/>
  <c r="F154" i="50" l="1"/>
  <c r="G154" i="50" s="1"/>
  <c r="H154" i="50" s="1"/>
  <c r="H155" i="50" s="1"/>
  <c r="I154" i="50" l="1"/>
  <c r="I155" i="50" s="1"/>
  <c r="D92" i="56" l="1"/>
  <c r="D8" i="56"/>
  <c r="D90" i="56" s="1"/>
  <c r="D18" i="56"/>
  <c r="I14" i="56"/>
  <c r="E18" i="56" l="1"/>
  <c r="F18" i="56" s="1"/>
  <c r="G18" i="56" s="1"/>
  <c r="B18" i="56"/>
  <c r="J96" i="56"/>
  <c r="E99" i="56"/>
  <c r="F99" i="56" s="1"/>
  <c r="G99" i="56" l="1"/>
  <c r="D100" i="56"/>
  <c r="E100" i="56"/>
  <c r="H18" i="56"/>
  <c r="D19" i="56"/>
  <c r="E19" i="56"/>
  <c r="B19" i="56" l="1"/>
  <c r="F19" i="56"/>
  <c r="G19" i="56" s="1"/>
  <c r="I18" i="56"/>
  <c r="F100" i="56"/>
  <c r="B100" i="56"/>
  <c r="H99" i="56"/>
  <c r="M88" i="56" s="1"/>
  <c r="I99" i="56"/>
  <c r="M89" i="56" l="1"/>
  <c r="N18" i="2"/>
  <c r="D101" i="56"/>
  <c r="G100" i="56"/>
  <c r="E101" i="56"/>
  <c r="H19" i="56"/>
  <c r="D20" i="56"/>
  <c r="E20" i="56"/>
  <c r="J99" i="56"/>
  <c r="N88" i="56"/>
  <c r="I52" i="17"/>
  <c r="V52" i="17" l="1"/>
  <c r="I54" i="17"/>
  <c r="B20" i="56"/>
  <c r="F20" i="56"/>
  <c r="H20" i="56" s="1"/>
  <c r="I19" i="56"/>
  <c r="H100" i="56"/>
  <c r="I100" i="56"/>
  <c r="B101" i="56"/>
  <c r="F101" i="56"/>
  <c r="R134" i="2"/>
  <c r="N19" i="2"/>
  <c r="N20" i="2" s="1"/>
  <c r="O88" i="56"/>
  <c r="O89" i="56" s="1"/>
  <c r="N89" i="56"/>
  <c r="O18" i="2"/>
  <c r="G20" i="56" l="1"/>
  <c r="I20" i="56" s="1"/>
  <c r="D21" i="56"/>
  <c r="E21" i="56"/>
  <c r="G101" i="56"/>
  <c r="D102" i="56"/>
  <c r="E102" i="56"/>
  <c r="P18" i="2"/>
  <c r="P19" i="2" s="1"/>
  <c r="P20" i="2" s="1"/>
  <c r="R135" i="2"/>
  <c r="O19" i="2"/>
  <c r="O20" i="2" s="1"/>
  <c r="I55" i="17"/>
  <c r="J100" i="56"/>
  <c r="F102" i="56" l="1"/>
  <c r="B102" i="56"/>
  <c r="H101" i="56"/>
  <c r="I101" i="56"/>
  <c r="F21" i="56"/>
  <c r="G21" i="56" s="1"/>
  <c r="B21" i="56"/>
  <c r="J101" i="56" l="1"/>
  <c r="H21" i="56"/>
  <c r="D22" i="56"/>
  <c r="E22" i="56"/>
  <c r="D103" i="56"/>
  <c r="G102" i="56"/>
  <c r="E103" i="56"/>
  <c r="H102" i="56" l="1"/>
  <c r="I102" i="56"/>
  <c r="J102" i="56" s="1"/>
  <c r="B103" i="56"/>
  <c r="F103" i="56"/>
  <c r="B22" i="56"/>
  <c r="F22" i="56"/>
  <c r="G22" i="56" s="1"/>
  <c r="I21" i="56"/>
  <c r="H22" i="56" l="1"/>
  <c r="D23" i="56"/>
  <c r="E23" i="56"/>
  <c r="D104" i="56"/>
  <c r="G103" i="56"/>
  <c r="E104" i="56"/>
  <c r="F104" i="56" l="1"/>
  <c r="B104" i="56"/>
  <c r="F23" i="56"/>
  <c r="G23" i="56" s="1"/>
  <c r="B23" i="56"/>
  <c r="H23" i="56"/>
  <c r="H103" i="56"/>
  <c r="I103" i="56"/>
  <c r="I22" i="56"/>
  <c r="J103" i="56" l="1"/>
  <c r="I23" i="56"/>
  <c r="D24" i="56"/>
  <c r="E24" i="56"/>
  <c r="D105" i="56"/>
  <c r="G104" i="56"/>
  <c r="E105" i="56"/>
  <c r="H104" i="56" l="1"/>
  <c r="I104" i="56"/>
  <c r="B105" i="56"/>
  <c r="F105" i="56"/>
  <c r="B24" i="56"/>
  <c r="F24" i="56"/>
  <c r="D25" i="56" l="1"/>
  <c r="E25" i="56"/>
  <c r="G24" i="56"/>
  <c r="G105" i="56"/>
  <c r="D106" i="56"/>
  <c r="E106" i="56"/>
  <c r="J104" i="56"/>
  <c r="H24" i="56"/>
  <c r="I24" i="56" l="1"/>
  <c r="F106" i="56"/>
  <c r="B106" i="56"/>
  <c r="H105" i="56"/>
  <c r="I105" i="56"/>
  <c r="J105" i="56" s="1"/>
  <c r="F25" i="56"/>
  <c r="G25" i="56" s="1"/>
  <c r="B25" i="56"/>
  <c r="H25" i="56"/>
  <c r="I25" i="56" l="1"/>
  <c r="D26" i="56"/>
  <c r="E26" i="56"/>
  <c r="G106" i="56"/>
  <c r="D107" i="56"/>
  <c r="E107" i="56"/>
  <c r="B107" i="56" l="1"/>
  <c r="F107" i="56"/>
  <c r="F26" i="56"/>
  <c r="G26" i="56" s="1"/>
  <c r="B26" i="56"/>
  <c r="H106" i="56"/>
  <c r="I106" i="56"/>
  <c r="H26" i="56" l="1"/>
  <c r="I26" i="56" s="1"/>
  <c r="D27" i="56"/>
  <c r="E27" i="56"/>
  <c r="G107" i="56"/>
  <c r="D108" i="56"/>
  <c r="E108" i="56"/>
  <c r="J106" i="56"/>
  <c r="F108" i="56" l="1"/>
  <c r="B108" i="56"/>
  <c r="H107" i="56"/>
  <c r="I107" i="56"/>
  <c r="F27" i="56"/>
  <c r="H27" i="56" s="1"/>
  <c r="B27" i="56"/>
  <c r="J107" i="56" l="1"/>
  <c r="G27" i="56"/>
  <c r="I27" i="56" s="1"/>
  <c r="D28" i="56"/>
  <c r="E28" i="56"/>
  <c r="G108" i="56"/>
  <c r="D109" i="56"/>
  <c r="E109" i="56"/>
  <c r="B109" i="56" l="1"/>
  <c r="F109" i="56"/>
  <c r="F28" i="56"/>
  <c r="G28" i="56" s="1"/>
  <c r="B28" i="56"/>
  <c r="H108" i="56"/>
  <c r="I108" i="56"/>
  <c r="J108" i="56" l="1"/>
  <c r="H28" i="56"/>
  <c r="I28" i="56" s="1"/>
  <c r="D29" i="56"/>
  <c r="E29" i="56"/>
  <c r="G109" i="56"/>
  <c r="D110" i="56"/>
  <c r="E110" i="56"/>
  <c r="H109" i="56" l="1"/>
  <c r="I109" i="56"/>
  <c r="B29" i="56"/>
  <c r="F29" i="56"/>
  <c r="H29" i="56" s="1"/>
  <c r="G29" i="56"/>
  <c r="F110" i="56"/>
  <c r="B110" i="56"/>
  <c r="I29" i="56" l="1"/>
  <c r="J109" i="56"/>
  <c r="D30" i="56"/>
  <c r="E30" i="56"/>
  <c r="G110" i="56"/>
  <c r="D111" i="56"/>
  <c r="E111" i="56"/>
  <c r="B111" i="56" l="1"/>
  <c r="F111" i="56"/>
  <c r="H110" i="56"/>
  <c r="I110" i="56"/>
  <c r="F30" i="56"/>
  <c r="G30" i="56" s="1"/>
  <c r="B30" i="56"/>
  <c r="H30" i="56" l="1"/>
  <c r="I30" i="56" s="1"/>
  <c r="D31" i="56"/>
  <c r="E31" i="56"/>
  <c r="J110" i="56"/>
  <c r="D112" i="56"/>
  <c r="G111" i="56"/>
  <c r="E112" i="56"/>
  <c r="H111" i="56" l="1"/>
  <c r="I111" i="56"/>
  <c r="F112" i="56"/>
  <c r="B112" i="56"/>
  <c r="B31" i="56"/>
  <c r="F31" i="56"/>
  <c r="G31" i="56" s="1"/>
  <c r="H31" i="56" l="1"/>
  <c r="I31" i="56" s="1"/>
  <c r="J111" i="56"/>
  <c r="D32" i="56"/>
  <c r="E32" i="56"/>
  <c r="G112" i="56"/>
  <c r="D113" i="56"/>
  <c r="E113" i="56"/>
  <c r="H112" i="56" l="1"/>
  <c r="I112" i="56"/>
  <c r="B113" i="56"/>
  <c r="F113" i="56"/>
  <c r="B32" i="56"/>
  <c r="F32" i="56"/>
  <c r="J112" i="56" l="1"/>
  <c r="D33" i="56"/>
  <c r="E33" i="56"/>
  <c r="H32" i="56"/>
  <c r="G113" i="56"/>
  <c r="D114" i="56"/>
  <c r="E114" i="56"/>
  <c r="G32" i="56"/>
  <c r="F114" i="56" l="1"/>
  <c r="B114" i="56"/>
  <c r="H113" i="56"/>
  <c r="I113" i="56"/>
  <c r="I32" i="56"/>
  <c r="F33" i="56"/>
  <c r="B33" i="56"/>
  <c r="J113" i="56" l="1"/>
  <c r="G33" i="56"/>
  <c r="D34" i="56"/>
  <c r="E34" i="56"/>
  <c r="H33" i="56"/>
  <c r="D115" i="56"/>
  <c r="G114" i="56"/>
  <c r="E115" i="56"/>
  <c r="I33" i="56" l="1"/>
  <c r="B115" i="56"/>
  <c r="F115" i="56"/>
  <c r="H114" i="56"/>
  <c r="I114" i="56"/>
  <c r="B34" i="56"/>
  <c r="F34" i="56"/>
  <c r="H34" i="56" s="1"/>
  <c r="J114" i="56" l="1"/>
  <c r="G34" i="56"/>
  <c r="I34" i="56" s="1"/>
  <c r="D35" i="56"/>
  <c r="E35" i="56"/>
  <c r="D116" i="56"/>
  <c r="G115" i="56"/>
  <c r="E116" i="56"/>
  <c r="H115" i="56" l="1"/>
  <c r="I115" i="56"/>
  <c r="F116" i="56"/>
  <c r="B116" i="56"/>
  <c r="F35" i="56"/>
  <c r="G35" i="56" s="1"/>
  <c r="B35" i="56"/>
  <c r="H35" i="56" l="1"/>
  <c r="I35" i="56" s="1"/>
  <c r="J115" i="56"/>
  <c r="D36" i="56"/>
  <c r="E36" i="56"/>
  <c r="D117" i="56"/>
  <c r="G116" i="56"/>
  <c r="E117" i="56"/>
  <c r="H116" i="56" l="1"/>
  <c r="I116" i="56"/>
  <c r="B117" i="56"/>
  <c r="F117" i="56"/>
  <c r="B36" i="56"/>
  <c r="F36" i="56"/>
  <c r="G36" i="56" s="1"/>
  <c r="H36" i="56" l="1"/>
  <c r="I36" i="56" s="1"/>
  <c r="J116" i="56"/>
  <c r="D37" i="56"/>
  <c r="E37" i="56"/>
  <c r="G117" i="56"/>
  <c r="D118" i="56"/>
  <c r="E118" i="56"/>
  <c r="B118" i="56" l="1"/>
  <c r="F118" i="56"/>
  <c r="H117" i="56"/>
  <c r="I117" i="56"/>
  <c r="F37" i="56"/>
  <c r="G37" i="56" s="1"/>
  <c r="B37" i="56"/>
  <c r="H37" i="56" l="1"/>
  <c r="I37" i="56" s="1"/>
  <c r="D38" i="56"/>
  <c r="E38" i="56"/>
  <c r="J117" i="56"/>
  <c r="D119" i="56"/>
  <c r="G118" i="56"/>
  <c r="E119" i="56"/>
  <c r="H118" i="56" l="1"/>
  <c r="I118" i="56"/>
  <c r="B119" i="56"/>
  <c r="F119" i="56"/>
  <c r="B38" i="56"/>
  <c r="F38" i="56"/>
  <c r="G38" i="56" s="1"/>
  <c r="H38" i="56" l="1"/>
  <c r="I38" i="56" s="1"/>
  <c r="J118" i="56"/>
  <c r="D39" i="56"/>
  <c r="E39" i="56"/>
  <c r="G119" i="56"/>
  <c r="D120" i="56"/>
  <c r="E120" i="56"/>
  <c r="B120" i="56" l="1"/>
  <c r="F120" i="56"/>
  <c r="H119" i="56"/>
  <c r="I119" i="56"/>
  <c r="F39" i="56"/>
  <c r="H39" i="56" s="1"/>
  <c r="B39" i="56"/>
  <c r="J119" i="56" l="1"/>
  <c r="G39" i="56"/>
  <c r="I39" i="56" s="1"/>
  <c r="D40" i="56"/>
  <c r="E40" i="56"/>
  <c r="D121" i="56"/>
  <c r="G120" i="56"/>
  <c r="E121" i="56"/>
  <c r="H120" i="56" l="1"/>
  <c r="I120" i="56"/>
  <c r="B121" i="56"/>
  <c r="F121" i="56"/>
  <c r="F40" i="56"/>
  <c r="H40" i="56" s="1"/>
  <c r="B40" i="56"/>
  <c r="J120" i="56" l="1"/>
  <c r="G40" i="56"/>
  <c r="I40" i="56" s="1"/>
  <c r="D41" i="56"/>
  <c r="E41" i="56"/>
  <c r="G121" i="56"/>
  <c r="D122" i="56"/>
  <c r="E122" i="56"/>
  <c r="B122" i="56" l="1"/>
  <c r="F122" i="56"/>
  <c r="H121" i="56"/>
  <c r="I121" i="56"/>
  <c r="B41" i="56"/>
  <c r="F41" i="56"/>
  <c r="G41" i="56" s="1"/>
  <c r="H41" i="56" l="1"/>
  <c r="I41" i="56" s="1"/>
  <c r="D42" i="56"/>
  <c r="E42" i="56"/>
  <c r="J121" i="56"/>
  <c r="D123" i="56"/>
  <c r="G122" i="56"/>
  <c r="E123" i="56"/>
  <c r="B123" i="56" l="1"/>
  <c r="F123" i="56"/>
  <c r="H122" i="56"/>
  <c r="I122" i="56"/>
  <c r="B42" i="56"/>
  <c r="F42" i="56"/>
  <c r="G42" i="56" s="1"/>
  <c r="J122" i="56" l="1"/>
  <c r="H42" i="56"/>
  <c r="D43" i="56"/>
  <c r="E43" i="56"/>
  <c r="I42" i="56"/>
  <c r="G123" i="56"/>
  <c r="D124" i="56"/>
  <c r="E124" i="56"/>
  <c r="H123" i="56" l="1"/>
  <c r="I123" i="56"/>
  <c r="F124" i="56"/>
  <c r="B124" i="56"/>
  <c r="B43" i="56"/>
  <c r="F43" i="56"/>
  <c r="G43" i="56" s="1"/>
  <c r="J123" i="56" l="1"/>
  <c r="D125" i="56"/>
  <c r="G124" i="56"/>
  <c r="E125" i="56"/>
  <c r="H43" i="56"/>
  <c r="I43" i="56" s="1"/>
  <c r="D44" i="56"/>
  <c r="E44" i="56"/>
  <c r="B44" i="56" l="1"/>
  <c r="F44" i="56"/>
  <c r="H44" i="56" s="1"/>
  <c r="H124" i="56"/>
  <c r="I124" i="56"/>
  <c r="B125" i="56"/>
  <c r="F125" i="56"/>
  <c r="J124" i="56" l="1"/>
  <c r="D126" i="56"/>
  <c r="G125" i="56"/>
  <c r="E126" i="56"/>
  <c r="G44" i="56"/>
  <c r="I44" i="56" s="1"/>
  <c r="D45" i="56"/>
  <c r="E45" i="56"/>
  <c r="B45" i="56" l="1"/>
  <c r="F45" i="56"/>
  <c r="G45" i="56" s="1"/>
  <c r="H125" i="56"/>
  <c r="I125" i="56"/>
  <c r="F126" i="56"/>
  <c r="B126" i="56"/>
  <c r="J125" i="56" l="1"/>
  <c r="G126" i="56"/>
  <c r="D127" i="56"/>
  <c r="E127" i="56"/>
  <c r="H45" i="56"/>
  <c r="I45" i="56" s="1"/>
  <c r="D46" i="56"/>
  <c r="E46" i="56"/>
  <c r="B46" i="56" l="1"/>
  <c r="F46" i="56"/>
  <c r="G46" i="56" s="1"/>
  <c r="B127" i="56"/>
  <c r="F127" i="56"/>
  <c r="H126" i="56"/>
  <c r="I126" i="56"/>
  <c r="H46" i="56" l="1"/>
  <c r="J126" i="56"/>
  <c r="I46" i="56"/>
  <c r="D47" i="56"/>
  <c r="E47" i="56"/>
  <c r="D128" i="56"/>
  <c r="G127" i="56"/>
  <c r="E128" i="56"/>
  <c r="H127" i="56" l="1"/>
  <c r="I127" i="56"/>
  <c r="B128" i="56"/>
  <c r="F128" i="56"/>
  <c r="F47" i="56"/>
  <c r="B47" i="56"/>
  <c r="H47" i="56"/>
  <c r="J127" i="56" l="1"/>
  <c r="D129" i="56"/>
  <c r="G128" i="56"/>
  <c r="E129" i="56"/>
  <c r="G47" i="56"/>
  <c r="I47" i="56" s="1"/>
  <c r="D48" i="56"/>
  <c r="E48" i="56"/>
  <c r="F48" i="56" l="1"/>
  <c r="H48" i="56" s="1"/>
  <c r="B48" i="56"/>
  <c r="H128" i="56"/>
  <c r="I128" i="56"/>
  <c r="B129" i="56"/>
  <c r="F129" i="56"/>
  <c r="G48" i="56" l="1"/>
  <c r="I48" i="56" s="1"/>
  <c r="D130" i="56"/>
  <c r="G129" i="56"/>
  <c r="E130" i="56"/>
  <c r="J128" i="56"/>
  <c r="D49" i="56"/>
  <c r="E49" i="56"/>
  <c r="B49" i="56" l="1"/>
  <c r="F49" i="56"/>
  <c r="H49" i="56" s="1"/>
  <c r="H129" i="56"/>
  <c r="I129" i="56"/>
  <c r="B130" i="56"/>
  <c r="F130" i="56"/>
  <c r="J129" i="56" l="1"/>
  <c r="D131" i="56"/>
  <c r="G130" i="56"/>
  <c r="E131" i="56"/>
  <c r="G49" i="56"/>
  <c r="I49" i="56" s="1"/>
  <c r="D50" i="56"/>
  <c r="E50" i="56"/>
  <c r="H130" i="56" l="1"/>
  <c r="I130" i="56"/>
  <c r="B50" i="56"/>
  <c r="F50" i="56"/>
  <c r="H50" i="56" s="1"/>
  <c r="B131" i="56"/>
  <c r="F131" i="56"/>
  <c r="J130" i="56" l="1"/>
  <c r="J155" i="56" s="1"/>
  <c r="D132" i="56"/>
  <c r="G131" i="56"/>
  <c r="E132" i="56"/>
  <c r="G50" i="56"/>
  <c r="I50" i="56" s="1"/>
  <c r="D51" i="56"/>
  <c r="E51" i="56"/>
  <c r="B51" i="56" l="1"/>
  <c r="F51" i="56"/>
  <c r="G51" i="56" s="1"/>
  <c r="H131" i="56"/>
  <c r="I131" i="56"/>
  <c r="F132" i="56"/>
  <c r="B132" i="56"/>
  <c r="H51" i="56" l="1"/>
  <c r="I51" i="56" s="1"/>
  <c r="G132" i="56"/>
  <c r="D133" i="56"/>
  <c r="E133" i="56"/>
  <c r="D52" i="56"/>
  <c r="E52" i="56"/>
  <c r="B52" i="56" l="1"/>
  <c r="F52" i="56"/>
  <c r="G52" i="56" s="1"/>
  <c r="F133" i="56"/>
  <c r="B133" i="56"/>
  <c r="H132" i="56"/>
  <c r="I132" i="56"/>
  <c r="H52" i="56" l="1"/>
  <c r="I52" i="56" s="1"/>
  <c r="G133" i="56"/>
  <c r="D134" i="56"/>
  <c r="E134" i="56"/>
  <c r="D53" i="56"/>
  <c r="E53" i="56"/>
  <c r="B53" i="56" l="1"/>
  <c r="F53" i="56"/>
  <c r="H53" i="56" s="1"/>
  <c r="F134" i="56"/>
  <c r="B134" i="56"/>
  <c r="H133" i="56"/>
  <c r="I133" i="56"/>
  <c r="D135" i="56" l="1"/>
  <c r="G134" i="56"/>
  <c r="E135" i="56"/>
  <c r="G53" i="56"/>
  <c r="I53" i="56" s="1"/>
  <c r="D54" i="56"/>
  <c r="E54" i="56"/>
  <c r="B54" i="56" l="1"/>
  <c r="F54" i="56"/>
  <c r="G54" i="56" s="1"/>
  <c r="H134" i="56"/>
  <c r="I134" i="56"/>
  <c r="B135" i="56"/>
  <c r="F135" i="56"/>
  <c r="D136" i="56" l="1"/>
  <c r="G135" i="56"/>
  <c r="E136" i="56"/>
  <c r="H54" i="56"/>
  <c r="I54" i="56" s="1"/>
  <c r="D55" i="56"/>
  <c r="E55" i="56" s="1"/>
  <c r="B55" i="56" l="1"/>
  <c r="F55" i="56"/>
  <c r="G55" i="56" s="1"/>
  <c r="H135" i="56"/>
  <c r="I135" i="56"/>
  <c r="F136" i="56"/>
  <c r="B136" i="56"/>
  <c r="D137" i="56" l="1"/>
  <c r="E137" i="56" s="1"/>
  <c r="G136" i="56"/>
  <c r="H55" i="56"/>
  <c r="I55" i="56" s="1"/>
  <c r="D56" i="56"/>
  <c r="E56" i="56" l="1"/>
  <c r="F56" i="56" s="1"/>
  <c r="G56" i="56" s="1"/>
  <c r="B56" i="56"/>
  <c r="H136" i="56"/>
  <c r="I136" i="56"/>
  <c r="F137" i="56"/>
  <c r="B137" i="56"/>
  <c r="G137" i="56" l="1"/>
  <c r="D138" i="56"/>
  <c r="H56" i="56"/>
  <c r="I56" i="56" s="1"/>
  <c r="D57" i="56"/>
  <c r="E138" i="56" l="1"/>
  <c r="F138" i="56" s="1"/>
  <c r="B138" i="56"/>
  <c r="E57" i="56"/>
  <c r="F57" i="56" s="1"/>
  <c r="B57" i="56"/>
  <c r="H137" i="56"/>
  <c r="I137" i="56"/>
  <c r="H57" i="56" l="1"/>
  <c r="D58" i="56"/>
  <c r="D139" i="56"/>
  <c r="G138" i="56"/>
  <c r="G57" i="56"/>
  <c r="I57" i="56" l="1"/>
  <c r="H138" i="56"/>
  <c r="I138" i="56"/>
  <c r="E58" i="56"/>
  <c r="F58" i="56" s="1"/>
  <c r="G58" i="56" s="1"/>
  <c r="B58" i="56"/>
  <c r="E139" i="56"/>
  <c r="F139" i="56" s="1"/>
  <c r="B139" i="56"/>
  <c r="D140" i="56" l="1"/>
  <c r="G139" i="56"/>
  <c r="H58" i="56"/>
  <c r="I58" i="56" s="1"/>
  <c r="D59" i="56"/>
  <c r="E59" i="56" l="1"/>
  <c r="F59" i="56" s="1"/>
  <c r="H59" i="56" s="1"/>
  <c r="B59" i="56"/>
  <c r="H139" i="56"/>
  <c r="I139" i="56"/>
  <c r="E140" i="56"/>
  <c r="F140" i="56" s="1"/>
  <c r="B140" i="56"/>
  <c r="D141" i="56" l="1"/>
  <c r="B141" i="56" s="1"/>
  <c r="G140" i="56"/>
  <c r="G59" i="56"/>
  <c r="I59" i="56" s="1"/>
  <c r="D60" i="56"/>
  <c r="E60" i="56" s="1"/>
  <c r="F60" i="56" s="1"/>
  <c r="D61" i="56" s="1"/>
  <c r="E141" i="56" l="1"/>
  <c r="F141" i="56" s="1"/>
  <c r="G141" i="56" s="1"/>
  <c r="E61" i="56"/>
  <c r="F61" i="56" s="1"/>
  <c r="B61" i="56"/>
  <c r="B60" i="56"/>
  <c r="H60" i="56"/>
  <c r="G60" i="56"/>
  <c r="H140" i="56"/>
  <c r="I140" i="56"/>
  <c r="G61" i="56" l="1"/>
  <c r="H61" i="56"/>
  <c r="I61" i="56" s="1"/>
  <c r="D142" i="56"/>
  <c r="E142" i="56" s="1"/>
  <c r="F142" i="56" s="1"/>
  <c r="I60" i="56"/>
  <c r="D62" i="56"/>
  <c r="E62" i="56" s="1"/>
  <c r="H141" i="56"/>
  <c r="I141" i="56"/>
  <c r="B142" i="56" l="1"/>
  <c r="B62" i="56"/>
  <c r="F62" i="56"/>
  <c r="G62" i="56" s="1"/>
  <c r="D143" i="56"/>
  <c r="G142" i="56"/>
  <c r="H62" i="56" l="1"/>
  <c r="I62" i="56" s="1"/>
  <c r="B143" i="56"/>
  <c r="E143" i="56"/>
  <c r="F143" i="56" s="1"/>
  <c r="H142" i="56"/>
  <c r="I142" i="56"/>
  <c r="D63" i="56"/>
  <c r="E63" i="56" s="1"/>
  <c r="D144" i="56" l="1"/>
  <c r="E144" i="56" s="1"/>
  <c r="G143" i="56"/>
  <c r="F63" i="56"/>
  <c r="D64" i="56" s="1"/>
  <c r="B63" i="56"/>
  <c r="G63" i="56" l="1"/>
  <c r="H63" i="56"/>
  <c r="E64" i="56"/>
  <c r="F64" i="56" s="1"/>
  <c r="B64" i="56"/>
  <c r="H143" i="56"/>
  <c r="I143" i="56"/>
  <c r="F144" i="56"/>
  <c r="B144" i="56"/>
  <c r="I63" i="56" l="1"/>
  <c r="G64" i="56"/>
  <c r="H64" i="56"/>
  <c r="D65" i="56"/>
  <c r="E65" i="56" s="1"/>
  <c r="F65" i="56" s="1"/>
  <c r="D66" i="56" s="1"/>
  <c r="D145" i="56"/>
  <c r="G144" i="56"/>
  <c r="I64" i="56" l="1"/>
  <c r="E145" i="56"/>
  <c r="F145" i="56" s="1"/>
  <c r="B145" i="56"/>
  <c r="E66" i="56"/>
  <c r="F66" i="56" s="1"/>
  <c r="B66" i="56"/>
  <c r="H144" i="56"/>
  <c r="I144" i="56"/>
  <c r="B65" i="56"/>
  <c r="G65" i="56"/>
  <c r="H65" i="56"/>
  <c r="I65" i="56" l="1"/>
  <c r="G66" i="56"/>
  <c r="D67" i="56"/>
  <c r="H66" i="56"/>
  <c r="G145" i="56"/>
  <c r="D146" i="56"/>
  <c r="B146" i="56" s="1"/>
  <c r="I66" i="56" l="1"/>
  <c r="E146" i="56"/>
  <c r="F146" i="56" s="1"/>
  <c r="H145" i="56"/>
  <c r="I145" i="56"/>
  <c r="E67" i="56"/>
  <c r="F67" i="56" s="1"/>
  <c r="D68" i="56" s="1"/>
  <c r="B67" i="56"/>
  <c r="G67" i="56" l="1"/>
  <c r="E68" i="56"/>
  <c r="F68" i="56" s="1"/>
  <c r="H68" i="56" s="1"/>
  <c r="B68" i="56"/>
  <c r="H67" i="56"/>
  <c r="D147" i="56"/>
  <c r="E147" i="56" s="1"/>
  <c r="G146" i="56"/>
  <c r="I67" i="56" l="1"/>
  <c r="H146" i="56"/>
  <c r="I146" i="56"/>
  <c r="G68" i="56"/>
  <c r="I68" i="56" s="1"/>
  <c r="D69" i="56"/>
  <c r="B147" i="56"/>
  <c r="F147" i="56"/>
  <c r="D148" i="56" l="1"/>
  <c r="B148" i="56" s="1"/>
  <c r="G147" i="56"/>
  <c r="E69" i="56"/>
  <c r="F69" i="56" s="1"/>
  <c r="B69" i="56"/>
  <c r="E148" i="56" l="1"/>
  <c r="F148" i="56" s="1"/>
  <c r="G148" i="56" s="1"/>
  <c r="H69" i="56"/>
  <c r="D70" i="56"/>
  <c r="G69" i="56"/>
  <c r="H147" i="56"/>
  <c r="I147" i="56"/>
  <c r="D149" i="56" l="1"/>
  <c r="B149" i="56" s="1"/>
  <c r="H148" i="56"/>
  <c r="I148" i="56"/>
  <c r="E70" i="56"/>
  <c r="F70" i="56" s="1"/>
  <c r="B70" i="56"/>
  <c r="I69" i="56"/>
  <c r="E149" i="56" l="1"/>
  <c r="F149" i="56" s="1"/>
  <c r="G149" i="56" s="1"/>
  <c r="H70" i="56"/>
  <c r="D71" i="56"/>
  <c r="E71" i="56" s="1"/>
  <c r="G70" i="56"/>
  <c r="D150" i="56" l="1"/>
  <c r="B150" i="56" s="1"/>
  <c r="H149" i="56"/>
  <c r="I149" i="56"/>
  <c r="F71" i="56"/>
  <c r="D72" i="56" s="1"/>
  <c r="B71" i="56"/>
  <c r="I70" i="56"/>
  <c r="E150" i="56" l="1"/>
  <c r="F150" i="56" s="1"/>
  <c r="D151" i="56" s="1"/>
  <c r="B151" i="56" s="1"/>
  <c r="G71" i="56"/>
  <c r="G150" i="56"/>
  <c r="H150" i="56" s="1"/>
  <c r="H71" i="56"/>
  <c r="I71" i="56" s="1"/>
  <c r="E72" i="56"/>
  <c r="E73" i="56" s="1"/>
  <c r="B72" i="56"/>
  <c r="E151" i="56"/>
  <c r="F151" i="56" s="1"/>
  <c r="I150" i="56" l="1"/>
  <c r="F72" i="56"/>
  <c r="H72" i="56" s="1"/>
  <c r="H73" i="56" s="1"/>
  <c r="D152" i="56"/>
  <c r="E152" i="56" s="1"/>
  <c r="G151" i="56"/>
  <c r="G72" i="56" l="1"/>
  <c r="G73" i="56" s="1"/>
  <c r="H151" i="56"/>
  <c r="I151" i="56"/>
  <c r="F152" i="56"/>
  <c r="B152" i="56"/>
  <c r="I72" i="56" l="1"/>
  <c r="I73" i="56" s="1"/>
  <c r="D153" i="56"/>
  <c r="E153" i="56" s="1"/>
  <c r="G152" i="56"/>
  <c r="H152" i="56" l="1"/>
  <c r="I152" i="56"/>
  <c r="B153" i="56"/>
  <c r="F153" i="56"/>
  <c r="D154" i="56" l="1"/>
  <c r="E154" i="56" s="1"/>
  <c r="E155" i="56" s="1"/>
  <c r="G153" i="56"/>
  <c r="H153" i="56" l="1"/>
  <c r="I153" i="56"/>
  <c r="F154" i="56"/>
  <c r="G154" i="56" s="1"/>
  <c r="B154" i="56"/>
  <c r="H154" i="56" l="1"/>
  <c r="H155" i="56" s="1"/>
  <c r="I154" i="56"/>
  <c r="I155" i="56" s="1"/>
  <c r="K49" i="17" l="1"/>
  <c r="L49" i="17" s="1"/>
  <c r="V49" i="17" s="1"/>
  <c r="K40" i="17"/>
  <c r="L40" i="17" s="1"/>
  <c r="V40" i="17" s="1"/>
  <c r="K42" i="17"/>
  <c r="L42" i="17" s="1"/>
  <c r="V42" i="17" s="1"/>
  <c r="K30" i="17"/>
  <c r="L30" i="17" s="1"/>
  <c r="V30" i="17" s="1"/>
  <c r="K19" i="17"/>
  <c r="L19" i="17" s="1"/>
  <c r="V19" i="17" s="1"/>
  <c r="K47" i="17"/>
  <c r="L47" i="17" s="1"/>
  <c r="V47" i="17" s="1"/>
  <c r="K41" i="17"/>
  <c r="L41" i="17" s="1"/>
  <c r="V41" i="17" s="1"/>
  <c r="K20" i="17"/>
  <c r="L20" i="17" s="1"/>
  <c r="V20" i="17" s="1"/>
  <c r="K44" i="17"/>
  <c r="L44" i="17" s="1"/>
  <c r="V44" i="17" s="1"/>
  <c r="K50" i="17"/>
  <c r="L50" i="17" s="1"/>
  <c r="V50" i="17" s="1"/>
  <c r="K39" i="17"/>
  <c r="L39" i="17" s="1"/>
  <c r="V39" i="17" s="1"/>
  <c r="K22" i="17"/>
  <c r="L22" i="17" s="1"/>
  <c r="V22" i="17" s="1"/>
  <c r="K26" i="17"/>
  <c r="L26" i="17" s="1"/>
  <c r="V26" i="17" s="1"/>
  <c r="K28" i="17"/>
  <c r="L28" i="17" s="1"/>
  <c r="V28" i="17" s="1"/>
  <c r="K32" i="17"/>
  <c r="L32" i="17" s="1"/>
  <c r="V32" i="17" s="1"/>
  <c r="K35" i="17"/>
  <c r="L35" i="17" s="1"/>
  <c r="V35" i="17" s="1"/>
  <c r="K33" i="17"/>
  <c r="L33" i="17" s="1"/>
  <c r="V33" i="17" s="1"/>
  <c r="K36" i="17"/>
  <c r="L36" i="17" s="1"/>
  <c r="V36" i="17" s="1"/>
  <c r="K48" i="17"/>
  <c r="L48" i="17" s="1"/>
  <c r="V48" i="17" s="1"/>
  <c r="K46" i="17"/>
  <c r="L46" i="17" s="1"/>
  <c r="V46" i="17" s="1"/>
  <c r="K23" i="17"/>
  <c r="L23" i="17" s="1"/>
  <c r="V23" i="17" s="1"/>
  <c r="K21" i="17"/>
  <c r="L21" i="17" s="1"/>
  <c r="V21" i="17" s="1"/>
  <c r="K31" i="17"/>
  <c r="L31" i="17" s="1"/>
  <c r="V31" i="17" s="1"/>
  <c r="K37" i="17"/>
  <c r="L37" i="17" s="1"/>
  <c r="V37" i="17" s="1"/>
  <c r="K38" i="17"/>
  <c r="L38" i="17" s="1"/>
  <c r="V38" i="17" s="1"/>
  <c r="K29" i="17"/>
  <c r="L29" i="17" s="1"/>
  <c r="V29" i="17" s="1"/>
  <c r="K43" i="17"/>
  <c r="L43" i="17" s="1"/>
  <c r="V43" i="17" s="1"/>
  <c r="K24" i="17"/>
  <c r="L24" i="17" s="1"/>
  <c r="V24" i="17" s="1"/>
  <c r="K45" i="17"/>
  <c r="L45" i="17" s="1"/>
  <c r="V45" i="17" s="1"/>
  <c r="K27" i="17"/>
  <c r="L27" i="17" s="1"/>
  <c r="V27" i="17" s="1"/>
  <c r="K34" i="17"/>
  <c r="L34" i="17" s="1"/>
  <c r="V34" i="17" s="1"/>
  <c r="K25" i="17"/>
  <c r="L25" i="17" s="1"/>
  <c r="V25" i="17" s="1"/>
  <c r="K18" i="17"/>
  <c r="L18" i="17" s="1"/>
  <c r="K55" i="17" l="1"/>
  <c r="L54" i="17"/>
  <c r="V18" i="17"/>
  <c r="V54" i="17" l="1"/>
  <c r="Q18" i="17" l="1"/>
  <c r="R18" i="17" s="1"/>
  <c r="Q51" i="17"/>
  <c r="R51" i="17" s="1"/>
  <c r="T51" i="17" s="1"/>
  <c r="Q44" i="17"/>
  <c r="R44" i="17" s="1"/>
  <c r="T44" i="17" s="1"/>
  <c r="Q42" i="17"/>
  <c r="R42" i="17" s="1"/>
  <c r="T42" i="17" s="1"/>
  <c r="Q32" i="17"/>
  <c r="R32" i="17" s="1"/>
  <c r="T32" i="17" s="1"/>
  <c r="Q46" i="17"/>
  <c r="R46" i="17" s="1"/>
  <c r="T46" i="17" s="1"/>
  <c r="Q27" i="17"/>
  <c r="R27" i="17" s="1"/>
  <c r="T27" i="17" s="1"/>
  <c r="Q38" i="17"/>
  <c r="R38" i="17" s="1"/>
  <c r="T38" i="17" s="1"/>
  <c r="Q22" i="17"/>
  <c r="R22" i="17" s="1"/>
  <c r="T22" i="17" s="1"/>
  <c r="Q20" i="17"/>
  <c r="R20" i="17" s="1"/>
  <c r="T20" i="17" s="1"/>
  <c r="Q48" i="17"/>
  <c r="R48" i="17" s="1"/>
  <c r="T48" i="17" s="1"/>
  <c r="Q45" i="17"/>
  <c r="R45" i="17" s="1"/>
  <c r="T45" i="17" s="1"/>
  <c r="Q39" i="17"/>
  <c r="R39" i="17" s="1"/>
  <c r="T39" i="17" s="1"/>
  <c r="Q24" i="17"/>
  <c r="R24" i="17" s="1"/>
  <c r="T24" i="17" s="1"/>
  <c r="Q26" i="17"/>
  <c r="R26" i="17" s="1"/>
  <c r="T26" i="17" s="1"/>
  <c r="Q34" i="17"/>
  <c r="R34" i="17" s="1"/>
  <c r="T34" i="17" s="1"/>
  <c r="Q36" i="17"/>
  <c r="R36" i="17" s="1"/>
  <c r="T36" i="17" s="1"/>
  <c r="Q37" i="17"/>
  <c r="R37" i="17" s="1"/>
  <c r="T37" i="17" s="1"/>
  <c r="Q33" i="17"/>
  <c r="R33" i="17" s="1"/>
  <c r="T33" i="17" s="1"/>
  <c r="Q49" i="17"/>
  <c r="R49" i="17" s="1"/>
  <c r="T49" i="17" s="1"/>
  <c r="Q40" i="17"/>
  <c r="R40" i="17" s="1"/>
  <c r="T40" i="17" s="1"/>
  <c r="Q52" i="17"/>
  <c r="R52" i="17" s="1"/>
  <c r="T52" i="17" s="1"/>
  <c r="Q28" i="17"/>
  <c r="R28" i="17" s="1"/>
  <c r="T28" i="17" s="1"/>
  <c r="Q29" i="17"/>
  <c r="R29" i="17" s="1"/>
  <c r="T29" i="17" s="1"/>
  <c r="Q31" i="17"/>
  <c r="R31" i="17" s="1"/>
  <c r="T31" i="17" s="1"/>
  <c r="Q35" i="17"/>
  <c r="R35" i="17" s="1"/>
  <c r="T35" i="17" s="1"/>
  <c r="Q47" i="17"/>
  <c r="R47" i="17" s="1"/>
  <c r="T47" i="17" s="1"/>
  <c r="Q50" i="17"/>
  <c r="R50" i="17" s="1"/>
  <c r="T50" i="17" s="1"/>
  <c r="Q19" i="17"/>
  <c r="R19" i="17" s="1"/>
  <c r="T19" i="17" s="1"/>
  <c r="Q21" i="17"/>
  <c r="R21" i="17" s="1"/>
  <c r="T21" i="17" s="1"/>
  <c r="Q30" i="17"/>
  <c r="R30" i="17" s="1"/>
  <c r="T30" i="17" s="1"/>
  <c r="Q41" i="17"/>
  <c r="R41" i="17" s="1"/>
  <c r="T41" i="17" s="1"/>
  <c r="Q43" i="17"/>
  <c r="R43" i="17" s="1"/>
  <c r="T43" i="17" s="1"/>
  <c r="Q23" i="17"/>
  <c r="R23" i="17" s="1"/>
  <c r="T23" i="17" s="1"/>
  <c r="Q25" i="17"/>
  <c r="R25" i="17" s="1"/>
  <c r="T25" i="17" s="1"/>
  <c r="Q55" i="17" l="1"/>
  <c r="T18" i="17"/>
  <c r="T54" i="17" s="1"/>
  <c r="R54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  <author>AEP</author>
    <author>rlp</author>
    <author>S177040</author>
  </authors>
  <commentList>
    <comment ref="C16" authorId="0" shapeId="0" xr:uid="{00000000-0006-0000-00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 Descriptions are in cell [P.xxx]!$D$7]</t>
        </r>
      </text>
    </comment>
    <comment ref="D16" authorId="0" shapeId="0" xr:uid="{00000000-0006-0000-0000-000002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Year In Service is in cell [P.xxx]!$D$11]</t>
        </r>
      </text>
    </comment>
    <comment ref="E16" authorId="0" shapeId="0" xr:uid="{00000000-0006-0000-0000-000003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Base ARR is in cell [P.xxx]!$N$5]</t>
        </r>
      </text>
    </comment>
    <comment ref="F16" authorId="0" shapeId="0" xr:uid="{00000000-0006-0000-0000-000004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Projected Incentive ARR is in WS-F cell N7.</t>
        </r>
      </text>
    </comment>
    <comment ref="I16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"TRUE-UP Adjustment (i.e., Forecast Error) is from WS-G sheet [P.00x] in cell M89.</t>
        </r>
      </text>
    </comment>
    <comment ref="J16" authorId="1" shapeId="0" xr:uid="{00000000-0006-0000-0000-000006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"Manually input from previous year's update "</t>
        </r>
        <r>
          <rPr>
            <i/>
            <sz val="8"/>
            <color indexed="81"/>
            <rFont val="Tahoma"/>
            <family val="2"/>
          </rPr>
          <t>Schedule 11 Rates by Project</t>
        </r>
        <r>
          <rPr>
            <sz val="8"/>
            <color indexed="81"/>
            <rFont val="Tahoma"/>
            <family val="2"/>
          </rPr>
          <t>" sheet column Q.</t>
        </r>
      </text>
    </comment>
    <comment ref="K16" authorId="0" shapeId="0" xr:uid="{00000000-0006-0000-0000-000007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These values reflect SPP remittance to AEP of Schedule 11 revenues for prior Calendar Year T-service transactions.</t>
        </r>
      </text>
    </comment>
    <comment ref="L1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can also be referred to as the Billing Error.</t>
        </r>
      </text>
    </comment>
    <comment ref="N16" authorId="1" shapeId="0" xr:uid="{00000000-0006-0000-0000-000009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This is "Prior Year True-Up (WS-G)"; and "Incentive Amounts" O88</t>
        </r>
      </text>
    </comment>
    <comment ref="O16" authorId="1" shapeId="0" xr:uid="{00000000-0006-0000-0000-00000A000000}">
      <text>
        <r>
          <rPr>
            <b/>
            <sz val="8"/>
            <color indexed="81"/>
            <rFont val="Tahoma"/>
            <family val="2"/>
          </rPr>
          <t>AEP:</t>
        </r>
        <r>
          <rPr>
            <sz val="8"/>
            <color indexed="81"/>
            <rFont val="Tahoma"/>
            <family val="2"/>
          </rPr>
          <t xml:space="preserve">
Prior Year Projected (WS-F) and Incentive Amounts [cell O87]</t>
        </r>
      </text>
    </comment>
    <comment ref="C28" authorId="1" shapeId="0" xr:uid="{00000000-0006-0000-0000-00000B000000}">
      <text>
        <r>
          <rPr>
            <b/>
            <sz val="9"/>
            <color indexed="81"/>
            <rFont val="Tahoma"/>
            <family val="2"/>
          </rPr>
          <t xml:space="preserve">AEP:
</t>
        </r>
        <r>
          <rPr>
            <sz val="9"/>
            <color indexed="81"/>
            <rFont val="Tahoma"/>
            <family val="2"/>
          </rPr>
          <t xml:space="preserve">The SPP NTC only allows 94% of this project to be Base Plan.  Therefore, from 2014 Update onward, the indicated ATTR is based upon 94% of actual project investment.
In previous annual Updates, AEP provided 100% investment based ATRR thus SPP only collected 94% of the indicated ATRRs.  
Repeating:  from 2014 Update onward, no scaling is required by SPP as the indicated ATRR is already refelcting the 94% scaler per the original NTC.
</t>
        </r>
      </text>
    </comment>
    <comment ref="K54" authorId="2" shapeId="0" xr:uid="{00000000-0006-0000-0000-00000C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This amount was booked by AEP during CY 2014.  Represents Sch. 11 revenues remitted from SPP&gt;</t>
        </r>
      </text>
    </comment>
    <comment ref="Q54" authorId="3" shapeId="0" xr:uid="{00000000-0006-0000-0000-00000D000000}">
      <text>
        <r>
          <rPr>
            <b/>
            <sz val="9"/>
            <color indexed="81"/>
            <rFont val="Tahoma"/>
            <family val="2"/>
          </rPr>
          <t>S177040:</t>
        </r>
        <r>
          <rPr>
            <sz val="9"/>
            <color indexed="81"/>
            <rFont val="Tahoma"/>
            <family val="2"/>
          </rPr>
          <t xml:space="preserve">
From "33" Base Plan Interest file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R.Pennybaker</author>
  </authors>
  <commentList>
    <comment ref="L19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R.Pennybaker:</t>
        </r>
        <r>
          <rPr>
            <sz val="8"/>
            <color indexed="81"/>
            <rFont val="Tahoma"/>
            <family val="2"/>
          </rPr>
          <t xml:space="preserve">
This value comes from Formula Template file via data INPUT table below.  Then, it supuplies the project year value to the P.xxx sheets.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8" authorId="0" shapeId="0" xr:uid="{00000000-0006-0000-04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previous years depreciation.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Mary Williamson</author>
    <author>rlp</author>
  </authors>
  <commentList>
    <comment ref="O5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Mary Williamson:</t>
        </r>
        <r>
          <rPr>
            <sz val="9"/>
            <color indexed="81"/>
            <rFont val="Tahoma"/>
            <family val="2"/>
          </rPr>
          <t xml:space="preserve">
Wavetrap at Snyder portion of this project is being DA to WFEC due to the cancellation of their power plant construction.</t>
        </r>
      </text>
    </comment>
    <comment ref="D100" authorId="1" shapeId="0" xr:uid="{00000000-0006-0000-06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Updated total investment less sum of prior year(s) depreciation.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G17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Projected 2008 ARR not published in 2008 update because project not included until 2009 update.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20" authorId="0" shapeId="0" xr:uid="{00000000-0006-0000-0A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(not prev published).</t>
        </r>
      </text>
    </comment>
    <comment ref="D100" authorId="0" shapeId="0" xr:uid="{00000000-0006-0000-0A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2007/6 historic values from 09 template calculations (not prev published).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rlp</author>
  </authors>
  <commentList>
    <comment ref="D19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2009 &amp; prior historic values from 2010 template calculations (data not prev published).</t>
        </r>
      </text>
    </comment>
    <comment ref="D100" authorId="0" shapeId="0" xr:uid="{00000000-0006-0000-0B00-000002000000}">
      <text>
        <r>
          <rPr>
            <b/>
            <sz val="8"/>
            <color indexed="81"/>
            <rFont val="Tahoma"/>
            <family val="2"/>
          </rPr>
          <t>rlp:</t>
        </r>
        <r>
          <rPr>
            <sz val="8"/>
            <color indexed="81"/>
            <rFont val="Tahoma"/>
            <family val="2"/>
          </rPr>
          <t xml:space="preserve">
2008/7 hist values from 09 template (not prev published).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AEP</author>
  </authors>
  <commentList>
    <comment ref="D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Per SPP NTC, Investment (EOY) is input as 94% of actual total investment provided by Planning.</t>
        </r>
      </text>
    </comment>
    <comment ref="D2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AEP:</t>
        </r>
        <r>
          <rPr>
            <sz val="9"/>
            <color indexed="81"/>
            <rFont val="Tahoma"/>
            <family val="2"/>
          </rPr>
          <t xml:space="preserve">
This year's Beginning Balance changed by both an IU (investment update) as well as starting the 94% scaler.  This year (2014) reflects 1st year Investment (EOY) value is scaled 94% on the front end vs SPP scaling ARR values on the back end.</t>
        </r>
      </text>
    </comment>
  </commentList>
</comments>
</file>

<file path=xl/sharedStrings.xml><?xml version="1.0" encoding="utf-8"?>
<sst xmlns="http://schemas.openxmlformats.org/spreadsheetml/2006/main" count="4540" uniqueCount="387">
  <si>
    <t>I.</t>
  </si>
  <si>
    <t xml:space="preserve">   Project ROE Incentive Adder (Enter as whole number)</t>
  </si>
  <si>
    <t>&lt;==Incentive ROE  Cannot Exceed 12.45%</t>
  </si>
  <si>
    <t>SUMMARY OF PROJECTED ANNUAL BASE PLAN AND  NON-BASE PLAN REVENUE REQUIREMENTS</t>
  </si>
  <si>
    <t>%</t>
  </si>
  <si>
    <t>Cost</t>
  </si>
  <si>
    <t>Weighted cost</t>
  </si>
  <si>
    <t>Long Term Debt</t>
  </si>
  <si>
    <t>Rev Require</t>
  </si>
  <si>
    <t xml:space="preserve"> W Incentives</t>
  </si>
  <si>
    <t>Incentive Amounts</t>
  </si>
  <si>
    <t>Preferred Stock</t>
  </si>
  <si>
    <t>Common Stock</t>
  </si>
  <si>
    <t>PROJECTED YEAR</t>
  </si>
  <si>
    <t>R =</t>
  </si>
  <si>
    <r>
      <t xml:space="preserve">Note:  </t>
    </r>
    <r>
      <rPr>
        <sz val="10"/>
        <rFont val="Arial"/>
        <family val="2"/>
      </rPr>
      <t xml:space="preserve">Review formulas in summary to ensure the proper year's revenue requirement is being </t>
    </r>
  </si>
  <si>
    <t>accumulated for each project from the tables below.</t>
  </si>
  <si>
    <t xml:space="preserve">   R   (fom A. above)</t>
  </si>
  <si>
    <t xml:space="preserve">   Return (Rate Base  x  R)</t>
  </si>
  <si>
    <t xml:space="preserve">   Return   (from B. above)</t>
  </si>
  <si>
    <t xml:space="preserve">   EIT=(T/(1-T)) * (1-(WCLTD/WACC)) =</t>
  </si>
  <si>
    <t xml:space="preserve">   Income Tax Calculation  (Return  x  EIT)</t>
  </si>
  <si>
    <t xml:space="preserve">   Income Taxes</t>
  </si>
  <si>
    <t>II.</t>
  </si>
  <si>
    <t>A.   Determine Net Revenue Requirement less return and Income Taxes.</t>
  </si>
  <si>
    <t xml:space="preserve">   Net Revenue Requirement, Less Return and Taxes</t>
  </si>
  <si>
    <t xml:space="preserve">   Income Taxes  (from I.C. above)</t>
  </si>
  <si>
    <t xml:space="preserve">   Revenue Requirement w/ Gross Margin Taxes</t>
  </si>
  <si>
    <t xml:space="preserve">      Basis Point ROE increase (II B. above)</t>
  </si>
  <si>
    <t xml:space="preserve">       Apportioned Texas Revenues</t>
  </si>
  <si>
    <t xml:space="preserve">       Taxable, Apportioned Margin</t>
  </si>
  <si>
    <t xml:space="preserve">       Texas Gross Margin Tax Rate</t>
  </si>
  <si>
    <t xml:space="preserve">       Texas Gross Margin Tax Expense</t>
  </si>
  <si>
    <t xml:space="preserve">      Gross-up Required for Gross Margin Tax Expense </t>
  </si>
  <si>
    <t>Total Additional Gross Margin Tax Revenue Requirement</t>
  </si>
  <si>
    <t>III.</t>
  </si>
  <si>
    <t>Calculation of Composite Depreciation Rate</t>
  </si>
  <si>
    <t>Transmission Plant @ Beginning of Period (P.206, ln 58)</t>
  </si>
  <si>
    <t>Transmission Plant @ End of Period (P.207, ln 58)</t>
  </si>
  <si>
    <t>Composite Depreciation Rate</t>
  </si>
  <si>
    <t>Depreciable Life for Composite Depreciation Rate</t>
  </si>
  <si>
    <t>Round to nearest whole year</t>
  </si>
  <si>
    <t>IV.</t>
  </si>
  <si>
    <t>Determine the Revenue Requirement &amp; Additional Revenue Requirement for facilities receiving incentives.</t>
  </si>
  <si>
    <t>A.   Facilities receiving incentives accepted by FERC in Docket No.</t>
  </si>
  <si>
    <t xml:space="preserve">   (e.g. ER05-925-000)</t>
  </si>
  <si>
    <t xml:space="preserve">Project Description: </t>
  </si>
  <si>
    <t>Current Projected Year Incentive ARR</t>
  </si>
  <si>
    <t>DETAILS</t>
  </si>
  <si>
    <t>TP2006087</t>
  </si>
  <si>
    <t>Investment</t>
  </si>
  <si>
    <t>Current Year</t>
  </si>
  <si>
    <t>CUMMULATIVE HISTORY OF PROJECTED ANNUAL REVENUE REQUIREMENTS:</t>
  </si>
  <si>
    <t>Service Year (yyyy)</t>
  </si>
  <si>
    <t>ROE increase accepted by FERC (Basis Points)</t>
  </si>
  <si>
    <t>Service Month (1-12)</t>
  </si>
  <si>
    <t>FCR w/o incentives, less depreciation</t>
  </si>
  <si>
    <t xml:space="preserve">          TEMPLATE BELOW TO MAINTAIN HISTORY OF PROJECTED ARRS OVER THE </t>
  </si>
  <si>
    <t>Useful life</t>
  </si>
  <si>
    <t>FCR w/incentives approved for these facilities, less dep.</t>
  </si>
  <si>
    <t xml:space="preserve">         LIFE OF THE PROJECT.</t>
  </si>
  <si>
    <t>CIAC (Yes or No)</t>
  </si>
  <si>
    <t>No</t>
  </si>
  <si>
    <t>Annual Depreciation Expense</t>
  </si>
  <si>
    <t>Beginning</t>
  </si>
  <si>
    <t>Depreciation</t>
  </si>
  <si>
    <t>Ending</t>
  </si>
  <si>
    <t>Additional Rev.</t>
  </si>
  <si>
    <t>Project Rev Req't True-up</t>
  </si>
  <si>
    <t>True-up of Incentive</t>
  </si>
  <si>
    <t>Year</t>
  </si>
  <si>
    <t>Balance</t>
  </si>
  <si>
    <t>Expense</t>
  </si>
  <si>
    <t xml:space="preserve">Requirement </t>
  </si>
  <si>
    <t xml:space="preserve">with Incentives </t>
  </si>
  <si>
    <t xml:space="preserve">  </t>
  </si>
  <si>
    <t xml:space="preserve">w/o Incentives </t>
  </si>
  <si>
    <t>Project Totals</t>
  </si>
  <si>
    <t>additional incentive requirement is applicable for the life of this specific project.  Each year the revenue requirement calculated for SPP</t>
  </si>
  <si>
    <t xml:space="preserve">should be incremented by the amount of the incentive revenue calculated for that year on this project. </t>
  </si>
  <si>
    <t>TP2007059</t>
  </si>
  <si>
    <t>TP2006054</t>
  </si>
  <si>
    <t>TP2004147</t>
  </si>
  <si>
    <t>TP2005006</t>
  </si>
  <si>
    <t>Pryor Junction 138/69 Upgrade Transf</t>
  </si>
  <si>
    <t>TP2006090</t>
  </si>
  <si>
    <t>TP2007015</t>
  </si>
  <si>
    <t>TP2005046</t>
  </si>
  <si>
    <t>TP2004033</t>
  </si>
  <si>
    <t>SUMMARY OF TRUED-UP ANNUAL REVENUE REQUIREMENTS FOR SPP BPU &amp; NON-BPU PROJECTS</t>
  </si>
  <si>
    <t>TRUE-UP YEAR</t>
  </si>
  <si>
    <t>Determine the Revenue Requirement, and Additional Revenue Requirement for facilities receiving incentives.</t>
  </si>
  <si>
    <t>Project Description:</t>
  </si>
  <si>
    <t>Details</t>
  </si>
  <si>
    <t>True-Up Year</t>
  </si>
  <si>
    <t>CUMMULATIVE HISTORY OF TRUED-UP ANNUAL REVENUE REQUIREMENTS:</t>
  </si>
  <si>
    <t xml:space="preserve">          TEMPLATE BELOW TO MAINTAIN HISTORY OF TRUED-UP ARRS OVER THE </t>
  </si>
  <si>
    <t>Average</t>
  </si>
  <si>
    <t>Incentive Rev.</t>
  </si>
  <si>
    <t>BPU Rev Req't True-up</t>
  </si>
  <si>
    <r>
      <t xml:space="preserve">** </t>
    </r>
    <r>
      <rPr>
        <sz val="10"/>
        <rFont val="Arial"/>
        <family val="2"/>
      </rPr>
      <t xml:space="preserve"> This is the total amount that needs to be reported to SPP for billing to all regions. </t>
    </r>
  </si>
  <si>
    <t xml:space="preserve">Average </t>
  </si>
  <si>
    <t>BPU Rev. Req't.From Prior Year Template</t>
  </si>
  <si>
    <r>
      <t xml:space="preserve">   Return   (from </t>
    </r>
    <r>
      <rPr>
        <sz val="10"/>
        <rFont val="MS Serif"/>
        <family val="1"/>
      </rPr>
      <t>I</t>
    </r>
    <r>
      <rPr>
        <sz val="10"/>
        <rFont val="Arial"/>
        <family val="2"/>
      </rPr>
      <t>.B. above)</t>
    </r>
  </si>
  <si>
    <r>
      <t xml:space="preserve">Requirement </t>
    </r>
    <r>
      <rPr>
        <b/>
        <sz val="10"/>
        <color indexed="10"/>
        <rFont val="Arial"/>
        <family val="2"/>
      </rPr>
      <t>##</t>
    </r>
  </si>
  <si>
    <r>
      <t>with Incentives</t>
    </r>
    <r>
      <rPr>
        <b/>
        <sz val="10"/>
        <color indexed="10"/>
        <rFont val="Arial"/>
        <family val="2"/>
      </rPr>
      <t xml:space="preserve"> **</t>
    </r>
  </si>
  <si>
    <r>
      <t>##</t>
    </r>
    <r>
      <rPr>
        <b/>
        <sz val="10"/>
        <rFont val="Arial"/>
        <family val="2"/>
      </rPr>
      <t xml:space="preserve"> This is the calculation of  additional incentive revenue on projects deemed by the FERC to be eligible for an incentive return.  This</t>
    </r>
  </si>
  <si>
    <r>
      <t xml:space="preserve">##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</si>
  <si>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>inset project name here</t>
  </si>
  <si>
    <t>Long Term Debt %</t>
  </si>
  <si>
    <t>Long Term Debt Cost</t>
  </si>
  <si>
    <t>Preferred Stock %</t>
  </si>
  <si>
    <t>Preferred Stock Cost</t>
  </si>
  <si>
    <t>Common Stock %</t>
  </si>
  <si>
    <t>EXPORT DATA to Template PSO WS F</t>
  </si>
  <si>
    <t>STEP 2</t>
  </si>
  <si>
    <t>STEP 3</t>
  </si>
  <si>
    <t>PSO</t>
  </si>
  <si>
    <t xml:space="preserve">       Apportionment Factor to Texas (Worksheet K, ln 12)</t>
  </si>
  <si>
    <t>Black text is not used in this workbook.</t>
  </si>
  <si>
    <t>Blue text is used by this workbbok and driven by non WS-F Formula Rate template worksheets</t>
  </si>
  <si>
    <t>SEE INPUT/OUTPUT ranges to the right  ----&gt;</t>
  </si>
  <si>
    <t>SEE INPUT/OUTPUT ranges to the right  ------&gt;</t>
  </si>
  <si>
    <t xml:space="preserve">AEP West SPP Member Companies </t>
  </si>
  <si>
    <t>PUBLIC SERVICE COMPANY OF OKLAHOMA</t>
  </si>
  <si>
    <t>See INPUT/OUTPUT ranges below.</t>
  </si>
  <si>
    <t>STEP 1</t>
  </si>
  <si>
    <t>Is done first in the main Formula Rate template  Worksheet F.</t>
  </si>
  <si>
    <t>STEP 4</t>
  </si>
  <si>
    <t>Is done last in the main Formula Rate template  Worksheet F.</t>
  </si>
  <si>
    <t>Copy to main FR Template</t>
  </si>
  <si>
    <t>Project Description</t>
  </si>
  <si>
    <t>Is done first in the main Formula Rate template  Worksheet G.</t>
  </si>
  <si>
    <t>Is done last in the main Formula Rate template  Worksheet G.</t>
  </si>
  <si>
    <t>EXPORT DATA to main FR Template PSO WS G</t>
  </si>
  <si>
    <t>Blue text below is used by this workbbok and comes from main Formula Rate template WS-G sheet.</t>
  </si>
  <si>
    <t>As Projected in Prior Year WS F   Rev Require</t>
  </si>
  <si>
    <t>As Projected in Prior Year WS F    W Incentives</t>
  </si>
  <si>
    <t>Actual after True-up Rev Require</t>
  </si>
  <si>
    <t>Actual after True-up  W Incentives</t>
  </si>
  <si>
    <r>
      <t>Worksheet F</t>
    </r>
    <r>
      <rPr>
        <sz val="14"/>
        <rFont val="Arial"/>
        <family val="2"/>
      </rPr>
      <t xml:space="preserve"> - Calculation of PROJECTED Annual Revenue Requirement for BPU and Special-billed Projects</t>
    </r>
  </si>
  <si>
    <r>
      <t>Worksheet G</t>
    </r>
    <r>
      <rPr>
        <sz val="14"/>
        <rFont val="Arial"/>
        <family val="2"/>
      </rPr>
      <t xml:space="preserve"> - Calculation of TRUED-UP Annual Revenue Requirement for BPU and Special-billed Projects</t>
    </r>
  </si>
  <si>
    <t>Worksheet F --- DATA INPUT (Paste.Values) from TEMPLATE PSO WS F</t>
  </si>
  <si>
    <t>&lt;----Worksheet data is for</t>
  </si>
  <si>
    <t>Worksheet F</t>
  </si>
  <si>
    <t>Worksheet G</t>
  </si>
  <si>
    <r>
      <t>Worksheet G  --  PUBLIC SERVICE COMPANY OF OKLAHOMA  --  Calculation of "</t>
    </r>
    <r>
      <rPr>
        <b/>
        <u/>
        <sz val="16"/>
        <rFont val="Arial"/>
        <family val="2"/>
      </rPr>
      <t>Trued-Up</t>
    </r>
    <r>
      <rPr>
        <b/>
        <sz val="16"/>
        <rFont val="Arial"/>
        <family val="2"/>
      </rPr>
      <t>" ARR for SPP Base Plan Upgrade Projects</t>
    </r>
  </si>
  <si>
    <r>
      <t>Worksheet F  --  PUBLIC SERVICE COMPANY OF OKLAHOMA  --  Calculation of "</t>
    </r>
    <r>
      <rPr>
        <b/>
        <u/>
        <sz val="16"/>
        <rFont val="Arial"/>
        <family val="2"/>
      </rPr>
      <t>Projected</t>
    </r>
    <r>
      <rPr>
        <b/>
        <sz val="16"/>
        <rFont val="Arial"/>
        <family val="2"/>
      </rPr>
      <t>" ARR for SPP Base Plan Upgrade Projects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</si>
  <si>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</si>
  <si>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r>
      <t>##</t>
    </r>
    <r>
      <rPr>
        <sz val="10"/>
        <rFont val="Arial"/>
        <family val="2"/>
      </rPr>
      <t xml:space="preserve"> </t>
    </r>
    <r>
      <rPr>
        <b/>
        <sz val="10"/>
        <color indexed="8"/>
        <rFont val="Arial"/>
        <family val="2"/>
      </rPr>
      <t>This is the calculation of  additional incentive revenue on projects deemed by the FERC to be eligible for an incentive return.  This</t>
    </r>
  </si>
  <si>
    <t xml:space="preserve">(Worksheet F)    </t>
  </si>
  <si>
    <t xml:space="preserve">(Worksheet G)    </t>
  </si>
  <si>
    <t>basis points</t>
  </si>
  <si>
    <t>w/Incentives</t>
  </si>
  <si>
    <t xml:space="preserve">Prior Year Projected  (WS-F)  </t>
  </si>
  <si>
    <t xml:space="preserve">Prior Year True-Up  (WS-G)  </t>
  </si>
  <si>
    <t xml:space="preserve">True-Up Adjustment  </t>
  </si>
  <si>
    <t>AEP Transmission Formula Rate Template</t>
  </si>
  <si>
    <t xml:space="preserve">AEP Schedule 11 Revenue Requirement Including True-Up of Prior Collections </t>
  </si>
  <si>
    <t>(A)</t>
  </si>
  <si>
    <t>(B)</t>
  </si>
  <si>
    <t>(C )</t>
  </si>
  <si>
    <t>(D)</t>
  </si>
  <si>
    <t>(E)</t>
  </si>
  <si>
    <t>(F)</t>
  </si>
  <si>
    <t>(H)</t>
  </si>
  <si>
    <t>(I)</t>
  </si>
  <si>
    <t>(M)</t>
  </si>
  <si>
    <t>Base ARR</t>
  </si>
  <si>
    <t>Owner</t>
  </si>
  <si>
    <t>Year in Service</t>
  </si>
  <si>
    <t>Incentive</t>
  </si>
  <si>
    <t>Total</t>
  </si>
  <si>
    <t>True-up</t>
  </si>
  <si>
    <t>As Billed</t>
  </si>
  <si>
    <t>Change</t>
  </si>
  <si>
    <t>Interest</t>
  </si>
  <si>
    <t>PSO Total</t>
  </si>
  <si>
    <t>P.001</t>
  </si>
  <si>
    <t>Sheet Name</t>
  </si>
  <si>
    <t>P.002</t>
  </si>
  <si>
    <t>P.003</t>
  </si>
  <si>
    <t>P.004</t>
  </si>
  <si>
    <t>P.005</t>
  </si>
  <si>
    <t>P.006</t>
  </si>
  <si>
    <t>P.007</t>
  </si>
  <si>
    <t>P.008</t>
  </si>
  <si>
    <t>P.009</t>
  </si>
  <si>
    <t>Indirect References</t>
  </si>
  <si>
    <r>
      <t xml:space="preserve">Calculation of Schedule </t>
    </r>
    <r>
      <rPr>
        <sz val="12"/>
        <rFont val="Arial"/>
        <family val="2"/>
      </rPr>
      <t>11 Revenue Requirements For AEP Transmission Projects</t>
    </r>
  </si>
  <si>
    <r>
      <t xml:space="preserve">   DO </t>
    </r>
    <r>
      <rPr>
        <b/>
        <sz val="10"/>
        <color indexed="10"/>
        <rFont val="Arial"/>
        <family val="2"/>
      </rPr>
      <t>NOT</t>
    </r>
    <r>
      <rPr>
        <b/>
        <sz val="10"/>
        <rFont val="Arial"/>
        <family val="2"/>
      </rPr>
      <t xml:space="preserve"> delete this row or the formulas above will not work.</t>
    </r>
  </si>
  <si>
    <t>from WS-F &amp; G</t>
  </si>
  <si>
    <t>Do NOT delete.</t>
  </si>
  <si>
    <r>
      <t xml:space="preserve">TRUE-UP Adjustment </t>
    </r>
    <r>
      <rPr>
        <sz val="10"/>
        <rFont val="Arial"/>
        <family val="2"/>
      </rPr>
      <t>(WS-G)</t>
    </r>
  </si>
  <si>
    <r>
      <t xml:space="preserve">Base ARR
</t>
    </r>
    <r>
      <rPr>
        <sz val="10"/>
        <rFont val="Arial"/>
        <family val="2"/>
      </rPr>
      <t>(WS-F)</t>
    </r>
  </si>
  <si>
    <t>COLLECTION Adjustment</t>
  </si>
  <si>
    <t>Incentive ARR</t>
  </si>
  <si>
    <t>(J)</t>
  </si>
  <si>
    <t>(L)</t>
  </si>
  <si>
    <t>(O)</t>
  </si>
  <si>
    <t>Total Adjustments before Interest</t>
  </si>
  <si>
    <t>the column above</t>
  </si>
  <si>
    <t>is used to feed interest</t>
  </si>
  <si>
    <t>calculation engine and its</t>
  </si>
  <si>
    <t>output is put into the interest</t>
  </si>
  <si>
    <t>PROJECTED Rev. Req't From Prior Year Template</t>
  </si>
  <si>
    <t>Catoosa 138 kV Device (Cap. Bank)</t>
  </si>
  <si>
    <t>Cache-Snyder to Altus Jct. 138 kV line (w/2 ring bus stations)</t>
  </si>
  <si>
    <t>WFEC New 138 kV Ties: Sayre to Erick (WFEC) Line &amp; Atoka and Tupelo station work</t>
  </si>
  <si>
    <t>Riverside-Glenpool (81-523) Reconductor</t>
  </si>
  <si>
    <t>Craig Jct. to Broken Bow Dam 138 Rebuild (7.7mi)</t>
  </si>
  <si>
    <t>TRUE-UP Rev. Req't.From Prior Year Template</t>
  </si>
  <si>
    <t xml:space="preserve"> Worksheet G</t>
  </si>
  <si>
    <r>
      <t xml:space="preserve">As Billed
by SPP
</t>
    </r>
    <r>
      <rPr>
        <sz val="10"/>
        <rFont val="Arial"/>
        <family val="2"/>
      </rPr>
      <t>(for Prior Yr
T-Service)</t>
    </r>
  </si>
  <si>
    <t>Elk City - Elk City 69 kV line (CT Upgrades)*</t>
  </si>
  <si>
    <t>Weleetka &amp; Okmulgee Wavetrap replacement 81-805*</t>
  </si>
  <si>
    <t>Tulsa Southeast Upgrade (repl switches)*</t>
  </si>
  <si>
    <t>*&lt;$100K investment</t>
  </si>
  <si>
    <t xml:space="preserve">∑ Prior Year True-Up  (WS-G)  </t>
  </si>
  <si>
    <t xml:space="preserve">∑ Prior Year Projected  (WS-F)  </t>
  </si>
  <si>
    <r>
      <t xml:space="preserve">Total Adjustments
</t>
    </r>
    <r>
      <rPr>
        <sz val="8"/>
        <rFont val="Arial"/>
        <family val="2"/>
      </rPr>
      <t>(True-Up, Billing, &amp; Interest)</t>
    </r>
  </si>
  <si>
    <t>TP2009011</t>
  </si>
  <si>
    <t>P.010</t>
  </si>
  <si>
    <t>Projected ADJUSTED ARR from Prior Update</t>
  </si>
  <si>
    <t>*</t>
  </si>
  <si>
    <t>column to left (Q).</t>
  </si>
  <si>
    <t>Investment (EOY)</t>
  </si>
  <si>
    <t>Worksheet G ---- DATA INPUT (Paste.Values) from main FR TEMPLATE PSO WS G</t>
  </si>
  <si>
    <t>TP2008079-PSO</t>
  </si>
  <si>
    <t>Bartlesville SE to Coffeyville T Rebuild</t>
  </si>
  <si>
    <t>P.011</t>
  </si>
  <si>
    <t xml:space="preserve">   Determine R  (cost of long term debt, cost of preferred stock and percent is from Projected TCOS, lns 147 through 149)</t>
  </si>
  <si>
    <t xml:space="preserve">   Determine R  (cost of long term debt, cost of preferred stock and percent is from True-Up TCOS, lns 134 through 136)</t>
  </si>
  <si>
    <t>TP2009095-PSO</t>
  </si>
  <si>
    <t>Canadian River - McAlester City 138 kV Line Conversion</t>
  </si>
  <si>
    <t>P.012</t>
  </si>
  <si>
    <t>TP2008013</t>
  </si>
  <si>
    <t>P.013</t>
  </si>
  <si>
    <t>TP2009092</t>
  </si>
  <si>
    <t>Ashdown West - Craig Junction</t>
  </si>
  <si>
    <t>P.014</t>
  </si>
  <si>
    <t>NOTE:</t>
  </si>
  <si>
    <t>To INSERT a new project line item (row)</t>
  </si>
  <si>
    <t>1.   Insert blank row(s) for new project(s) between TOTAL row and existing last project row.</t>
  </si>
  <si>
    <t>2.  Copy entire contents of last project Row, then Paste into new blank row(s), again….leave 1 blank row to maintain summing formulas.</t>
  </si>
  <si>
    <t>0a.  Always maintain a blank row between TOTAL and last project (this maintains summing formulas in Totalization row.</t>
  </si>
  <si>
    <t>0b.   Always add and fill out new P.0xx Project Sheet(s) before inserting rows on this summary sheet.</t>
  </si>
  <si>
    <t>3.  In the SheetName column in this sheet…change the P.0xx type number(s) to match the corresponding newly added P.0xx sheets.</t>
  </si>
  <si>
    <t>WFEC DA Adjustment</t>
  </si>
  <si>
    <t>TP2009093</t>
  </si>
  <si>
    <t>Locust Grove to Lone Star 115 kV Rebuild 2.1 miles</t>
  </si>
  <si>
    <t>TP2011093</t>
  </si>
  <si>
    <t>Cornville Station Conversion</t>
  </si>
  <si>
    <t>P.015</t>
  </si>
  <si>
    <t>P.016</t>
  </si>
  <si>
    <t>Wavetrap Clinton City-Foss Tap 69kV Ckt 1*</t>
  </si>
  <si>
    <t>CoffeyvilleT to Dearing 138 kv Rebuild - 1.1 mi*</t>
  </si>
  <si>
    <t>Note:  Project's whose investment cost do NOT meet SPP's $100,000 threshold for 'regional' socialization are marked with an asterik "*" as SPP will only collect those ATRRs from the zone.</t>
  </si>
  <si>
    <t xml:space="preserve">  SPP Project ID = 649</t>
  </si>
  <si>
    <t xml:space="preserve">  SPP Project ID = 30346</t>
  </si>
  <si>
    <t>NOTE:  Original NTC indicates only 94% to be Base Plan.</t>
  </si>
  <si>
    <t>&lt;&lt; 2014-present ARR values based on 94% actual cost.  Yrs 2011-13 ARR values based on 100% actual cost (SPP scaled ARR data) &gt;&gt;</t>
  </si>
  <si>
    <t>Grady Customer Connection</t>
  </si>
  <si>
    <t>Darlington-Red Rock 138 kV line</t>
  </si>
  <si>
    <t>P.017</t>
  </si>
  <si>
    <t>P.018</t>
  </si>
  <si>
    <t>***Sch. 11 recovery commenced in 2015 rate year***</t>
  </si>
  <si>
    <t xml:space="preserve"> &lt;--- this value goes to sched 11 interest support file - line 17</t>
  </si>
  <si>
    <t>TP2012112</t>
  </si>
  <si>
    <t xml:space="preserve">***Sch. 11 recovery commenced in the 2015 rate year.  Beg Bal = to depreciated balance as of 1/1/15. *** </t>
  </si>
  <si>
    <t>P.019</t>
  </si>
  <si>
    <t>P.020</t>
  </si>
  <si>
    <t>P.021</t>
  </si>
  <si>
    <t>P.022</t>
  </si>
  <si>
    <t>Darlington-Roman Nose 138 kV</t>
  </si>
  <si>
    <t>Northeastern Station 138 kV Terminal Upgrades</t>
  </si>
  <si>
    <t>Valliant-NW Texarkana 345 kV</t>
  </si>
  <si>
    <t>Sayre 138 kV Capacitor Bank Addition</t>
  </si>
  <si>
    <t>&lt;==From Input on Worksheet A</t>
  </si>
  <si>
    <t>Current Projected Year ARR</t>
  </si>
  <si>
    <t>Current Projected Year ARR w/ Incentive</t>
  </si>
  <si>
    <t>Beg/Ending 
Average
Revenue</t>
  </si>
  <si>
    <t>Beg/Ending
Average
Revenue Req't.</t>
  </si>
  <si>
    <t xml:space="preserve">       Taxable Percentage of Revenue (22%)</t>
  </si>
  <si>
    <t xml:space="preserve">Worksheet F </t>
  </si>
  <si>
    <t xml:space="preserve">   FCR less Depreciation  (Projected TCOS, ln 12)</t>
  </si>
  <si>
    <t>TP2013002</t>
  </si>
  <si>
    <t xml:space="preserve">  SPP Project ID = 30748</t>
  </si>
  <si>
    <t xml:space="preserve">  SPP Project ID = 770</t>
  </si>
  <si>
    <t xml:space="preserve">  SPP Project ID = 295</t>
  </si>
  <si>
    <t xml:space="preserve">  SPP Project ID = 767</t>
  </si>
  <si>
    <t>TP2009089</t>
  </si>
  <si>
    <t xml:space="preserve">  SPP Project ID = 936</t>
  </si>
  <si>
    <t>TP2015202</t>
  </si>
  <si>
    <t xml:space="preserve">  SPP Project ID = 30997</t>
  </si>
  <si>
    <t>TP2015027</t>
  </si>
  <si>
    <t xml:space="preserve">  SPP Project ID = 30619</t>
  </si>
  <si>
    <t>TP2015169</t>
  </si>
  <si>
    <t xml:space="preserve">  SPP Project ID = 31003</t>
  </si>
  <si>
    <t>Elk City 138KV Move Load</t>
  </si>
  <si>
    <t>TP2011110</t>
  </si>
  <si>
    <t xml:space="preserve">  SPP Project ID = 31005</t>
  </si>
  <si>
    <t>Duncan-Comanche Tap 69 KV Rebuild</t>
  </si>
  <si>
    <t>TP2015191</t>
  </si>
  <si>
    <t xml:space="preserve">  SPP Project ID = 31009</t>
  </si>
  <si>
    <t>P.023</t>
  </si>
  <si>
    <t>P.024</t>
  </si>
  <si>
    <t xml:space="preserve">   ROE w/o incentives  (Projected TCOS, ln 148)</t>
  </si>
  <si>
    <t>Annual Depreciation Expense  (Historic TCOS, ln 244)</t>
  </si>
  <si>
    <t>Fort Towson-Valliant Line Rebuild</t>
  </si>
  <si>
    <t>TP2015204</t>
  </si>
  <si>
    <t>P.025</t>
  </si>
  <si>
    <t xml:space="preserve">   Excess DFIT Adjustment  (TCOS, ln 109)</t>
  </si>
  <si>
    <t xml:space="preserve">   Tax Effect of Permanent and Flow Through Differences (TCOS, ln 110)</t>
  </si>
  <si>
    <t xml:space="preserve">   Rate Base  (TCOS, ln 62)</t>
  </si>
  <si>
    <t xml:space="preserve">   Tax Rate  (TCOS, ln 97)</t>
  </si>
  <si>
    <t xml:space="preserve">   ITC Adjustment  (TCOS, ln 106)</t>
  </si>
  <si>
    <t xml:space="preserve">   Excess DFIT Adjustment  (TCOS, ln 107)</t>
  </si>
  <si>
    <t xml:space="preserve">   Tax Effect of Permanent and Flow Through Differences  (TCOS, ln 108)</t>
  </si>
  <si>
    <t xml:space="preserve">   Net Revenue Requirement  (TCOS, ln 115)</t>
  </si>
  <si>
    <t xml:space="preserve">   Return  (TCOS, ln 110)</t>
  </si>
  <si>
    <t xml:space="preserve">   Income Taxes  (TCOS, ln 109)</t>
  </si>
  <si>
    <t xml:space="preserve">  Gross Margin Taxes  (TCOS, ln 114)</t>
  </si>
  <si>
    <t xml:space="preserve">   Less: Depreciation  (TCOS, ln 84)</t>
  </si>
  <si>
    <t xml:space="preserve">   Net Transmission Plant  (TCOS, ln 37)</t>
  </si>
  <si>
    <t>P.026</t>
  </si>
  <si>
    <t>P.027</t>
  </si>
  <si>
    <t>Tulsa Southeast - E. 61st St 138 kV Rebuild</t>
  </si>
  <si>
    <t>Broken Arrow North-Lynn Lane East 138 kV</t>
  </si>
  <si>
    <t>TP2017011</t>
  </si>
  <si>
    <t>TP2017016</t>
  </si>
  <si>
    <t>Keystone Dam - Wekiwa 138 kV</t>
  </si>
  <si>
    <t>P.028</t>
  </si>
  <si>
    <t>Transmission Plant Average Balance for 2020</t>
  </si>
  <si>
    <t>TP2015118</t>
  </si>
  <si>
    <t xml:space="preserve">  SPP Project ID = 30809</t>
  </si>
  <si>
    <t>Tulsa SE - E 21st St Tap 138 kV</t>
  </si>
  <si>
    <t xml:space="preserve">  SPP Project ID = 81523</t>
  </si>
  <si>
    <t>P.029</t>
  </si>
  <si>
    <t>TP2020033</t>
  </si>
  <si>
    <t>Pryor Junction 138/115 kV</t>
  </si>
  <si>
    <t>TP2019132</t>
  </si>
  <si>
    <t xml:space="preserve">  SPP Project ID = 81571</t>
  </si>
  <si>
    <t>Tulsa SE - S Hudson 138 kV</t>
  </si>
  <si>
    <t>TP20033002</t>
  </si>
  <si>
    <t xml:space="preserve">  SPP Project ID = 81520</t>
  </si>
  <si>
    <t>P.030</t>
  </si>
  <si>
    <t>P.031</t>
  </si>
  <si>
    <t xml:space="preserve"> </t>
  </si>
  <si>
    <t xml:space="preserve">   ROE w/o incentives  (TCOS, ln 143)</t>
  </si>
  <si>
    <t xml:space="preserve">   Rate Base  (TCOS, ln 63)</t>
  </si>
  <si>
    <t xml:space="preserve">   Tax Rate  (TCOS, ln 99)</t>
  </si>
  <si>
    <t xml:space="preserve">   ITC Adjustment  (TCOS, ln 108)</t>
  </si>
  <si>
    <t xml:space="preserve">   Net Revenue Requirement  (TCOS, ln 117)</t>
  </si>
  <si>
    <t xml:space="preserve">   Return  (TCOS, ln 112)</t>
  </si>
  <si>
    <t xml:space="preserve">   Income Taxes  (TCOS, ln 111)</t>
  </si>
  <si>
    <t xml:space="preserve">  Gross Margin Taxes  (TCOS, ln 116)</t>
  </si>
  <si>
    <t xml:space="preserve">   Less: Depreciation  (TCOS, ln 86)</t>
  </si>
  <si>
    <t xml:space="preserve">   FCR less Depreciation  (TCOS, ln 10)</t>
  </si>
  <si>
    <t>Annual Depreciation Expense  (TCOS, ln 86)</t>
  </si>
  <si>
    <t>True-Up ARR CY 2023 From Worksheet G  (includes adjustment for SPP Collections)</t>
  </si>
  <si>
    <t>Catoosa-Blue Circle Rebuild</t>
  </si>
  <si>
    <t>TP2021281</t>
  </si>
  <si>
    <t>TP2020266</t>
  </si>
  <si>
    <t>Chisholm Substation 345 kV Terminal Upgrades</t>
  </si>
  <si>
    <t>TP2019146</t>
  </si>
  <si>
    <t>Sooner - Wekiwa 345 kV Terminal Upgrades</t>
  </si>
  <si>
    <t>Line - Osage - Webb City Tap - Shidler 138 kV Rebuild</t>
  </si>
  <si>
    <t>TA2020138</t>
  </si>
  <si>
    <t>P.032</t>
  </si>
  <si>
    <t>P.033</t>
  </si>
  <si>
    <t>P.034</t>
  </si>
  <si>
    <t>P.035</t>
  </si>
  <si>
    <t>SPP Project ID = 93038</t>
  </si>
  <si>
    <t>SPP Project ID =</t>
  </si>
  <si>
    <t>112 &amp; 117</t>
  </si>
  <si>
    <t>106 &amp; 119</t>
  </si>
  <si>
    <t>3 &amp; 4</t>
  </si>
  <si>
    <t xml:space="preserve">  SPP Project ID = 30746</t>
  </si>
  <si>
    <t xml:space="preserve">  SPP Project ID = 31058</t>
  </si>
  <si>
    <t xml:space="preserve">  SPP Project ID = 41202</t>
  </si>
  <si>
    <t xml:space="preserve">  SPP Project ID = 41233</t>
  </si>
  <si>
    <t xml:space="preserve">  SPP Project ID = 92114</t>
  </si>
  <si>
    <t xml:space="preserve">  SPP Project ID = 81717</t>
  </si>
  <si>
    <t xml:space="preserve">  SPP Project ID = 81561</t>
  </si>
  <si>
    <t>Transmission Plant Average Balance for 2024 (WS A-1 Ln 14 Col (d))</t>
  </si>
  <si>
    <t>20XX Formal Challenge Refund with Interest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</si>
</sst>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5" formatCode="&quot;$&quot;#,##0_);\(&quot;$&quot;#,##0\)"/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%"/>
    <numFmt numFmtId="165" formatCode="0.00000"/>
    <numFmt numFmtId="166" formatCode="#,##0.0000"/>
    <numFmt numFmtId="167" formatCode="0.0000"/>
    <numFmt numFmtId="168" formatCode="&quot;$&quot;#,##0"/>
    <numFmt numFmtId="169" formatCode="&quot;$&quot;#,##0.00"/>
    <numFmt numFmtId="170" formatCode="_(* #,##0_);_(* \(#,##0\);_(* &quot;-&quot;??_);_(@_)"/>
    <numFmt numFmtId="171" formatCode="_(&quot;$&quot;* #,##0_);_(&quot;$&quot;* \(#,##0\);_(&quot;$&quot;* &quot;-&quot;??_);_(@_)"/>
    <numFmt numFmtId="172" formatCode="_(* #,##0.0000_);_(* \(#,##0.0000\);_(* &quot;-&quot;????_);_(@_)"/>
    <numFmt numFmtId="173" formatCode="_(* #,##0.0000_);_(* \(#,##0.0000\);_(* &quot;-&quot;_);_(@_)"/>
    <numFmt numFmtId="174" formatCode="_(* #,##0.00000_);_(* \(#,##0.00000\);_(* &quot;-&quot;??_);_(@_)"/>
    <numFmt numFmtId="175" formatCode="_(&quot;$&quot;* #,##0.0000000_);_(&quot;$&quot;* \(#,##0.0000000\);_(&quot;$&quot;* &quot;-&quot;??_);_(@_)"/>
    <numFmt numFmtId="176" formatCode="_(* #,##0.0000000000_);_(* \(#,##0.0000000000\);_(* &quot;-&quot;??_);_(@_)"/>
    <numFmt numFmtId="177" formatCode="&quot;$&quot;#,##0\ ;\(&quot;$&quot;#,##0\)"/>
    <numFmt numFmtId="178" formatCode="_(* #,##0.0,_);_(* \(#,##0.0,\);_(* &quot;-   &quot;_);_(@_)"/>
    <numFmt numFmtId="179" formatCode="0.0000%"/>
    <numFmt numFmtId="180" formatCode="0_);\(0\)"/>
  </numFmts>
  <fonts count="123">
    <font>
      <sz val="10"/>
      <name val="Arial"/>
    </font>
    <font>
      <sz val="10"/>
      <name val="Arial"/>
      <family val="2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20"/>
      <name val="Arial Narrow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i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24"/>
      <name val="Arial Narrow"/>
      <family val="2"/>
    </font>
    <font>
      <b/>
      <i/>
      <sz val="12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sz val="9"/>
      <name val="Arial"/>
      <family val="2"/>
    </font>
    <font>
      <i/>
      <sz val="10"/>
      <name val="Arial"/>
      <family val="2"/>
    </font>
    <font>
      <sz val="9"/>
      <color indexed="18"/>
      <name val="Arial"/>
      <family val="2"/>
    </font>
    <font>
      <i/>
      <sz val="10"/>
      <color indexed="18"/>
      <name val="Arial"/>
      <family val="2"/>
    </font>
    <font>
      <sz val="10"/>
      <color indexed="18"/>
      <name val="Arial"/>
      <family val="2"/>
    </font>
    <font>
      <sz val="8"/>
      <color indexed="18"/>
      <name val="Arial"/>
      <family val="2"/>
    </font>
    <font>
      <i/>
      <sz val="9"/>
      <color indexed="18"/>
      <name val="Arial"/>
      <family val="2"/>
    </font>
    <font>
      <b/>
      <sz val="11"/>
      <color indexed="52"/>
      <name val="Arial Narrow"/>
      <family val="2"/>
    </font>
    <font>
      <b/>
      <sz val="11"/>
      <color indexed="9"/>
      <name val="Arial Narrow"/>
      <family val="2"/>
    </font>
    <font>
      <i/>
      <sz val="11"/>
      <color indexed="23"/>
      <name val="Arial Narrow"/>
      <family val="2"/>
    </font>
    <font>
      <sz val="11"/>
      <color indexed="17"/>
      <name val="Arial Narrow"/>
      <family val="2"/>
    </font>
    <font>
      <b/>
      <sz val="18"/>
      <name val="Arial"/>
      <family val="2"/>
    </font>
    <font>
      <b/>
      <sz val="11"/>
      <color indexed="56"/>
      <name val="Arial Narrow"/>
      <family val="2"/>
    </font>
    <font>
      <b/>
      <sz val="14"/>
      <name val="Book Antiqua"/>
      <family val="1"/>
    </font>
    <font>
      <i/>
      <sz val="10"/>
      <name val="Book Antiqua"/>
      <family val="1"/>
    </font>
    <font>
      <sz val="11"/>
      <color indexed="62"/>
      <name val="Arial Narrow"/>
      <family val="2"/>
    </font>
    <font>
      <sz val="11"/>
      <color indexed="52"/>
      <name val="Arial Narrow"/>
      <family val="2"/>
    </font>
    <font>
      <sz val="11"/>
      <color indexed="60"/>
      <name val="Arial Narrow"/>
      <family val="2"/>
    </font>
    <font>
      <sz val="12"/>
      <name val="Arial MT"/>
    </font>
    <font>
      <b/>
      <sz val="11"/>
      <color indexed="63"/>
      <name val="Arial Narrow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8"/>
      <color indexed="38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i/>
      <sz val="16"/>
      <name val="Arial"/>
      <family val="2"/>
    </font>
    <font>
      <b/>
      <sz val="12"/>
      <color indexed="32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sz val="11"/>
      <color indexed="10"/>
      <name val="Arial Narrow"/>
      <family val="2"/>
    </font>
    <font>
      <sz val="14"/>
      <name val="Arial"/>
      <family val="2"/>
    </font>
    <font>
      <b/>
      <sz val="14"/>
      <name val="MS Serif"/>
      <family val="1"/>
    </font>
    <font>
      <u/>
      <sz val="10"/>
      <name val="Arial"/>
      <family val="2"/>
    </font>
    <font>
      <sz val="10"/>
      <name val="MS Serif"/>
      <family val="1"/>
    </font>
    <font>
      <b/>
      <sz val="16"/>
      <name val="Arial"/>
      <family val="2"/>
    </font>
    <font>
      <sz val="12"/>
      <color indexed="12"/>
      <name val="Arial"/>
      <family val="2"/>
    </font>
    <font>
      <b/>
      <sz val="10"/>
      <color indexed="12"/>
      <name val="Arial"/>
      <family val="2"/>
    </font>
    <font>
      <b/>
      <sz val="10"/>
      <color indexed="10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u val="singleAccounting"/>
      <sz val="10"/>
      <name val="Arial"/>
      <family val="2"/>
    </font>
    <font>
      <sz val="12"/>
      <color indexed="10"/>
      <name val="Arial"/>
      <family val="2"/>
    </font>
    <font>
      <b/>
      <sz val="10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0"/>
      <color indexed="48"/>
      <name val="Arial"/>
      <family val="2"/>
    </font>
    <font>
      <sz val="8"/>
      <name val="Arial"/>
      <family val="2"/>
    </font>
    <font>
      <b/>
      <i/>
      <sz val="8"/>
      <color indexed="10"/>
      <name val="Arial"/>
      <family val="2"/>
    </font>
    <font>
      <sz val="10"/>
      <color indexed="12"/>
      <name val="Arial"/>
      <family val="2"/>
    </font>
    <font>
      <b/>
      <u/>
      <sz val="10"/>
      <name val="Arial"/>
      <family val="2"/>
    </font>
    <font>
      <b/>
      <sz val="10"/>
      <color indexed="57"/>
      <name val="Arial"/>
      <family val="2"/>
    </font>
    <font>
      <sz val="14"/>
      <color indexed="12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b/>
      <u/>
      <sz val="16"/>
      <name val="Arial"/>
      <family val="2"/>
    </font>
    <font>
      <b/>
      <sz val="12"/>
      <color indexed="12"/>
      <name val="Arial"/>
      <family val="2"/>
    </font>
    <font>
      <sz val="10"/>
      <color indexed="13"/>
      <name val="Arial"/>
      <family val="2"/>
    </font>
    <font>
      <sz val="10"/>
      <color indexed="10"/>
      <name val="Arial"/>
      <family val="2"/>
    </font>
    <font>
      <i/>
      <sz val="8"/>
      <color indexed="81"/>
      <name val="Tahoma"/>
      <family val="2"/>
    </font>
    <font>
      <sz val="8"/>
      <color indexed="10"/>
      <name val="Arial"/>
      <family val="2"/>
    </font>
    <font>
      <b/>
      <i/>
      <sz val="10"/>
      <color indexed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indexed="30"/>
      <name val="Arial"/>
      <family val="2"/>
    </font>
    <font>
      <sz val="12"/>
      <color indexed="10"/>
      <name val="Arial"/>
      <family val="2"/>
    </font>
    <font>
      <b/>
      <sz val="12"/>
      <color indexed="10"/>
      <name val="Arial"/>
      <family val="2"/>
    </font>
    <font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22"/>
      <name val="Arial"/>
      <family val="2"/>
    </font>
    <font>
      <sz val="10"/>
      <color indexed="8"/>
      <name val="Calibri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0000FF"/>
      <name val="Arial"/>
      <family val="2"/>
    </font>
    <font>
      <sz val="10"/>
      <color rgb="FF0033CC"/>
      <name val="Arial"/>
      <family val="2"/>
    </font>
  </fonts>
  <fills count="6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735">
    <xf numFmtId="0" fontId="0" fillId="0" borderId="0"/>
    <xf numFmtId="0" fontId="2" fillId="2" borderId="0" applyNumberFormat="0" applyBorder="0" applyAlignment="0" applyProtection="0"/>
    <xf numFmtId="0" fontId="104" fillId="30" borderId="0" applyNumberFormat="0" applyBorder="0" applyAlignment="0" applyProtection="0"/>
    <xf numFmtId="0" fontId="81" fillId="2" borderId="0" applyNumberFormat="0" applyBorder="0" applyAlignment="0" applyProtection="0"/>
    <xf numFmtId="0" fontId="2" fillId="3" borderId="0" applyNumberFormat="0" applyBorder="0" applyAlignment="0" applyProtection="0"/>
    <xf numFmtId="0" fontId="104" fillId="31" borderId="0" applyNumberFormat="0" applyBorder="0" applyAlignment="0" applyProtection="0"/>
    <xf numFmtId="0" fontId="81" fillId="3" borderId="0" applyNumberFormat="0" applyBorder="0" applyAlignment="0" applyProtection="0"/>
    <xf numFmtId="0" fontId="2" fillId="4" borderId="0" applyNumberFormat="0" applyBorder="0" applyAlignment="0" applyProtection="0"/>
    <xf numFmtId="0" fontId="104" fillId="32" borderId="0" applyNumberFormat="0" applyBorder="0" applyAlignment="0" applyProtection="0"/>
    <xf numFmtId="0" fontId="81" fillId="4" borderId="0" applyNumberFormat="0" applyBorder="0" applyAlignment="0" applyProtection="0"/>
    <xf numFmtId="0" fontId="2" fillId="5" borderId="0" applyNumberFormat="0" applyBorder="0" applyAlignment="0" applyProtection="0"/>
    <xf numFmtId="0" fontId="104" fillId="33" borderId="0" applyNumberFormat="0" applyBorder="0" applyAlignment="0" applyProtection="0"/>
    <xf numFmtId="0" fontId="81" fillId="5" borderId="0" applyNumberFormat="0" applyBorder="0" applyAlignment="0" applyProtection="0"/>
    <xf numFmtId="0" fontId="2" fillId="6" borderId="0" applyNumberFormat="0" applyBorder="0" applyAlignment="0" applyProtection="0"/>
    <xf numFmtId="0" fontId="104" fillId="34" borderId="0" applyNumberFormat="0" applyBorder="0" applyAlignment="0" applyProtection="0"/>
    <xf numFmtId="0" fontId="81" fillId="6" borderId="0" applyNumberFormat="0" applyBorder="0" applyAlignment="0" applyProtection="0"/>
    <xf numFmtId="0" fontId="2" fillId="7" borderId="0" applyNumberFormat="0" applyBorder="0" applyAlignment="0" applyProtection="0"/>
    <xf numFmtId="0" fontId="104" fillId="35" borderId="0" applyNumberFormat="0" applyBorder="0" applyAlignment="0" applyProtection="0"/>
    <xf numFmtId="0" fontId="81" fillId="7" borderId="0" applyNumberFormat="0" applyBorder="0" applyAlignment="0" applyProtection="0"/>
    <xf numFmtId="0" fontId="2" fillId="8" borderId="0" applyNumberFormat="0" applyBorder="0" applyAlignment="0" applyProtection="0"/>
    <xf numFmtId="0" fontId="104" fillId="36" borderId="0" applyNumberFormat="0" applyBorder="0" applyAlignment="0" applyProtection="0"/>
    <xf numFmtId="0" fontId="81" fillId="8" borderId="0" applyNumberFormat="0" applyBorder="0" applyAlignment="0" applyProtection="0"/>
    <xf numFmtId="0" fontId="2" fillId="9" borderId="0" applyNumberFormat="0" applyBorder="0" applyAlignment="0" applyProtection="0"/>
    <xf numFmtId="0" fontId="104" fillId="37" borderId="0" applyNumberFormat="0" applyBorder="0" applyAlignment="0" applyProtection="0"/>
    <xf numFmtId="0" fontId="81" fillId="9" borderId="0" applyNumberFormat="0" applyBorder="0" applyAlignment="0" applyProtection="0"/>
    <xf numFmtId="0" fontId="2" fillId="10" borderId="0" applyNumberFormat="0" applyBorder="0" applyAlignment="0" applyProtection="0"/>
    <xf numFmtId="0" fontId="104" fillId="38" borderId="0" applyNumberFormat="0" applyBorder="0" applyAlignment="0" applyProtection="0"/>
    <xf numFmtId="0" fontId="81" fillId="10" borderId="0" applyNumberFormat="0" applyBorder="0" applyAlignment="0" applyProtection="0"/>
    <xf numFmtId="0" fontId="2" fillId="5" borderId="0" applyNumberFormat="0" applyBorder="0" applyAlignment="0" applyProtection="0"/>
    <xf numFmtId="0" fontId="104" fillId="39" borderId="0" applyNumberFormat="0" applyBorder="0" applyAlignment="0" applyProtection="0"/>
    <xf numFmtId="0" fontId="81" fillId="5" borderId="0" applyNumberFormat="0" applyBorder="0" applyAlignment="0" applyProtection="0"/>
    <xf numFmtId="0" fontId="2" fillId="8" borderId="0" applyNumberFormat="0" applyBorder="0" applyAlignment="0" applyProtection="0"/>
    <xf numFmtId="0" fontId="104" fillId="40" borderId="0" applyNumberFormat="0" applyBorder="0" applyAlignment="0" applyProtection="0"/>
    <xf numFmtId="0" fontId="81" fillId="8" borderId="0" applyNumberFormat="0" applyBorder="0" applyAlignment="0" applyProtection="0"/>
    <xf numFmtId="0" fontId="2" fillId="11" borderId="0" applyNumberFormat="0" applyBorder="0" applyAlignment="0" applyProtection="0"/>
    <xf numFmtId="0" fontId="104" fillId="41" borderId="0" applyNumberFormat="0" applyBorder="0" applyAlignment="0" applyProtection="0"/>
    <xf numFmtId="0" fontId="81" fillId="11" borderId="0" applyNumberFormat="0" applyBorder="0" applyAlignment="0" applyProtection="0"/>
    <xf numFmtId="0" fontId="3" fillId="12" borderId="0" applyNumberFormat="0" applyBorder="0" applyAlignment="0" applyProtection="0"/>
    <xf numFmtId="0" fontId="105" fillId="42" borderId="0" applyNumberFormat="0" applyBorder="0" applyAlignment="0" applyProtection="0"/>
    <xf numFmtId="0" fontId="87" fillId="12" borderId="0" applyNumberFormat="0" applyBorder="0" applyAlignment="0" applyProtection="0"/>
    <xf numFmtId="0" fontId="3" fillId="9" borderId="0" applyNumberFormat="0" applyBorder="0" applyAlignment="0" applyProtection="0"/>
    <xf numFmtId="0" fontId="105" fillId="43" borderId="0" applyNumberFormat="0" applyBorder="0" applyAlignment="0" applyProtection="0"/>
    <xf numFmtId="0" fontId="87" fillId="9" borderId="0" applyNumberFormat="0" applyBorder="0" applyAlignment="0" applyProtection="0"/>
    <xf numFmtId="0" fontId="3" fillId="10" borderId="0" applyNumberFormat="0" applyBorder="0" applyAlignment="0" applyProtection="0"/>
    <xf numFmtId="0" fontId="105" fillId="44" borderId="0" applyNumberFormat="0" applyBorder="0" applyAlignment="0" applyProtection="0"/>
    <xf numFmtId="0" fontId="87" fillId="10" borderId="0" applyNumberFormat="0" applyBorder="0" applyAlignment="0" applyProtection="0"/>
    <xf numFmtId="0" fontId="3" fillId="13" borderId="0" applyNumberFormat="0" applyBorder="0" applyAlignment="0" applyProtection="0"/>
    <xf numFmtId="0" fontId="105" fillId="45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46" borderId="0" applyNumberFormat="0" applyBorder="0" applyAlignment="0" applyProtection="0"/>
    <xf numFmtId="0" fontId="87" fillId="14" borderId="0" applyNumberFormat="0" applyBorder="0" applyAlignment="0" applyProtection="0"/>
    <xf numFmtId="0" fontId="3" fillId="15" borderId="0" applyNumberFormat="0" applyBorder="0" applyAlignment="0" applyProtection="0"/>
    <xf numFmtId="0" fontId="105" fillId="47" borderId="0" applyNumberFormat="0" applyBorder="0" applyAlignment="0" applyProtection="0"/>
    <xf numFmtId="0" fontId="87" fillId="15" borderId="0" applyNumberFormat="0" applyBorder="0" applyAlignment="0" applyProtection="0"/>
    <xf numFmtId="0" fontId="3" fillId="16" borderId="0" applyNumberFormat="0" applyBorder="0" applyAlignment="0" applyProtection="0"/>
    <xf numFmtId="0" fontId="105" fillId="48" borderId="0" applyNumberFormat="0" applyBorder="0" applyAlignment="0" applyProtection="0"/>
    <xf numFmtId="0" fontId="87" fillId="16" borderId="0" applyNumberFormat="0" applyBorder="0" applyAlignment="0" applyProtection="0"/>
    <xf numFmtId="0" fontId="3" fillId="17" borderId="0" applyNumberFormat="0" applyBorder="0" applyAlignment="0" applyProtection="0"/>
    <xf numFmtId="0" fontId="105" fillId="49" borderId="0" applyNumberFormat="0" applyBorder="0" applyAlignment="0" applyProtection="0"/>
    <xf numFmtId="0" fontId="87" fillId="17" borderId="0" applyNumberFormat="0" applyBorder="0" applyAlignment="0" applyProtection="0"/>
    <xf numFmtId="0" fontId="3" fillId="18" borderId="0" applyNumberFormat="0" applyBorder="0" applyAlignment="0" applyProtection="0"/>
    <xf numFmtId="0" fontId="105" fillId="50" borderId="0" applyNumberFormat="0" applyBorder="0" applyAlignment="0" applyProtection="0"/>
    <xf numFmtId="0" fontId="87" fillId="18" borderId="0" applyNumberFormat="0" applyBorder="0" applyAlignment="0" applyProtection="0"/>
    <xf numFmtId="0" fontId="3" fillId="13" borderId="0" applyNumberFormat="0" applyBorder="0" applyAlignment="0" applyProtection="0"/>
    <xf numFmtId="0" fontId="105" fillId="51" borderId="0" applyNumberFormat="0" applyBorder="0" applyAlignment="0" applyProtection="0"/>
    <xf numFmtId="0" fontId="87" fillId="13" borderId="0" applyNumberFormat="0" applyBorder="0" applyAlignment="0" applyProtection="0"/>
    <xf numFmtId="0" fontId="3" fillId="14" borderId="0" applyNumberFormat="0" applyBorder="0" applyAlignment="0" applyProtection="0"/>
    <xf numFmtId="0" fontId="105" fillId="52" borderId="0" applyNumberFormat="0" applyBorder="0" applyAlignment="0" applyProtection="0"/>
    <xf numFmtId="0" fontId="87" fillId="14" borderId="0" applyNumberFormat="0" applyBorder="0" applyAlignment="0" applyProtection="0"/>
    <xf numFmtId="0" fontId="3" fillId="19" borderId="0" applyNumberFormat="0" applyBorder="0" applyAlignment="0" applyProtection="0"/>
    <xf numFmtId="0" fontId="105" fillId="53" borderId="0" applyNumberFormat="0" applyBorder="0" applyAlignment="0" applyProtection="0"/>
    <xf numFmtId="0" fontId="87" fillId="19" borderId="0" applyNumberFormat="0" applyBorder="0" applyAlignment="0" applyProtection="0"/>
    <xf numFmtId="0" fontId="4" fillId="3" borderId="0" applyNumberFormat="0" applyBorder="0" applyAlignment="0" applyProtection="0"/>
    <xf numFmtId="0" fontId="106" fillId="54" borderId="0" applyNumberFormat="0" applyBorder="0" applyAlignment="0" applyProtection="0"/>
    <xf numFmtId="0" fontId="88" fillId="3" borderId="0" applyNumberFormat="0" applyBorder="0" applyAlignment="0" applyProtection="0"/>
    <xf numFmtId="169" fontId="5" fillId="0" borderId="0" applyFill="0"/>
    <xf numFmtId="169" fontId="5" fillId="0" borderId="0">
      <alignment horizontal="center"/>
    </xf>
    <xf numFmtId="0" fontId="5" fillId="0" borderId="0" applyFill="0">
      <alignment horizontal="center"/>
    </xf>
    <xf numFmtId="169" fontId="6" fillId="0" borderId="1" applyFill="0"/>
    <xf numFmtId="0" fontId="7" fillId="0" borderId="0" applyFont="0" applyAlignment="0"/>
    <xf numFmtId="0" fontId="7" fillId="0" borderId="0" applyFont="0" applyAlignment="0"/>
    <xf numFmtId="0" fontId="8" fillId="0" borderId="0" applyFill="0">
      <alignment vertical="top"/>
    </xf>
    <xf numFmtId="0" fontId="6" fillId="0" borderId="0" applyFill="0">
      <alignment horizontal="left" vertical="top"/>
    </xf>
    <xf numFmtId="169" fontId="9" fillId="0" borderId="2" applyFill="0"/>
    <xf numFmtId="0" fontId="7" fillId="0" borderId="0" applyNumberFormat="0" applyFont="0" applyAlignment="0"/>
    <xf numFmtId="0" fontId="7" fillId="0" borderId="0" applyNumberFormat="0" applyFont="0" applyAlignment="0"/>
    <xf numFmtId="0" fontId="8" fillId="0" borderId="0" applyFill="0">
      <alignment wrapText="1"/>
    </xf>
    <xf numFmtId="0" fontId="6" fillId="0" borderId="0" applyFill="0">
      <alignment horizontal="left" vertical="top" wrapText="1"/>
    </xf>
    <xf numFmtId="169" fontId="10" fillId="0" borderId="0" applyFill="0"/>
    <xf numFmtId="0" fontId="11" fillId="0" borderId="0" applyNumberFormat="0" applyFont="0" applyAlignment="0">
      <alignment horizontal="center"/>
    </xf>
    <xf numFmtId="0" fontId="12" fillId="0" borderId="0" applyFill="0">
      <alignment vertical="top" wrapText="1"/>
    </xf>
    <xf numFmtId="0" fontId="9" fillId="0" borderId="0" applyFill="0">
      <alignment horizontal="left" vertical="top" wrapText="1"/>
    </xf>
    <xf numFmtId="169" fontId="7" fillId="0" borderId="0" applyFill="0"/>
    <xf numFmtId="169" fontId="7" fillId="0" borderId="0" applyFill="0"/>
    <xf numFmtId="0" fontId="11" fillId="0" borderId="0" applyNumberFormat="0" applyFont="0" applyAlignment="0">
      <alignment horizontal="center"/>
    </xf>
    <xf numFmtId="0" fontId="13" fillId="0" borderId="0" applyFill="0">
      <alignment vertical="center" wrapText="1"/>
    </xf>
    <xf numFmtId="0" fontId="14" fillId="0" borderId="0">
      <alignment horizontal="left" vertical="center" wrapText="1"/>
    </xf>
    <xf numFmtId="169" fontId="15" fillId="0" borderId="0" applyFill="0"/>
    <xf numFmtId="0" fontId="11" fillId="0" borderId="0" applyNumberFormat="0" applyFont="0" applyAlignment="0">
      <alignment horizontal="center"/>
    </xf>
    <xf numFmtId="0" fontId="16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0" fontId="7" fillId="0" borderId="0" applyFill="0">
      <alignment horizontal="center" vertical="center" wrapText="1"/>
    </xf>
    <xf numFmtId="169" fontId="17" fillId="0" borderId="0" applyFill="0"/>
    <xf numFmtId="0" fontId="11" fillId="0" borderId="0" applyNumberFormat="0" applyFont="0" applyAlignment="0">
      <alignment horizontal="center"/>
    </xf>
    <xf numFmtId="0" fontId="18" fillId="0" borderId="0" applyFill="0">
      <alignment horizontal="center" vertical="center" wrapText="1"/>
    </xf>
    <xf numFmtId="0" fontId="19" fillId="0" borderId="0" applyFill="0">
      <alignment horizontal="center" vertical="center" wrapText="1"/>
    </xf>
    <xf numFmtId="169" fontId="20" fillId="0" borderId="0" applyFill="0"/>
    <xf numFmtId="0" fontId="11" fillId="0" borderId="0" applyNumberFormat="0" applyFont="0" applyAlignment="0">
      <alignment horizontal="center"/>
    </xf>
    <xf numFmtId="0" fontId="21" fillId="0" borderId="0">
      <alignment horizontal="center" wrapText="1"/>
    </xf>
    <xf numFmtId="0" fontId="17" fillId="0" borderId="0" applyFill="0">
      <alignment horizontal="center" wrapText="1"/>
    </xf>
    <xf numFmtId="0" fontId="22" fillId="20" borderId="3" applyNumberFormat="0" applyAlignment="0" applyProtection="0"/>
    <xf numFmtId="0" fontId="107" fillId="55" borderId="48" applyNumberFormat="0" applyAlignment="0" applyProtection="0"/>
    <xf numFmtId="0" fontId="89" fillId="20" borderId="3" applyNumberFormat="0" applyAlignment="0" applyProtection="0"/>
    <xf numFmtId="0" fontId="23" fillId="21" borderId="4" applyNumberFormat="0" applyAlignment="0" applyProtection="0"/>
    <xf numFmtId="0" fontId="108" fillId="56" borderId="49" applyNumberFormat="0" applyAlignment="0" applyProtection="0"/>
    <xf numFmtId="0" fontId="90" fillId="21" borderId="4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1" fillId="0" borderId="0" applyFont="0" applyFill="0" applyBorder="0" applyAlignment="0" applyProtection="0"/>
    <xf numFmtId="43" fontId="81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7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3" fontId="103" fillId="0" borderId="0" applyFont="0" applyFill="0" applyBorder="0" applyAlignment="0" applyProtection="0"/>
    <xf numFmtId="40" fontId="35" fillId="0" borderId="0" applyFont="0" applyFill="0" applyBorder="0" applyAlignment="0" applyProtection="0"/>
    <xf numFmtId="40" fontId="35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9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6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44" fontId="103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177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5" fontId="7" fillId="0" borderId="0" applyFont="0" applyFill="0" applyBorder="0" applyAlignment="0" applyProtection="0"/>
    <xf numFmtId="177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14" fontId="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99" fillId="0" borderId="0" applyFont="0" applyFill="0" applyBorder="0" applyAlignment="0" applyProtection="0"/>
    <xf numFmtId="0" fontId="25" fillId="4" borderId="0" applyNumberFormat="0" applyBorder="0" applyAlignment="0" applyProtection="0"/>
    <xf numFmtId="0" fontId="110" fillId="57" borderId="0" applyNumberFormat="0" applyBorder="0" applyAlignment="0" applyProtection="0"/>
    <xf numFmtId="0" fontId="92" fillId="4" borderId="0" applyNumberFormat="0" applyBorder="0" applyAlignment="0" applyProtection="0"/>
    <xf numFmtId="0" fontId="26" fillId="0" borderId="0" applyFont="0" applyFill="0" applyBorder="0" applyAlignment="0" applyProtection="0"/>
    <xf numFmtId="0" fontId="111" fillId="0" borderId="50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9" fillId="0" borderId="0" applyFont="0" applyFill="0" applyBorder="0" applyAlignment="0" applyProtection="0"/>
    <xf numFmtId="0" fontId="112" fillId="0" borderId="51" applyNumberFormat="0" applyFill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27" fillId="0" borderId="5" applyNumberFormat="0" applyFill="0" applyAlignment="0" applyProtection="0"/>
    <xf numFmtId="0" fontId="113" fillId="0" borderId="52" applyNumberFormat="0" applyFill="0" applyAlignment="0" applyProtection="0"/>
    <xf numFmtId="0" fontId="93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28" fillId="0" borderId="6"/>
    <xf numFmtId="0" fontId="29" fillId="0" borderId="0"/>
    <xf numFmtId="0" fontId="30" fillId="7" borderId="3" applyNumberFormat="0" applyAlignment="0" applyProtection="0"/>
    <xf numFmtId="0" fontId="114" fillId="58" borderId="48" applyNumberFormat="0" applyAlignment="0" applyProtection="0"/>
    <xf numFmtId="0" fontId="94" fillId="7" borderId="3" applyNumberFormat="0" applyAlignment="0" applyProtection="0"/>
    <xf numFmtId="0" fontId="31" fillId="0" borderId="7" applyNumberFormat="0" applyFill="0" applyAlignment="0" applyProtection="0"/>
    <xf numFmtId="0" fontId="115" fillId="0" borderId="53" applyNumberFormat="0" applyFill="0" applyAlignment="0" applyProtection="0"/>
    <xf numFmtId="0" fontId="95" fillId="0" borderId="7" applyNumberFormat="0" applyFill="0" applyAlignment="0" applyProtection="0"/>
    <xf numFmtId="178" fontId="80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178" fontId="7" fillId="0" borderId="0"/>
    <xf numFmtId="0" fontId="32" fillId="22" borderId="0" applyNumberFormat="0" applyBorder="0" applyAlignment="0" applyProtection="0"/>
    <xf numFmtId="0" fontId="116" fillId="59" borderId="0" applyNumberFormat="0" applyBorder="0" applyAlignment="0" applyProtection="0"/>
    <xf numFmtId="0" fontId="96" fillId="22" borderId="0" applyNumberFormat="0" applyBorder="0" applyAlignment="0" applyProtection="0"/>
    <xf numFmtId="0" fontId="104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5" fillId="0" borderId="0"/>
    <xf numFmtId="0" fontId="35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7" fillId="0" borderId="0"/>
    <xf numFmtId="0" fontId="100" fillId="0" borderId="0"/>
    <xf numFmtId="0" fontId="7" fillId="0" borderId="0"/>
    <xf numFmtId="0" fontId="7" fillId="0" borderId="0"/>
    <xf numFmtId="3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0" borderId="0"/>
    <xf numFmtId="0" fontId="7" fillId="0" borderId="0"/>
    <xf numFmtId="0" fontId="80" fillId="0" borderId="0"/>
    <xf numFmtId="0" fontId="7" fillId="0" borderId="0"/>
    <xf numFmtId="0" fontId="7" fillId="0" borderId="0"/>
    <xf numFmtId="0" fontId="7" fillId="0" borderId="0"/>
    <xf numFmtId="0" fontId="100" fillId="0" borderId="0"/>
    <xf numFmtId="0" fontId="103" fillId="0" borderId="0"/>
    <xf numFmtId="0" fontId="103" fillId="0" borderId="0"/>
    <xf numFmtId="0" fontId="103" fillId="0" borderId="0"/>
    <xf numFmtId="0" fontId="7" fillId="0" borderId="0"/>
    <xf numFmtId="3" fontId="7" fillId="0" borderId="0"/>
    <xf numFmtId="0" fontId="7" fillId="0" borderId="0"/>
    <xf numFmtId="0" fontId="35" fillId="0" borderId="0"/>
    <xf numFmtId="0" fontId="7" fillId="0" borderId="0"/>
    <xf numFmtId="0" fontId="35" fillId="0" borderId="0"/>
    <xf numFmtId="0" fontId="104" fillId="0" borderId="0"/>
    <xf numFmtId="0" fontId="35" fillId="0" borderId="0"/>
    <xf numFmtId="0" fontId="104" fillId="0" borderId="0"/>
    <xf numFmtId="0" fontId="7" fillId="0" borderId="0"/>
    <xf numFmtId="0" fontId="7" fillId="0" borderId="0"/>
    <xf numFmtId="0" fontId="104" fillId="0" borderId="0"/>
    <xf numFmtId="0" fontId="35" fillId="0" borderId="0"/>
    <xf numFmtId="0" fontId="104" fillId="0" borderId="0"/>
    <xf numFmtId="0" fontId="35" fillId="0" borderId="0"/>
    <xf numFmtId="169" fontId="33" fillId="0" borderId="0" applyProtection="0"/>
    <xf numFmtId="0" fontId="33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7" fillId="23" borderId="8" applyNumberFormat="0" applyFont="0" applyAlignment="0" applyProtection="0"/>
    <xf numFmtId="0" fontId="81" fillId="60" borderId="54" applyNumberFormat="0" applyFont="0" applyAlignment="0" applyProtection="0"/>
    <xf numFmtId="0" fontId="34" fillId="20" borderId="9" applyNumberFormat="0" applyAlignment="0" applyProtection="0"/>
    <xf numFmtId="0" fontId="117" fillId="55" borderId="55" applyNumberFormat="0" applyAlignment="0" applyProtection="0"/>
    <xf numFmtId="0" fontId="97" fillId="20" borderId="9" applyNumberFormat="0" applyAlignment="0" applyProtection="0"/>
    <xf numFmtId="9" fontId="1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103" fillId="0" borderId="0" applyFont="0" applyFill="0" applyBorder="0" applyAlignment="0" applyProtection="0"/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3" fontId="7" fillId="0" borderId="0">
      <alignment horizontal="left" vertical="top"/>
    </xf>
    <xf numFmtId="3" fontId="7" fillId="0" borderId="0">
      <alignment horizontal="left" vertical="top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0" fontId="36" fillId="0" borderId="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0" fontId="35" fillId="24" borderId="0" applyNumberFormat="0" applyFont="0" applyBorder="0" applyAlignment="0" applyProtection="0"/>
    <xf numFmtId="3" fontId="7" fillId="0" borderId="0">
      <alignment horizontal="right" vertical="top"/>
    </xf>
    <xf numFmtId="3" fontId="7" fillId="0" borderId="0">
      <alignment horizontal="right" vertical="top"/>
    </xf>
    <xf numFmtId="41" fontId="14" fillId="25" borderId="10" applyFill="0"/>
    <xf numFmtId="0" fontId="37" fillId="0" borderId="0">
      <alignment horizontal="left" indent="7"/>
    </xf>
    <xf numFmtId="41" fontId="14" fillId="0" borderId="10" applyFill="0">
      <alignment horizontal="left" indent="2"/>
    </xf>
    <xf numFmtId="169" fontId="38" fillId="0" borderId="11" applyFill="0">
      <alignment horizontal="right"/>
    </xf>
    <xf numFmtId="0" fontId="39" fillId="0" borderId="12" applyNumberFormat="0" applyFont="0" applyBorder="0">
      <alignment horizontal="right"/>
    </xf>
    <xf numFmtId="0" fontId="40" fillId="0" borderId="0" applyFill="0"/>
    <xf numFmtId="0" fontId="9" fillId="0" borderId="0" applyFill="0"/>
    <xf numFmtId="4" fontId="38" fillId="0" borderId="11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2" fillId="0" borderId="0" applyFill="0">
      <alignment horizontal="left" indent="1"/>
    </xf>
    <xf numFmtId="0" fontId="41" fillId="0" borderId="0" applyFill="0">
      <alignment horizontal="left" indent="1"/>
    </xf>
    <xf numFmtId="4" fontId="15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12" fillId="0" borderId="0" applyFill="0">
      <alignment horizontal="left" indent="2"/>
    </xf>
    <xf numFmtId="0" fontId="9" fillId="0" borderId="0" applyFill="0">
      <alignment horizontal="left" indent="2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42" fillId="0" borderId="0">
      <alignment horizontal="left" indent="3"/>
    </xf>
    <xf numFmtId="0" fontId="43" fillId="0" borderId="0" applyFill="0">
      <alignment horizontal="left" indent="3"/>
    </xf>
    <xf numFmtId="4" fontId="15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6" fillId="0" borderId="0">
      <alignment horizontal="left" indent="4"/>
    </xf>
    <xf numFmtId="0" fontId="7" fillId="0" borderId="0" applyFill="0">
      <alignment horizontal="left" indent="4"/>
    </xf>
    <xf numFmtId="0" fontId="7" fillId="0" borderId="0" applyFill="0">
      <alignment horizontal="left" indent="4"/>
    </xf>
    <xf numFmtId="4" fontId="17" fillId="0" borderId="0" applyFill="0"/>
    <xf numFmtId="0" fontId="7" fillId="0" borderId="0" applyNumberFormat="0" applyFont="0" applyBorder="0" applyAlignment="0"/>
    <xf numFmtId="0" fontId="7" fillId="0" borderId="0" applyNumberFormat="0" applyFont="0" applyBorder="0" applyAlignment="0"/>
    <xf numFmtId="0" fontId="18" fillId="0" borderId="0">
      <alignment horizontal="left" indent="5"/>
    </xf>
    <xf numFmtId="0" fontId="19" fillId="0" borderId="0" applyFill="0">
      <alignment horizontal="left" indent="5"/>
    </xf>
    <xf numFmtId="4" fontId="20" fillId="0" borderId="0" applyFill="0"/>
    <xf numFmtId="0" fontId="7" fillId="0" borderId="0" applyNumberFormat="0" applyFont="0" applyFill="0" applyBorder="0" applyAlignment="0"/>
    <xf numFmtId="0" fontId="7" fillId="0" borderId="0" applyNumberFormat="0" applyFont="0" applyFill="0" applyBorder="0" applyAlignment="0"/>
    <xf numFmtId="0" fontId="21" fillId="0" borderId="0" applyFill="0">
      <alignment horizontal="left" indent="6"/>
    </xf>
    <xf numFmtId="0" fontId="17" fillId="0" borderId="0" applyFill="0">
      <alignment horizontal="left" indent="6"/>
    </xf>
    <xf numFmtId="0" fontId="44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119" fillId="0" borderId="56" applyNumberForma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99" fillId="0" borderId="1" applyNumberFormat="0" applyFont="0" applyFill="0" applyAlignment="0" applyProtection="0"/>
    <xf numFmtId="0" fontId="45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98" fillId="0" borderId="0" applyNumberFormat="0" applyFill="0" applyBorder="0" applyAlignment="0" applyProtection="0"/>
  </cellStyleXfs>
  <cellXfs count="745">
    <xf numFmtId="0" fontId="0" fillId="0" borderId="0" xfId="0"/>
    <xf numFmtId="0" fontId="7" fillId="0" borderId="0" xfId="0" applyFont="1"/>
    <xf numFmtId="0" fontId="7" fillId="0" borderId="0" xfId="0" applyFont="1" applyAlignment="1">
      <alignment horizontal="center"/>
    </xf>
    <xf numFmtId="170" fontId="7" fillId="0" borderId="0" xfId="117" applyNumberFormat="1" applyFont="1"/>
    <xf numFmtId="0" fontId="7" fillId="0" borderId="0" xfId="0" applyFont="1" applyBorder="1"/>
    <xf numFmtId="0" fontId="47" fillId="0" borderId="0" xfId="0" applyFont="1" applyFill="1"/>
    <xf numFmtId="0" fontId="0" fillId="0" borderId="0" xfId="0" applyAlignment="1">
      <alignment wrapText="1"/>
    </xf>
    <xf numFmtId="0" fontId="0" fillId="0" borderId="0" xfId="0" applyBorder="1"/>
    <xf numFmtId="0" fontId="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Fill="1" applyBorder="1"/>
    <xf numFmtId="10" fontId="7" fillId="0" borderId="0" xfId="0" applyNumberFormat="1" applyFont="1" applyBorder="1"/>
    <xf numFmtId="0" fontId="7" fillId="0" borderId="0" xfId="0" applyFont="1" applyFill="1" applyBorder="1" applyAlignment="1"/>
    <xf numFmtId="0" fontId="14" fillId="0" borderId="0" xfId="549" applyNumberFormat="1" applyFont="1" applyFill="1" applyBorder="1" applyAlignment="1" applyProtection="1">
      <protection locked="0"/>
    </xf>
    <xf numFmtId="0" fontId="6" fillId="0" borderId="0" xfId="0" applyFont="1" applyFill="1"/>
    <xf numFmtId="10" fontId="7" fillId="0" borderId="0" xfId="0" applyNumberFormat="1" applyFont="1"/>
    <xf numFmtId="0" fontId="7" fillId="0" borderId="0" xfId="0" applyFont="1" applyFill="1" applyBorder="1" applyAlignment="1">
      <alignment wrapText="1"/>
    </xf>
    <xf numFmtId="0" fontId="0" fillId="0" borderId="0" xfId="0" applyFill="1"/>
    <xf numFmtId="170" fontId="7" fillId="0" borderId="0" xfId="0" applyNumberFormat="1" applyFont="1"/>
    <xf numFmtId="0" fontId="46" fillId="0" borderId="0" xfId="0" applyFont="1" applyAlignment="1">
      <alignment horizontal="right"/>
    </xf>
    <xf numFmtId="170" fontId="7" fillId="0" borderId="0" xfId="117" applyNumberFormat="1" applyFont="1" applyBorder="1"/>
    <xf numFmtId="0" fontId="39" fillId="0" borderId="0" xfId="0" applyFont="1" applyAlignment="1">
      <alignment horizontal="left"/>
    </xf>
    <xf numFmtId="0" fontId="51" fillId="27" borderId="0" xfId="117" applyNumberFormat="1" applyFont="1" applyFill="1" applyAlignment="1">
      <alignment horizontal="left"/>
    </xf>
    <xf numFmtId="0" fontId="39" fillId="0" borderId="17" xfId="0" applyFont="1" applyBorder="1"/>
    <xf numFmtId="0" fontId="39" fillId="0" borderId="18" xfId="0" applyFont="1" applyBorder="1"/>
    <xf numFmtId="0" fontId="7" fillId="0" borderId="18" xfId="0" applyFont="1" applyBorder="1"/>
    <xf numFmtId="170" fontId="39" fillId="0" borderId="19" xfId="117" applyNumberFormat="1" applyFont="1" applyBorder="1"/>
    <xf numFmtId="0" fontId="14" fillId="0" borderId="0" xfId="117" applyNumberFormat="1" applyFont="1" applyFill="1" applyAlignment="1">
      <alignment horizontal="left"/>
    </xf>
    <xf numFmtId="0" fontId="14" fillId="0" borderId="0" xfId="117" applyNumberFormat="1" applyFont="1" applyFill="1" applyBorder="1" applyAlignment="1">
      <alignment horizontal="left"/>
    </xf>
    <xf numFmtId="0" fontId="39" fillId="0" borderId="13" xfId="0" applyFont="1" applyBorder="1"/>
    <xf numFmtId="0" fontId="9" fillId="0" borderId="0" xfId="117" applyNumberFormat="1" applyFont="1" applyFill="1" applyBorder="1" applyAlignment="1">
      <alignment horizontal="left"/>
    </xf>
    <xf numFmtId="170" fontId="39" fillId="0" borderId="20" xfId="117" applyNumberFormat="1" applyFont="1" applyBorder="1"/>
    <xf numFmtId="0" fontId="39" fillId="0" borderId="0" xfId="0" applyFont="1" applyFill="1"/>
    <xf numFmtId="170" fontId="39" fillId="0" borderId="15" xfId="117" applyNumberFormat="1" applyFont="1" applyBorder="1"/>
    <xf numFmtId="170" fontId="7" fillId="0" borderId="6" xfId="117" applyNumberFormat="1" applyFont="1" applyBorder="1"/>
    <xf numFmtId="170" fontId="7" fillId="0" borderId="16" xfId="117" applyNumberFormat="1" applyFont="1" applyBorder="1"/>
    <xf numFmtId="0" fontId="53" fillId="0" borderId="0" xfId="0" applyFont="1" applyFill="1" applyAlignment="1"/>
    <xf numFmtId="0" fontId="7" fillId="0" borderId="0" xfId="0" applyFont="1" applyFill="1" applyAlignment="1">
      <alignment wrapText="1"/>
    </xf>
    <xf numFmtId="0" fontId="39" fillId="0" borderId="21" xfId="0" applyFont="1" applyFill="1" applyBorder="1" applyAlignment="1">
      <alignment horizontal="center"/>
    </xf>
    <xf numFmtId="0" fontId="39" fillId="0" borderId="22" xfId="0" applyFont="1" applyFill="1" applyBorder="1" applyAlignment="1">
      <alignment horizontal="center"/>
    </xf>
    <xf numFmtId="0" fontId="39" fillId="0" borderId="23" xfId="0" applyFont="1" applyFill="1" applyBorder="1" applyAlignment="1">
      <alignment horizontal="center"/>
    </xf>
    <xf numFmtId="0" fontId="39" fillId="0" borderId="0" xfId="0" applyFont="1" applyFill="1" applyBorder="1" applyAlignment="1">
      <alignment horizontal="center"/>
    </xf>
    <xf numFmtId="0" fontId="0" fillId="0" borderId="0" xfId="0" applyBorder="1" applyAlignment="1"/>
    <xf numFmtId="170" fontId="54" fillId="27" borderId="14" xfId="117" applyNumberFormat="1" applyFont="1" applyFill="1" applyBorder="1" applyAlignment="1">
      <alignment horizontal="right"/>
    </xf>
    <xf numFmtId="0" fontId="7" fillId="0" borderId="0" xfId="0" applyFont="1" applyBorder="1" applyAlignment="1">
      <alignment horizontal="center"/>
    </xf>
    <xf numFmtId="0" fontId="39" fillId="0" borderId="19" xfId="0" applyFont="1" applyFill="1" applyBorder="1" applyAlignment="1">
      <alignment horizontal="center"/>
    </xf>
    <xf numFmtId="0" fontId="7" fillId="0" borderId="13" xfId="0" applyFont="1" applyFill="1" applyBorder="1"/>
    <xf numFmtId="0" fontId="54" fillId="27" borderId="14" xfId="0" applyFont="1" applyFill="1" applyBorder="1" applyAlignment="1">
      <alignment horizontal="right"/>
    </xf>
    <xf numFmtId="170" fontId="7" fillId="0" borderId="14" xfId="0" applyNumberFormat="1" applyFont="1" applyFill="1" applyBorder="1" applyAlignment="1">
      <alignment horizontal="right"/>
    </xf>
    <xf numFmtId="170" fontId="7" fillId="0" borderId="0" xfId="0" applyNumberFormat="1" applyFont="1" applyFill="1" applyBorder="1" applyAlignment="1">
      <alignment horizontal="right"/>
    </xf>
    <xf numFmtId="10" fontId="7" fillId="0" borderId="14" xfId="0" applyNumberFormat="1" applyFont="1" applyBorder="1"/>
    <xf numFmtId="10" fontId="7" fillId="0" borderId="0" xfId="0" applyNumberFormat="1" applyFont="1" applyFill="1" applyBorder="1"/>
    <xf numFmtId="170" fontId="7" fillId="0" borderId="14" xfId="117" applyNumberFormat="1" applyFont="1" applyBorder="1"/>
    <xf numFmtId="0" fontId="39" fillId="0" borderId="24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/>
    </xf>
    <xf numFmtId="0" fontId="39" fillId="0" borderId="25" xfId="0" applyFont="1" applyBorder="1" applyAlignment="1">
      <alignment horizontal="center"/>
    </xf>
    <xf numFmtId="170" fontId="39" fillId="0" borderId="24" xfId="117" applyNumberFormat="1" applyFont="1" applyBorder="1" applyAlignment="1">
      <alignment horizontal="center" wrapText="1"/>
    </xf>
    <xf numFmtId="0" fontId="39" fillId="0" borderId="26" xfId="0" applyFont="1" applyBorder="1" applyAlignment="1">
      <alignment horizontal="center"/>
    </xf>
    <xf numFmtId="170" fontId="39" fillId="0" borderId="16" xfId="117" applyNumberFormat="1" applyFont="1" applyBorder="1" applyAlignment="1">
      <alignment horizontal="center"/>
    </xf>
    <xf numFmtId="0" fontId="39" fillId="0" borderId="26" xfId="0" applyFont="1" applyFill="1" applyBorder="1" applyAlignment="1">
      <alignment horizontal="center"/>
    </xf>
    <xf numFmtId="0" fontId="39" fillId="0" borderId="25" xfId="0" applyFont="1" applyFill="1" applyBorder="1" applyAlignment="1">
      <alignment horizontal="center"/>
    </xf>
    <xf numFmtId="170" fontId="39" fillId="0" borderId="26" xfId="117" applyNumberFormat="1" applyFont="1" applyBorder="1" applyAlignment="1">
      <alignment horizontal="center"/>
    </xf>
    <xf numFmtId="0" fontId="7" fillId="0" borderId="25" xfId="0" applyNumberFormat="1" applyFont="1" applyBorder="1" applyAlignment="1">
      <alignment horizontal="center"/>
    </xf>
    <xf numFmtId="170" fontId="7" fillId="0" borderId="0" xfId="0" applyNumberFormat="1" applyFont="1" applyBorder="1"/>
    <xf numFmtId="170" fontId="7" fillId="0" borderId="24" xfId="117" applyNumberFormat="1" applyFont="1" applyBorder="1"/>
    <xf numFmtId="171" fontId="7" fillId="0" borderId="14" xfId="0" applyNumberFormat="1" applyFont="1" applyBorder="1"/>
    <xf numFmtId="171" fontId="7" fillId="0" borderId="24" xfId="0" applyNumberFormat="1" applyFont="1" applyBorder="1"/>
    <xf numFmtId="171" fontId="7" fillId="0" borderId="25" xfId="0" applyNumberFormat="1" applyFont="1" applyBorder="1"/>
    <xf numFmtId="170" fontId="7" fillId="0" borderId="25" xfId="0" applyNumberFormat="1" applyFont="1" applyBorder="1"/>
    <xf numFmtId="170" fontId="1" fillId="0" borderId="25" xfId="117" applyNumberFormat="1" applyBorder="1"/>
    <xf numFmtId="170" fontId="7" fillId="0" borderId="25" xfId="117" applyNumberFormat="1" applyFont="1" applyBorder="1"/>
    <xf numFmtId="170" fontId="7" fillId="0" borderId="25" xfId="0" applyNumberFormat="1" applyFont="1" applyFill="1" applyBorder="1"/>
    <xf numFmtId="0" fontId="7" fillId="0" borderId="26" xfId="0" applyNumberFormat="1" applyFont="1" applyBorder="1" applyAlignment="1">
      <alignment horizontal="center"/>
    </xf>
    <xf numFmtId="170" fontId="7" fillId="0" borderId="26" xfId="0" applyNumberFormat="1" applyFont="1" applyBorder="1"/>
    <xf numFmtId="170" fontId="1" fillId="0" borderId="26" xfId="117" applyNumberFormat="1" applyBorder="1"/>
    <xf numFmtId="171" fontId="7" fillId="0" borderId="16" xfId="0" applyNumberFormat="1" applyFont="1" applyBorder="1"/>
    <xf numFmtId="171" fontId="7" fillId="0" borderId="26" xfId="0" applyNumberFormat="1" applyFont="1" applyBorder="1"/>
    <xf numFmtId="0" fontId="53" fillId="0" borderId="0" xfId="0" applyFont="1" applyFill="1"/>
    <xf numFmtId="171" fontId="7" fillId="0" borderId="0" xfId="0" applyNumberFormat="1" applyFont="1" applyBorder="1"/>
    <xf numFmtId="170" fontId="55" fillId="0" borderId="0" xfId="0" applyNumberFormat="1" applyFont="1" applyAlignment="1">
      <alignment horizontal="left"/>
    </xf>
    <xf numFmtId="0" fontId="9" fillId="0" borderId="0" xfId="0" applyFont="1" applyFill="1"/>
    <xf numFmtId="170" fontId="39" fillId="0" borderId="0" xfId="117" applyNumberFormat="1" applyFont="1" applyBorder="1"/>
    <xf numFmtId="170" fontId="7" fillId="0" borderId="14" xfId="0" applyNumberFormat="1" applyFont="1" applyBorder="1"/>
    <xf numFmtId="170" fontId="39" fillId="0" borderId="11" xfId="117" applyNumberFormat="1" applyFont="1" applyBorder="1"/>
    <xf numFmtId="170" fontId="7" fillId="0" borderId="20" xfId="0" applyNumberFormat="1" applyFont="1" applyBorder="1"/>
    <xf numFmtId="0" fontId="7" fillId="0" borderId="15" xfId="0" applyFont="1" applyBorder="1"/>
    <xf numFmtId="170" fontId="39" fillId="0" borderId="6" xfId="117" applyNumberFormat="1" applyFont="1" applyFill="1" applyBorder="1" applyAlignment="1">
      <alignment horizontal="left"/>
    </xf>
    <xf numFmtId="170" fontId="39" fillId="0" borderId="16" xfId="117" applyNumberFormat="1" applyFont="1" applyFill="1" applyBorder="1" applyAlignment="1">
      <alignment horizontal="left"/>
    </xf>
    <xf numFmtId="0" fontId="7" fillId="0" borderId="21" xfId="0" applyFont="1" applyFill="1" applyBorder="1" applyAlignment="1">
      <alignment horizontal="center"/>
    </xf>
    <xf numFmtId="0" fontId="0" fillId="0" borderId="22" xfId="0" applyBorder="1" applyAlignment="1"/>
    <xf numFmtId="0" fontId="0" fillId="0" borderId="0" xfId="0" applyFill="1" applyBorder="1" applyAlignment="1"/>
    <xf numFmtId="0" fontId="7" fillId="0" borderId="6" xfId="0" applyFont="1" applyBorder="1" applyAlignment="1">
      <alignment horizontal="center"/>
    </xf>
    <xf numFmtId="0" fontId="0" fillId="0" borderId="6" xfId="0" applyBorder="1"/>
    <xf numFmtId="0" fontId="39" fillId="0" borderId="24" xfId="0" applyFont="1" applyBorder="1" applyAlignment="1">
      <alignment horizontal="center" wrapText="1"/>
    </xf>
    <xf numFmtId="170" fontId="39" fillId="0" borderId="0" xfId="117" applyNumberFormat="1" applyFont="1" applyBorder="1" applyAlignment="1">
      <alignment horizontal="center" wrapText="1"/>
    </xf>
    <xf numFmtId="0" fontId="39" fillId="0" borderId="25" xfId="0" applyFont="1" applyBorder="1" applyAlignment="1">
      <alignment horizontal="center" wrapText="1"/>
    </xf>
    <xf numFmtId="0" fontId="39" fillId="0" borderId="6" xfId="0" applyFont="1" applyBorder="1" applyAlignment="1">
      <alignment horizontal="center"/>
    </xf>
    <xf numFmtId="170" fontId="7" fillId="0" borderId="24" xfId="0" applyNumberFormat="1" applyFont="1" applyBorder="1"/>
    <xf numFmtId="170" fontId="7" fillId="0" borderId="6" xfId="0" applyNumberFormat="1" applyFont="1" applyBorder="1"/>
    <xf numFmtId="0" fontId="55" fillId="0" borderId="0" xfId="0" applyFont="1"/>
    <xf numFmtId="0" fontId="58" fillId="0" borderId="0" xfId="0" applyFont="1" applyFill="1"/>
    <xf numFmtId="170" fontId="7" fillId="0" borderId="14" xfId="117" applyNumberFormat="1" applyFont="1" applyFill="1" applyBorder="1" applyAlignment="1">
      <alignment horizontal="right"/>
    </xf>
    <xf numFmtId="0" fontId="7" fillId="0" borderId="14" xfId="0" applyFont="1" applyFill="1" applyBorder="1" applyAlignment="1">
      <alignment horizontal="right"/>
    </xf>
    <xf numFmtId="0" fontId="7" fillId="0" borderId="16" xfId="0" applyFont="1" applyFill="1" applyBorder="1" applyAlignment="1">
      <alignment horizontal="right"/>
    </xf>
    <xf numFmtId="0" fontId="52" fillId="27" borderId="0" xfId="0" applyFont="1" applyFill="1" applyAlignment="1">
      <alignment horizontal="left"/>
    </xf>
    <xf numFmtId="0" fontId="39" fillId="0" borderId="22" xfId="0" applyFont="1" applyFill="1" applyBorder="1" applyAlignment="1"/>
    <xf numFmtId="0" fontId="61" fillId="28" borderId="22" xfId="0" applyFont="1" applyFill="1" applyBorder="1" applyAlignment="1">
      <alignment horizontal="center"/>
    </xf>
    <xf numFmtId="0" fontId="39" fillId="0" borderId="0" xfId="0" quotePrefix="1" applyFont="1" applyAlignment="1">
      <alignment horizontal="left"/>
    </xf>
    <xf numFmtId="0" fontId="68" fillId="0" borderId="0" xfId="0" applyFont="1"/>
    <xf numFmtId="0" fontId="7" fillId="0" borderId="0" xfId="0" applyFont="1" applyAlignment="1">
      <alignment horizontal="left"/>
    </xf>
    <xf numFmtId="0" fontId="50" fillId="0" borderId="0" xfId="0" quotePrefix="1" applyFont="1" applyAlignment="1">
      <alignment horizontal="left"/>
    </xf>
    <xf numFmtId="0" fontId="46" fillId="0" borderId="0" xfId="0" quotePrefix="1" applyFont="1" applyAlignment="1">
      <alignment horizontal="center"/>
    </xf>
    <xf numFmtId="171" fontId="46" fillId="0" borderId="0" xfId="0" quotePrefix="1" applyNumberFormat="1" applyFont="1" applyBorder="1" applyAlignment="1">
      <alignment horizontal="center"/>
    </xf>
    <xf numFmtId="0" fontId="52" fillId="0" borderId="0" xfId="0" applyFont="1" applyAlignment="1">
      <alignment horizontal="left"/>
    </xf>
    <xf numFmtId="0" fontId="55" fillId="0" borderId="0" xfId="0" applyFont="1" applyFill="1" applyAlignment="1"/>
    <xf numFmtId="0" fontId="55" fillId="0" borderId="0" xfId="0" quotePrefix="1" applyFont="1" applyAlignment="1">
      <alignment horizontal="left"/>
    </xf>
    <xf numFmtId="0" fontId="67" fillId="0" borderId="0" xfId="0" applyFont="1" applyFill="1" applyAlignment="1">
      <alignment horizontal="right"/>
    </xf>
    <xf numFmtId="0" fontId="46" fillId="0" borderId="0" xfId="0" quotePrefix="1" applyFont="1" applyAlignment="1">
      <alignment horizontal="right"/>
    </xf>
    <xf numFmtId="0" fontId="39" fillId="0" borderId="28" xfId="0" applyFont="1" applyFill="1" applyBorder="1" applyAlignment="1">
      <alignment horizontal="center"/>
    </xf>
    <xf numFmtId="169" fontId="7" fillId="0" borderId="29" xfId="549" applyFont="1" applyBorder="1" applyAlignment="1" applyProtection="1">
      <alignment horizontal="center"/>
      <protection locked="0"/>
    </xf>
    <xf numFmtId="169" fontId="7" fillId="0" borderId="29" xfId="549" quotePrefix="1" applyFont="1" applyBorder="1" applyAlignment="1" applyProtection="1">
      <alignment horizontal="center"/>
      <protection locked="0"/>
    </xf>
    <xf numFmtId="3" fontId="7" fillId="0" borderId="30" xfId="549" applyNumberFormat="1" applyFont="1" applyBorder="1" applyAlignment="1" applyProtection="1">
      <alignment horizontal="center"/>
      <protection locked="0"/>
    </xf>
    <xf numFmtId="0" fontId="55" fillId="0" borderId="24" xfId="0" applyFont="1" applyBorder="1"/>
    <xf numFmtId="170" fontId="7" fillId="0" borderId="13" xfId="117" quotePrefix="1" applyNumberFormat="1" applyFont="1" applyBorder="1" applyAlignment="1">
      <alignment horizontal="right"/>
    </xf>
    <xf numFmtId="0" fontId="57" fillId="0" borderId="31" xfId="117" applyNumberFormat="1" applyFont="1" applyFill="1" applyBorder="1" applyAlignment="1">
      <alignment horizontal="left"/>
    </xf>
    <xf numFmtId="170" fontId="7" fillId="0" borderId="32" xfId="117" quotePrefix="1" applyNumberFormat="1" applyFont="1" applyBorder="1" applyAlignment="1">
      <alignment horizontal="right"/>
    </xf>
    <xf numFmtId="170" fontId="55" fillId="0" borderId="26" xfId="117" applyNumberFormat="1" applyFont="1" applyBorder="1"/>
    <xf numFmtId="0" fontId="7" fillId="0" borderId="15" xfId="0" quotePrefix="1" applyFont="1" applyBorder="1" applyAlignment="1">
      <alignment horizontal="right"/>
    </xf>
    <xf numFmtId="170" fontId="39" fillId="27" borderId="26" xfId="117" applyNumberFormat="1" applyFont="1" applyFill="1" applyBorder="1" applyAlignment="1">
      <alignment horizontal="center"/>
    </xf>
    <xf numFmtId="170" fontId="39" fillId="27" borderId="16" xfId="117" applyNumberFormat="1" applyFont="1" applyFill="1" applyBorder="1" applyAlignment="1">
      <alignment horizontal="center"/>
    </xf>
    <xf numFmtId="170" fontId="54" fillId="0" borderId="25" xfId="117" applyNumberFormat="1" applyFont="1" applyFill="1" applyBorder="1"/>
    <xf numFmtId="171" fontId="54" fillId="27" borderId="24" xfId="0" applyNumberFormat="1" applyFont="1" applyFill="1" applyBorder="1"/>
    <xf numFmtId="171" fontId="54" fillId="27" borderId="25" xfId="0" applyNumberFormat="1" applyFont="1" applyFill="1" applyBorder="1"/>
    <xf numFmtId="171" fontId="54" fillId="27" borderId="26" xfId="0" applyNumberFormat="1" applyFont="1" applyFill="1" applyBorder="1"/>
    <xf numFmtId="171" fontId="54" fillId="0" borderId="24" xfId="0" applyNumberFormat="1" applyFont="1" applyFill="1" applyBorder="1"/>
    <xf numFmtId="170" fontId="39" fillId="0" borderId="24" xfId="117" quotePrefix="1" applyNumberFormat="1" applyFont="1" applyBorder="1" applyAlignment="1">
      <alignment horizontal="center" wrapText="1"/>
    </xf>
    <xf numFmtId="170" fontId="39" fillId="0" borderId="24" xfId="117" applyNumberFormat="1" applyFont="1" applyFill="1" applyBorder="1" applyAlignment="1">
      <alignment horizontal="center" wrapText="1"/>
    </xf>
    <xf numFmtId="170" fontId="39" fillId="0" borderId="26" xfId="117" applyNumberFormat="1" applyFont="1" applyFill="1" applyBorder="1" applyAlignment="1">
      <alignment horizontal="center"/>
    </xf>
    <xf numFmtId="170" fontId="39" fillId="0" borderId="15" xfId="117" applyNumberFormat="1" applyFont="1" applyFill="1" applyBorder="1" applyAlignment="1">
      <alignment horizontal="center"/>
    </xf>
    <xf numFmtId="170" fontId="54" fillId="0" borderId="14" xfId="117" applyNumberFormat="1" applyFont="1" applyFill="1" applyBorder="1"/>
    <xf numFmtId="170" fontId="54" fillId="0" borderId="26" xfId="117" applyNumberFormat="1" applyFont="1" applyFill="1" applyBorder="1"/>
    <xf numFmtId="170" fontId="54" fillId="0" borderId="16" xfId="117" applyNumberFormat="1" applyFont="1" applyFill="1" applyBorder="1"/>
    <xf numFmtId="170" fontId="39" fillId="27" borderId="19" xfId="117" quotePrefix="1" applyNumberFormat="1" applyFont="1" applyFill="1" applyBorder="1" applyAlignment="1">
      <alignment horizontal="center" wrapText="1"/>
    </xf>
    <xf numFmtId="170" fontId="39" fillId="0" borderId="19" xfId="117" quotePrefix="1" applyNumberFormat="1" applyFont="1" applyBorder="1" applyAlignment="1">
      <alignment horizontal="center" wrapText="1"/>
    </xf>
    <xf numFmtId="170" fontId="39" fillId="27" borderId="24" xfId="117" quotePrefix="1" applyNumberFormat="1" applyFont="1" applyFill="1" applyBorder="1" applyAlignment="1">
      <alignment horizontal="center" wrapText="1"/>
    </xf>
    <xf numFmtId="0" fontId="7" fillId="0" borderId="13" xfId="0" quotePrefix="1" applyFont="1" applyFill="1" applyBorder="1" applyAlignment="1">
      <alignment horizontal="left"/>
    </xf>
    <xf numFmtId="170" fontId="7" fillId="0" borderId="26" xfId="117" applyNumberFormat="1" applyFont="1" applyBorder="1"/>
    <xf numFmtId="170" fontId="7" fillId="0" borderId="26" xfId="0" applyNumberFormat="1" applyFont="1" applyFill="1" applyBorder="1"/>
    <xf numFmtId="0" fontId="0" fillId="0" borderId="0" xfId="0" applyProtection="1"/>
    <xf numFmtId="0" fontId="14" fillId="0" borderId="0" xfId="0" applyNumberFormat="1" applyFont="1" applyAlignment="1" applyProtection="1">
      <alignment horizontal="center"/>
    </xf>
    <xf numFmtId="3" fontId="14" fillId="0" borderId="0" xfId="0" quotePrefix="1" applyNumberFormat="1" applyFont="1" applyFill="1" applyAlignment="1" applyProtection="1">
      <alignment horizontal="center"/>
    </xf>
    <xf numFmtId="0" fontId="14" fillId="0" borderId="0" xfId="0" applyNumberFormat="1" applyFont="1" applyFill="1" applyAlignment="1" applyProtection="1">
      <alignment horizontal="center"/>
    </xf>
    <xf numFmtId="169" fontId="14" fillId="0" borderId="0" xfId="549" applyFont="1" applyFill="1" applyAlignment="1" applyProtection="1"/>
    <xf numFmtId="49" fontId="71" fillId="0" borderId="0" xfId="549" applyNumberFormat="1" applyFont="1" applyFill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0" fontId="0" fillId="0" borderId="0" xfId="0" applyFill="1" applyProtection="1"/>
    <xf numFmtId="0" fontId="0" fillId="0" borderId="0" xfId="0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0" fillId="0" borderId="0" xfId="0" quotePrefix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0" borderId="0" xfId="0" applyAlignment="1" applyProtection="1">
      <alignment horizontal="center"/>
    </xf>
    <xf numFmtId="0" fontId="39" fillId="0" borderId="11" xfId="0" applyFont="1" applyBorder="1" applyAlignment="1" applyProtection="1">
      <alignment horizontal="centerContinuous"/>
    </xf>
    <xf numFmtId="0" fontId="39" fillId="0" borderId="11" xfId="0" applyFont="1" applyBorder="1" applyAlignment="1" applyProtection="1">
      <alignment horizontal="left"/>
    </xf>
    <xf numFmtId="0" fontId="53" fillId="0" borderId="0" xfId="0" quotePrefix="1" applyFont="1" applyAlignment="1" applyProtection="1">
      <alignment horizontal="left"/>
    </xf>
    <xf numFmtId="0" fontId="39" fillId="0" borderId="0" xfId="0" applyFont="1" applyBorder="1" applyAlignment="1" applyProtection="1">
      <alignment horizontal="center"/>
    </xf>
    <xf numFmtId="0" fontId="65" fillId="0" borderId="11" xfId="0" quotePrefix="1" applyFont="1" applyBorder="1" applyAlignment="1" applyProtection="1">
      <alignment horizontal="centerContinuous"/>
    </xf>
    <xf numFmtId="0" fontId="65" fillId="0" borderId="0" xfId="0" quotePrefix="1" applyFont="1" applyBorder="1" applyAlignment="1" applyProtection="1">
      <alignment horizontal="centerContinuous"/>
    </xf>
    <xf numFmtId="0" fontId="65" fillId="0" borderId="11" xfId="0" applyFont="1" applyBorder="1" applyAlignment="1" applyProtection="1">
      <alignment horizontal="centerContinuous"/>
    </xf>
    <xf numFmtId="0" fontId="65" fillId="0" borderId="0" xfId="0" applyFont="1" applyAlignment="1" applyProtection="1">
      <alignment horizontal="center" wrapText="1"/>
    </xf>
    <xf numFmtId="0" fontId="65" fillId="0" borderId="0" xfId="0" applyFont="1" applyAlignment="1" applyProtection="1">
      <alignment horizontal="center"/>
    </xf>
    <xf numFmtId="0" fontId="65" fillId="0" borderId="0" xfId="0" applyFont="1" applyBorder="1" applyAlignment="1" applyProtection="1">
      <alignment horizontal="center" wrapText="1"/>
    </xf>
    <xf numFmtId="0" fontId="65" fillId="0" borderId="0" xfId="0" quotePrefix="1" applyFont="1" applyBorder="1" applyAlignment="1" applyProtection="1">
      <alignment horizontal="center" wrapText="1"/>
    </xf>
    <xf numFmtId="0" fontId="65" fillId="0" borderId="0" xfId="0" applyFont="1" applyBorder="1" applyAlignment="1" applyProtection="1">
      <alignment horizontal="center"/>
    </xf>
    <xf numFmtId="0" fontId="65" fillId="0" borderId="0" xfId="0" quotePrefix="1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 wrapText="1"/>
    </xf>
    <xf numFmtId="0" fontId="65" fillId="0" borderId="0" xfId="0" applyFont="1" applyFill="1" applyBorder="1" applyAlignment="1" applyProtection="1">
      <alignment horizontal="center"/>
    </xf>
    <xf numFmtId="0" fontId="0" fillId="0" borderId="38" xfId="0" applyBorder="1" applyAlignment="1" applyProtection="1">
      <alignment wrapText="1"/>
    </xf>
    <xf numFmtId="0" fontId="39" fillId="0" borderId="0" xfId="0" applyFont="1" applyProtection="1"/>
    <xf numFmtId="0" fontId="0" fillId="0" borderId="25" xfId="0" applyBorder="1" applyProtection="1"/>
    <xf numFmtId="0" fontId="7" fillId="0" borderId="0" xfId="0" applyFont="1" applyFill="1" applyAlignment="1" applyProtection="1">
      <alignment vertical="center" wrapText="1"/>
    </xf>
    <xf numFmtId="0" fontId="7" fillId="0" borderId="0" xfId="0" applyFont="1" applyFill="1" applyAlignment="1" applyProtection="1">
      <alignment horizontal="center" vertical="center"/>
    </xf>
    <xf numFmtId="170" fontId="1" fillId="0" borderId="0" xfId="117" applyNumberFormat="1" applyFont="1" applyFill="1" applyAlignment="1" applyProtection="1">
      <alignment vertical="center"/>
    </xf>
    <xf numFmtId="170" fontId="1" fillId="0" borderId="0" xfId="117" applyNumberFormat="1" applyFill="1" applyAlignment="1" applyProtection="1">
      <alignment vertical="center"/>
    </xf>
    <xf numFmtId="0" fontId="0" fillId="0" borderId="0" xfId="0" applyFill="1" applyAlignment="1" applyProtection="1">
      <alignment vertical="center"/>
    </xf>
    <xf numFmtId="170" fontId="7" fillId="0" borderId="0" xfId="121" applyNumberFormat="1" applyFont="1" applyFill="1" applyAlignment="1" applyProtection="1">
      <alignment vertical="center"/>
    </xf>
    <xf numFmtId="170" fontId="64" fillId="27" borderId="0" xfId="117" applyNumberFormat="1" applyFont="1" applyFill="1" applyAlignment="1" applyProtection="1">
      <alignment vertical="center"/>
    </xf>
    <xf numFmtId="170" fontId="1" fillId="0" borderId="0" xfId="117" applyNumberFormat="1" applyAlignment="1" applyProtection="1">
      <alignment vertical="center"/>
    </xf>
    <xf numFmtId="170" fontId="39" fillId="0" borderId="0" xfId="117" applyNumberFormat="1" applyFont="1" applyAlignment="1" applyProtection="1">
      <alignment horizontal="center" vertical="center"/>
    </xf>
    <xf numFmtId="170" fontId="0" fillId="0" borderId="25" xfId="0" applyNumberFormat="1" applyBorder="1" applyAlignment="1" applyProtection="1">
      <alignment vertical="center"/>
    </xf>
    <xf numFmtId="170" fontId="39" fillId="0" borderId="0" xfId="117" applyNumberFormat="1" applyFont="1" applyAlignment="1" applyProtection="1">
      <alignment vertical="center"/>
    </xf>
    <xf numFmtId="0" fontId="0" fillId="0" borderId="0" xfId="0" applyFill="1" applyAlignment="1" applyProtection="1">
      <alignment vertical="center" wrapText="1"/>
    </xf>
    <xf numFmtId="170" fontId="1" fillId="0" borderId="0" xfId="117" applyNumberFormat="1" applyFont="1" applyAlignment="1" applyProtection="1">
      <alignment horizontal="center" vertical="center"/>
    </xf>
    <xf numFmtId="0" fontId="0" fillId="0" borderId="0" xfId="0" applyAlignment="1" applyProtection="1">
      <alignment vertical="center" wrapText="1"/>
    </xf>
    <xf numFmtId="0" fontId="7" fillId="0" borderId="0" xfId="0" quotePrefix="1" applyFont="1" applyAlignment="1" applyProtection="1">
      <alignment horizontal="center" vertical="center"/>
    </xf>
    <xf numFmtId="0" fontId="0" fillId="0" borderId="0" xfId="0" applyBorder="1" applyProtection="1"/>
    <xf numFmtId="170" fontId="1" fillId="0" borderId="0" xfId="117" applyNumberForma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70" fontId="64" fillId="27" borderId="0" xfId="117" applyNumberFormat="1" applyFont="1" applyFill="1" applyBorder="1" applyAlignment="1" applyProtection="1">
      <alignment vertical="center"/>
    </xf>
    <xf numFmtId="170" fontId="1" fillId="0" borderId="0" xfId="117" applyNumberFormat="1" applyFont="1" applyFill="1" applyBorder="1" applyAlignment="1" applyProtection="1">
      <alignment vertical="center"/>
    </xf>
    <xf numFmtId="170" fontId="1" fillId="0" borderId="0" xfId="117" applyNumberFormat="1" applyBorder="1" applyAlignment="1" applyProtection="1">
      <alignment vertical="center"/>
    </xf>
    <xf numFmtId="170" fontId="39" fillId="0" borderId="0" xfId="117" applyNumberFormat="1" applyFont="1" applyBorder="1" applyAlignment="1" applyProtection="1">
      <alignment vertical="center"/>
    </xf>
    <xf numFmtId="170" fontId="1" fillId="0" borderId="0" xfId="117" applyNumberFormat="1" applyFont="1" applyBorder="1" applyAlignment="1" applyProtection="1">
      <alignment vertical="center"/>
    </xf>
    <xf numFmtId="0" fontId="39" fillId="0" borderId="0" xfId="0" applyFont="1" applyAlignment="1" applyProtection="1">
      <alignment horizontal="center" vertical="center"/>
    </xf>
    <xf numFmtId="0" fontId="64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vertical="center"/>
    </xf>
    <xf numFmtId="43" fontId="73" fillId="0" borderId="0" xfId="117" applyNumberFormat="1" applyFont="1" applyAlignment="1" applyProtection="1">
      <alignment horizontal="center" vertical="center"/>
    </xf>
    <xf numFmtId="43" fontId="53" fillId="0" borderId="0" xfId="117" applyFont="1" applyAlignment="1" applyProtection="1">
      <alignment horizontal="center" vertical="center"/>
    </xf>
    <xf numFmtId="43" fontId="75" fillId="0" borderId="0" xfId="117" applyFont="1" applyAlignment="1" applyProtection="1">
      <alignment horizontal="left" vertical="center"/>
    </xf>
    <xf numFmtId="170" fontId="75" fillId="0" borderId="0" xfId="117" applyNumberFormat="1" applyFont="1" applyAlignment="1" applyProtection="1">
      <alignment horizontal="center" vertical="center"/>
    </xf>
    <xf numFmtId="43" fontId="76" fillId="0" borderId="0" xfId="117" applyFont="1" applyAlignment="1" applyProtection="1">
      <alignment vertical="center"/>
    </xf>
    <xf numFmtId="43" fontId="1" fillId="0" borderId="0" xfId="117" applyAlignment="1" applyProtection="1">
      <alignment vertical="center"/>
    </xf>
    <xf numFmtId="170" fontId="0" fillId="0" borderId="26" xfId="0" applyNumberFormat="1" applyBorder="1" applyProtection="1"/>
    <xf numFmtId="0" fontId="0" fillId="0" borderId="0" xfId="0" quotePrefix="1" applyAlignment="1" applyProtection="1">
      <alignment horizontal="left" vertical="center"/>
    </xf>
    <xf numFmtId="13" fontId="5" fillId="0" borderId="0" xfId="0" applyNumberFormat="1" applyFont="1" applyAlignment="1" applyProtection="1">
      <alignment horizontal="center" vertical="center"/>
    </xf>
    <xf numFmtId="170" fontId="0" fillId="0" borderId="0" xfId="117" applyNumberFormat="1" applyFont="1" applyProtection="1"/>
    <xf numFmtId="170" fontId="64" fillId="27" borderId="0" xfId="0" applyNumberFormat="1" applyFont="1" applyFill="1" applyAlignment="1" applyProtection="1">
      <alignment vertical="center"/>
    </xf>
    <xf numFmtId="170" fontId="1" fillId="0" borderId="0" xfId="117" applyNumberFormat="1" applyProtection="1"/>
    <xf numFmtId="164" fontId="1" fillId="0" borderId="0" xfId="0" applyNumberFormat="1" applyFont="1" applyFill="1" applyProtection="1"/>
    <xf numFmtId="43" fontId="1" fillId="0" borderId="0" xfId="117" applyProtection="1"/>
    <xf numFmtId="0" fontId="0" fillId="0" borderId="33" xfId="0" applyBorder="1" applyProtection="1"/>
    <xf numFmtId="0" fontId="0" fillId="0" borderId="2" xfId="0" applyBorder="1" applyProtection="1"/>
    <xf numFmtId="170" fontId="1" fillId="0" borderId="2" xfId="117" applyNumberFormat="1" applyBorder="1" applyProtection="1"/>
    <xf numFmtId="0" fontId="0" fillId="0" borderId="27" xfId="0" applyBorder="1" applyProtection="1"/>
    <xf numFmtId="0" fontId="0" fillId="0" borderId="34" xfId="0" applyBorder="1" applyProtection="1"/>
    <xf numFmtId="0" fontId="0" fillId="0" borderId="0" xfId="0" applyBorder="1" applyAlignment="1" applyProtection="1">
      <alignment horizontal="center"/>
    </xf>
    <xf numFmtId="49" fontId="71" fillId="0" borderId="0" xfId="549" applyNumberFormat="1" applyFont="1" applyFill="1" applyBorder="1" applyAlignment="1" applyProtection="1">
      <alignment horizontal="center"/>
    </xf>
    <xf numFmtId="0" fontId="0" fillId="0" borderId="35" xfId="0" applyBorder="1" applyAlignment="1" applyProtection="1">
      <alignment horizontal="center"/>
    </xf>
    <xf numFmtId="0" fontId="0" fillId="0" borderId="36" xfId="0" applyBorder="1" applyProtection="1"/>
    <xf numFmtId="0" fontId="0" fillId="0" borderId="11" xfId="0" applyBorder="1" applyProtection="1"/>
    <xf numFmtId="170" fontId="1" fillId="0" borderId="11" xfId="117" applyNumberFormat="1" applyBorder="1" applyProtection="1"/>
    <xf numFmtId="0" fontId="0" fillId="0" borderId="37" xfId="0" applyBorder="1" applyProtection="1"/>
    <xf numFmtId="0" fontId="7" fillId="0" borderId="0" xfId="0" applyFont="1" applyProtection="1"/>
    <xf numFmtId="0" fontId="0" fillId="0" borderId="0" xfId="0" quotePrefix="1" applyAlignment="1" applyProtection="1">
      <alignment horizontal="left"/>
    </xf>
    <xf numFmtId="171" fontId="0" fillId="0" borderId="0" xfId="327" applyNumberFormat="1" applyFont="1" applyProtection="1"/>
    <xf numFmtId="0" fontId="0" fillId="0" borderId="0" xfId="0" quotePrefix="1" applyAlignment="1" applyProtection="1">
      <alignment horizontal="center"/>
    </xf>
    <xf numFmtId="170" fontId="0" fillId="0" borderId="0" xfId="0" applyNumberFormat="1" applyProtection="1"/>
    <xf numFmtId="170" fontId="0" fillId="0" borderId="0" xfId="121" applyNumberFormat="1" applyFont="1" applyProtection="1"/>
    <xf numFmtId="170" fontId="0" fillId="0" borderId="0" xfId="561" applyNumberFormat="1" applyFont="1" applyProtection="1"/>
    <xf numFmtId="0" fontId="39" fillId="0" borderId="0" xfId="0" quotePrefix="1" applyFont="1" applyAlignment="1" applyProtection="1">
      <alignment horizontal="left"/>
    </xf>
    <xf numFmtId="0" fontId="7" fillId="0" borderId="0" xfId="0" applyFont="1" applyAlignment="1" applyProtection="1">
      <alignment horizontal="center"/>
    </xf>
    <xf numFmtId="170" fontId="7" fillId="0" borderId="0" xfId="117" applyNumberFormat="1" applyFont="1" applyProtection="1"/>
    <xf numFmtId="0" fontId="7" fillId="0" borderId="0" xfId="0" applyFont="1" applyBorder="1" applyProtection="1"/>
    <xf numFmtId="0" fontId="47" fillId="0" borderId="0" xfId="0" applyFont="1" applyFill="1" applyAlignment="1" applyProtection="1">
      <alignment vertical="top"/>
    </xf>
    <xf numFmtId="0" fontId="9" fillId="0" borderId="0" xfId="0" applyFont="1" applyAlignment="1" applyProtection="1">
      <alignment horizontal="left"/>
    </xf>
    <xf numFmtId="41" fontId="0" fillId="0" borderId="0" xfId="0" applyNumberFormat="1" applyProtection="1"/>
    <xf numFmtId="3" fontId="0" fillId="0" borderId="0" xfId="0" applyNumberFormat="1" applyProtection="1"/>
    <xf numFmtId="0" fontId="7" fillId="0" borderId="0" xfId="549" applyNumberFormat="1" applyFont="1" applyBorder="1" applyAlignment="1" applyProtection="1"/>
    <xf numFmtId="3" fontId="7" fillId="0" borderId="0" xfId="549" applyNumberFormat="1" applyFont="1" applyAlignment="1" applyProtection="1"/>
    <xf numFmtId="10" fontId="7" fillId="0" borderId="0" xfId="549" applyNumberFormat="1" applyFont="1" applyAlignment="1" applyProtection="1"/>
    <xf numFmtId="166" fontId="7" fillId="0" borderId="0" xfId="549" applyNumberFormat="1" applyFont="1" applyAlignment="1" applyProtection="1"/>
    <xf numFmtId="43" fontId="7" fillId="0" borderId="0" xfId="117" applyFont="1" applyAlignment="1" applyProtection="1"/>
    <xf numFmtId="169" fontId="7" fillId="0" borderId="0" xfId="549" applyFont="1" applyAlignment="1" applyProtection="1"/>
    <xf numFmtId="169" fontId="7" fillId="0" borderId="0" xfId="549" applyFont="1" applyBorder="1" applyAlignment="1" applyProtection="1"/>
    <xf numFmtId="0" fontId="7" fillId="28" borderId="0" xfId="117" applyNumberFormat="1" applyFont="1" applyFill="1" applyAlignment="1" applyProtection="1"/>
    <xf numFmtId="10" fontId="7" fillId="0" borderId="0" xfId="549" applyNumberFormat="1" applyFont="1" applyFill="1" applyAlignment="1" applyProtection="1">
      <alignment horizontal="right"/>
    </xf>
    <xf numFmtId="3" fontId="39" fillId="0" borderId="0" xfId="549" applyNumberFormat="1" applyFont="1" applyAlignment="1" applyProtection="1"/>
    <xf numFmtId="3" fontId="48" fillId="0" borderId="0" xfId="549" applyNumberFormat="1" applyFont="1" applyAlignment="1" applyProtection="1">
      <alignment horizontal="center"/>
    </xf>
    <xf numFmtId="10" fontId="48" fillId="0" borderId="0" xfId="549" applyNumberFormat="1" applyFont="1" applyFill="1" applyAlignment="1" applyProtection="1">
      <alignment horizontal="center"/>
    </xf>
    <xf numFmtId="0" fontId="7" fillId="0" borderId="0" xfId="549" applyNumberFormat="1" applyFont="1" applyFill="1" applyBorder="1" applyAlignment="1" applyProtection="1">
      <alignment horizontal="right"/>
    </xf>
    <xf numFmtId="10" fontId="0" fillId="0" borderId="0" xfId="0" applyNumberFormat="1" applyAlignment="1" applyProtection="1">
      <alignment horizontal="center"/>
    </xf>
    <xf numFmtId="166" fontId="7" fillId="0" borderId="0" xfId="549" applyNumberFormat="1" applyFont="1" applyAlignment="1" applyProtection="1">
      <alignment horizontal="center"/>
    </xf>
    <xf numFmtId="167" fontId="7" fillId="0" borderId="0" xfId="549" applyNumberFormat="1" applyFont="1" applyFill="1" applyAlignment="1" applyProtection="1"/>
    <xf numFmtId="165" fontId="7" fillId="0" borderId="0" xfId="549" applyNumberFormat="1" applyFont="1" applyAlignment="1" applyProtection="1">
      <alignment horizontal="center"/>
    </xf>
    <xf numFmtId="165" fontId="7" fillId="0" borderId="0" xfId="549" applyNumberFormat="1" applyFont="1" applyBorder="1" applyAlignment="1" applyProtection="1">
      <alignment horizontal="center"/>
    </xf>
    <xf numFmtId="169" fontId="7" fillId="0" borderId="13" xfId="549" applyFont="1" applyBorder="1" applyAlignment="1" applyProtection="1"/>
    <xf numFmtId="0" fontId="7" fillId="0" borderId="0" xfId="549" applyNumberFormat="1" applyFont="1" applyBorder="1" applyAlignment="1" applyProtection="1">
      <alignment horizontal="center"/>
    </xf>
    <xf numFmtId="3" fontId="7" fillId="0" borderId="14" xfId="549" applyNumberFormat="1" applyFont="1" applyBorder="1" applyAlignment="1" applyProtection="1"/>
    <xf numFmtId="41" fontId="7" fillId="0" borderId="0" xfId="549" applyNumberFormat="1" applyFont="1" applyAlignment="1" applyProtection="1"/>
    <xf numFmtId="41" fontId="7" fillId="0" borderId="0" xfId="549" applyNumberFormat="1" applyFont="1" applyAlignment="1" applyProtection="1">
      <alignment horizontal="center"/>
    </xf>
    <xf numFmtId="41" fontId="7" fillId="0" borderId="0" xfId="549" applyNumberFormat="1" applyFont="1" applyBorder="1" applyAlignment="1" applyProtection="1">
      <alignment horizontal="center"/>
    </xf>
    <xf numFmtId="0" fontId="0" fillId="0" borderId="13" xfId="0" applyBorder="1" applyProtection="1"/>
    <xf numFmtId="0" fontId="0" fillId="0" borderId="14" xfId="0" applyBorder="1" applyProtection="1"/>
    <xf numFmtId="0" fontId="7" fillId="0" borderId="0" xfId="549" applyNumberFormat="1" applyFont="1" applyBorder="1" applyAlignment="1" applyProtection="1">
      <alignment horizontal="right"/>
    </xf>
    <xf numFmtId="167" fontId="48" fillId="0" borderId="0" xfId="549" applyNumberFormat="1" applyFont="1" applyFill="1" applyAlignment="1" applyProtection="1"/>
    <xf numFmtId="165" fontId="15" fillId="0" borderId="15" xfId="549" applyNumberFormat="1" applyFont="1" applyBorder="1" applyAlignment="1" applyProtection="1">
      <alignment horizontal="center"/>
    </xf>
    <xf numFmtId="0" fontId="7" fillId="28" borderId="6" xfId="549" applyNumberFormat="1" applyFont="1" applyFill="1" applyBorder="1" applyAlignment="1" applyProtection="1">
      <alignment horizontal="center"/>
    </xf>
    <xf numFmtId="171" fontId="0" fillId="0" borderId="16" xfId="0" applyNumberFormat="1" applyBorder="1" applyProtection="1"/>
    <xf numFmtId="3" fontId="7" fillId="0" borderId="0" xfId="549" applyNumberFormat="1" applyFont="1" applyAlignment="1" applyProtection="1">
      <alignment horizontal="right"/>
    </xf>
    <xf numFmtId="0" fontId="63" fillId="0" borderId="0" xfId="0" applyFont="1" applyAlignment="1" applyProtection="1">
      <alignment horizontal="center"/>
    </xf>
    <xf numFmtId="10" fontId="7" fillId="0" borderId="0" xfId="549" applyNumberFormat="1" applyFont="1" applyFill="1" applyAlignment="1" applyProtection="1">
      <alignment horizontal="left"/>
    </xf>
    <xf numFmtId="41" fontId="7" fillId="0" borderId="0" xfId="549" applyNumberFormat="1" applyFont="1" applyBorder="1" applyAlignment="1" applyProtection="1"/>
    <xf numFmtId="41" fontId="7" fillId="0" borderId="0" xfId="549" applyNumberFormat="1" applyFont="1" applyFill="1" applyAlignment="1" applyProtection="1"/>
    <xf numFmtId="0" fontId="7" fillId="0" borderId="0" xfId="549" applyNumberFormat="1" applyFont="1" applyAlignment="1" applyProtection="1">
      <alignment horizontal="center"/>
    </xf>
    <xf numFmtId="41" fontId="7" fillId="0" borderId="0" xfId="549" quotePrefix="1" applyNumberFormat="1" applyFont="1" applyBorder="1" applyAlignment="1" applyProtection="1"/>
    <xf numFmtId="41" fontId="7" fillId="0" borderId="0" xfId="549" applyNumberFormat="1" applyFont="1" applyFill="1" applyBorder="1" applyAlignment="1" applyProtection="1">
      <alignment horizontal="right"/>
    </xf>
    <xf numFmtId="172" fontId="7" fillId="0" borderId="11" xfId="549" applyNumberFormat="1" applyFont="1" applyBorder="1" applyAlignment="1" applyProtection="1"/>
    <xf numFmtId="164" fontId="7" fillId="0" borderId="0" xfId="549" applyNumberFormat="1" applyFont="1" applyFill="1" applyBorder="1" applyAlignment="1" applyProtection="1">
      <alignment horizontal="left"/>
    </xf>
    <xf numFmtId="164" fontId="7" fillId="0" borderId="0" xfId="549" applyNumberFormat="1" applyFont="1" applyBorder="1" applyAlignment="1" applyProtection="1">
      <alignment horizontal="left"/>
    </xf>
    <xf numFmtId="3" fontId="7" fillId="0" borderId="0" xfId="549" applyNumberFormat="1" applyFont="1" applyAlignment="1" applyProtection="1">
      <alignment vertical="center" wrapText="1"/>
    </xf>
    <xf numFmtId="41" fontId="7" fillId="0" borderId="0" xfId="549" applyNumberFormat="1" applyFont="1" applyBorder="1" applyAlignment="1" applyProtection="1">
      <alignment vertical="center"/>
    </xf>
    <xf numFmtId="41" fontId="7" fillId="0" borderId="0" xfId="549" applyNumberFormat="1" applyFont="1" applyBorder="1" applyAlignment="1" applyProtection="1">
      <alignment horizontal="center" vertical="center"/>
    </xf>
    <xf numFmtId="41" fontId="7" fillId="0" borderId="0" xfId="549" applyNumberFormat="1" applyFont="1" applyAlignment="1" applyProtection="1">
      <alignment horizontal="right"/>
    </xf>
    <xf numFmtId="10" fontId="7" fillId="0" borderId="0" xfId="0" applyNumberFormat="1" applyFont="1" applyBorder="1" applyProtection="1"/>
    <xf numFmtId="0" fontId="7" fillId="0" borderId="0" xfId="0" applyFont="1" applyFill="1" applyAlignment="1" applyProtection="1">
      <alignment horizontal="center"/>
    </xf>
    <xf numFmtId="41" fontId="7" fillId="0" borderId="0" xfId="0" applyNumberFormat="1" applyFont="1" applyProtection="1"/>
    <xf numFmtId="3" fontId="14" fillId="0" borderId="0" xfId="549" applyNumberFormat="1" applyFont="1" applyFill="1" applyBorder="1" applyAlignment="1" applyProtection="1"/>
    <xf numFmtId="41" fontId="7" fillId="0" borderId="0" xfId="549" applyNumberFormat="1" applyFont="1" applyFill="1" applyBorder="1" applyAlignment="1" applyProtection="1"/>
    <xf numFmtId="3" fontId="14" fillId="0" borderId="0" xfId="549" applyNumberFormat="1" applyFont="1" applyFill="1" applyBorder="1" applyAlignment="1" applyProtection="1">
      <alignment horizontal="center"/>
    </xf>
    <xf numFmtId="41" fontId="14" fillId="0" borderId="0" xfId="549" applyNumberFormat="1" applyFont="1" applyFill="1" applyBorder="1" applyAlignment="1" applyProtection="1"/>
    <xf numFmtId="0" fontId="14" fillId="0" borderId="0" xfId="549" applyNumberFormat="1" applyFont="1" applyFill="1" applyBorder="1" applyAlignment="1" applyProtection="1"/>
    <xf numFmtId="0" fontId="47" fillId="0" borderId="0" xfId="0" applyFont="1" applyFill="1" applyProtection="1"/>
    <xf numFmtId="0" fontId="6" fillId="0" borderId="0" xfId="0" applyFont="1" applyFill="1" applyProtection="1"/>
    <xf numFmtId="0" fontId="14" fillId="0" borderId="0" xfId="549" applyNumberFormat="1" applyFont="1" applyFill="1" applyBorder="1" applyProtection="1"/>
    <xf numFmtId="0" fontId="7" fillId="0" borderId="0" xfId="549" applyNumberFormat="1" applyFont="1" applyFill="1" applyBorder="1" applyAlignment="1" applyProtection="1"/>
    <xf numFmtId="3" fontId="7" fillId="0" borderId="0" xfId="549" applyNumberFormat="1" applyFont="1" applyFill="1" applyBorder="1" applyAlignment="1" applyProtection="1"/>
    <xf numFmtId="41" fontId="7" fillId="0" borderId="0" xfId="549" applyNumberFormat="1" applyFont="1" applyFill="1" applyBorder="1" applyAlignment="1" applyProtection="1">
      <alignment horizontal="center"/>
    </xf>
    <xf numFmtId="0" fontId="7" fillId="0" borderId="0" xfId="549" applyNumberFormat="1" applyFont="1" applyFill="1" applyBorder="1" applyProtection="1"/>
    <xf numFmtId="3" fontId="7" fillId="0" borderId="0" xfId="549" applyNumberFormat="1" applyFont="1" applyFill="1" applyBorder="1" applyAlignment="1" applyProtection="1">
      <alignment horizontal="center"/>
    </xf>
    <xf numFmtId="41" fontId="7" fillId="0" borderId="11" xfId="549" applyNumberFormat="1" applyFont="1" applyFill="1" applyBorder="1" applyAlignment="1" applyProtection="1"/>
    <xf numFmtId="0" fontId="7" fillId="0" borderId="0" xfId="0" applyFont="1" applyFill="1" applyBorder="1" applyProtection="1"/>
    <xf numFmtId="0" fontId="7" fillId="0" borderId="0" xfId="549" applyNumberFormat="1" applyFont="1" applyFill="1" applyBorder="1" applyAlignment="1" applyProtection="1">
      <alignment horizontal="center"/>
    </xf>
    <xf numFmtId="10" fontId="7" fillId="0" borderId="0" xfId="549" applyNumberFormat="1" applyFont="1" applyFill="1" applyBorder="1" applyAlignment="1" applyProtection="1"/>
    <xf numFmtId="167" fontId="7" fillId="0" borderId="0" xfId="549" applyNumberFormat="1" applyFont="1" applyFill="1" applyBorder="1" applyAlignment="1" applyProtection="1"/>
    <xf numFmtId="169" fontId="7" fillId="0" borderId="0" xfId="549" applyFont="1" applyFill="1" applyBorder="1" applyAlignment="1" applyProtection="1"/>
    <xf numFmtId="3" fontId="7" fillId="0" borderId="0" xfId="549" quotePrefix="1" applyNumberFormat="1" applyFont="1" applyFill="1" applyBorder="1" applyAlignment="1" applyProtection="1"/>
    <xf numFmtId="3" fontId="39" fillId="0" borderId="0" xfId="549" applyNumberFormat="1" applyFont="1" applyFill="1" applyBorder="1" applyAlignment="1" applyProtection="1">
      <alignment horizontal="right"/>
    </xf>
    <xf numFmtId="167" fontId="39" fillId="0" borderId="0" xfId="549" applyNumberFormat="1" applyFont="1" applyFill="1" applyBorder="1" applyAlignment="1" applyProtection="1"/>
    <xf numFmtId="3" fontId="39" fillId="0" borderId="0" xfId="549" quotePrefix="1" applyNumberFormat="1" applyFont="1" applyFill="1" applyBorder="1" applyAlignment="1" applyProtection="1"/>
    <xf numFmtId="0" fontId="7" fillId="0" borderId="0" xfId="0" applyFont="1" applyFill="1" applyBorder="1" applyAlignment="1" applyProtection="1">
      <alignment horizontal="center"/>
    </xf>
    <xf numFmtId="41" fontId="7" fillId="0" borderId="0" xfId="0" applyNumberFormat="1" applyFont="1" applyFill="1" applyBorder="1" applyProtection="1"/>
    <xf numFmtId="170" fontId="7" fillId="0" borderId="0" xfId="117" applyNumberFormat="1" applyFont="1" applyFill="1" applyBorder="1" applyProtection="1"/>
    <xf numFmtId="41" fontId="48" fillId="0" borderId="0" xfId="549" applyNumberFormat="1" applyFont="1" applyFill="1" applyBorder="1" applyAlignment="1" applyProtection="1"/>
    <xf numFmtId="0" fontId="7" fillId="0" borderId="0" xfId="0" applyFont="1" applyFill="1" applyBorder="1" applyAlignment="1" applyProtection="1"/>
    <xf numFmtId="0" fontId="0" fillId="0" borderId="0" xfId="0" applyAlignment="1" applyProtection="1"/>
    <xf numFmtId="41" fontId="7" fillId="0" borderId="11" xfId="0" applyNumberFormat="1" applyFont="1" applyFill="1" applyBorder="1" applyProtection="1"/>
    <xf numFmtId="41" fontId="7" fillId="0" borderId="0" xfId="0" applyNumberFormat="1" applyFont="1" applyBorder="1" applyProtection="1"/>
    <xf numFmtId="41" fontId="48" fillId="0" borderId="0" xfId="0" applyNumberFormat="1" applyFont="1" applyProtection="1"/>
    <xf numFmtId="0" fontId="7" fillId="0" borderId="0" xfId="0" applyFont="1" applyFill="1" applyProtection="1"/>
    <xf numFmtId="0" fontId="9" fillId="0" borderId="0" xfId="0" applyFont="1" applyFill="1" applyAlignment="1" applyProtection="1">
      <alignment horizontal="left"/>
    </xf>
    <xf numFmtId="0" fontId="0" fillId="0" borderId="0" xfId="0" applyFill="1" applyAlignment="1" applyProtection="1"/>
    <xf numFmtId="41" fontId="7" fillId="0" borderId="0" xfId="0" applyNumberFormat="1" applyFont="1" applyFill="1" applyProtection="1"/>
    <xf numFmtId="170" fontId="7" fillId="0" borderId="0" xfId="117" applyNumberFormat="1" applyFont="1" applyFill="1" applyProtection="1"/>
    <xf numFmtId="10" fontId="7" fillId="0" borderId="11" xfId="0" applyNumberFormat="1" applyFont="1" applyFill="1" applyBorder="1" applyProtection="1"/>
    <xf numFmtId="9" fontId="7" fillId="0" borderId="11" xfId="559" applyFont="1" applyFill="1" applyBorder="1" applyProtection="1"/>
    <xf numFmtId="170" fontId="7" fillId="0" borderId="11" xfId="117" applyNumberFormat="1" applyFont="1" applyFill="1" applyBorder="1" applyAlignment="1" applyProtection="1"/>
    <xf numFmtId="41" fontId="7" fillId="0" borderId="11" xfId="0" applyNumberFormat="1" applyFont="1" applyBorder="1" applyProtection="1"/>
    <xf numFmtId="10" fontId="7" fillId="0" borderId="0" xfId="0" applyNumberFormat="1" applyFont="1" applyProtection="1"/>
    <xf numFmtId="10" fontId="48" fillId="0" borderId="0" xfId="0" applyNumberFormat="1" applyFont="1" applyProtection="1"/>
    <xf numFmtId="170" fontId="7" fillId="0" borderId="11" xfId="117" applyNumberFormat="1" applyFont="1" applyFill="1" applyBorder="1" applyProtection="1"/>
    <xf numFmtId="174" fontId="7" fillId="0" borderId="0" xfId="0" applyNumberFormat="1" applyFont="1" applyProtection="1"/>
    <xf numFmtId="43" fontId="7" fillId="0" borderId="0" xfId="117" applyFont="1" applyProtection="1"/>
    <xf numFmtId="43" fontId="7" fillId="0" borderId="0" xfId="117" applyNumberFormat="1" applyFont="1" applyProtection="1"/>
    <xf numFmtId="170" fontId="7" fillId="0" borderId="0" xfId="0" applyNumberFormat="1" applyFont="1" applyProtection="1"/>
    <xf numFmtId="0" fontId="7" fillId="0" borderId="0" xfId="0" applyNumberFormat="1" applyFont="1" applyBorder="1" applyAlignment="1" applyProtection="1">
      <alignment horizontal="center"/>
    </xf>
    <xf numFmtId="170" fontId="7" fillId="0" borderId="0" xfId="0" applyNumberFormat="1" applyFont="1" applyBorder="1" applyProtection="1"/>
    <xf numFmtId="170" fontId="7" fillId="0" borderId="0" xfId="117" applyNumberFormat="1" applyFont="1" applyBorder="1" applyProtection="1"/>
    <xf numFmtId="171" fontId="7" fillId="0" borderId="0" xfId="0" applyNumberFormat="1" applyFont="1" applyBorder="1" applyProtection="1"/>
    <xf numFmtId="0" fontId="65" fillId="0" borderId="0" xfId="0" quotePrefix="1" applyFont="1" applyAlignment="1" applyProtection="1">
      <alignment horizontal="left"/>
    </xf>
    <xf numFmtId="0" fontId="66" fillId="0" borderId="0" xfId="0" quotePrefix="1" applyFont="1" applyAlignment="1" applyProtection="1">
      <alignment horizontal="left"/>
    </xf>
    <xf numFmtId="0" fontId="7" fillId="0" borderId="17" xfId="0" quotePrefix="1" applyFont="1" applyFill="1" applyBorder="1" applyAlignment="1" applyProtection="1">
      <alignment horizontal="left"/>
    </xf>
    <xf numFmtId="0" fontId="0" fillId="0" borderId="46" xfId="0" quotePrefix="1" applyBorder="1" applyAlignment="1" applyProtection="1">
      <alignment horizontal="left"/>
    </xf>
    <xf numFmtId="0" fontId="121" fillId="0" borderId="41" xfId="0" quotePrefix="1" applyFont="1" applyFill="1" applyBorder="1" applyAlignment="1" applyProtection="1">
      <alignment horizontal="right"/>
    </xf>
    <xf numFmtId="0" fontId="103" fillId="0" borderId="14" xfId="0" applyFont="1" applyBorder="1" applyProtection="1"/>
    <xf numFmtId="10" fontId="7" fillId="0" borderId="0" xfId="0" applyNumberFormat="1" applyFont="1" applyFill="1" applyProtection="1"/>
    <xf numFmtId="170" fontId="121" fillId="0" borderId="41" xfId="308" applyNumberFormat="1" applyFont="1" applyFill="1" applyBorder="1" applyProtection="1"/>
    <xf numFmtId="179" fontId="121" fillId="0" borderId="41" xfId="620" applyNumberFormat="1" applyFont="1" applyFill="1" applyBorder="1" applyProtection="1"/>
    <xf numFmtId="0" fontId="103" fillId="0" borderId="39" xfId="0" applyFont="1" applyBorder="1" applyProtection="1"/>
    <xf numFmtId="0" fontId="103" fillId="0" borderId="40" xfId="0" applyFont="1" applyBorder="1" applyProtection="1"/>
    <xf numFmtId="41" fontId="54" fillId="0" borderId="13" xfId="0" applyNumberFormat="1" applyFont="1" applyBorder="1" applyProtection="1"/>
    <xf numFmtId="3" fontId="7" fillId="0" borderId="43" xfId="484" applyNumberFormat="1" applyFont="1" applyFill="1" applyBorder="1" applyProtection="1"/>
    <xf numFmtId="10" fontId="54" fillId="0" borderId="13" xfId="0" applyNumberFormat="1" applyFont="1" applyBorder="1" applyProtection="1"/>
    <xf numFmtId="0" fontId="7" fillId="0" borderId="14" xfId="484" applyFont="1" applyFill="1" applyBorder="1" applyProtection="1"/>
    <xf numFmtId="10" fontId="121" fillId="0" borderId="41" xfId="561" applyNumberFormat="1" applyFont="1" applyFill="1" applyBorder="1" applyProtection="1"/>
    <xf numFmtId="0" fontId="54" fillId="0" borderId="20" xfId="0" applyFont="1" applyBorder="1" applyProtection="1"/>
    <xf numFmtId="170" fontId="121" fillId="0" borderId="42" xfId="0" applyNumberFormat="1" applyFont="1" applyFill="1" applyBorder="1" applyProtection="1"/>
    <xf numFmtId="0" fontId="54" fillId="0" borderId="44" xfId="0" applyFont="1" applyBorder="1" applyProtection="1"/>
    <xf numFmtId="170" fontId="7" fillId="0" borderId="0" xfId="0" applyNumberFormat="1" applyFont="1" applyFill="1" applyBorder="1" applyProtection="1"/>
    <xf numFmtId="0" fontId="54" fillId="0" borderId="16" xfId="0" applyFont="1" applyBorder="1" applyProtection="1"/>
    <xf numFmtId="170" fontId="54" fillId="0" borderId="24" xfId="0" applyNumberFormat="1" applyFont="1" applyBorder="1" applyProtection="1"/>
    <xf numFmtId="170" fontId="54" fillId="0" borderId="25" xfId="0" applyNumberFormat="1" applyFont="1" applyBorder="1" applyProtection="1"/>
    <xf numFmtId="171" fontId="54" fillId="0" borderId="26" xfId="0" applyNumberFormat="1" applyFont="1" applyBorder="1" applyProtection="1"/>
    <xf numFmtId="0" fontId="50" fillId="0" borderId="0" xfId="0" applyFont="1" applyFill="1" applyProtection="1"/>
    <xf numFmtId="0" fontId="0" fillId="0" borderId="0" xfId="0" applyAlignment="1" applyProtection="1">
      <alignment wrapText="1"/>
    </xf>
    <xf numFmtId="0" fontId="7" fillId="26" borderId="0" xfId="117" applyNumberFormat="1" applyFont="1" applyFill="1" applyAlignment="1" applyProtection="1"/>
    <xf numFmtId="0" fontId="7" fillId="0" borderId="0" xfId="117" applyNumberFormat="1" applyFont="1" applyFill="1" applyAlignment="1" applyProtection="1"/>
    <xf numFmtId="169" fontId="15" fillId="0" borderId="17" xfId="549" applyFont="1" applyBorder="1" applyAlignment="1" applyProtection="1"/>
    <xf numFmtId="169" fontId="7" fillId="0" borderId="18" xfId="549" applyFont="1" applyBorder="1" applyAlignment="1" applyProtection="1"/>
    <xf numFmtId="3" fontId="7" fillId="0" borderId="19" xfId="549" applyNumberFormat="1" applyFont="1" applyBorder="1" applyAlignment="1" applyProtection="1"/>
    <xf numFmtId="0" fontId="7" fillId="28" borderId="0" xfId="549" applyNumberFormat="1" applyFont="1" applyFill="1" applyBorder="1" applyAlignment="1" applyProtection="1">
      <alignment horizontal="center"/>
    </xf>
    <xf numFmtId="167" fontId="7" fillId="0" borderId="0" xfId="549" applyNumberFormat="1" applyFont="1" applyAlignment="1" applyProtection="1"/>
    <xf numFmtId="0" fontId="7" fillId="0" borderId="0" xfId="0" quotePrefix="1" applyFont="1" applyBorder="1" applyAlignment="1" applyProtection="1">
      <alignment horizontal="right"/>
    </xf>
    <xf numFmtId="171" fontId="0" fillId="0" borderId="0" xfId="0" applyNumberFormat="1" applyBorder="1" applyProtection="1"/>
    <xf numFmtId="171" fontId="0" fillId="0" borderId="14" xfId="0" applyNumberFormat="1" applyBorder="1" applyProtection="1"/>
    <xf numFmtId="0" fontId="0" fillId="0" borderId="0" xfId="0" quotePrefix="1" applyBorder="1" applyAlignment="1" applyProtection="1">
      <alignment horizontal="right"/>
    </xf>
    <xf numFmtId="171" fontId="0" fillId="0" borderId="6" xfId="0" applyNumberFormat="1" applyBorder="1" applyProtection="1"/>
    <xf numFmtId="167" fontId="48" fillId="0" borderId="0" xfId="549" applyNumberFormat="1" applyFont="1" applyAlignment="1" applyProtection="1"/>
    <xf numFmtId="0" fontId="0" fillId="0" borderId="0" xfId="0" applyBorder="1" applyAlignment="1" applyProtection="1">
      <alignment horizontal="right"/>
    </xf>
    <xf numFmtId="170" fontId="0" fillId="0" borderId="0" xfId="0" applyNumberFormat="1" applyBorder="1" applyProtection="1"/>
    <xf numFmtId="170" fontId="0" fillId="0" borderId="19" xfId="0" applyNumberFormat="1" applyBorder="1" applyProtection="1"/>
    <xf numFmtId="173" fontId="7" fillId="0" borderId="0" xfId="549" applyNumberFormat="1" applyFont="1" applyAlignment="1" applyProtection="1"/>
    <xf numFmtId="165" fontId="7" fillId="0" borderId="15" xfId="549" applyNumberFormat="1" applyFont="1" applyBorder="1" applyAlignment="1" applyProtection="1">
      <alignment horizontal="center"/>
    </xf>
    <xf numFmtId="0" fontId="7" fillId="0" borderId="6" xfId="549" applyNumberFormat="1" applyFont="1" applyBorder="1" applyAlignment="1" applyProtection="1">
      <alignment horizontal="center"/>
    </xf>
    <xf numFmtId="170" fontId="7" fillId="0" borderId="6" xfId="549" quotePrefix="1" applyNumberFormat="1" applyFont="1" applyBorder="1" applyAlignment="1" applyProtection="1">
      <alignment horizontal="center"/>
    </xf>
    <xf numFmtId="41" fontId="48" fillId="0" borderId="11" xfId="549" applyNumberFormat="1" applyFont="1" applyFill="1" applyBorder="1" applyAlignment="1" applyProtection="1"/>
    <xf numFmtId="10" fontId="7" fillId="0" borderId="0" xfId="0" applyNumberFormat="1" applyFont="1" applyFill="1" applyBorder="1" applyProtection="1"/>
    <xf numFmtId="9" fontId="7" fillId="0" borderId="0" xfId="559" applyFont="1" applyFill="1" applyBorder="1" applyProtection="1"/>
    <xf numFmtId="170" fontId="7" fillId="0" borderId="0" xfId="117" applyNumberFormat="1" applyFont="1" applyFill="1" applyBorder="1" applyAlignment="1" applyProtection="1"/>
    <xf numFmtId="41" fontId="56" fillId="0" borderId="0" xfId="0" applyNumberFormat="1" applyFont="1" applyProtection="1"/>
    <xf numFmtId="10" fontId="0" fillId="0" borderId="0" xfId="0" applyNumberFormat="1" applyProtection="1"/>
    <xf numFmtId="164" fontId="1" fillId="0" borderId="0" xfId="559" applyNumberFormat="1" applyProtection="1"/>
    <xf numFmtId="0" fontId="7" fillId="0" borderId="47" xfId="0" quotePrefix="1" applyFont="1" applyFill="1" applyBorder="1" applyAlignment="1" applyProtection="1">
      <alignment horizontal="left"/>
    </xf>
    <xf numFmtId="0" fontId="0" fillId="0" borderId="19" xfId="0" applyBorder="1" applyProtection="1"/>
    <xf numFmtId="0" fontId="54" fillId="0" borderId="41" xfId="0" quotePrefix="1" applyFont="1" applyFill="1" applyBorder="1" applyAlignment="1" applyProtection="1">
      <alignment horizontal="right"/>
    </xf>
    <xf numFmtId="10" fontId="54" fillId="0" borderId="41" xfId="0" applyNumberFormat="1" applyFont="1" applyBorder="1" applyProtection="1"/>
    <xf numFmtId="170" fontId="54" fillId="0" borderId="41" xfId="317" applyNumberFormat="1" applyFont="1" applyBorder="1" applyProtection="1"/>
    <xf numFmtId="166" fontId="54" fillId="0" borderId="41" xfId="0" applyNumberFormat="1" applyFont="1" applyBorder="1" applyProtection="1"/>
    <xf numFmtId="3" fontId="54" fillId="0" borderId="43" xfId="0" applyNumberFormat="1" applyFont="1" applyBorder="1" applyProtection="1"/>
    <xf numFmtId="0" fontId="54" fillId="0" borderId="14" xfId="0" applyFont="1" applyBorder="1" applyProtection="1"/>
    <xf numFmtId="0" fontId="7" fillId="0" borderId="14" xfId="0" applyFont="1" applyFill="1" applyBorder="1" applyProtection="1"/>
    <xf numFmtId="170" fontId="54" fillId="0" borderId="42" xfId="0" applyNumberFormat="1" applyFont="1" applyBorder="1" applyProtection="1"/>
    <xf numFmtId="170" fontId="54" fillId="0" borderId="45" xfId="0" applyNumberFormat="1" applyFont="1" applyBorder="1" applyProtection="1"/>
    <xf numFmtId="171" fontId="54" fillId="0" borderId="25" xfId="0" applyNumberFormat="1" applyFont="1" applyBorder="1" applyProtection="1"/>
    <xf numFmtId="0" fontId="50" fillId="0" borderId="0" xfId="0" quotePrefix="1" applyFont="1" applyAlignment="1" applyProtection="1">
      <alignment horizontal="left"/>
    </xf>
    <xf numFmtId="0" fontId="46" fillId="0" borderId="0" xfId="0" applyFont="1" applyAlignment="1" applyProtection="1">
      <alignment horizontal="right"/>
    </xf>
    <xf numFmtId="0" fontId="67" fillId="0" borderId="0" xfId="0" applyFont="1" applyFill="1" applyAlignment="1" applyProtection="1">
      <alignment horizontal="right"/>
    </xf>
    <xf numFmtId="0" fontId="46" fillId="0" borderId="0" xfId="0" quotePrefix="1" applyFont="1" applyAlignment="1" applyProtection="1">
      <alignment horizontal="right"/>
    </xf>
    <xf numFmtId="0" fontId="68" fillId="0" borderId="0" xfId="0" quotePrefix="1" applyFont="1" applyAlignment="1" applyProtection="1">
      <alignment horizontal="left"/>
    </xf>
    <xf numFmtId="0" fontId="39" fillId="0" borderId="0" xfId="0" applyFont="1" applyAlignment="1" applyProtection="1">
      <alignment horizontal="left"/>
    </xf>
    <xf numFmtId="0" fontId="51" fillId="27" borderId="0" xfId="117" applyNumberFormat="1" applyFont="1" applyFill="1" applyAlignment="1" applyProtection="1">
      <alignment horizontal="left"/>
    </xf>
    <xf numFmtId="0" fontId="39" fillId="0" borderId="17" xfId="0" applyFont="1" applyBorder="1" applyProtection="1"/>
    <xf numFmtId="0" fontId="39" fillId="0" borderId="18" xfId="0" applyFont="1" applyBorder="1" applyProtection="1"/>
    <xf numFmtId="0" fontId="7" fillId="0" borderId="18" xfId="0" applyFont="1" applyBorder="1" applyProtection="1"/>
    <xf numFmtId="170" fontId="39" fillId="0" borderId="19" xfId="117" applyNumberFormat="1" applyFont="1" applyBorder="1" applyProtection="1"/>
    <xf numFmtId="0" fontId="14" fillId="0" borderId="0" xfId="117" applyNumberFormat="1" applyFont="1" applyFill="1" applyAlignment="1" applyProtection="1">
      <alignment horizontal="left"/>
    </xf>
    <xf numFmtId="0" fontId="14" fillId="0" borderId="0" xfId="117" applyNumberFormat="1" applyFont="1" applyFill="1" applyBorder="1" applyAlignment="1" applyProtection="1">
      <alignment horizontal="left"/>
    </xf>
    <xf numFmtId="0" fontId="39" fillId="0" borderId="13" xfId="0" applyFont="1" applyBorder="1" applyProtection="1"/>
    <xf numFmtId="0" fontId="9" fillId="0" borderId="0" xfId="117" applyNumberFormat="1" applyFont="1" applyFill="1" applyBorder="1" applyAlignment="1" applyProtection="1">
      <alignment horizontal="left"/>
    </xf>
    <xf numFmtId="170" fontId="39" fillId="0" borderId="20" xfId="117" applyNumberFormat="1" applyFont="1" applyBorder="1" applyProtection="1"/>
    <xf numFmtId="0" fontId="39" fillId="0" borderId="0" xfId="0" applyFont="1" applyFill="1" applyProtection="1"/>
    <xf numFmtId="0" fontId="52" fillId="0" borderId="0" xfId="0" quotePrefix="1" applyFont="1" applyFill="1" applyAlignment="1" applyProtection="1">
      <alignment horizontal="left"/>
    </xf>
    <xf numFmtId="170" fontId="39" fillId="0" borderId="15" xfId="117" applyNumberFormat="1" applyFont="1" applyBorder="1" applyProtection="1"/>
    <xf numFmtId="170" fontId="7" fillId="0" borderId="6" xfId="117" applyNumberFormat="1" applyFont="1" applyBorder="1" applyProtection="1"/>
    <xf numFmtId="170" fontId="7" fillId="0" borderId="16" xfId="117" applyNumberFormat="1" applyFont="1" applyBorder="1" applyProtection="1"/>
    <xf numFmtId="0" fontId="53" fillId="0" borderId="0" xfId="0" applyFont="1" applyFill="1" applyAlignment="1" applyProtection="1"/>
    <xf numFmtId="0" fontId="55" fillId="0" borderId="0" xfId="0" applyFont="1" applyFill="1" applyAlignment="1" applyProtection="1"/>
    <xf numFmtId="0" fontId="7" fillId="0" borderId="0" xfId="0" applyFont="1" applyFill="1" applyAlignment="1" applyProtection="1">
      <alignment wrapText="1"/>
    </xf>
    <xf numFmtId="0" fontId="7" fillId="0" borderId="0" xfId="0" applyFont="1" applyFill="1" applyBorder="1" applyAlignment="1" applyProtection="1">
      <alignment wrapText="1"/>
    </xf>
    <xf numFmtId="0" fontId="39" fillId="0" borderId="21" xfId="0" applyFont="1" applyFill="1" applyBorder="1" applyAlignment="1" applyProtection="1">
      <alignment horizontal="center"/>
    </xf>
    <xf numFmtId="0" fontId="61" fillId="28" borderId="22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center"/>
    </xf>
    <xf numFmtId="0" fontId="39" fillId="0" borderId="23" xfId="0" applyFont="1" applyFill="1" applyBorder="1" applyAlignment="1" applyProtection="1">
      <alignment horizontal="center"/>
    </xf>
    <xf numFmtId="0" fontId="39" fillId="0" borderId="0" xfId="0" applyFont="1" applyFill="1" applyBorder="1" applyAlignment="1" applyProtection="1">
      <alignment horizontal="center"/>
    </xf>
    <xf numFmtId="0" fontId="0" fillId="0" borderId="0" xfId="0" applyBorder="1" applyAlignment="1" applyProtection="1"/>
    <xf numFmtId="0" fontId="7" fillId="0" borderId="13" xfId="0" quotePrefix="1" applyFont="1" applyFill="1" applyBorder="1" applyAlignment="1" applyProtection="1">
      <alignment horizontal="left"/>
    </xf>
    <xf numFmtId="170" fontId="54" fillId="27" borderId="14" xfId="117" applyNumberFormat="1" applyFont="1" applyFill="1" applyBorder="1" applyAlignment="1" applyProtection="1">
      <alignment horizontal="right"/>
    </xf>
    <xf numFmtId="0" fontId="7" fillId="0" borderId="0" xfId="0" applyFont="1" applyBorder="1" applyAlignment="1" applyProtection="1">
      <alignment horizontal="center"/>
    </xf>
    <xf numFmtId="0" fontId="39" fillId="0" borderId="19" xfId="0" applyFont="1" applyFill="1" applyBorder="1" applyAlignment="1" applyProtection="1">
      <alignment horizontal="center"/>
    </xf>
    <xf numFmtId="0" fontId="7" fillId="0" borderId="13" xfId="0" applyFont="1" applyFill="1" applyBorder="1" applyProtection="1"/>
    <xf numFmtId="0" fontId="54" fillId="27" borderId="14" xfId="0" applyFont="1" applyFill="1" applyBorder="1" applyAlignment="1" applyProtection="1">
      <alignment horizontal="right"/>
    </xf>
    <xf numFmtId="170" fontId="7" fillId="0" borderId="14" xfId="0" applyNumberFormat="1" applyFont="1" applyFill="1" applyBorder="1" applyAlignment="1" applyProtection="1">
      <alignment horizontal="right"/>
    </xf>
    <xf numFmtId="170" fontId="7" fillId="0" borderId="0" xfId="0" applyNumberFormat="1" applyFont="1" applyFill="1" applyBorder="1" applyAlignment="1" applyProtection="1">
      <alignment horizontal="right"/>
    </xf>
    <xf numFmtId="10" fontId="7" fillId="0" borderId="14" xfId="0" applyNumberFormat="1" applyFont="1" applyBorder="1" applyProtection="1"/>
    <xf numFmtId="170" fontId="7" fillId="0" borderId="14" xfId="117" applyNumberFormat="1" applyFont="1" applyBorder="1" applyProtection="1"/>
    <xf numFmtId="0" fontId="39" fillId="0" borderId="24" xfId="0" applyFont="1" applyBorder="1" applyAlignment="1" applyProtection="1">
      <alignment horizontal="center"/>
    </xf>
    <xf numFmtId="170" fontId="39" fillId="0" borderId="24" xfId="117" applyNumberFormat="1" applyFont="1" applyBorder="1" applyAlignment="1" applyProtection="1">
      <alignment horizontal="center"/>
    </xf>
    <xf numFmtId="170" fontId="39" fillId="27" borderId="19" xfId="117" quotePrefix="1" applyNumberFormat="1" applyFont="1" applyFill="1" applyBorder="1" applyAlignment="1" applyProtection="1">
      <alignment horizontal="center" wrapText="1"/>
    </xf>
    <xf numFmtId="170" fontId="39" fillId="0" borderId="19" xfId="117" quotePrefix="1" applyNumberFormat="1" applyFont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/>
    </xf>
    <xf numFmtId="170" fontId="39" fillId="0" borderId="24" xfId="117" quotePrefix="1" applyNumberFormat="1" applyFont="1" applyBorder="1" applyAlignment="1" applyProtection="1">
      <alignment horizontal="center" wrapText="1"/>
    </xf>
    <xf numFmtId="170" fontId="39" fillId="0" borderId="24" xfId="117" applyNumberFormat="1" applyFont="1" applyFill="1" applyBorder="1" applyAlignment="1" applyProtection="1">
      <alignment horizontal="center" wrapText="1"/>
    </xf>
    <xf numFmtId="170" fontId="39" fillId="0" borderId="24" xfId="117" applyNumberFormat="1" applyFont="1" applyBorder="1" applyAlignment="1" applyProtection="1">
      <alignment horizontal="center" wrapText="1"/>
    </xf>
    <xf numFmtId="0" fontId="39" fillId="0" borderId="26" xfId="0" applyFont="1" applyBorder="1" applyAlignment="1" applyProtection="1">
      <alignment horizontal="center"/>
    </xf>
    <xf numFmtId="170" fontId="39" fillId="27" borderId="16" xfId="117" applyNumberFormat="1" applyFont="1" applyFill="1" applyBorder="1" applyAlignment="1" applyProtection="1">
      <alignment horizontal="center"/>
    </xf>
    <xf numFmtId="170" fontId="39" fillId="0" borderId="16" xfId="117" applyNumberFormat="1" applyFont="1" applyBorder="1" applyAlignment="1" applyProtection="1">
      <alignment horizontal="center"/>
    </xf>
    <xf numFmtId="0" fontId="39" fillId="0" borderId="26" xfId="0" applyFont="1" applyFill="1" applyBorder="1" applyAlignment="1" applyProtection="1">
      <alignment horizontal="center"/>
    </xf>
    <xf numFmtId="0" fontId="39" fillId="0" borderId="25" xfId="0" applyFont="1" applyFill="1" applyBorder="1" applyAlignment="1" applyProtection="1">
      <alignment horizontal="center"/>
    </xf>
    <xf numFmtId="170" fontId="39" fillId="0" borderId="26" xfId="117" applyNumberFormat="1" applyFont="1" applyBorder="1" applyAlignment="1" applyProtection="1">
      <alignment horizontal="center"/>
    </xf>
    <xf numFmtId="170" fontId="39" fillId="0" borderId="26" xfId="117" applyNumberFormat="1" applyFont="1" applyFill="1" applyBorder="1" applyAlignment="1" applyProtection="1">
      <alignment horizontal="center"/>
    </xf>
    <xf numFmtId="170" fontId="39" fillId="0" borderId="15" xfId="117" applyNumberFormat="1" applyFont="1" applyFill="1" applyBorder="1" applyAlignment="1" applyProtection="1">
      <alignment horizontal="center"/>
    </xf>
    <xf numFmtId="0" fontId="7" fillId="0" borderId="25" xfId="0" applyNumberFormat="1" applyFont="1" applyBorder="1" applyAlignment="1" applyProtection="1">
      <alignment horizontal="center"/>
    </xf>
    <xf numFmtId="170" fontId="54" fillId="27" borderId="0" xfId="0" applyNumberFormat="1" applyFont="1" applyFill="1" applyBorder="1" applyProtection="1"/>
    <xf numFmtId="170" fontId="54" fillId="27" borderId="24" xfId="117" applyNumberFormat="1" applyFont="1" applyFill="1" applyBorder="1" applyProtection="1"/>
    <xf numFmtId="171" fontId="7" fillId="0" borderId="14" xfId="0" applyNumberFormat="1" applyFont="1" applyBorder="1" applyProtection="1"/>
    <xf numFmtId="171" fontId="54" fillId="0" borderId="25" xfId="0" applyNumberFormat="1" applyFont="1" applyFill="1" applyBorder="1" applyProtection="1"/>
    <xf numFmtId="171" fontId="7" fillId="0" borderId="24" xfId="0" applyNumberFormat="1" applyFont="1" applyBorder="1" applyProtection="1"/>
    <xf numFmtId="171" fontId="7" fillId="0" borderId="25" xfId="0" applyNumberFormat="1" applyFont="1" applyBorder="1" applyProtection="1"/>
    <xf numFmtId="170" fontId="54" fillId="27" borderId="25" xfId="0" applyNumberFormat="1" applyFont="1" applyFill="1" applyBorder="1" applyProtection="1"/>
    <xf numFmtId="170" fontId="54" fillId="27" borderId="25" xfId="117" applyNumberFormat="1" applyFont="1" applyFill="1" applyBorder="1" applyProtection="1"/>
    <xf numFmtId="170" fontId="54" fillId="27" borderId="14" xfId="117" applyNumberFormat="1" applyFont="1" applyFill="1" applyBorder="1" applyProtection="1"/>
    <xf numFmtId="0" fontId="7" fillId="0" borderId="25" xfId="0" applyNumberFormat="1" applyFont="1" applyFill="1" applyBorder="1" applyAlignment="1" applyProtection="1">
      <alignment horizontal="center"/>
    </xf>
    <xf numFmtId="170" fontId="7" fillId="0" borderId="25" xfId="0" applyNumberFormat="1" applyFont="1" applyFill="1" applyBorder="1" applyProtection="1"/>
    <xf numFmtId="170" fontId="1" fillId="0" borderId="25" xfId="117" applyNumberFormat="1" applyBorder="1" applyProtection="1"/>
    <xf numFmtId="170" fontId="7" fillId="0" borderId="25" xfId="0" applyNumberFormat="1" applyFont="1" applyBorder="1" applyProtection="1"/>
    <xf numFmtId="170" fontId="7" fillId="0" borderId="25" xfId="117" applyNumberFormat="1" applyFont="1" applyBorder="1" applyProtection="1"/>
    <xf numFmtId="171" fontId="54" fillId="27" borderId="25" xfId="0" applyNumberFormat="1" applyFont="1" applyFill="1" applyBorder="1" applyProtection="1"/>
    <xf numFmtId="170" fontId="7" fillId="0" borderId="25" xfId="117" applyNumberFormat="1" applyFont="1" applyFill="1" applyBorder="1" applyProtection="1"/>
    <xf numFmtId="0" fontId="7" fillId="0" borderId="26" xfId="0" applyNumberFormat="1" applyFont="1" applyBorder="1" applyAlignment="1" applyProtection="1">
      <alignment horizontal="center"/>
    </xf>
    <xf numFmtId="170" fontId="7" fillId="0" borderId="26" xfId="0" applyNumberFormat="1" applyFont="1" applyBorder="1" applyProtection="1"/>
    <xf numFmtId="170" fontId="1" fillId="0" borderId="26" xfId="117" applyNumberFormat="1" applyBorder="1" applyProtection="1"/>
    <xf numFmtId="170" fontId="7" fillId="0" borderId="26" xfId="117" applyNumberFormat="1" applyFont="1" applyFill="1" applyBorder="1" applyProtection="1"/>
    <xf numFmtId="171" fontId="7" fillId="0" borderId="16" xfId="0" applyNumberFormat="1" applyFont="1" applyBorder="1" applyProtection="1"/>
    <xf numFmtId="171" fontId="54" fillId="27" borderId="26" xfId="0" applyNumberFormat="1" applyFont="1" applyFill="1" applyBorder="1" applyProtection="1"/>
    <xf numFmtId="171" fontId="7" fillId="0" borderId="26" xfId="0" applyNumberFormat="1" applyFont="1" applyBorder="1" applyProtection="1"/>
    <xf numFmtId="0" fontId="53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0" fontId="69" fillId="0" borderId="0" xfId="0" applyFont="1" applyProtection="1"/>
    <xf numFmtId="0" fontId="7" fillId="0" borderId="0" xfId="0" applyFont="1" applyAlignment="1" applyProtection="1">
      <alignment horizontal="left"/>
    </xf>
    <xf numFmtId="0" fontId="46" fillId="0" borderId="0" xfId="0" quotePrefix="1" applyFont="1" applyAlignment="1" applyProtection="1">
      <alignment horizontal="center"/>
    </xf>
    <xf numFmtId="0" fontId="9" fillId="0" borderId="0" xfId="0" applyFont="1" applyFill="1" applyProtection="1"/>
    <xf numFmtId="0" fontId="39" fillId="0" borderId="28" xfId="0" applyFont="1" applyFill="1" applyBorder="1" applyAlignment="1" applyProtection="1">
      <alignment horizontal="center"/>
    </xf>
    <xf numFmtId="169" fontId="7" fillId="0" borderId="29" xfId="549" applyFont="1" applyBorder="1" applyAlignment="1" applyProtection="1">
      <alignment horizontal="center"/>
    </xf>
    <xf numFmtId="169" fontId="7" fillId="0" borderId="29" xfId="549" quotePrefix="1" applyFont="1" applyBorder="1" applyAlignment="1" applyProtection="1">
      <alignment horizontal="center"/>
    </xf>
    <xf numFmtId="3" fontId="7" fillId="0" borderId="30" xfId="549" applyNumberFormat="1" applyFont="1" applyBorder="1" applyAlignment="1" applyProtection="1">
      <alignment horizontal="center"/>
    </xf>
    <xf numFmtId="0" fontId="55" fillId="0" borderId="24" xfId="0" applyFont="1" applyBorder="1" applyProtection="1"/>
    <xf numFmtId="170" fontId="7" fillId="0" borderId="13" xfId="117" quotePrefix="1" applyNumberFormat="1" applyFont="1" applyBorder="1" applyAlignment="1" applyProtection="1">
      <alignment horizontal="right"/>
    </xf>
    <xf numFmtId="170" fontId="39" fillId="0" borderId="0" xfId="117" applyNumberFormat="1" applyFont="1" applyBorder="1" applyProtection="1"/>
    <xf numFmtId="170" fontId="7" fillId="0" borderId="14" xfId="0" applyNumberFormat="1" applyFont="1" applyBorder="1" applyProtection="1"/>
    <xf numFmtId="0" fontId="57" fillId="0" borderId="31" xfId="117" applyNumberFormat="1" applyFont="1" applyFill="1" applyBorder="1" applyAlignment="1" applyProtection="1">
      <alignment horizontal="left"/>
    </xf>
    <xf numFmtId="170" fontId="7" fillId="0" borderId="32" xfId="117" quotePrefix="1" applyNumberFormat="1" applyFont="1" applyBorder="1" applyAlignment="1" applyProtection="1">
      <alignment horizontal="right"/>
    </xf>
    <xf numFmtId="170" fontId="39" fillId="0" borderId="11" xfId="117" applyNumberFormat="1" applyFont="1" applyBorder="1" applyProtection="1"/>
    <xf numFmtId="170" fontId="7" fillId="0" borderId="20" xfId="0" applyNumberFormat="1" applyFont="1" applyBorder="1" applyProtection="1"/>
    <xf numFmtId="0" fontId="52" fillId="0" borderId="0" xfId="0" applyFont="1" applyAlignment="1" applyProtection="1">
      <alignment horizontal="left"/>
    </xf>
    <xf numFmtId="170" fontId="55" fillId="0" borderId="26" xfId="117" applyNumberFormat="1" applyFont="1" applyBorder="1" applyProtection="1"/>
    <xf numFmtId="0" fontId="7" fillId="0" borderId="15" xfId="0" quotePrefix="1" applyFont="1" applyBorder="1" applyAlignment="1" applyProtection="1">
      <alignment horizontal="right"/>
    </xf>
    <xf numFmtId="170" fontId="39" fillId="0" borderId="6" xfId="117" applyNumberFormat="1" applyFont="1" applyFill="1" applyBorder="1" applyAlignment="1" applyProtection="1">
      <alignment horizontal="left"/>
    </xf>
    <xf numFmtId="170" fontId="39" fillId="0" borderId="16" xfId="117" applyNumberFormat="1" applyFont="1" applyFill="1" applyBorder="1" applyAlignment="1" applyProtection="1">
      <alignment horizontal="left"/>
    </xf>
    <xf numFmtId="170" fontId="55" fillId="0" borderId="0" xfId="0" applyNumberFormat="1" applyFont="1" applyAlignment="1" applyProtection="1">
      <alignment horizontal="left"/>
    </xf>
    <xf numFmtId="0" fontId="7" fillId="0" borderId="21" xfId="0" applyFont="1" applyFill="1" applyBorder="1" applyAlignment="1" applyProtection="1">
      <alignment horizontal="center"/>
    </xf>
    <xf numFmtId="0" fontId="39" fillId="0" borderId="22" xfId="0" applyFont="1" applyFill="1" applyBorder="1" applyAlignment="1" applyProtection="1"/>
    <xf numFmtId="0" fontId="0" fillId="0" borderId="22" xfId="0" applyBorder="1" applyAlignment="1" applyProtection="1"/>
    <xf numFmtId="0" fontId="0" fillId="0" borderId="23" xfId="0" applyBorder="1" applyAlignment="1" applyProtection="1"/>
    <xf numFmtId="0" fontId="0" fillId="0" borderId="0" xfId="0" applyFill="1" applyBorder="1" applyAlignment="1" applyProtection="1"/>
    <xf numFmtId="0" fontId="7" fillId="0" borderId="14" xfId="0" applyFont="1" applyFill="1" applyBorder="1" applyAlignment="1" applyProtection="1">
      <alignment horizontal="right"/>
    </xf>
    <xf numFmtId="170" fontId="7" fillId="0" borderId="14" xfId="117" applyNumberFormat="1" applyFont="1" applyFill="1" applyBorder="1" applyAlignment="1" applyProtection="1">
      <alignment horizontal="right"/>
    </xf>
    <xf numFmtId="0" fontId="7" fillId="0" borderId="16" xfId="0" applyFont="1" applyFill="1" applyBorder="1" applyAlignment="1" applyProtection="1">
      <alignment horizontal="right"/>
    </xf>
    <xf numFmtId="0" fontId="7" fillId="0" borderId="15" xfId="0" applyFont="1" applyBorder="1" applyProtection="1"/>
    <xf numFmtId="0" fontId="7" fillId="0" borderId="6" xfId="0" applyFont="1" applyBorder="1" applyAlignment="1" applyProtection="1">
      <alignment horizontal="center"/>
    </xf>
    <xf numFmtId="0" fontId="0" fillId="0" borderId="6" xfId="0" applyBorder="1" applyProtection="1"/>
    <xf numFmtId="0" fontId="39" fillId="0" borderId="24" xfId="0" applyFont="1" applyBorder="1" applyAlignment="1" applyProtection="1">
      <alignment horizontal="center" wrapText="1"/>
    </xf>
    <xf numFmtId="170" fontId="39" fillId="0" borderId="0" xfId="117" applyNumberFormat="1" applyFont="1" applyBorder="1" applyAlignment="1" applyProtection="1">
      <alignment horizontal="center" wrapText="1"/>
    </xf>
    <xf numFmtId="170" fontId="39" fillId="27" borderId="24" xfId="117" quotePrefix="1" applyNumberFormat="1" applyFont="1" applyFill="1" applyBorder="1" applyAlignment="1" applyProtection="1">
      <alignment horizontal="center" wrapText="1"/>
    </xf>
    <xf numFmtId="0" fontId="39" fillId="0" borderId="25" xfId="0" applyFont="1" applyBorder="1" applyAlignment="1" applyProtection="1">
      <alignment horizontal="center" wrapText="1"/>
    </xf>
    <xf numFmtId="0" fontId="39" fillId="0" borderId="6" xfId="0" applyFont="1" applyBorder="1" applyAlignment="1" applyProtection="1">
      <alignment horizontal="center"/>
    </xf>
    <xf numFmtId="170" fontId="39" fillId="27" borderId="26" xfId="117" applyNumberFormat="1" applyFont="1" applyFill="1" applyBorder="1" applyAlignment="1" applyProtection="1">
      <alignment horizontal="center"/>
    </xf>
    <xf numFmtId="170" fontId="54" fillId="27" borderId="24" xfId="0" applyNumberFormat="1" applyFont="1" applyFill="1" applyBorder="1" applyProtection="1"/>
    <xf numFmtId="168" fontId="54" fillId="27" borderId="25" xfId="117" applyNumberFormat="1" applyFont="1" applyFill="1" applyBorder="1" applyProtection="1"/>
    <xf numFmtId="168" fontId="54" fillId="27" borderId="14" xfId="117" applyNumberFormat="1" applyFont="1" applyFill="1" applyBorder="1" applyProtection="1"/>
    <xf numFmtId="171" fontId="54" fillId="29" borderId="25" xfId="0" applyNumberFormat="1" applyFont="1" applyFill="1" applyBorder="1" applyProtection="1"/>
    <xf numFmtId="171" fontId="7" fillId="29" borderId="25" xfId="0" applyNumberFormat="1" applyFont="1" applyFill="1" applyBorder="1" applyProtection="1"/>
    <xf numFmtId="170" fontId="7" fillId="0" borderId="14" xfId="117" applyNumberFormat="1" applyFont="1" applyFill="1" applyBorder="1" applyProtection="1"/>
    <xf numFmtId="170" fontId="7" fillId="0" borderId="6" xfId="0" applyNumberFormat="1" applyFont="1" applyBorder="1" applyProtection="1"/>
    <xf numFmtId="170" fontId="7" fillId="0" borderId="26" xfId="117" applyNumberFormat="1" applyFont="1" applyBorder="1" applyProtection="1"/>
    <xf numFmtId="170" fontId="7" fillId="0" borderId="16" xfId="117" applyNumberFormat="1" applyFont="1" applyFill="1" applyBorder="1" applyProtection="1"/>
    <xf numFmtId="0" fontId="55" fillId="0" borderId="0" xfId="0" applyFont="1" applyProtection="1"/>
    <xf numFmtId="0" fontId="58" fillId="0" borderId="0" xfId="0" applyFont="1" applyFill="1" applyProtection="1"/>
    <xf numFmtId="0" fontId="46" fillId="0" borderId="0" xfId="0" applyFont="1" applyAlignment="1" applyProtection="1">
      <alignment horizontal="center"/>
    </xf>
    <xf numFmtId="0" fontId="68" fillId="0" borderId="0" xfId="0" applyFont="1" applyProtection="1"/>
    <xf numFmtId="171" fontId="7" fillId="0" borderId="25" xfId="0" applyNumberFormat="1" applyFont="1" applyFill="1" applyBorder="1" applyProtection="1"/>
    <xf numFmtId="175" fontId="5" fillId="0" borderId="14" xfId="0" applyNumberFormat="1" applyFont="1" applyBorder="1" applyProtection="1"/>
    <xf numFmtId="176" fontId="7" fillId="0" borderId="14" xfId="117" applyNumberFormat="1" applyFont="1" applyBorder="1" applyProtection="1"/>
    <xf numFmtId="171" fontId="46" fillId="0" borderId="0" xfId="0" quotePrefix="1" applyNumberFormat="1" applyFont="1" applyBorder="1" applyAlignment="1" applyProtection="1">
      <alignment horizontal="center"/>
    </xf>
    <xf numFmtId="171" fontId="54" fillId="0" borderId="24" xfId="0" applyNumberFormat="1" applyFont="1" applyFill="1" applyBorder="1" applyProtection="1"/>
    <xf numFmtId="0" fontId="50" fillId="0" borderId="0" xfId="0" applyFont="1" applyProtection="1"/>
    <xf numFmtId="43" fontId="0" fillId="0" borderId="0" xfId="117" applyFont="1" applyProtection="1"/>
    <xf numFmtId="170" fontId="39" fillId="0" borderId="25" xfId="117" applyNumberFormat="1" applyFont="1" applyBorder="1" applyAlignment="1" applyProtection="1">
      <alignment horizontal="center"/>
    </xf>
    <xf numFmtId="170" fontId="54" fillId="27" borderId="0" xfId="0" quotePrefix="1" applyNumberFormat="1" applyFont="1" applyFill="1" applyBorder="1" applyAlignment="1" applyProtection="1">
      <alignment horizontal="left"/>
    </xf>
    <xf numFmtId="171" fontId="7" fillId="0" borderId="19" xfId="0" applyNumberFormat="1" applyFont="1" applyBorder="1" applyProtection="1"/>
    <xf numFmtId="0" fontId="39" fillId="0" borderId="13" xfId="0" applyFont="1" applyFill="1" applyBorder="1" applyAlignment="1" applyProtection="1">
      <alignment horizontal="center"/>
    </xf>
    <xf numFmtId="170" fontId="64" fillId="27" borderId="25" xfId="117" applyNumberFormat="1" applyFont="1" applyFill="1" applyBorder="1" applyProtection="1"/>
    <xf numFmtId="171" fontId="7" fillId="0" borderId="24" xfId="0" applyNumberFormat="1" applyFont="1" applyFill="1" applyBorder="1" applyProtection="1"/>
    <xf numFmtId="0" fontId="55" fillId="0" borderId="0" xfId="0" quotePrefix="1" applyFont="1" applyAlignment="1" applyProtection="1">
      <alignment horizontal="left"/>
    </xf>
    <xf numFmtId="0" fontId="52" fillId="0" borderId="0" xfId="0" applyFont="1" applyFill="1" applyAlignment="1" applyProtection="1">
      <alignment horizontal="left"/>
    </xf>
    <xf numFmtId="0" fontId="68" fillId="0" borderId="0" xfId="0" applyFont="1" applyAlignment="1" applyProtection="1">
      <alignment horizontal="center"/>
    </xf>
    <xf numFmtId="0" fontId="68" fillId="0" borderId="0" xfId="0" applyFont="1" applyFill="1" applyAlignment="1" applyProtection="1">
      <alignment horizontal="center"/>
    </xf>
    <xf numFmtId="171" fontId="54" fillId="29" borderId="24" xfId="0" applyNumberFormat="1" applyFont="1" applyFill="1" applyBorder="1" applyProtection="1"/>
    <xf numFmtId="171" fontId="7" fillId="29" borderId="24" xfId="0" applyNumberFormat="1" applyFont="1" applyFill="1" applyBorder="1" applyProtection="1"/>
    <xf numFmtId="0" fontId="84" fillId="0" borderId="0" xfId="549" applyNumberFormat="1" applyFont="1" applyFill="1" applyBorder="1" applyAlignment="1" applyProtection="1"/>
    <xf numFmtId="0" fontId="83" fillId="0" borderId="0" xfId="0" applyFont="1" applyAlignment="1" applyProtection="1">
      <alignment horizontal="left"/>
    </xf>
    <xf numFmtId="0" fontId="83" fillId="0" borderId="0" xfId="549" applyNumberFormat="1" applyFont="1" applyFill="1" applyBorder="1" applyAlignment="1" applyProtection="1"/>
    <xf numFmtId="0" fontId="61" fillId="28" borderId="22" xfId="0" quotePrefix="1" applyFont="1" applyFill="1" applyBorder="1" applyAlignment="1" applyProtection="1">
      <alignment horizontal="center"/>
    </xf>
    <xf numFmtId="170" fontId="54" fillId="27" borderId="13" xfId="0" applyNumberFormat="1" applyFont="1" applyFill="1" applyBorder="1" applyProtection="1"/>
    <xf numFmtId="171" fontId="7" fillId="0" borderId="13" xfId="0" applyNumberFormat="1" applyFont="1" applyBorder="1" applyProtection="1"/>
    <xf numFmtId="171" fontId="7" fillId="29" borderId="0" xfId="0" applyNumberFormat="1" applyFont="1" applyFill="1" applyBorder="1" applyProtection="1"/>
    <xf numFmtId="170" fontId="7" fillId="0" borderId="15" xfId="0" applyNumberFormat="1" applyFont="1" applyBorder="1" applyProtection="1"/>
    <xf numFmtId="0" fontId="7" fillId="0" borderId="22" xfId="0" applyFont="1" applyFill="1" applyBorder="1" applyAlignment="1" applyProtection="1">
      <alignment horizontal="left"/>
    </xf>
    <xf numFmtId="170" fontId="82" fillId="27" borderId="0" xfId="0" applyNumberFormat="1" applyFont="1" applyFill="1" applyBorder="1" applyProtection="1"/>
    <xf numFmtId="170" fontId="82" fillId="27" borderId="25" xfId="117" applyNumberFormat="1" applyFont="1" applyFill="1" applyBorder="1" applyProtection="1"/>
    <xf numFmtId="170" fontId="82" fillId="27" borderId="25" xfId="0" applyNumberFormat="1" applyFont="1" applyFill="1" applyBorder="1" applyProtection="1"/>
    <xf numFmtId="170" fontId="82" fillId="27" borderId="24" xfId="0" applyNumberFormat="1" applyFont="1" applyFill="1" applyBorder="1" applyProtection="1"/>
    <xf numFmtId="168" fontId="82" fillId="27" borderId="25" xfId="117" applyNumberFormat="1" applyFont="1" applyFill="1" applyBorder="1" applyProtection="1"/>
    <xf numFmtId="168" fontId="82" fillId="27" borderId="14" xfId="117" applyNumberFormat="1" applyFont="1" applyFill="1" applyBorder="1" applyProtection="1"/>
    <xf numFmtId="170" fontId="85" fillId="27" borderId="0" xfId="0" applyNumberFormat="1" applyFont="1" applyFill="1" applyBorder="1" applyProtection="1"/>
    <xf numFmtId="170" fontId="85" fillId="27" borderId="25" xfId="117" applyNumberFormat="1" applyFont="1" applyFill="1" applyBorder="1" applyProtection="1"/>
    <xf numFmtId="170" fontId="85" fillId="27" borderId="25" xfId="0" applyNumberFormat="1" applyFont="1" applyFill="1" applyBorder="1" applyProtection="1"/>
    <xf numFmtId="170" fontId="85" fillId="27" borderId="14" xfId="117" applyNumberFormat="1" applyFont="1" applyFill="1" applyBorder="1" applyProtection="1"/>
    <xf numFmtId="170" fontId="54" fillId="27" borderId="14" xfId="0" applyNumberFormat="1" applyFont="1" applyFill="1" applyBorder="1" applyProtection="1"/>
    <xf numFmtId="171" fontId="7" fillId="0" borderId="18" xfId="0" applyNumberFormat="1" applyFont="1" applyFill="1" applyBorder="1" applyProtection="1"/>
    <xf numFmtId="0" fontId="0" fillId="0" borderId="24" xfId="0" applyBorder="1" applyAlignment="1" applyProtection="1">
      <alignment horizontal="center"/>
    </xf>
    <xf numFmtId="43" fontId="77" fillId="27" borderId="24" xfId="117" applyFont="1" applyFill="1" applyBorder="1" applyAlignment="1" applyProtection="1">
      <alignment horizontal="right"/>
    </xf>
    <xf numFmtId="43" fontId="77" fillId="27" borderId="24" xfId="117" applyFont="1" applyFill="1" applyBorder="1" applyProtection="1"/>
    <xf numFmtId="43" fontId="1" fillId="27" borderId="24" xfId="117" applyFill="1" applyBorder="1" applyProtection="1"/>
    <xf numFmtId="43" fontId="0" fillId="0" borderId="24" xfId="117" applyFont="1" applyBorder="1" applyProtection="1"/>
    <xf numFmtId="43" fontId="77" fillId="27" borderId="25" xfId="117" applyFont="1" applyFill="1" applyBorder="1" applyAlignment="1" applyProtection="1">
      <alignment horizontal="center"/>
    </xf>
    <xf numFmtId="43" fontId="77" fillId="27" borderId="25" xfId="117" applyFont="1" applyFill="1" applyBorder="1" applyProtection="1"/>
    <xf numFmtId="43" fontId="1" fillId="27" borderId="25" xfId="117" applyFill="1" applyBorder="1" applyProtection="1"/>
    <xf numFmtId="43" fontId="0" fillId="0" borderId="25" xfId="117" applyFont="1" applyBorder="1" applyProtection="1"/>
    <xf numFmtId="0" fontId="52" fillId="27" borderId="0" xfId="0" applyFont="1" applyFill="1" applyAlignment="1" applyProtection="1">
      <alignment horizontal="left"/>
    </xf>
    <xf numFmtId="0" fontId="7" fillId="27" borderId="0" xfId="0" applyFont="1" applyFill="1" applyProtection="1"/>
    <xf numFmtId="170" fontId="82" fillId="27" borderId="24" xfId="117" applyNumberFormat="1" applyFont="1" applyFill="1" applyBorder="1" applyProtection="1"/>
    <xf numFmtId="170" fontId="82" fillId="27" borderId="14" xfId="117" applyNumberFormat="1" applyFont="1" applyFill="1" applyBorder="1" applyProtection="1"/>
    <xf numFmtId="171" fontId="7" fillId="0" borderId="0" xfId="0" applyNumberFormat="1" applyFont="1" applyFill="1" applyBorder="1" applyProtection="1"/>
    <xf numFmtId="170" fontId="85" fillId="27" borderId="24" xfId="0" applyNumberFormat="1" applyFont="1" applyFill="1" applyBorder="1" applyProtection="1"/>
    <xf numFmtId="168" fontId="85" fillId="27" borderId="25" xfId="117" applyNumberFormat="1" applyFont="1" applyFill="1" applyBorder="1" applyProtection="1"/>
    <xf numFmtId="168" fontId="85" fillId="27" borderId="14" xfId="117" applyNumberFormat="1" applyFont="1" applyFill="1" applyBorder="1" applyProtection="1"/>
    <xf numFmtId="170" fontId="85" fillId="27" borderId="24" xfId="117" applyNumberFormat="1" applyFont="1" applyFill="1" applyBorder="1" applyProtection="1"/>
    <xf numFmtId="170" fontId="85" fillId="27" borderId="14" xfId="117" applyNumberFormat="1" applyFont="1" applyFill="1" applyBorder="1" applyAlignment="1" applyProtection="1">
      <alignment horizontal="right"/>
    </xf>
    <xf numFmtId="0" fontId="7" fillId="0" borderId="0" xfId="0" applyFont="1" applyFill="1" applyAlignment="1" applyProtection="1"/>
    <xf numFmtId="170" fontId="7" fillId="0" borderId="0" xfId="0" applyNumberFormat="1" applyFont="1" applyAlignment="1" applyProtection="1">
      <alignment horizontal="left"/>
    </xf>
    <xf numFmtId="170" fontId="7" fillId="0" borderId="26" xfId="0" applyNumberFormat="1" applyFont="1" applyFill="1" applyBorder="1" applyProtection="1"/>
    <xf numFmtId="170" fontId="54" fillId="0" borderId="26" xfId="117" applyNumberFormat="1" applyFont="1" applyFill="1" applyBorder="1" applyProtection="1"/>
    <xf numFmtId="170" fontId="54" fillId="0" borderId="16" xfId="117" applyNumberFormat="1" applyFont="1" applyFill="1" applyBorder="1" applyProtection="1"/>
    <xf numFmtId="0" fontId="0" fillId="0" borderId="0" xfId="0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54" fillId="27" borderId="0" xfId="0" applyFont="1" applyFill="1" applyAlignment="1">
      <alignment horizontal="left"/>
    </xf>
    <xf numFmtId="0" fontId="0" fillId="0" borderId="0" xfId="0" applyAlignment="1" applyProtection="1">
      <alignment vertical="center" wrapText="1"/>
    </xf>
    <xf numFmtId="0" fontId="54" fillId="27" borderId="0" xfId="0" applyFont="1" applyFill="1" applyAlignment="1" applyProtection="1">
      <alignment horizontal="left"/>
    </xf>
    <xf numFmtId="0" fontId="1" fillId="0" borderId="22" xfId="0" applyFont="1" applyFill="1" applyBorder="1" applyAlignment="1" applyProtection="1">
      <alignment horizontal="left"/>
    </xf>
    <xf numFmtId="170" fontId="1" fillId="61" borderId="0" xfId="0" applyNumberFormat="1" applyFont="1" applyFill="1" applyBorder="1" applyProtection="1"/>
    <xf numFmtId="170" fontId="1" fillId="61" borderId="24" xfId="117" applyNumberFormat="1" applyFont="1" applyFill="1" applyBorder="1" applyProtection="1"/>
    <xf numFmtId="170" fontId="1" fillId="61" borderId="25" xfId="0" applyNumberFormat="1" applyFont="1" applyFill="1" applyBorder="1" applyProtection="1"/>
    <xf numFmtId="170" fontId="1" fillId="61" borderId="14" xfId="117" applyNumberFormat="1" applyFont="1" applyFill="1" applyBorder="1" applyProtection="1"/>
    <xf numFmtId="170" fontId="122" fillId="61" borderId="0" xfId="0" applyNumberFormat="1" applyFont="1" applyFill="1" applyBorder="1" applyProtection="1"/>
    <xf numFmtId="170" fontId="122" fillId="61" borderId="25" xfId="117" applyNumberFormat="1" applyFont="1" applyFill="1" applyBorder="1" applyProtection="1"/>
    <xf numFmtId="170" fontId="122" fillId="61" borderId="14" xfId="117" applyNumberFormat="1" applyFont="1" applyFill="1" applyBorder="1" applyProtection="1"/>
    <xf numFmtId="0" fontId="0" fillId="0" borderId="0" xfId="0" applyAlignment="1" applyProtection="1">
      <alignment vertical="center" wrapText="1"/>
    </xf>
    <xf numFmtId="171" fontId="1" fillId="0" borderId="25" xfId="0" applyNumberFormat="1" applyFont="1" applyBorder="1" applyProtection="1"/>
    <xf numFmtId="170" fontId="121" fillId="62" borderId="42" xfId="0" applyNumberFormat="1" applyFont="1" applyFill="1" applyBorder="1" applyProtection="1"/>
    <xf numFmtId="170" fontId="54" fillId="62" borderId="41" xfId="0" applyNumberFormat="1" applyFont="1" applyFill="1" applyBorder="1" applyProtection="1"/>
    <xf numFmtId="170" fontId="54" fillId="62" borderId="42" xfId="0" applyNumberFormat="1" applyFont="1" applyFill="1" applyBorder="1" applyProtection="1"/>
    <xf numFmtId="0" fontId="0" fillId="0" borderId="0" xfId="0" applyAlignment="1" applyProtection="1">
      <alignment vertical="center" wrapText="1"/>
    </xf>
    <xf numFmtId="0" fontId="1" fillId="0" borderId="0" xfId="0" applyFont="1"/>
    <xf numFmtId="0" fontId="1" fillId="0" borderId="0" xfId="0" applyFont="1" applyAlignment="1">
      <alignment horizontal="center"/>
    </xf>
    <xf numFmtId="10" fontId="1" fillId="0" borderId="0" xfId="0" applyNumberFormat="1" applyFont="1"/>
    <xf numFmtId="170" fontId="1" fillId="0" borderId="0" xfId="117" applyNumberFormat="1" applyFont="1" applyProtection="1"/>
    <xf numFmtId="0" fontId="47" fillId="0" borderId="0" xfId="0" applyFont="1"/>
    <xf numFmtId="0" fontId="6" fillId="0" borderId="0" xfId="0" applyFont="1"/>
    <xf numFmtId="170" fontId="1" fillId="0" borderId="0" xfId="117" applyNumberFormat="1" applyFont="1" applyBorder="1" applyProtection="1"/>
    <xf numFmtId="0" fontId="14" fillId="0" borderId="0" xfId="549" applyNumberFormat="1" applyFont="1" applyProtection="1"/>
    <xf numFmtId="0" fontId="1" fillId="0" borderId="18" xfId="0" applyFont="1" applyBorder="1"/>
    <xf numFmtId="0" fontId="39" fillId="0" borderId="0" xfId="0" applyFont="1"/>
    <xf numFmtId="170" fontId="1" fillId="0" borderId="6" xfId="117" applyNumberFormat="1" applyFont="1" applyBorder="1" applyProtection="1"/>
    <xf numFmtId="170" fontId="1" fillId="0" borderId="16" xfId="117" applyNumberFormat="1" applyFont="1" applyBorder="1" applyProtection="1"/>
    <xf numFmtId="0" fontId="53" fillId="0" borderId="0" xfId="0" applyFont="1"/>
    <xf numFmtId="0" fontId="1" fillId="0" borderId="0" xfId="0" applyFont="1" applyAlignment="1">
      <alignment wrapText="1"/>
    </xf>
    <xf numFmtId="0" fontId="39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left"/>
    </xf>
    <xf numFmtId="0" fontId="39" fillId="0" borderId="22" xfId="0" applyFont="1" applyBorder="1" applyAlignment="1">
      <alignment horizontal="center"/>
    </xf>
    <xf numFmtId="0" fontId="39" fillId="0" borderId="23" xfId="0" applyFont="1" applyBorder="1" applyAlignment="1">
      <alignment horizontal="center"/>
    </xf>
    <xf numFmtId="0" fontId="39" fillId="0" borderId="0" xfId="0" applyFont="1" applyAlignment="1">
      <alignment horizontal="center"/>
    </xf>
    <xf numFmtId="0" fontId="1" fillId="0" borderId="13" xfId="0" quotePrefix="1" applyFont="1" applyBorder="1" applyAlignment="1">
      <alignment horizontal="left"/>
    </xf>
    <xf numFmtId="0" fontId="39" fillId="0" borderId="19" xfId="0" applyFont="1" applyBorder="1" applyAlignment="1">
      <alignment horizontal="center"/>
    </xf>
    <xf numFmtId="0" fontId="1" fillId="0" borderId="13" xfId="0" applyFont="1" applyBorder="1"/>
    <xf numFmtId="170" fontId="1" fillId="0" borderId="14" xfId="0" applyNumberFormat="1" applyFont="1" applyBorder="1" applyAlignment="1">
      <alignment horizontal="right"/>
    </xf>
    <xf numFmtId="170" fontId="1" fillId="0" borderId="0" xfId="0" applyNumberFormat="1" applyFont="1" applyAlignment="1">
      <alignment horizontal="right"/>
    </xf>
    <xf numFmtId="10" fontId="1" fillId="0" borderId="14" xfId="0" applyNumberFormat="1" applyFont="1" applyBorder="1"/>
    <xf numFmtId="170" fontId="1" fillId="0" borderId="14" xfId="117" applyNumberFormat="1" applyFont="1" applyBorder="1" applyProtection="1"/>
    <xf numFmtId="0" fontId="1" fillId="0" borderId="25" xfId="0" applyFont="1" applyBorder="1" applyAlignment="1">
      <alignment horizontal="center"/>
    </xf>
    <xf numFmtId="170" fontId="1" fillId="0" borderId="0" xfId="0" applyNumberFormat="1" applyFont="1"/>
    <xf numFmtId="170" fontId="1" fillId="0" borderId="25" xfId="0" applyNumberFormat="1" applyFont="1" applyBorder="1"/>
    <xf numFmtId="170" fontId="1" fillId="0" borderId="14" xfId="117" applyNumberFormat="1" applyFont="1" applyBorder="1"/>
    <xf numFmtId="171" fontId="1" fillId="0" borderId="14" xfId="0" applyNumberFormat="1" applyFont="1" applyBorder="1"/>
    <xf numFmtId="171" fontId="54" fillId="0" borderId="24" xfId="0" applyNumberFormat="1" applyFont="1" applyBorder="1"/>
    <xf numFmtId="171" fontId="1" fillId="0" borderId="24" xfId="0" applyNumberFormat="1" applyFont="1" applyBorder="1"/>
    <xf numFmtId="171" fontId="1" fillId="0" borderId="25" xfId="0" applyNumberFormat="1" applyFont="1" applyBorder="1"/>
    <xf numFmtId="170" fontId="1" fillId="0" borderId="25" xfId="117" applyNumberFormat="1" applyFont="1" applyBorder="1"/>
    <xf numFmtId="0" fontId="1" fillId="0" borderId="26" xfId="0" applyFont="1" applyBorder="1" applyAlignment="1">
      <alignment horizontal="center"/>
    </xf>
    <xf numFmtId="170" fontId="1" fillId="0" borderId="26" xfId="0" applyNumberFormat="1" applyFont="1" applyBorder="1"/>
    <xf numFmtId="170" fontId="1" fillId="0" borderId="26" xfId="117" applyNumberFormat="1" applyFont="1" applyBorder="1" applyProtection="1"/>
    <xf numFmtId="171" fontId="1" fillId="0" borderId="16" xfId="0" applyNumberFormat="1" applyFont="1" applyBorder="1"/>
    <xf numFmtId="171" fontId="1" fillId="0" borderId="26" xfId="0" applyNumberFormat="1" applyFont="1" applyBorder="1"/>
    <xf numFmtId="171" fontId="1" fillId="0" borderId="0" xfId="0" applyNumberFormat="1" applyFont="1"/>
    <xf numFmtId="0" fontId="1" fillId="0" borderId="0" xfId="0" applyFont="1" applyAlignment="1">
      <alignment horizontal="left"/>
    </xf>
    <xf numFmtId="0" fontId="9" fillId="0" borderId="0" xfId="0" applyFont="1"/>
    <xf numFmtId="0" fontId="39" fillId="0" borderId="28" xfId="0" applyFont="1" applyBorder="1" applyAlignment="1">
      <alignment horizontal="center"/>
    </xf>
    <xf numFmtId="169" fontId="1" fillId="0" borderId="29" xfId="549" applyFont="1" applyBorder="1" applyAlignment="1" applyProtection="1">
      <alignment horizontal="center"/>
    </xf>
    <xf numFmtId="169" fontId="1" fillId="0" borderId="29" xfId="549" quotePrefix="1" applyFont="1" applyBorder="1" applyAlignment="1" applyProtection="1">
      <alignment horizontal="center"/>
    </xf>
    <xf numFmtId="3" fontId="1" fillId="0" borderId="30" xfId="549" applyNumberFormat="1" applyFont="1" applyBorder="1" applyAlignment="1" applyProtection="1">
      <alignment horizontal="center"/>
    </xf>
    <xf numFmtId="170" fontId="1" fillId="0" borderId="13" xfId="117" quotePrefix="1" applyNumberFormat="1" applyFont="1" applyBorder="1" applyAlignment="1" applyProtection="1">
      <alignment horizontal="right"/>
    </xf>
    <xf numFmtId="170" fontId="1" fillId="0" borderId="14" xfId="0" applyNumberFormat="1" applyFont="1" applyBorder="1"/>
    <xf numFmtId="170" fontId="1" fillId="0" borderId="32" xfId="117" quotePrefix="1" applyNumberFormat="1" applyFont="1" applyBorder="1" applyAlignment="1" applyProtection="1">
      <alignment horizontal="right"/>
    </xf>
    <xf numFmtId="170" fontId="1" fillId="0" borderId="20" xfId="0" applyNumberFormat="1" applyFont="1" applyBorder="1"/>
    <xf numFmtId="0" fontId="1" fillId="0" borderId="15" xfId="0" quotePrefix="1" applyFont="1" applyBorder="1" applyAlignment="1">
      <alignment horizontal="right"/>
    </xf>
    <xf numFmtId="0" fontId="1" fillId="0" borderId="21" xfId="0" applyFont="1" applyBorder="1" applyAlignment="1">
      <alignment horizontal="center"/>
    </xf>
    <xf numFmtId="0" fontId="39" fillId="0" borderId="22" xfId="0" applyFont="1" applyBorder="1"/>
    <xf numFmtId="0" fontId="0" fillId="0" borderId="22" xfId="0" applyBorder="1"/>
    <xf numFmtId="170" fontId="1" fillId="0" borderId="14" xfId="117" applyNumberFormat="1" applyFont="1" applyFill="1" applyBorder="1" applyAlignment="1" applyProtection="1">
      <alignment horizontal="right"/>
    </xf>
    <xf numFmtId="0" fontId="1" fillId="0" borderId="14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0" fontId="1" fillId="0" borderId="15" xfId="0" applyFont="1" applyBorder="1"/>
    <xf numFmtId="0" fontId="1" fillId="0" borderId="6" xfId="0" applyFont="1" applyBorder="1" applyAlignment="1">
      <alignment horizontal="center"/>
    </xf>
    <xf numFmtId="170" fontId="1" fillId="0" borderId="6" xfId="0" applyNumberFormat="1" applyFont="1" applyBorder="1"/>
    <xf numFmtId="0" fontId="58" fillId="0" borderId="0" xfId="0" applyFont="1"/>
    <xf numFmtId="171" fontId="46" fillId="0" borderId="0" xfId="0" quotePrefix="1" applyNumberFormat="1" applyFont="1" applyAlignment="1">
      <alignment horizontal="center"/>
    </xf>
    <xf numFmtId="170" fontId="1" fillId="0" borderId="25" xfId="117" applyNumberFormat="1" applyFont="1" applyBorder="1" applyProtection="1"/>
    <xf numFmtId="170" fontId="54" fillId="0" borderId="25" xfId="117" applyNumberFormat="1" applyFont="1" applyFill="1" applyBorder="1" applyProtection="1"/>
    <xf numFmtId="170" fontId="54" fillId="0" borderId="14" xfId="117" applyNumberFormat="1" applyFont="1" applyFill="1" applyBorder="1" applyProtection="1"/>
    <xf numFmtId="170" fontId="54" fillId="27" borderId="0" xfId="117" applyNumberFormat="1" applyFont="1" applyFill="1" applyAlignment="1" applyProtection="1">
      <alignment vertical="center"/>
    </xf>
    <xf numFmtId="0" fontId="7" fillId="63" borderId="14" xfId="0" applyFont="1" applyFill="1" applyBorder="1" applyAlignment="1" applyProtection="1">
      <alignment horizontal="right"/>
    </xf>
    <xf numFmtId="6" fontId="39" fillId="0" borderId="0" xfId="117" applyNumberFormat="1" applyFont="1" applyAlignment="1" applyProtection="1">
      <alignment vertical="center"/>
    </xf>
    <xf numFmtId="43" fontId="0" fillId="0" borderId="0" xfId="0" applyNumberFormat="1" applyProtection="1"/>
    <xf numFmtId="43" fontId="0" fillId="0" borderId="0" xfId="0" applyNumberFormat="1" applyAlignment="1" applyProtection="1">
      <alignment horizontal="center" vertical="center"/>
    </xf>
    <xf numFmtId="43" fontId="39" fillId="0" borderId="11" xfId="0" applyNumberFormat="1" applyFont="1" applyBorder="1" applyAlignment="1" applyProtection="1">
      <alignment horizontal="centerContinuous"/>
    </xf>
    <xf numFmtId="43" fontId="72" fillId="0" borderId="0" xfId="0" applyNumberFormat="1" applyFont="1" applyFill="1" applyProtection="1"/>
    <xf numFmtId="43" fontId="65" fillId="0" borderId="0" xfId="0" applyNumberFormat="1" applyFont="1" applyFill="1" applyBorder="1" applyAlignment="1" applyProtection="1">
      <alignment horizontal="center"/>
    </xf>
    <xf numFmtId="43" fontId="1" fillId="0" borderId="0" xfId="117" applyNumberFormat="1" applyAlignment="1" applyProtection="1">
      <alignment vertical="center"/>
    </xf>
    <xf numFmtId="43" fontId="76" fillId="0" borderId="0" xfId="117" applyNumberFormat="1" applyFont="1" applyAlignment="1" applyProtection="1">
      <alignment vertical="center"/>
    </xf>
    <xf numFmtId="43" fontId="1" fillId="0" borderId="0" xfId="117" applyNumberFormat="1" applyProtection="1"/>
    <xf numFmtId="170" fontId="0" fillId="0" borderId="0" xfId="117" applyNumberFormat="1" applyFont="1" applyAlignment="1" applyProtection="1">
      <alignment horizontal="center" vertical="center"/>
    </xf>
    <xf numFmtId="170" fontId="0" fillId="0" borderId="0" xfId="117" applyNumberFormat="1" applyFont="1" applyAlignment="1" applyProtection="1">
      <alignment horizontal="center"/>
    </xf>
    <xf numFmtId="170" fontId="0" fillId="0" borderId="0" xfId="117" applyNumberFormat="1" applyFont="1" applyAlignment="1" applyProtection="1">
      <alignment wrapText="1"/>
    </xf>
    <xf numFmtId="170" fontId="0" fillId="0" borderId="0" xfId="117" applyNumberFormat="1" applyFont="1" applyBorder="1" applyProtection="1"/>
    <xf numFmtId="180" fontId="7" fillId="0" borderId="14" xfId="117" quotePrefix="1" applyNumberFormat="1" applyFont="1" applyFill="1" applyBorder="1" applyAlignment="1" applyProtection="1">
      <alignment horizontal="right"/>
    </xf>
    <xf numFmtId="0" fontId="0" fillId="0" borderId="0" xfId="0" applyAlignment="1" applyProtection="1">
      <alignment vertical="center" wrapText="1"/>
    </xf>
    <xf numFmtId="180" fontId="39" fillId="0" borderId="0" xfId="0" applyNumberFormat="1" applyFont="1" applyProtection="1"/>
    <xf numFmtId="180" fontId="1" fillId="0" borderId="0" xfId="117" applyNumberFormat="1" applyFont="1" applyFill="1" applyAlignment="1" applyProtection="1">
      <alignment vertical="center"/>
    </xf>
    <xf numFmtId="180" fontId="1" fillId="0" borderId="0" xfId="117" applyNumberFormat="1" applyFont="1" applyFill="1" applyBorder="1" applyAlignment="1" applyProtection="1">
      <alignment vertical="center"/>
    </xf>
    <xf numFmtId="170" fontId="1" fillId="0" borderId="6" xfId="549" applyNumberFormat="1" applyFont="1" applyBorder="1" applyAlignment="1" applyProtection="1">
      <alignment horizontal="center"/>
    </xf>
    <xf numFmtId="0" fontId="39" fillId="0" borderId="22" xfId="0" applyFont="1" applyFill="1" applyBorder="1" applyAlignment="1" applyProtection="1">
      <alignment horizontal="left" vertical="top"/>
    </xf>
    <xf numFmtId="0" fontId="0" fillId="0" borderId="22" xfId="0" applyBorder="1" applyAlignment="1" applyProtection="1">
      <alignment horizontal="left"/>
    </xf>
    <xf numFmtId="0" fontId="39" fillId="0" borderId="22" xfId="0" applyFont="1" applyFill="1" applyBorder="1" applyAlignment="1" applyProtection="1">
      <alignment horizontal="left"/>
    </xf>
    <xf numFmtId="0" fontId="39" fillId="0" borderId="22" xfId="0" applyFont="1" applyFill="1" applyBorder="1" applyAlignment="1">
      <alignment horizontal="left"/>
    </xf>
    <xf numFmtId="37" fontId="0" fillId="0" borderId="0" xfId="117" applyNumberFormat="1" applyFont="1" applyProtection="1"/>
    <xf numFmtId="37" fontId="0" fillId="0" borderId="0" xfId="117" applyNumberFormat="1" applyFont="1" applyBorder="1" applyProtection="1"/>
    <xf numFmtId="0" fontId="39" fillId="0" borderId="11" xfId="0" applyFont="1" applyBorder="1" applyAlignment="1" applyProtection="1">
      <alignment horizontal="center"/>
    </xf>
    <xf numFmtId="0" fontId="65" fillId="0" borderId="0" xfId="0" applyFont="1" applyFill="1" applyBorder="1" applyAlignment="1" applyProtection="1">
      <alignment horizontal="center" wrapText="1"/>
    </xf>
    <xf numFmtId="169" fontId="7" fillId="0" borderId="17" xfId="549" applyFont="1" applyBorder="1" applyAlignment="1" applyProtection="1">
      <alignment wrapText="1"/>
    </xf>
    <xf numFmtId="0" fontId="7" fillId="0" borderId="18" xfId="0" applyFont="1" applyBorder="1" applyAlignment="1" applyProtection="1">
      <alignment wrapText="1"/>
    </xf>
    <xf numFmtId="0" fontId="7" fillId="0" borderId="19" xfId="0" applyFont="1" applyBorder="1" applyAlignment="1" applyProtection="1">
      <alignment wrapText="1"/>
    </xf>
    <xf numFmtId="0" fontId="7" fillId="0" borderId="13" xfId="0" applyFont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0" fontId="7" fillId="0" borderId="14" xfId="0" applyFont="1" applyBorder="1" applyAlignment="1" applyProtection="1">
      <alignment wrapText="1"/>
    </xf>
    <xf numFmtId="0" fontId="6" fillId="0" borderId="0" xfId="0" applyFont="1" applyFill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7" fillId="0" borderId="0" xfId="0" applyFont="1" applyFill="1" applyBorder="1" applyAlignment="1" applyProtection="1">
      <alignment wrapText="1"/>
    </xf>
    <xf numFmtId="0" fontId="0" fillId="0" borderId="0" xfId="0" applyAlignment="1" applyProtection="1">
      <alignment wrapText="1"/>
    </xf>
    <xf numFmtId="49" fontId="46" fillId="0" borderId="0" xfId="0" applyNumberFormat="1" applyFont="1" applyAlignment="1" applyProtection="1">
      <alignment horizontal="center"/>
    </xf>
    <xf numFmtId="0" fontId="46" fillId="0" borderId="0" xfId="0" applyFont="1" applyAlignment="1" applyProtection="1">
      <alignment horizontal="center"/>
    </xf>
    <xf numFmtId="0" fontId="46" fillId="0" borderId="0" xfId="490" applyFont="1" applyBorder="1" applyAlignment="1" applyProtection="1">
      <alignment horizontal="center"/>
    </xf>
    <xf numFmtId="0" fontId="6" fillId="0" borderId="0" xfId="490" quotePrefix="1" applyFont="1" applyBorder="1" applyAlignment="1" applyProtection="1">
      <alignment horizontal="center"/>
    </xf>
    <xf numFmtId="3" fontId="6" fillId="0" borderId="0" xfId="0" applyNumberFormat="1" applyFont="1" applyAlignment="1" applyProtection="1">
      <alignment horizontal="center"/>
    </xf>
    <xf numFmtId="0" fontId="6" fillId="0" borderId="0" xfId="0" applyFont="1" applyFill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0" fontId="46" fillId="0" borderId="0" xfId="0" applyNumberFormat="1" applyFont="1" applyAlignment="1" applyProtection="1">
      <alignment horizontal="center"/>
    </xf>
    <xf numFmtId="49" fontId="6" fillId="0" borderId="0" xfId="0" applyNumberFormat="1" applyFont="1" applyAlignment="1" applyProtection="1">
      <alignment horizontal="center"/>
    </xf>
    <xf numFmtId="0" fontId="6" fillId="0" borderId="0" xfId="0" applyNumberFormat="1" applyFont="1" applyAlignment="1" applyProtection="1">
      <alignment horizontal="center"/>
    </xf>
  </cellXfs>
  <cellStyles count="735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2" xfId="4" builtinId="34" customBuiltin="1"/>
    <cellStyle name="20% - Accent2 2" xfId="5" xr:uid="{00000000-0005-0000-0000-000004000000}"/>
    <cellStyle name="20% - Accent2 2 2" xfId="6" xr:uid="{00000000-0005-0000-0000-000005000000}"/>
    <cellStyle name="20% - Accent3" xfId="7" builtinId="38" customBuiltin="1"/>
    <cellStyle name="20% - Accent3 2" xfId="8" xr:uid="{00000000-0005-0000-0000-000007000000}"/>
    <cellStyle name="20% - Accent3 2 2" xfId="9" xr:uid="{00000000-0005-0000-0000-000008000000}"/>
    <cellStyle name="20% - Accent4" xfId="10" builtinId="42" customBuiltin="1"/>
    <cellStyle name="20% - Accent4 2" xfId="11" xr:uid="{00000000-0005-0000-0000-00000A000000}"/>
    <cellStyle name="20% - Accent4 2 2" xfId="12" xr:uid="{00000000-0005-0000-0000-00000B000000}"/>
    <cellStyle name="20% - Accent5" xfId="13" builtinId="46" customBuiltin="1"/>
    <cellStyle name="20% - Accent5 2" xfId="14" xr:uid="{00000000-0005-0000-0000-00000D000000}"/>
    <cellStyle name="20% - Accent5 2 2" xfId="15" xr:uid="{00000000-0005-0000-0000-00000E000000}"/>
    <cellStyle name="20% - Accent6" xfId="16" builtinId="50" customBuiltin="1"/>
    <cellStyle name="20% - Accent6 2" xfId="17" xr:uid="{00000000-0005-0000-0000-000010000000}"/>
    <cellStyle name="20% - Accent6 2 2" xfId="18" xr:uid="{00000000-0005-0000-0000-000011000000}"/>
    <cellStyle name="40% - Accent1" xfId="19" builtinId="31" customBuiltin="1"/>
    <cellStyle name="40% - Accent1 2" xfId="20" xr:uid="{00000000-0005-0000-0000-000013000000}"/>
    <cellStyle name="40% - Accent1 2 2" xfId="21" xr:uid="{00000000-0005-0000-0000-000014000000}"/>
    <cellStyle name="40% - Accent2" xfId="22" builtinId="35" customBuiltin="1"/>
    <cellStyle name="40% - Accent2 2" xfId="23" xr:uid="{00000000-0005-0000-0000-000016000000}"/>
    <cellStyle name="40% - Accent2 2 2" xfId="24" xr:uid="{00000000-0005-0000-0000-000017000000}"/>
    <cellStyle name="40% - Accent3" xfId="25" builtinId="39" customBuiltin="1"/>
    <cellStyle name="40% - Accent3 2" xfId="26" xr:uid="{00000000-0005-0000-0000-000019000000}"/>
    <cellStyle name="40% - Accent3 2 2" xfId="27" xr:uid="{00000000-0005-0000-0000-00001A000000}"/>
    <cellStyle name="40% - Accent4" xfId="28" builtinId="43" customBuiltin="1"/>
    <cellStyle name="40% - Accent4 2" xfId="29" xr:uid="{00000000-0005-0000-0000-00001C000000}"/>
    <cellStyle name="40% - Accent4 2 2" xfId="30" xr:uid="{00000000-0005-0000-0000-00001D000000}"/>
    <cellStyle name="40% - Accent5" xfId="31" builtinId="47" customBuiltin="1"/>
    <cellStyle name="40% - Accent5 2" xfId="32" xr:uid="{00000000-0005-0000-0000-00001F000000}"/>
    <cellStyle name="40% - Accent5 2 2" xfId="33" xr:uid="{00000000-0005-0000-0000-000020000000}"/>
    <cellStyle name="40% - Accent6" xfId="34" builtinId="51" customBuiltin="1"/>
    <cellStyle name="40% - Accent6 2" xfId="35" xr:uid="{00000000-0005-0000-0000-000022000000}"/>
    <cellStyle name="40% - Accent6 2 2" xfId="36" xr:uid="{00000000-0005-0000-0000-000023000000}"/>
    <cellStyle name="60% - Accent1" xfId="37" builtinId="32" customBuiltin="1"/>
    <cellStyle name="60% - Accent1 2" xfId="38" xr:uid="{00000000-0005-0000-0000-000025000000}"/>
    <cellStyle name="60% - Accent1 2 2" xfId="39" xr:uid="{00000000-0005-0000-0000-000026000000}"/>
    <cellStyle name="60% - Accent2" xfId="40" builtinId="36" customBuiltin="1"/>
    <cellStyle name="60% - Accent2 2" xfId="41" xr:uid="{00000000-0005-0000-0000-000028000000}"/>
    <cellStyle name="60% - Accent2 2 2" xfId="42" xr:uid="{00000000-0005-0000-0000-000029000000}"/>
    <cellStyle name="60% - Accent3" xfId="43" builtinId="40" customBuiltin="1"/>
    <cellStyle name="60% - Accent3 2" xfId="44" xr:uid="{00000000-0005-0000-0000-00002B000000}"/>
    <cellStyle name="60% - Accent3 2 2" xfId="45" xr:uid="{00000000-0005-0000-0000-00002C000000}"/>
    <cellStyle name="60% - Accent4" xfId="46" builtinId="44" customBuiltin="1"/>
    <cellStyle name="60% - Accent4 2" xfId="47" xr:uid="{00000000-0005-0000-0000-00002E000000}"/>
    <cellStyle name="60% - Accent4 2 2" xfId="48" xr:uid="{00000000-0005-0000-0000-00002F000000}"/>
    <cellStyle name="60% - Accent5" xfId="49" builtinId="48" customBuiltin="1"/>
    <cellStyle name="60% - Accent5 2" xfId="50" xr:uid="{00000000-0005-0000-0000-000031000000}"/>
    <cellStyle name="60% - Accent5 2 2" xfId="51" xr:uid="{00000000-0005-0000-0000-000032000000}"/>
    <cellStyle name="60% - Accent6" xfId="52" builtinId="52" customBuiltin="1"/>
    <cellStyle name="60% - Accent6 2" xfId="53" xr:uid="{00000000-0005-0000-0000-000034000000}"/>
    <cellStyle name="60% - Accent6 2 2" xfId="54" xr:uid="{00000000-0005-0000-0000-000035000000}"/>
    <cellStyle name="Accent1" xfId="55" builtinId="29" customBuiltin="1"/>
    <cellStyle name="Accent1 2" xfId="56" xr:uid="{00000000-0005-0000-0000-000037000000}"/>
    <cellStyle name="Accent1 2 2" xfId="57" xr:uid="{00000000-0005-0000-0000-000038000000}"/>
    <cellStyle name="Accent2" xfId="58" builtinId="33" customBuiltin="1"/>
    <cellStyle name="Accent2 2" xfId="59" xr:uid="{00000000-0005-0000-0000-00003A000000}"/>
    <cellStyle name="Accent2 2 2" xfId="60" xr:uid="{00000000-0005-0000-0000-00003B000000}"/>
    <cellStyle name="Accent3" xfId="61" builtinId="37" customBuiltin="1"/>
    <cellStyle name="Accent3 2" xfId="62" xr:uid="{00000000-0005-0000-0000-00003D000000}"/>
    <cellStyle name="Accent3 2 2" xfId="63" xr:uid="{00000000-0005-0000-0000-00003E000000}"/>
    <cellStyle name="Accent4" xfId="64" builtinId="41" customBuiltin="1"/>
    <cellStyle name="Accent4 2" xfId="65" xr:uid="{00000000-0005-0000-0000-000040000000}"/>
    <cellStyle name="Accent4 2 2" xfId="66" xr:uid="{00000000-0005-0000-0000-000041000000}"/>
    <cellStyle name="Accent5" xfId="67" builtinId="45" customBuiltin="1"/>
    <cellStyle name="Accent5 2" xfId="68" xr:uid="{00000000-0005-0000-0000-000043000000}"/>
    <cellStyle name="Accent5 2 2" xfId="69" xr:uid="{00000000-0005-0000-0000-000044000000}"/>
    <cellStyle name="Accent6" xfId="70" builtinId="49" customBuiltin="1"/>
    <cellStyle name="Accent6 2" xfId="71" xr:uid="{00000000-0005-0000-0000-000046000000}"/>
    <cellStyle name="Accent6 2 2" xfId="72" xr:uid="{00000000-0005-0000-0000-000047000000}"/>
    <cellStyle name="Bad" xfId="73" builtinId="27" customBuiltin="1"/>
    <cellStyle name="Bad 2" xfId="74" xr:uid="{00000000-0005-0000-0000-000049000000}"/>
    <cellStyle name="Bad 2 2" xfId="75" xr:uid="{00000000-0005-0000-0000-00004A000000}"/>
    <cellStyle name="C00A" xfId="76" xr:uid="{00000000-0005-0000-0000-00004B000000}"/>
    <cellStyle name="C00B" xfId="77" xr:uid="{00000000-0005-0000-0000-00004C000000}"/>
    <cellStyle name="C00L" xfId="78" xr:uid="{00000000-0005-0000-0000-00004D000000}"/>
    <cellStyle name="C01A" xfId="79" xr:uid="{00000000-0005-0000-0000-00004E000000}"/>
    <cellStyle name="C01B" xfId="80" xr:uid="{00000000-0005-0000-0000-00004F000000}"/>
    <cellStyle name="C01B 2" xfId="81" xr:uid="{00000000-0005-0000-0000-000050000000}"/>
    <cellStyle name="C01H" xfId="82" xr:uid="{00000000-0005-0000-0000-000051000000}"/>
    <cellStyle name="C01L" xfId="83" xr:uid="{00000000-0005-0000-0000-000052000000}"/>
    <cellStyle name="C02A" xfId="84" xr:uid="{00000000-0005-0000-0000-000053000000}"/>
    <cellStyle name="C02B" xfId="85" xr:uid="{00000000-0005-0000-0000-000054000000}"/>
    <cellStyle name="C02B 2" xfId="86" xr:uid="{00000000-0005-0000-0000-000055000000}"/>
    <cellStyle name="C02H" xfId="87" xr:uid="{00000000-0005-0000-0000-000056000000}"/>
    <cellStyle name="C02L" xfId="88" xr:uid="{00000000-0005-0000-0000-000057000000}"/>
    <cellStyle name="C03A" xfId="89" xr:uid="{00000000-0005-0000-0000-000058000000}"/>
    <cellStyle name="C03B" xfId="90" xr:uid="{00000000-0005-0000-0000-000059000000}"/>
    <cellStyle name="C03H" xfId="91" xr:uid="{00000000-0005-0000-0000-00005A000000}"/>
    <cellStyle name="C03L" xfId="92" xr:uid="{00000000-0005-0000-0000-00005B000000}"/>
    <cellStyle name="C04A" xfId="93" xr:uid="{00000000-0005-0000-0000-00005C000000}"/>
    <cellStyle name="C04A 2" xfId="94" xr:uid="{00000000-0005-0000-0000-00005D000000}"/>
    <cellStyle name="C04B" xfId="95" xr:uid="{00000000-0005-0000-0000-00005E000000}"/>
    <cellStyle name="C04H" xfId="96" xr:uid="{00000000-0005-0000-0000-00005F000000}"/>
    <cellStyle name="C04L" xfId="97" xr:uid="{00000000-0005-0000-0000-000060000000}"/>
    <cellStyle name="C05A" xfId="98" xr:uid="{00000000-0005-0000-0000-000061000000}"/>
    <cellStyle name="C05B" xfId="99" xr:uid="{00000000-0005-0000-0000-000062000000}"/>
    <cellStyle name="C05H" xfId="100" xr:uid="{00000000-0005-0000-0000-000063000000}"/>
    <cellStyle name="C05L" xfId="101" xr:uid="{00000000-0005-0000-0000-000064000000}"/>
    <cellStyle name="C05L 2" xfId="102" xr:uid="{00000000-0005-0000-0000-000065000000}"/>
    <cellStyle name="C06A" xfId="103" xr:uid="{00000000-0005-0000-0000-000066000000}"/>
    <cellStyle name="C06B" xfId="104" xr:uid="{00000000-0005-0000-0000-000067000000}"/>
    <cellStyle name="C06H" xfId="105" xr:uid="{00000000-0005-0000-0000-000068000000}"/>
    <cellStyle name="C06L" xfId="106" xr:uid="{00000000-0005-0000-0000-000069000000}"/>
    <cellStyle name="C07A" xfId="107" xr:uid="{00000000-0005-0000-0000-00006A000000}"/>
    <cellStyle name="C07B" xfId="108" xr:uid="{00000000-0005-0000-0000-00006B000000}"/>
    <cellStyle name="C07H" xfId="109" xr:uid="{00000000-0005-0000-0000-00006C000000}"/>
    <cellStyle name="C07L" xfId="110" xr:uid="{00000000-0005-0000-0000-00006D000000}"/>
    <cellStyle name="Calculation" xfId="111" builtinId="22" customBuiltin="1"/>
    <cellStyle name="Calculation 2" xfId="112" xr:uid="{00000000-0005-0000-0000-00006F000000}"/>
    <cellStyle name="Calculation 2 2" xfId="113" xr:uid="{00000000-0005-0000-0000-000070000000}"/>
    <cellStyle name="Check Cell" xfId="114" builtinId="23" customBuiltin="1"/>
    <cellStyle name="Check Cell 2" xfId="115" xr:uid="{00000000-0005-0000-0000-000072000000}"/>
    <cellStyle name="Check Cell 2 2" xfId="116" xr:uid="{00000000-0005-0000-0000-000073000000}"/>
    <cellStyle name="Comma" xfId="117" builtinId="3"/>
    <cellStyle name="Comma [0] 2" xfId="118" xr:uid="{00000000-0005-0000-0000-000075000000}"/>
    <cellStyle name="Comma [0] 2 2" xfId="119" xr:uid="{00000000-0005-0000-0000-000076000000}"/>
    <cellStyle name="Comma 10" xfId="120" xr:uid="{00000000-0005-0000-0000-000077000000}"/>
    <cellStyle name="Comma 11" xfId="121" xr:uid="{00000000-0005-0000-0000-000078000000}"/>
    <cellStyle name="Comma 12" xfId="122" xr:uid="{00000000-0005-0000-0000-000079000000}"/>
    <cellStyle name="Comma 13" xfId="123" xr:uid="{00000000-0005-0000-0000-00007A000000}"/>
    <cellStyle name="Comma 14" xfId="124" xr:uid="{00000000-0005-0000-0000-00007B000000}"/>
    <cellStyle name="Comma 15" xfId="125" xr:uid="{00000000-0005-0000-0000-00007C000000}"/>
    <cellStyle name="Comma 16" xfId="126" xr:uid="{00000000-0005-0000-0000-00007D000000}"/>
    <cellStyle name="Comma 17" xfId="127" xr:uid="{00000000-0005-0000-0000-00007E000000}"/>
    <cellStyle name="Comma 18" xfId="128" xr:uid="{00000000-0005-0000-0000-00007F000000}"/>
    <cellStyle name="Comma 19" xfId="129" xr:uid="{00000000-0005-0000-0000-000080000000}"/>
    <cellStyle name="Comma 2" xfId="130" xr:uid="{00000000-0005-0000-0000-000081000000}"/>
    <cellStyle name="Comma 2 2" xfId="131" xr:uid="{00000000-0005-0000-0000-000082000000}"/>
    <cellStyle name="Comma 2 2 2" xfId="132" xr:uid="{00000000-0005-0000-0000-000083000000}"/>
    <cellStyle name="Comma 2 3" xfId="133" xr:uid="{00000000-0005-0000-0000-000084000000}"/>
    <cellStyle name="Comma 2 3 2" xfId="134" xr:uid="{00000000-0005-0000-0000-000085000000}"/>
    <cellStyle name="Comma 2 3 3" xfId="135" xr:uid="{00000000-0005-0000-0000-000086000000}"/>
    <cellStyle name="Comma 2 3 4" xfId="136" xr:uid="{00000000-0005-0000-0000-000087000000}"/>
    <cellStyle name="Comma 2 4" xfId="137" xr:uid="{00000000-0005-0000-0000-000088000000}"/>
    <cellStyle name="Comma 20" xfId="138" xr:uid="{00000000-0005-0000-0000-000089000000}"/>
    <cellStyle name="Comma 21" xfId="139" xr:uid="{00000000-0005-0000-0000-00008A000000}"/>
    <cellStyle name="Comma 22" xfId="140" xr:uid="{00000000-0005-0000-0000-00008B000000}"/>
    <cellStyle name="Comma 23" xfId="141" xr:uid="{00000000-0005-0000-0000-00008C000000}"/>
    <cellStyle name="Comma 24" xfId="142" xr:uid="{00000000-0005-0000-0000-00008D000000}"/>
    <cellStyle name="Comma 25" xfId="143" xr:uid="{00000000-0005-0000-0000-00008E000000}"/>
    <cellStyle name="Comma 25 2" xfId="144" xr:uid="{00000000-0005-0000-0000-00008F000000}"/>
    <cellStyle name="Comma 26" xfId="145" xr:uid="{00000000-0005-0000-0000-000090000000}"/>
    <cellStyle name="Comma 26 2" xfId="146" xr:uid="{00000000-0005-0000-0000-000091000000}"/>
    <cellStyle name="Comma 27" xfId="147" xr:uid="{00000000-0005-0000-0000-000092000000}"/>
    <cellStyle name="Comma 27 2" xfId="148" xr:uid="{00000000-0005-0000-0000-000093000000}"/>
    <cellStyle name="Comma 28" xfId="149" xr:uid="{00000000-0005-0000-0000-000094000000}"/>
    <cellStyle name="Comma 28 2" xfId="150" xr:uid="{00000000-0005-0000-0000-000095000000}"/>
    <cellStyle name="Comma 29" xfId="151" xr:uid="{00000000-0005-0000-0000-000096000000}"/>
    <cellStyle name="Comma 29 2" xfId="152" xr:uid="{00000000-0005-0000-0000-000097000000}"/>
    <cellStyle name="Comma 3" xfId="153" xr:uid="{00000000-0005-0000-0000-000098000000}"/>
    <cellStyle name="Comma 3 2" xfId="154" xr:uid="{00000000-0005-0000-0000-000099000000}"/>
    <cellStyle name="Comma 3 2 2" xfId="155" xr:uid="{00000000-0005-0000-0000-00009A000000}"/>
    <cellStyle name="Comma 3 3" xfId="156" xr:uid="{00000000-0005-0000-0000-00009B000000}"/>
    <cellStyle name="Comma 3 3 2" xfId="157" xr:uid="{00000000-0005-0000-0000-00009C000000}"/>
    <cellStyle name="Comma 3 3 2 2" xfId="158" xr:uid="{00000000-0005-0000-0000-00009D000000}"/>
    <cellStyle name="Comma 3 3 2 3" xfId="159" xr:uid="{00000000-0005-0000-0000-00009E000000}"/>
    <cellStyle name="Comma 3 3 3" xfId="160" xr:uid="{00000000-0005-0000-0000-00009F000000}"/>
    <cellStyle name="Comma 3 3 3 2" xfId="161" xr:uid="{00000000-0005-0000-0000-0000A0000000}"/>
    <cellStyle name="Comma 3 3 3 2 2" xfId="162" xr:uid="{00000000-0005-0000-0000-0000A1000000}"/>
    <cellStyle name="Comma 3 3 3 2 3" xfId="163" xr:uid="{00000000-0005-0000-0000-0000A2000000}"/>
    <cellStyle name="Comma 3 3 3 2 4" xfId="164" xr:uid="{00000000-0005-0000-0000-0000A3000000}"/>
    <cellStyle name="Comma 3 3 3 3" xfId="165" xr:uid="{00000000-0005-0000-0000-0000A4000000}"/>
    <cellStyle name="Comma 3 3 4" xfId="166" xr:uid="{00000000-0005-0000-0000-0000A5000000}"/>
    <cellStyle name="Comma 3 3 5" xfId="167" xr:uid="{00000000-0005-0000-0000-0000A6000000}"/>
    <cellStyle name="Comma 3 3 5 2" xfId="168" xr:uid="{00000000-0005-0000-0000-0000A7000000}"/>
    <cellStyle name="Comma 3 3 5 3" xfId="169" xr:uid="{00000000-0005-0000-0000-0000A8000000}"/>
    <cellStyle name="Comma 3 3 5 4" xfId="170" xr:uid="{00000000-0005-0000-0000-0000A9000000}"/>
    <cellStyle name="Comma 3 4" xfId="171" xr:uid="{00000000-0005-0000-0000-0000AA000000}"/>
    <cellStyle name="Comma 3 4 2" xfId="172" xr:uid="{00000000-0005-0000-0000-0000AB000000}"/>
    <cellStyle name="Comma 3 4 3" xfId="173" xr:uid="{00000000-0005-0000-0000-0000AC000000}"/>
    <cellStyle name="Comma 3 4 4" xfId="174" xr:uid="{00000000-0005-0000-0000-0000AD000000}"/>
    <cellStyle name="Comma 3 4 4 2" xfId="175" xr:uid="{00000000-0005-0000-0000-0000AE000000}"/>
    <cellStyle name="Comma 3 4 4 3" xfId="176" xr:uid="{00000000-0005-0000-0000-0000AF000000}"/>
    <cellStyle name="Comma 3 4 4 4" xfId="177" xr:uid="{00000000-0005-0000-0000-0000B0000000}"/>
    <cellStyle name="Comma 3 4 5" xfId="178" xr:uid="{00000000-0005-0000-0000-0000B1000000}"/>
    <cellStyle name="Comma 3 5" xfId="179" xr:uid="{00000000-0005-0000-0000-0000B2000000}"/>
    <cellStyle name="Comma 3 5 2" xfId="180" xr:uid="{00000000-0005-0000-0000-0000B3000000}"/>
    <cellStyle name="Comma 3 6" xfId="181" xr:uid="{00000000-0005-0000-0000-0000B4000000}"/>
    <cellStyle name="Comma 3 7" xfId="182" xr:uid="{00000000-0005-0000-0000-0000B5000000}"/>
    <cellStyle name="Comma 3 8" xfId="183" xr:uid="{00000000-0005-0000-0000-0000B6000000}"/>
    <cellStyle name="Comma 30" xfId="184" xr:uid="{00000000-0005-0000-0000-0000B7000000}"/>
    <cellStyle name="Comma 31" xfId="185" xr:uid="{00000000-0005-0000-0000-0000B8000000}"/>
    <cellStyle name="Comma 32" xfId="186" xr:uid="{00000000-0005-0000-0000-0000B9000000}"/>
    <cellStyle name="Comma 33" xfId="187" xr:uid="{00000000-0005-0000-0000-0000BA000000}"/>
    <cellStyle name="Comma 34" xfId="188" xr:uid="{00000000-0005-0000-0000-0000BB000000}"/>
    <cellStyle name="Comma 35" xfId="189" xr:uid="{00000000-0005-0000-0000-0000BC000000}"/>
    <cellStyle name="Comma 36" xfId="190" xr:uid="{00000000-0005-0000-0000-0000BD000000}"/>
    <cellStyle name="Comma 37" xfId="191" xr:uid="{00000000-0005-0000-0000-0000BE000000}"/>
    <cellStyle name="Comma 38" xfId="192" xr:uid="{00000000-0005-0000-0000-0000BF000000}"/>
    <cellStyle name="Comma 39" xfId="193" xr:uid="{00000000-0005-0000-0000-0000C0000000}"/>
    <cellStyle name="Comma 4" xfId="194" xr:uid="{00000000-0005-0000-0000-0000C1000000}"/>
    <cellStyle name="Comma 4 2" xfId="195" xr:uid="{00000000-0005-0000-0000-0000C2000000}"/>
    <cellStyle name="Comma 4 2 2" xfId="196" xr:uid="{00000000-0005-0000-0000-0000C3000000}"/>
    <cellStyle name="Comma 4 2 2 2" xfId="197" xr:uid="{00000000-0005-0000-0000-0000C4000000}"/>
    <cellStyle name="Comma 4 2 2 3" xfId="198" xr:uid="{00000000-0005-0000-0000-0000C5000000}"/>
    <cellStyle name="Comma 4 2 2 4" xfId="199" xr:uid="{00000000-0005-0000-0000-0000C6000000}"/>
    <cellStyle name="Comma 4 2 3" xfId="200" xr:uid="{00000000-0005-0000-0000-0000C7000000}"/>
    <cellStyle name="Comma 4 2 3 2" xfId="201" xr:uid="{00000000-0005-0000-0000-0000C8000000}"/>
    <cellStyle name="Comma 4 2 3 2 2" xfId="202" xr:uid="{00000000-0005-0000-0000-0000C9000000}"/>
    <cellStyle name="Comma 4 2 3 3" xfId="203" xr:uid="{00000000-0005-0000-0000-0000CA000000}"/>
    <cellStyle name="Comma 4 2 3 3 2" xfId="204" xr:uid="{00000000-0005-0000-0000-0000CB000000}"/>
    <cellStyle name="Comma 4 2 3 4" xfId="205" xr:uid="{00000000-0005-0000-0000-0000CC000000}"/>
    <cellStyle name="Comma 4 2 4" xfId="206" xr:uid="{00000000-0005-0000-0000-0000CD000000}"/>
    <cellStyle name="Comma 4 2 4 2" xfId="207" xr:uid="{00000000-0005-0000-0000-0000CE000000}"/>
    <cellStyle name="Comma 4 2 4 3" xfId="208" xr:uid="{00000000-0005-0000-0000-0000CF000000}"/>
    <cellStyle name="Comma 4 2 4 4" xfId="209" xr:uid="{00000000-0005-0000-0000-0000D0000000}"/>
    <cellStyle name="Comma 4 2 5" xfId="210" xr:uid="{00000000-0005-0000-0000-0000D1000000}"/>
    <cellStyle name="Comma 4 3" xfId="211" xr:uid="{00000000-0005-0000-0000-0000D2000000}"/>
    <cellStyle name="Comma 4 3 2" xfId="212" xr:uid="{00000000-0005-0000-0000-0000D3000000}"/>
    <cellStyle name="Comma 4 3 2 2" xfId="213" xr:uid="{00000000-0005-0000-0000-0000D4000000}"/>
    <cellStyle name="Comma 4 3 2 2 2" xfId="214" xr:uid="{00000000-0005-0000-0000-0000D5000000}"/>
    <cellStyle name="Comma 4 3 2 3" xfId="215" xr:uid="{00000000-0005-0000-0000-0000D6000000}"/>
    <cellStyle name="Comma 4 3 2 3 2" xfId="216" xr:uid="{00000000-0005-0000-0000-0000D7000000}"/>
    <cellStyle name="Comma 4 3 2 4" xfId="217" xr:uid="{00000000-0005-0000-0000-0000D8000000}"/>
    <cellStyle name="Comma 4 3 3" xfId="218" xr:uid="{00000000-0005-0000-0000-0000D9000000}"/>
    <cellStyle name="Comma 4 3 4" xfId="219" xr:uid="{00000000-0005-0000-0000-0000DA000000}"/>
    <cellStyle name="Comma 4 3 4 2" xfId="220" xr:uid="{00000000-0005-0000-0000-0000DB000000}"/>
    <cellStyle name="Comma 4 3 4 3" xfId="221" xr:uid="{00000000-0005-0000-0000-0000DC000000}"/>
    <cellStyle name="Comma 4 3 5" xfId="222" xr:uid="{00000000-0005-0000-0000-0000DD000000}"/>
    <cellStyle name="Comma 4 3 5 2" xfId="223" xr:uid="{00000000-0005-0000-0000-0000DE000000}"/>
    <cellStyle name="Comma 4 3 6" xfId="224" xr:uid="{00000000-0005-0000-0000-0000DF000000}"/>
    <cellStyle name="Comma 4 3 6 2" xfId="225" xr:uid="{00000000-0005-0000-0000-0000E0000000}"/>
    <cellStyle name="Comma 4 4" xfId="226" xr:uid="{00000000-0005-0000-0000-0000E1000000}"/>
    <cellStyle name="Comma 4 4 2" xfId="227" xr:uid="{00000000-0005-0000-0000-0000E2000000}"/>
    <cellStyle name="Comma 4 4 3" xfId="228" xr:uid="{00000000-0005-0000-0000-0000E3000000}"/>
    <cellStyle name="Comma 4 4 4" xfId="229" xr:uid="{00000000-0005-0000-0000-0000E4000000}"/>
    <cellStyle name="Comma 4 5" xfId="230" xr:uid="{00000000-0005-0000-0000-0000E5000000}"/>
    <cellStyle name="Comma 4 5 2" xfId="231" xr:uid="{00000000-0005-0000-0000-0000E6000000}"/>
    <cellStyle name="Comma 4 6" xfId="232" xr:uid="{00000000-0005-0000-0000-0000E7000000}"/>
    <cellStyle name="Comma 40" xfId="233" xr:uid="{00000000-0005-0000-0000-0000E8000000}"/>
    <cellStyle name="Comma 41" xfId="234" xr:uid="{00000000-0005-0000-0000-0000E9000000}"/>
    <cellStyle name="Comma 42" xfId="235" xr:uid="{00000000-0005-0000-0000-0000EA000000}"/>
    <cellStyle name="Comma 43" xfId="236" xr:uid="{00000000-0005-0000-0000-0000EB000000}"/>
    <cellStyle name="Comma 44" xfId="237" xr:uid="{00000000-0005-0000-0000-0000EC000000}"/>
    <cellStyle name="Comma 45" xfId="238" xr:uid="{00000000-0005-0000-0000-0000ED000000}"/>
    <cellStyle name="Comma 46" xfId="239" xr:uid="{00000000-0005-0000-0000-0000EE000000}"/>
    <cellStyle name="Comma 47" xfId="240" xr:uid="{00000000-0005-0000-0000-0000EF000000}"/>
    <cellStyle name="Comma 48" xfId="241" xr:uid="{00000000-0005-0000-0000-0000F0000000}"/>
    <cellStyle name="Comma 49" xfId="242" xr:uid="{00000000-0005-0000-0000-0000F1000000}"/>
    <cellStyle name="Comma 5" xfId="243" xr:uid="{00000000-0005-0000-0000-0000F2000000}"/>
    <cellStyle name="Comma 5 2" xfId="244" xr:uid="{00000000-0005-0000-0000-0000F3000000}"/>
    <cellStyle name="Comma 5 2 2" xfId="245" xr:uid="{00000000-0005-0000-0000-0000F4000000}"/>
    <cellStyle name="Comma 5 2 3" xfId="246" xr:uid="{00000000-0005-0000-0000-0000F5000000}"/>
    <cellStyle name="Comma 5 3" xfId="247" xr:uid="{00000000-0005-0000-0000-0000F6000000}"/>
    <cellStyle name="Comma 50" xfId="248" xr:uid="{00000000-0005-0000-0000-0000F7000000}"/>
    <cellStyle name="Comma 51" xfId="249" xr:uid="{00000000-0005-0000-0000-0000F8000000}"/>
    <cellStyle name="Comma 52" xfId="250" xr:uid="{00000000-0005-0000-0000-0000F9000000}"/>
    <cellStyle name="Comma 52 2" xfId="251" xr:uid="{00000000-0005-0000-0000-0000FA000000}"/>
    <cellStyle name="Comma 53" xfId="252" xr:uid="{00000000-0005-0000-0000-0000FB000000}"/>
    <cellStyle name="Comma 54" xfId="253" xr:uid="{00000000-0005-0000-0000-0000FC000000}"/>
    <cellStyle name="Comma 55" xfId="254" xr:uid="{00000000-0005-0000-0000-0000FD000000}"/>
    <cellStyle name="Comma 56" xfId="255" xr:uid="{00000000-0005-0000-0000-0000FE000000}"/>
    <cellStyle name="Comma 57" xfId="256" xr:uid="{00000000-0005-0000-0000-0000FF000000}"/>
    <cellStyle name="Comma 57 2" xfId="257" xr:uid="{00000000-0005-0000-0000-000000010000}"/>
    <cellStyle name="Comma 57 3" xfId="258" xr:uid="{00000000-0005-0000-0000-000001010000}"/>
    <cellStyle name="Comma 57 4" xfId="259" xr:uid="{00000000-0005-0000-0000-000002010000}"/>
    <cellStyle name="Comma 58" xfId="260" xr:uid="{00000000-0005-0000-0000-000003010000}"/>
    <cellStyle name="Comma 58 2" xfId="261" xr:uid="{00000000-0005-0000-0000-000004010000}"/>
    <cellStyle name="Comma 58 3" xfId="262" xr:uid="{00000000-0005-0000-0000-000005010000}"/>
    <cellStyle name="Comma 58 4" xfId="263" xr:uid="{00000000-0005-0000-0000-000006010000}"/>
    <cellStyle name="Comma 59" xfId="264" xr:uid="{00000000-0005-0000-0000-000007010000}"/>
    <cellStyle name="Comma 59 2" xfId="265" xr:uid="{00000000-0005-0000-0000-000008010000}"/>
    <cellStyle name="Comma 59 3" xfId="266" xr:uid="{00000000-0005-0000-0000-000009010000}"/>
    <cellStyle name="Comma 59 4" xfId="267" xr:uid="{00000000-0005-0000-0000-00000A010000}"/>
    <cellStyle name="Comma 6" xfId="268" xr:uid="{00000000-0005-0000-0000-00000B010000}"/>
    <cellStyle name="Comma 6 2" xfId="269" xr:uid="{00000000-0005-0000-0000-00000C010000}"/>
    <cellStyle name="Comma 6 3" xfId="270" xr:uid="{00000000-0005-0000-0000-00000D010000}"/>
    <cellStyle name="Comma 6 4" xfId="271" xr:uid="{00000000-0005-0000-0000-00000E010000}"/>
    <cellStyle name="Comma 6 4 2" xfId="272" xr:uid="{00000000-0005-0000-0000-00000F010000}"/>
    <cellStyle name="Comma 6 4 3" xfId="273" xr:uid="{00000000-0005-0000-0000-000010010000}"/>
    <cellStyle name="Comma 6 4 4" xfId="274" xr:uid="{00000000-0005-0000-0000-000011010000}"/>
    <cellStyle name="Comma 6 5" xfId="275" xr:uid="{00000000-0005-0000-0000-000012010000}"/>
    <cellStyle name="Comma 60" xfId="276" xr:uid="{00000000-0005-0000-0000-000013010000}"/>
    <cellStyle name="Comma 60 2" xfId="277" xr:uid="{00000000-0005-0000-0000-000014010000}"/>
    <cellStyle name="Comma 60 3" xfId="278" xr:uid="{00000000-0005-0000-0000-000015010000}"/>
    <cellStyle name="Comma 60 4" xfId="279" xr:uid="{00000000-0005-0000-0000-000016010000}"/>
    <cellStyle name="Comma 61" xfId="280" xr:uid="{00000000-0005-0000-0000-000017010000}"/>
    <cellStyle name="Comma 61 2" xfId="281" xr:uid="{00000000-0005-0000-0000-000018010000}"/>
    <cellStyle name="Comma 61 3" xfId="282" xr:uid="{00000000-0005-0000-0000-000019010000}"/>
    <cellStyle name="Comma 61 4" xfId="283" xr:uid="{00000000-0005-0000-0000-00001A010000}"/>
    <cellStyle name="Comma 62" xfId="284" xr:uid="{00000000-0005-0000-0000-00001B010000}"/>
    <cellStyle name="Comma 62 2" xfId="285" xr:uid="{00000000-0005-0000-0000-00001C010000}"/>
    <cellStyle name="Comma 62 3" xfId="286" xr:uid="{00000000-0005-0000-0000-00001D010000}"/>
    <cellStyle name="Comma 63" xfId="287" xr:uid="{00000000-0005-0000-0000-00001E010000}"/>
    <cellStyle name="Comma 63 2" xfId="288" xr:uid="{00000000-0005-0000-0000-00001F010000}"/>
    <cellStyle name="Comma 63 3" xfId="289" xr:uid="{00000000-0005-0000-0000-000020010000}"/>
    <cellStyle name="Comma 64" xfId="290" xr:uid="{00000000-0005-0000-0000-000021010000}"/>
    <cellStyle name="Comma 64 2" xfId="291" xr:uid="{00000000-0005-0000-0000-000022010000}"/>
    <cellStyle name="Comma 64 3" xfId="292" xr:uid="{00000000-0005-0000-0000-000023010000}"/>
    <cellStyle name="Comma 65" xfId="293" xr:uid="{00000000-0005-0000-0000-000024010000}"/>
    <cellStyle name="Comma 65 2" xfId="294" xr:uid="{00000000-0005-0000-0000-000025010000}"/>
    <cellStyle name="Comma 65 3" xfId="295" xr:uid="{00000000-0005-0000-0000-000026010000}"/>
    <cellStyle name="Comma 66" xfId="296" xr:uid="{00000000-0005-0000-0000-000027010000}"/>
    <cellStyle name="Comma 66 2" xfId="297" xr:uid="{00000000-0005-0000-0000-000028010000}"/>
    <cellStyle name="Comma 66 3" xfId="298" xr:uid="{00000000-0005-0000-0000-000029010000}"/>
    <cellStyle name="Comma 67" xfId="299" xr:uid="{00000000-0005-0000-0000-00002A010000}"/>
    <cellStyle name="Comma 67 2" xfId="300" xr:uid="{00000000-0005-0000-0000-00002B010000}"/>
    <cellStyle name="Comma 67 3" xfId="301" xr:uid="{00000000-0005-0000-0000-00002C010000}"/>
    <cellStyle name="Comma 68" xfId="302" xr:uid="{00000000-0005-0000-0000-00002D010000}"/>
    <cellStyle name="Comma 68 2" xfId="303" xr:uid="{00000000-0005-0000-0000-00002E010000}"/>
    <cellStyle name="Comma 68 3" xfId="304" xr:uid="{00000000-0005-0000-0000-00002F010000}"/>
    <cellStyle name="Comma 69" xfId="305" xr:uid="{00000000-0005-0000-0000-000030010000}"/>
    <cellStyle name="Comma 69 2" xfId="306" xr:uid="{00000000-0005-0000-0000-000031010000}"/>
    <cellStyle name="Comma 7" xfId="307" xr:uid="{00000000-0005-0000-0000-000032010000}"/>
    <cellStyle name="Comma 7 2" xfId="308" xr:uid="{00000000-0005-0000-0000-000033010000}"/>
    <cellStyle name="Comma 70" xfId="309" xr:uid="{00000000-0005-0000-0000-000034010000}"/>
    <cellStyle name="Comma 70 2" xfId="310" xr:uid="{00000000-0005-0000-0000-000035010000}"/>
    <cellStyle name="Comma 71" xfId="311" xr:uid="{00000000-0005-0000-0000-000036010000}"/>
    <cellStyle name="Comma 71 2" xfId="312" xr:uid="{00000000-0005-0000-0000-000037010000}"/>
    <cellStyle name="Comma 72" xfId="313" xr:uid="{00000000-0005-0000-0000-000038010000}"/>
    <cellStyle name="Comma 73" xfId="314" xr:uid="{00000000-0005-0000-0000-000039010000}"/>
    <cellStyle name="Comma 74" xfId="315" xr:uid="{00000000-0005-0000-0000-00003A010000}"/>
    <cellStyle name="Comma 75" xfId="316" xr:uid="{00000000-0005-0000-0000-00003B010000}"/>
    <cellStyle name="Comma 76" xfId="317" xr:uid="{00000000-0005-0000-0000-00003C010000}"/>
    <cellStyle name="Comma 8" xfId="318" xr:uid="{00000000-0005-0000-0000-00003D010000}"/>
    <cellStyle name="Comma 9" xfId="319" xr:uid="{00000000-0005-0000-0000-00003E010000}"/>
    <cellStyle name="Comma0" xfId="320" xr:uid="{00000000-0005-0000-0000-00003F010000}"/>
    <cellStyle name="Comma0 2" xfId="321" xr:uid="{00000000-0005-0000-0000-000040010000}"/>
    <cellStyle name="Comma0 2 2" xfId="322" xr:uid="{00000000-0005-0000-0000-000041010000}"/>
    <cellStyle name="Comma0 2 3" xfId="323" xr:uid="{00000000-0005-0000-0000-000042010000}"/>
    <cellStyle name="Comma0 2 4" xfId="324" xr:uid="{00000000-0005-0000-0000-000043010000}"/>
    <cellStyle name="Comma0 2 5" xfId="325" xr:uid="{00000000-0005-0000-0000-000044010000}"/>
    <cellStyle name="Comma0 3" xfId="326" xr:uid="{00000000-0005-0000-0000-000045010000}"/>
    <cellStyle name="Currency" xfId="327" builtinId="4"/>
    <cellStyle name="Currency 2" xfId="328" xr:uid="{00000000-0005-0000-0000-000047010000}"/>
    <cellStyle name="Currency 2 2" xfId="329" xr:uid="{00000000-0005-0000-0000-000048010000}"/>
    <cellStyle name="Currency 2 2 2" xfId="330" xr:uid="{00000000-0005-0000-0000-000049010000}"/>
    <cellStyle name="Currency 2 3" xfId="331" xr:uid="{00000000-0005-0000-0000-00004A010000}"/>
    <cellStyle name="Currency 3" xfId="332" xr:uid="{00000000-0005-0000-0000-00004B010000}"/>
    <cellStyle name="Currency 3 2" xfId="333" xr:uid="{00000000-0005-0000-0000-00004C010000}"/>
    <cellStyle name="Currency 3 2 2" xfId="334" xr:uid="{00000000-0005-0000-0000-00004D010000}"/>
    <cellStyle name="Currency 3 3" xfId="335" xr:uid="{00000000-0005-0000-0000-00004E010000}"/>
    <cellStyle name="Currency 3 3 2" xfId="336" xr:uid="{00000000-0005-0000-0000-00004F010000}"/>
    <cellStyle name="Currency 3 3 2 2" xfId="337" xr:uid="{00000000-0005-0000-0000-000050010000}"/>
    <cellStyle name="Currency 3 3 2 3" xfId="338" xr:uid="{00000000-0005-0000-0000-000051010000}"/>
    <cellStyle name="Currency 3 3 3" xfId="339" xr:uid="{00000000-0005-0000-0000-000052010000}"/>
    <cellStyle name="Currency 3 3 3 2" xfId="340" xr:uid="{00000000-0005-0000-0000-000053010000}"/>
    <cellStyle name="Currency 3 3 3 2 2" xfId="341" xr:uid="{00000000-0005-0000-0000-000054010000}"/>
    <cellStyle name="Currency 3 3 3 2 3" xfId="342" xr:uid="{00000000-0005-0000-0000-000055010000}"/>
    <cellStyle name="Currency 3 3 3 2 4" xfId="343" xr:uid="{00000000-0005-0000-0000-000056010000}"/>
    <cellStyle name="Currency 3 3 3 3" xfId="344" xr:uid="{00000000-0005-0000-0000-000057010000}"/>
    <cellStyle name="Currency 3 3 4" xfId="345" xr:uid="{00000000-0005-0000-0000-000058010000}"/>
    <cellStyle name="Currency 3 3 5" xfId="346" xr:uid="{00000000-0005-0000-0000-000059010000}"/>
    <cellStyle name="Currency 3 3 5 2" xfId="347" xr:uid="{00000000-0005-0000-0000-00005A010000}"/>
    <cellStyle name="Currency 3 3 5 3" xfId="348" xr:uid="{00000000-0005-0000-0000-00005B010000}"/>
    <cellStyle name="Currency 3 3 5 4" xfId="349" xr:uid="{00000000-0005-0000-0000-00005C010000}"/>
    <cellStyle name="Currency 3 4" xfId="350" xr:uid="{00000000-0005-0000-0000-00005D010000}"/>
    <cellStyle name="Currency 3 4 2" xfId="351" xr:uid="{00000000-0005-0000-0000-00005E010000}"/>
    <cellStyle name="Currency 3 4 3" xfId="352" xr:uid="{00000000-0005-0000-0000-00005F010000}"/>
    <cellStyle name="Currency 3 4 4" xfId="353" xr:uid="{00000000-0005-0000-0000-000060010000}"/>
    <cellStyle name="Currency 3 4 4 2" xfId="354" xr:uid="{00000000-0005-0000-0000-000061010000}"/>
    <cellStyle name="Currency 3 4 4 3" xfId="355" xr:uid="{00000000-0005-0000-0000-000062010000}"/>
    <cellStyle name="Currency 3 4 4 4" xfId="356" xr:uid="{00000000-0005-0000-0000-000063010000}"/>
    <cellStyle name="Currency 3 4 5" xfId="357" xr:uid="{00000000-0005-0000-0000-000064010000}"/>
    <cellStyle name="Currency 3 5" xfId="358" xr:uid="{00000000-0005-0000-0000-000065010000}"/>
    <cellStyle name="Currency 3 5 2" xfId="359" xr:uid="{00000000-0005-0000-0000-000066010000}"/>
    <cellStyle name="Currency 3 6" xfId="360" xr:uid="{00000000-0005-0000-0000-000067010000}"/>
    <cellStyle name="Currency 3 7" xfId="361" xr:uid="{00000000-0005-0000-0000-000068010000}"/>
    <cellStyle name="Currency 3 8" xfId="362" xr:uid="{00000000-0005-0000-0000-000069010000}"/>
    <cellStyle name="Currency 4" xfId="363" xr:uid="{00000000-0005-0000-0000-00006A010000}"/>
    <cellStyle name="Currency 4 10" xfId="364" xr:uid="{00000000-0005-0000-0000-00006B010000}"/>
    <cellStyle name="Currency 4 10 2" xfId="365" xr:uid="{00000000-0005-0000-0000-00006C010000}"/>
    <cellStyle name="Currency 4 10 2 2" xfId="366" xr:uid="{00000000-0005-0000-0000-00006D010000}"/>
    <cellStyle name="Currency 4 10 2 2 2" xfId="367" xr:uid="{00000000-0005-0000-0000-00006E010000}"/>
    <cellStyle name="Currency 4 10 2 3" xfId="368" xr:uid="{00000000-0005-0000-0000-00006F010000}"/>
    <cellStyle name="Currency 4 10 2 3 2" xfId="369" xr:uid="{00000000-0005-0000-0000-000070010000}"/>
    <cellStyle name="Currency 4 10 2 4" xfId="370" xr:uid="{00000000-0005-0000-0000-000071010000}"/>
    <cellStyle name="Currency 4 10 3" xfId="371" xr:uid="{00000000-0005-0000-0000-000072010000}"/>
    <cellStyle name="Currency 4 10 3 2" xfId="372" xr:uid="{00000000-0005-0000-0000-000073010000}"/>
    <cellStyle name="Currency 4 10 4" xfId="373" xr:uid="{00000000-0005-0000-0000-000074010000}"/>
    <cellStyle name="Currency 4 10 4 2" xfId="374" xr:uid="{00000000-0005-0000-0000-000075010000}"/>
    <cellStyle name="Currency 4 10 4 3" xfId="375" xr:uid="{00000000-0005-0000-0000-000076010000}"/>
    <cellStyle name="Currency 4 10 5" xfId="376" xr:uid="{00000000-0005-0000-0000-000077010000}"/>
    <cellStyle name="Currency 4 10 5 2" xfId="377" xr:uid="{00000000-0005-0000-0000-000078010000}"/>
    <cellStyle name="Currency 4 2" xfId="378" xr:uid="{00000000-0005-0000-0000-000079010000}"/>
    <cellStyle name="Currency 4 2 2" xfId="379" xr:uid="{00000000-0005-0000-0000-00007A010000}"/>
    <cellStyle name="Currency 4 2 3" xfId="380" xr:uid="{00000000-0005-0000-0000-00007B010000}"/>
    <cellStyle name="Currency 4 3" xfId="381" xr:uid="{00000000-0005-0000-0000-00007C010000}"/>
    <cellStyle name="Currency 4 3 2" xfId="382" xr:uid="{00000000-0005-0000-0000-00007D010000}"/>
    <cellStyle name="Currency 4 3 2 2" xfId="383" xr:uid="{00000000-0005-0000-0000-00007E010000}"/>
    <cellStyle name="Currency 4 3 2 3" xfId="384" xr:uid="{00000000-0005-0000-0000-00007F010000}"/>
    <cellStyle name="Currency 4 3 2 4" xfId="385" xr:uid="{00000000-0005-0000-0000-000080010000}"/>
    <cellStyle name="Currency 4 3 3" xfId="386" xr:uid="{00000000-0005-0000-0000-000081010000}"/>
    <cellStyle name="Currency 4 4" xfId="387" xr:uid="{00000000-0005-0000-0000-000082010000}"/>
    <cellStyle name="Currency 4 5" xfId="388" xr:uid="{00000000-0005-0000-0000-000083010000}"/>
    <cellStyle name="Currency 4 5 2" xfId="389" xr:uid="{00000000-0005-0000-0000-000084010000}"/>
    <cellStyle name="Currency 4 5 3" xfId="390" xr:uid="{00000000-0005-0000-0000-000085010000}"/>
    <cellStyle name="Currency 4 5 4" xfId="391" xr:uid="{00000000-0005-0000-0000-000086010000}"/>
    <cellStyle name="Currency 5" xfId="392" xr:uid="{00000000-0005-0000-0000-000087010000}"/>
    <cellStyle name="Currency 5 2" xfId="393" xr:uid="{00000000-0005-0000-0000-000088010000}"/>
    <cellStyle name="Currency 5 3" xfId="394" xr:uid="{00000000-0005-0000-0000-000089010000}"/>
    <cellStyle name="Currency 5 4" xfId="395" xr:uid="{00000000-0005-0000-0000-00008A010000}"/>
    <cellStyle name="Currency 5 4 2" xfId="396" xr:uid="{00000000-0005-0000-0000-00008B010000}"/>
    <cellStyle name="Currency 5 4 3" xfId="397" xr:uid="{00000000-0005-0000-0000-00008C010000}"/>
    <cellStyle name="Currency 5 4 4" xfId="398" xr:uid="{00000000-0005-0000-0000-00008D010000}"/>
    <cellStyle name="Currency 5 5" xfId="399" xr:uid="{00000000-0005-0000-0000-00008E010000}"/>
    <cellStyle name="Currency 6" xfId="400" xr:uid="{00000000-0005-0000-0000-00008F010000}"/>
    <cellStyle name="Currency 6 2" xfId="401" xr:uid="{00000000-0005-0000-0000-000090010000}"/>
    <cellStyle name="Currency 6 3" xfId="402" xr:uid="{00000000-0005-0000-0000-000091010000}"/>
    <cellStyle name="Currency 6 3 2" xfId="403" xr:uid="{00000000-0005-0000-0000-000092010000}"/>
    <cellStyle name="Currency 6 3 3" xfId="404" xr:uid="{00000000-0005-0000-0000-000093010000}"/>
    <cellStyle name="Currency 6 3 4" xfId="405" xr:uid="{00000000-0005-0000-0000-000094010000}"/>
    <cellStyle name="Currency 7" xfId="406" xr:uid="{00000000-0005-0000-0000-000095010000}"/>
    <cellStyle name="Currency 8" xfId="407" xr:uid="{00000000-0005-0000-0000-000096010000}"/>
    <cellStyle name="Currency 9" xfId="408" xr:uid="{00000000-0005-0000-0000-000097010000}"/>
    <cellStyle name="Currency0" xfId="409" xr:uid="{00000000-0005-0000-0000-000098010000}"/>
    <cellStyle name="Currency0 2" xfId="410" xr:uid="{00000000-0005-0000-0000-000099010000}"/>
    <cellStyle name="Currency0 2 2" xfId="411" xr:uid="{00000000-0005-0000-0000-00009A010000}"/>
    <cellStyle name="Currency0 2 3" xfId="412" xr:uid="{00000000-0005-0000-0000-00009B010000}"/>
    <cellStyle name="Currency0 2 4" xfId="413" xr:uid="{00000000-0005-0000-0000-00009C010000}"/>
    <cellStyle name="Currency0 2 5" xfId="414" xr:uid="{00000000-0005-0000-0000-00009D010000}"/>
    <cellStyle name="Currency0 3" xfId="415" xr:uid="{00000000-0005-0000-0000-00009E010000}"/>
    <cellStyle name="Date" xfId="416" xr:uid="{00000000-0005-0000-0000-00009F010000}"/>
    <cellStyle name="Date 2" xfId="417" xr:uid="{00000000-0005-0000-0000-0000A0010000}"/>
    <cellStyle name="Date 2 2" xfId="418" xr:uid="{00000000-0005-0000-0000-0000A1010000}"/>
    <cellStyle name="Date 2 3" xfId="419" xr:uid="{00000000-0005-0000-0000-0000A2010000}"/>
    <cellStyle name="Date 2 4" xfId="420" xr:uid="{00000000-0005-0000-0000-0000A3010000}"/>
    <cellStyle name="Date 2 5" xfId="421" xr:uid="{00000000-0005-0000-0000-0000A4010000}"/>
    <cellStyle name="Date 3" xfId="422" xr:uid="{00000000-0005-0000-0000-0000A5010000}"/>
    <cellStyle name="Explanatory Text" xfId="423" builtinId="53" customBuiltin="1"/>
    <cellStyle name="Explanatory Text 2" xfId="424" xr:uid="{00000000-0005-0000-0000-0000A7010000}"/>
    <cellStyle name="Explanatory Text 2 2" xfId="425" xr:uid="{00000000-0005-0000-0000-0000A8010000}"/>
    <cellStyle name="Fixed" xfId="426" xr:uid="{00000000-0005-0000-0000-0000A9010000}"/>
    <cellStyle name="Fixed 2" xfId="427" xr:uid="{00000000-0005-0000-0000-0000AA010000}"/>
    <cellStyle name="Fixed 2 2" xfId="428" xr:uid="{00000000-0005-0000-0000-0000AB010000}"/>
    <cellStyle name="Fixed 2 3" xfId="429" xr:uid="{00000000-0005-0000-0000-0000AC010000}"/>
    <cellStyle name="Fixed 2 4" xfId="430" xr:uid="{00000000-0005-0000-0000-0000AD010000}"/>
    <cellStyle name="Fixed 2 5" xfId="431" xr:uid="{00000000-0005-0000-0000-0000AE010000}"/>
    <cellStyle name="Fixed 3" xfId="432" xr:uid="{00000000-0005-0000-0000-0000AF010000}"/>
    <cellStyle name="Good" xfId="433" builtinId="26" customBuiltin="1"/>
    <cellStyle name="Good 2" xfId="434" xr:uid="{00000000-0005-0000-0000-0000B1010000}"/>
    <cellStyle name="Good 2 2" xfId="435" xr:uid="{00000000-0005-0000-0000-0000B2010000}"/>
    <cellStyle name="Heading 1" xfId="436" builtinId="16" customBuiltin="1"/>
    <cellStyle name="Heading 1 2" xfId="437" xr:uid="{00000000-0005-0000-0000-0000B4010000}"/>
    <cellStyle name="Heading 1 2 2" xfId="438" xr:uid="{00000000-0005-0000-0000-0000B5010000}"/>
    <cellStyle name="Heading 1 3" xfId="439" xr:uid="{00000000-0005-0000-0000-0000B6010000}"/>
    <cellStyle name="Heading 1 3 2" xfId="440" xr:uid="{00000000-0005-0000-0000-0000B7010000}"/>
    <cellStyle name="Heading 2" xfId="441" builtinId="17" customBuiltin="1"/>
    <cellStyle name="Heading 2 2" xfId="442" xr:uid="{00000000-0005-0000-0000-0000B9010000}"/>
    <cellStyle name="Heading 2 2 2" xfId="443" xr:uid="{00000000-0005-0000-0000-0000BA010000}"/>
    <cellStyle name="Heading 2 3" xfId="444" xr:uid="{00000000-0005-0000-0000-0000BB010000}"/>
    <cellStyle name="Heading 2 3 2" xfId="445" xr:uid="{00000000-0005-0000-0000-0000BC010000}"/>
    <cellStyle name="Heading 3" xfId="446" builtinId="18" customBuiltin="1"/>
    <cellStyle name="Heading 3 2" xfId="447" xr:uid="{00000000-0005-0000-0000-0000BE010000}"/>
    <cellStyle name="Heading 3 2 2" xfId="448" xr:uid="{00000000-0005-0000-0000-0000BF010000}"/>
    <cellStyle name="Heading 4" xfId="449" builtinId="19" customBuiltin="1"/>
    <cellStyle name="Heading 4 2" xfId="450" xr:uid="{00000000-0005-0000-0000-0000C1010000}"/>
    <cellStyle name="Heading 4 2 2" xfId="451" xr:uid="{00000000-0005-0000-0000-0000C2010000}"/>
    <cellStyle name="Heading1" xfId="452" xr:uid="{00000000-0005-0000-0000-0000C3010000}"/>
    <cellStyle name="Heading2" xfId="453" xr:uid="{00000000-0005-0000-0000-0000C4010000}"/>
    <cellStyle name="Input" xfId="454" builtinId="20" customBuiltin="1"/>
    <cellStyle name="Input 2" xfId="455" xr:uid="{00000000-0005-0000-0000-0000C6010000}"/>
    <cellStyle name="Input 2 2" xfId="456" xr:uid="{00000000-0005-0000-0000-0000C7010000}"/>
    <cellStyle name="Linked Cell" xfId="457" builtinId="24" customBuiltin="1"/>
    <cellStyle name="Linked Cell 2" xfId="458" xr:uid="{00000000-0005-0000-0000-0000C9010000}"/>
    <cellStyle name="Linked Cell 2 2" xfId="459" xr:uid="{00000000-0005-0000-0000-0000CA010000}"/>
    <cellStyle name="M" xfId="460" xr:uid="{00000000-0005-0000-0000-0000CB010000}"/>
    <cellStyle name="M 2" xfId="461" xr:uid="{00000000-0005-0000-0000-0000CC010000}"/>
    <cellStyle name="M 2 2" xfId="462" xr:uid="{00000000-0005-0000-0000-0000CD010000}"/>
    <cellStyle name="M 2 2 2" xfId="463" xr:uid="{00000000-0005-0000-0000-0000CE010000}"/>
    <cellStyle name="M 3" xfId="464" xr:uid="{00000000-0005-0000-0000-0000CF010000}"/>
    <cellStyle name="M 3 2" xfId="465" xr:uid="{00000000-0005-0000-0000-0000D0010000}"/>
    <cellStyle name="M 3 2 2" xfId="466" xr:uid="{00000000-0005-0000-0000-0000D1010000}"/>
    <cellStyle name="M 4" xfId="467" xr:uid="{00000000-0005-0000-0000-0000D2010000}"/>
    <cellStyle name="M 5" xfId="468" xr:uid="{00000000-0005-0000-0000-0000D3010000}"/>
    <cellStyle name="M 5 2" xfId="469" xr:uid="{00000000-0005-0000-0000-0000D4010000}"/>
    <cellStyle name="M 6" xfId="470" xr:uid="{00000000-0005-0000-0000-0000D5010000}"/>
    <cellStyle name="M 6 2" xfId="471" xr:uid="{00000000-0005-0000-0000-0000D6010000}"/>
    <cellStyle name="M 7" xfId="472" xr:uid="{00000000-0005-0000-0000-0000D7010000}"/>
    <cellStyle name="Neutral" xfId="473" builtinId="28" customBuiltin="1"/>
    <cellStyle name="Neutral 2" xfId="474" xr:uid="{00000000-0005-0000-0000-0000D9010000}"/>
    <cellStyle name="Neutral 2 2" xfId="475" xr:uid="{00000000-0005-0000-0000-0000DA010000}"/>
    <cellStyle name="Normal" xfId="0" builtinId="0"/>
    <cellStyle name="Normal 10" xfId="476" xr:uid="{00000000-0005-0000-0000-0000DC010000}"/>
    <cellStyle name="Normal 10 2" xfId="477" xr:uid="{00000000-0005-0000-0000-0000DD010000}"/>
    <cellStyle name="Normal 11" xfId="478" xr:uid="{00000000-0005-0000-0000-0000DE010000}"/>
    <cellStyle name="Normal 11 2" xfId="479" xr:uid="{00000000-0005-0000-0000-0000DF010000}"/>
    <cellStyle name="Normal 11 3" xfId="480" xr:uid="{00000000-0005-0000-0000-0000E0010000}"/>
    <cellStyle name="Normal 12" xfId="481" xr:uid="{00000000-0005-0000-0000-0000E1010000}"/>
    <cellStyle name="Normal 12 2" xfId="482" xr:uid="{00000000-0005-0000-0000-0000E2010000}"/>
    <cellStyle name="Normal 12 3" xfId="483" xr:uid="{00000000-0005-0000-0000-0000E3010000}"/>
    <cellStyle name="Normal 2" xfId="484" xr:uid="{00000000-0005-0000-0000-0000E4010000}"/>
    <cellStyle name="Normal 2 2" xfId="485" xr:uid="{00000000-0005-0000-0000-0000E5010000}"/>
    <cellStyle name="Normal 2 2 2" xfId="486" xr:uid="{00000000-0005-0000-0000-0000E6010000}"/>
    <cellStyle name="Normal 2 2 3" xfId="487" xr:uid="{00000000-0005-0000-0000-0000E7010000}"/>
    <cellStyle name="Normal 2 2 4" xfId="488" xr:uid="{00000000-0005-0000-0000-0000E8010000}"/>
    <cellStyle name="Normal 3" xfId="489" xr:uid="{00000000-0005-0000-0000-0000E9010000}"/>
    <cellStyle name="Normal 3 2" xfId="490" xr:uid="{00000000-0005-0000-0000-0000EA010000}"/>
    <cellStyle name="Normal 3 2 2" xfId="491" xr:uid="{00000000-0005-0000-0000-0000EB010000}"/>
    <cellStyle name="Normal 3 3" xfId="492" xr:uid="{00000000-0005-0000-0000-0000EC010000}"/>
    <cellStyle name="Normal 3 3 2" xfId="493" xr:uid="{00000000-0005-0000-0000-0000ED010000}"/>
    <cellStyle name="Normal 3 3 3" xfId="494" xr:uid="{00000000-0005-0000-0000-0000EE010000}"/>
    <cellStyle name="Normal 3 3 4" xfId="495" xr:uid="{00000000-0005-0000-0000-0000EF010000}"/>
    <cellStyle name="Normal 3_OPCo Period I PJM  Formula Rate" xfId="496" xr:uid="{00000000-0005-0000-0000-0000F0010000}"/>
    <cellStyle name="Normal 35" xfId="497" xr:uid="{00000000-0005-0000-0000-0000F1010000}"/>
    <cellStyle name="Normal 4" xfId="498" xr:uid="{00000000-0005-0000-0000-0000F2010000}"/>
    <cellStyle name="Normal 4 2" xfId="499" xr:uid="{00000000-0005-0000-0000-0000F3010000}"/>
    <cellStyle name="Normal 4 2 2" xfId="500" xr:uid="{00000000-0005-0000-0000-0000F4010000}"/>
    <cellStyle name="Normal 4 3" xfId="501" xr:uid="{00000000-0005-0000-0000-0000F5010000}"/>
    <cellStyle name="Normal 4 3 2" xfId="502" xr:uid="{00000000-0005-0000-0000-0000F6010000}"/>
    <cellStyle name="Normal 4 3 2 2" xfId="503" xr:uid="{00000000-0005-0000-0000-0000F7010000}"/>
    <cellStyle name="Normal 4 3 2 3" xfId="504" xr:uid="{00000000-0005-0000-0000-0000F8010000}"/>
    <cellStyle name="Normal 4 3 3" xfId="505" xr:uid="{00000000-0005-0000-0000-0000F9010000}"/>
    <cellStyle name="Normal 4 3 3 2" xfId="506" xr:uid="{00000000-0005-0000-0000-0000FA010000}"/>
    <cellStyle name="Normal 4 3 3 2 2" xfId="507" xr:uid="{00000000-0005-0000-0000-0000FB010000}"/>
    <cellStyle name="Normal 4 3 3 2 3" xfId="508" xr:uid="{00000000-0005-0000-0000-0000FC010000}"/>
    <cellStyle name="Normal 4 3 3 2 4" xfId="509" xr:uid="{00000000-0005-0000-0000-0000FD010000}"/>
    <cellStyle name="Normal 4 3 3 3" xfId="510" xr:uid="{00000000-0005-0000-0000-0000FE010000}"/>
    <cellStyle name="Normal 4 3 4" xfId="511" xr:uid="{00000000-0005-0000-0000-0000FF010000}"/>
    <cellStyle name="Normal 4 3 5" xfId="512" xr:uid="{00000000-0005-0000-0000-000000020000}"/>
    <cellStyle name="Normal 4 3 5 2" xfId="513" xr:uid="{00000000-0005-0000-0000-000001020000}"/>
    <cellStyle name="Normal 4 3 5 3" xfId="514" xr:uid="{00000000-0005-0000-0000-000002020000}"/>
    <cellStyle name="Normal 4 3 5 4" xfId="515" xr:uid="{00000000-0005-0000-0000-000003020000}"/>
    <cellStyle name="Normal 4 4" xfId="516" xr:uid="{00000000-0005-0000-0000-000004020000}"/>
    <cellStyle name="Normal 4 4 2" xfId="517" xr:uid="{00000000-0005-0000-0000-000005020000}"/>
    <cellStyle name="Normal 4 4 3" xfId="518" xr:uid="{00000000-0005-0000-0000-000006020000}"/>
    <cellStyle name="Normal 4 4 4" xfId="519" xr:uid="{00000000-0005-0000-0000-000007020000}"/>
    <cellStyle name="Normal 4 4 4 2" xfId="520" xr:uid="{00000000-0005-0000-0000-000008020000}"/>
    <cellStyle name="Normal 4 4 4 3" xfId="521" xr:uid="{00000000-0005-0000-0000-000009020000}"/>
    <cellStyle name="Normal 4 4 4 4" xfId="522" xr:uid="{00000000-0005-0000-0000-00000A020000}"/>
    <cellStyle name="Normal 4 4 5" xfId="523" xr:uid="{00000000-0005-0000-0000-00000B020000}"/>
    <cellStyle name="Normal 4 5" xfId="524" xr:uid="{00000000-0005-0000-0000-00000C020000}"/>
    <cellStyle name="Normal 4 5 2" xfId="525" xr:uid="{00000000-0005-0000-0000-00000D020000}"/>
    <cellStyle name="Normal 4 5 2 2" xfId="526" xr:uid="{00000000-0005-0000-0000-00000E020000}"/>
    <cellStyle name="Normal 4 5 2 2 2" xfId="527" xr:uid="{00000000-0005-0000-0000-00000F020000}"/>
    <cellStyle name="Normal 4 5 2 2 3" xfId="528" xr:uid="{00000000-0005-0000-0000-000010020000}"/>
    <cellStyle name="Normal 4 5 2 2 4" xfId="529" xr:uid="{00000000-0005-0000-0000-000011020000}"/>
    <cellStyle name="Normal 4 5 3" xfId="530" xr:uid="{00000000-0005-0000-0000-000012020000}"/>
    <cellStyle name="Normal 4 6" xfId="531" xr:uid="{00000000-0005-0000-0000-000013020000}"/>
    <cellStyle name="Normal 4 7" xfId="532" xr:uid="{00000000-0005-0000-0000-000014020000}"/>
    <cellStyle name="Normal 4 8" xfId="533" xr:uid="{00000000-0005-0000-0000-000015020000}"/>
    <cellStyle name="Normal 4_PBOP Exhibit 1" xfId="534" xr:uid="{00000000-0005-0000-0000-000016020000}"/>
    <cellStyle name="Normal 5" xfId="535" xr:uid="{00000000-0005-0000-0000-000017020000}"/>
    <cellStyle name="Normal 5 2" xfId="536" xr:uid="{00000000-0005-0000-0000-000018020000}"/>
    <cellStyle name="Normal 5 2 2" xfId="537" xr:uid="{00000000-0005-0000-0000-000019020000}"/>
    <cellStyle name="Normal 5 2 3" xfId="538" xr:uid="{00000000-0005-0000-0000-00001A020000}"/>
    <cellStyle name="Normal 5 2 4" xfId="539" xr:uid="{00000000-0005-0000-0000-00001B020000}"/>
    <cellStyle name="Normal 6" xfId="540" xr:uid="{00000000-0005-0000-0000-00001C020000}"/>
    <cellStyle name="Normal 6 2" xfId="541" xr:uid="{00000000-0005-0000-0000-00001D020000}"/>
    <cellStyle name="Normal 7" xfId="542" xr:uid="{00000000-0005-0000-0000-00001E020000}"/>
    <cellStyle name="Normal 7 2" xfId="543" xr:uid="{00000000-0005-0000-0000-00001F020000}"/>
    <cellStyle name="Normal 7 3" xfId="544" xr:uid="{00000000-0005-0000-0000-000020020000}"/>
    <cellStyle name="Normal 8" xfId="545" xr:uid="{00000000-0005-0000-0000-000021020000}"/>
    <cellStyle name="Normal 8 2" xfId="546" xr:uid="{00000000-0005-0000-0000-000022020000}"/>
    <cellStyle name="Normal 9" xfId="547" xr:uid="{00000000-0005-0000-0000-000023020000}"/>
    <cellStyle name="Normal 9 2" xfId="548" xr:uid="{00000000-0005-0000-0000-000024020000}"/>
    <cellStyle name="Normal_FN1 Ratebase Draft SPP template (6-11-04) v2" xfId="549" xr:uid="{00000000-0005-0000-0000-000025020000}"/>
    <cellStyle name="Note" xfId="550" builtinId="10" customBuiltin="1"/>
    <cellStyle name="Note 2" xfId="551" xr:uid="{00000000-0005-0000-0000-000027020000}"/>
    <cellStyle name="Note 2 2" xfId="552" xr:uid="{00000000-0005-0000-0000-000028020000}"/>
    <cellStyle name="Note 2 2 2" xfId="553" xr:uid="{00000000-0005-0000-0000-000029020000}"/>
    <cellStyle name="Note 2 2 3" xfId="554" xr:uid="{00000000-0005-0000-0000-00002A020000}"/>
    <cellStyle name="Note 2 2 4" xfId="555" xr:uid="{00000000-0005-0000-0000-00002B020000}"/>
    <cellStyle name="Output" xfId="556" builtinId="21" customBuiltin="1"/>
    <cellStyle name="Output 2" xfId="557" xr:uid="{00000000-0005-0000-0000-00002D020000}"/>
    <cellStyle name="Output 2 2" xfId="558" xr:uid="{00000000-0005-0000-0000-00002E020000}"/>
    <cellStyle name="Percent" xfId="559" builtinId="5"/>
    <cellStyle name="Percent 10" xfId="560" xr:uid="{00000000-0005-0000-0000-000030020000}"/>
    <cellStyle name="Percent 2" xfId="561" xr:uid="{00000000-0005-0000-0000-000031020000}"/>
    <cellStyle name="Percent 2 2" xfId="562" xr:uid="{00000000-0005-0000-0000-000032020000}"/>
    <cellStyle name="Percent 2 2 2" xfId="563" xr:uid="{00000000-0005-0000-0000-000033020000}"/>
    <cellStyle name="Percent 2 3" xfId="564" xr:uid="{00000000-0005-0000-0000-000034020000}"/>
    <cellStyle name="Percent 3" xfId="565" xr:uid="{00000000-0005-0000-0000-000035020000}"/>
    <cellStyle name="Percent 3 2" xfId="566" xr:uid="{00000000-0005-0000-0000-000036020000}"/>
    <cellStyle name="Percent 3 2 2" xfId="567" xr:uid="{00000000-0005-0000-0000-000037020000}"/>
    <cellStyle name="Percent 3 3" xfId="568" xr:uid="{00000000-0005-0000-0000-000038020000}"/>
    <cellStyle name="Percent 3 3 2" xfId="569" xr:uid="{00000000-0005-0000-0000-000039020000}"/>
    <cellStyle name="Percent 3 3 2 2" xfId="570" xr:uid="{00000000-0005-0000-0000-00003A020000}"/>
    <cellStyle name="Percent 3 3 2 3" xfId="571" xr:uid="{00000000-0005-0000-0000-00003B020000}"/>
    <cellStyle name="Percent 3 3 3" xfId="572" xr:uid="{00000000-0005-0000-0000-00003C020000}"/>
    <cellStyle name="Percent 3 3 3 2" xfId="573" xr:uid="{00000000-0005-0000-0000-00003D020000}"/>
    <cellStyle name="Percent 3 3 3 2 2" xfId="574" xr:uid="{00000000-0005-0000-0000-00003E020000}"/>
    <cellStyle name="Percent 3 3 3 2 3" xfId="575" xr:uid="{00000000-0005-0000-0000-00003F020000}"/>
    <cellStyle name="Percent 3 3 3 2 4" xfId="576" xr:uid="{00000000-0005-0000-0000-000040020000}"/>
    <cellStyle name="Percent 3 3 3 3" xfId="577" xr:uid="{00000000-0005-0000-0000-000041020000}"/>
    <cellStyle name="Percent 3 3 4" xfId="578" xr:uid="{00000000-0005-0000-0000-000042020000}"/>
    <cellStyle name="Percent 3 3 5" xfId="579" xr:uid="{00000000-0005-0000-0000-000043020000}"/>
    <cellStyle name="Percent 3 3 5 2" xfId="580" xr:uid="{00000000-0005-0000-0000-000044020000}"/>
    <cellStyle name="Percent 3 3 5 3" xfId="581" xr:uid="{00000000-0005-0000-0000-000045020000}"/>
    <cellStyle name="Percent 3 3 5 4" xfId="582" xr:uid="{00000000-0005-0000-0000-000046020000}"/>
    <cellStyle name="Percent 3 4" xfId="583" xr:uid="{00000000-0005-0000-0000-000047020000}"/>
    <cellStyle name="Percent 3 4 2" xfId="584" xr:uid="{00000000-0005-0000-0000-000048020000}"/>
    <cellStyle name="Percent 3 4 3" xfId="585" xr:uid="{00000000-0005-0000-0000-000049020000}"/>
    <cellStyle name="Percent 3 4 4" xfId="586" xr:uid="{00000000-0005-0000-0000-00004A020000}"/>
    <cellStyle name="Percent 3 4 4 2" xfId="587" xr:uid="{00000000-0005-0000-0000-00004B020000}"/>
    <cellStyle name="Percent 3 4 4 3" xfId="588" xr:uid="{00000000-0005-0000-0000-00004C020000}"/>
    <cellStyle name="Percent 3 4 4 4" xfId="589" xr:uid="{00000000-0005-0000-0000-00004D020000}"/>
    <cellStyle name="Percent 3 4 5" xfId="590" xr:uid="{00000000-0005-0000-0000-00004E020000}"/>
    <cellStyle name="Percent 3 5" xfId="591" xr:uid="{00000000-0005-0000-0000-00004F020000}"/>
    <cellStyle name="Percent 3 5 2" xfId="592" xr:uid="{00000000-0005-0000-0000-000050020000}"/>
    <cellStyle name="Percent 3 6" xfId="593" xr:uid="{00000000-0005-0000-0000-000051020000}"/>
    <cellStyle name="Percent 3 7" xfId="594" xr:uid="{00000000-0005-0000-0000-000052020000}"/>
    <cellStyle name="Percent 3 8" xfId="595" xr:uid="{00000000-0005-0000-0000-000053020000}"/>
    <cellStyle name="Percent 4" xfId="596" xr:uid="{00000000-0005-0000-0000-000054020000}"/>
    <cellStyle name="Percent 4 2" xfId="597" xr:uid="{00000000-0005-0000-0000-000055020000}"/>
    <cellStyle name="Percent 4 2 2" xfId="598" xr:uid="{00000000-0005-0000-0000-000056020000}"/>
    <cellStyle name="Percent 4 2 3" xfId="599" xr:uid="{00000000-0005-0000-0000-000057020000}"/>
    <cellStyle name="Percent 4 3" xfId="600" xr:uid="{00000000-0005-0000-0000-000058020000}"/>
    <cellStyle name="Percent 4 3 2" xfId="601" xr:uid="{00000000-0005-0000-0000-000059020000}"/>
    <cellStyle name="Percent 4 3 2 2" xfId="602" xr:uid="{00000000-0005-0000-0000-00005A020000}"/>
    <cellStyle name="Percent 4 3 2 3" xfId="603" xr:uid="{00000000-0005-0000-0000-00005B020000}"/>
    <cellStyle name="Percent 4 3 2 4" xfId="604" xr:uid="{00000000-0005-0000-0000-00005C020000}"/>
    <cellStyle name="Percent 4 3 3" xfId="605" xr:uid="{00000000-0005-0000-0000-00005D020000}"/>
    <cellStyle name="Percent 4 4" xfId="606" xr:uid="{00000000-0005-0000-0000-00005E020000}"/>
    <cellStyle name="Percent 4 5" xfId="607" xr:uid="{00000000-0005-0000-0000-00005F020000}"/>
    <cellStyle name="Percent 4 5 2" xfId="608" xr:uid="{00000000-0005-0000-0000-000060020000}"/>
    <cellStyle name="Percent 4 5 3" xfId="609" xr:uid="{00000000-0005-0000-0000-000061020000}"/>
    <cellStyle name="Percent 4 5 4" xfId="610" xr:uid="{00000000-0005-0000-0000-000062020000}"/>
    <cellStyle name="Percent 5" xfId="611" xr:uid="{00000000-0005-0000-0000-000063020000}"/>
    <cellStyle name="Percent 5 2" xfId="612" xr:uid="{00000000-0005-0000-0000-000064020000}"/>
    <cellStyle name="Percent 5 3" xfId="613" xr:uid="{00000000-0005-0000-0000-000065020000}"/>
    <cellStyle name="Percent 5 4" xfId="614" xr:uid="{00000000-0005-0000-0000-000066020000}"/>
    <cellStyle name="Percent 5 4 2" xfId="615" xr:uid="{00000000-0005-0000-0000-000067020000}"/>
    <cellStyle name="Percent 5 4 3" xfId="616" xr:uid="{00000000-0005-0000-0000-000068020000}"/>
    <cellStyle name="Percent 5 4 4" xfId="617" xr:uid="{00000000-0005-0000-0000-000069020000}"/>
    <cellStyle name="Percent 5 5" xfId="618" xr:uid="{00000000-0005-0000-0000-00006A020000}"/>
    <cellStyle name="Percent 6" xfId="619" xr:uid="{00000000-0005-0000-0000-00006B020000}"/>
    <cellStyle name="Percent 6 2" xfId="620" xr:uid="{00000000-0005-0000-0000-00006C020000}"/>
    <cellStyle name="Percent 7" xfId="621" xr:uid="{00000000-0005-0000-0000-00006D020000}"/>
    <cellStyle name="Percent 7 2" xfId="622" xr:uid="{00000000-0005-0000-0000-00006E020000}"/>
    <cellStyle name="Percent 7 2 2" xfId="623" xr:uid="{00000000-0005-0000-0000-00006F020000}"/>
    <cellStyle name="Percent 7 2 2 2" xfId="624" xr:uid="{00000000-0005-0000-0000-000070020000}"/>
    <cellStyle name="Percent 7 2 2 2 2" xfId="625" xr:uid="{00000000-0005-0000-0000-000071020000}"/>
    <cellStyle name="Percent 7 2 2 3" xfId="626" xr:uid="{00000000-0005-0000-0000-000072020000}"/>
    <cellStyle name="Percent 7 2 2 3 2" xfId="627" xr:uid="{00000000-0005-0000-0000-000073020000}"/>
    <cellStyle name="Percent 7 2 2 4" xfId="628" xr:uid="{00000000-0005-0000-0000-000074020000}"/>
    <cellStyle name="Percent 7 2 3" xfId="629" xr:uid="{00000000-0005-0000-0000-000075020000}"/>
    <cellStyle name="Percent 7 2 3 2" xfId="630" xr:uid="{00000000-0005-0000-0000-000076020000}"/>
    <cellStyle name="Percent 7 2 4" xfId="631" xr:uid="{00000000-0005-0000-0000-000077020000}"/>
    <cellStyle name="Percent 7 2 4 2" xfId="632" xr:uid="{00000000-0005-0000-0000-000078020000}"/>
    <cellStyle name="Percent 7 2 4 3" xfId="633" xr:uid="{00000000-0005-0000-0000-000079020000}"/>
    <cellStyle name="Percent 7 2 5" xfId="634" xr:uid="{00000000-0005-0000-0000-00007A020000}"/>
    <cellStyle name="Percent 7 2 5 2" xfId="635" xr:uid="{00000000-0005-0000-0000-00007B020000}"/>
    <cellStyle name="Percent 7 3" xfId="636" xr:uid="{00000000-0005-0000-0000-00007C020000}"/>
    <cellStyle name="Percent 7 4" xfId="637" xr:uid="{00000000-0005-0000-0000-00007D020000}"/>
    <cellStyle name="Percent 7 5" xfId="638" xr:uid="{00000000-0005-0000-0000-00007E020000}"/>
    <cellStyle name="Percent 8" xfId="639" xr:uid="{00000000-0005-0000-0000-00007F020000}"/>
    <cellStyle name="Percent 9" xfId="640" xr:uid="{00000000-0005-0000-0000-000080020000}"/>
    <cellStyle name="PSChar" xfId="641" xr:uid="{00000000-0005-0000-0000-000081020000}"/>
    <cellStyle name="PSChar 2" xfId="642" xr:uid="{00000000-0005-0000-0000-000082020000}"/>
    <cellStyle name="PSChar 2 2" xfId="643" xr:uid="{00000000-0005-0000-0000-000083020000}"/>
    <cellStyle name="PSChar 3" xfId="644" xr:uid="{00000000-0005-0000-0000-000084020000}"/>
    <cellStyle name="PSChar 4" xfId="645" xr:uid="{00000000-0005-0000-0000-000085020000}"/>
    <cellStyle name="PSChar 4 2" xfId="646" xr:uid="{00000000-0005-0000-0000-000086020000}"/>
    <cellStyle name="PSChar 5" xfId="647" xr:uid="{00000000-0005-0000-0000-000087020000}"/>
    <cellStyle name="PSChar 5 2" xfId="648" xr:uid="{00000000-0005-0000-0000-000088020000}"/>
    <cellStyle name="PSDate" xfId="649" xr:uid="{00000000-0005-0000-0000-000089020000}"/>
    <cellStyle name="PSDate 2" xfId="650" xr:uid="{00000000-0005-0000-0000-00008A020000}"/>
    <cellStyle name="PSDate 3" xfId="651" xr:uid="{00000000-0005-0000-0000-00008B020000}"/>
    <cellStyle name="PSDate 4" xfId="652" xr:uid="{00000000-0005-0000-0000-00008C020000}"/>
    <cellStyle name="PSDate 4 2" xfId="653" xr:uid="{00000000-0005-0000-0000-00008D020000}"/>
    <cellStyle name="PSDate 5" xfId="654" xr:uid="{00000000-0005-0000-0000-00008E020000}"/>
    <cellStyle name="PSDate 5 2" xfId="655" xr:uid="{00000000-0005-0000-0000-00008F020000}"/>
    <cellStyle name="PSDec" xfId="656" xr:uid="{00000000-0005-0000-0000-000090020000}"/>
    <cellStyle name="PSDec 2" xfId="657" xr:uid="{00000000-0005-0000-0000-000091020000}"/>
    <cellStyle name="PSDec 3" xfId="658" xr:uid="{00000000-0005-0000-0000-000092020000}"/>
    <cellStyle name="PSDec 4" xfId="659" xr:uid="{00000000-0005-0000-0000-000093020000}"/>
    <cellStyle name="PSDec 4 2" xfId="660" xr:uid="{00000000-0005-0000-0000-000094020000}"/>
    <cellStyle name="PSDec 5" xfId="661" xr:uid="{00000000-0005-0000-0000-000095020000}"/>
    <cellStyle name="PSDec 5 2" xfId="662" xr:uid="{00000000-0005-0000-0000-000096020000}"/>
    <cellStyle name="PSdesc" xfId="663" xr:uid="{00000000-0005-0000-0000-000097020000}"/>
    <cellStyle name="PSdesc 2" xfId="664" xr:uid="{00000000-0005-0000-0000-000098020000}"/>
    <cellStyle name="PSHeading" xfId="665" xr:uid="{00000000-0005-0000-0000-000099020000}"/>
    <cellStyle name="PSHeading 2" xfId="666" xr:uid="{00000000-0005-0000-0000-00009A020000}"/>
    <cellStyle name="PSHeading 3" xfId="667" xr:uid="{00000000-0005-0000-0000-00009B020000}"/>
    <cellStyle name="PSHeading 4" xfId="668" xr:uid="{00000000-0005-0000-0000-00009C020000}"/>
    <cellStyle name="PSHeading 5" xfId="669" xr:uid="{00000000-0005-0000-0000-00009D020000}"/>
    <cellStyle name="PSHeading 5 2" xfId="670" xr:uid="{00000000-0005-0000-0000-00009E020000}"/>
    <cellStyle name="PSHeading 6" xfId="671" xr:uid="{00000000-0005-0000-0000-00009F020000}"/>
    <cellStyle name="PSHeading 6 2" xfId="672" xr:uid="{00000000-0005-0000-0000-0000A0020000}"/>
    <cellStyle name="PSInt" xfId="673" xr:uid="{00000000-0005-0000-0000-0000A1020000}"/>
    <cellStyle name="PSInt 2" xfId="674" xr:uid="{00000000-0005-0000-0000-0000A2020000}"/>
    <cellStyle name="PSInt 3" xfId="675" xr:uid="{00000000-0005-0000-0000-0000A3020000}"/>
    <cellStyle name="PSInt 4" xfId="676" xr:uid="{00000000-0005-0000-0000-0000A4020000}"/>
    <cellStyle name="PSInt 4 2" xfId="677" xr:uid="{00000000-0005-0000-0000-0000A5020000}"/>
    <cellStyle name="PSInt 5" xfId="678" xr:uid="{00000000-0005-0000-0000-0000A6020000}"/>
    <cellStyle name="PSInt 5 2" xfId="679" xr:uid="{00000000-0005-0000-0000-0000A7020000}"/>
    <cellStyle name="PSSpacer" xfId="680" xr:uid="{00000000-0005-0000-0000-0000A8020000}"/>
    <cellStyle name="PSSpacer 2" xfId="681" xr:uid="{00000000-0005-0000-0000-0000A9020000}"/>
    <cellStyle name="PSSpacer 3" xfId="682" xr:uid="{00000000-0005-0000-0000-0000AA020000}"/>
    <cellStyle name="PSSpacer 3 2" xfId="683" xr:uid="{00000000-0005-0000-0000-0000AB020000}"/>
    <cellStyle name="PStest" xfId="684" xr:uid="{00000000-0005-0000-0000-0000AC020000}"/>
    <cellStyle name="PStest 2" xfId="685" xr:uid="{00000000-0005-0000-0000-0000AD020000}"/>
    <cellStyle name="R00A" xfId="686" xr:uid="{00000000-0005-0000-0000-0000AE020000}"/>
    <cellStyle name="R00B" xfId="687" xr:uid="{00000000-0005-0000-0000-0000AF020000}"/>
    <cellStyle name="R00L" xfId="688" xr:uid="{00000000-0005-0000-0000-0000B0020000}"/>
    <cellStyle name="R01A" xfId="689" xr:uid="{00000000-0005-0000-0000-0000B1020000}"/>
    <cellStyle name="R01B" xfId="690" xr:uid="{00000000-0005-0000-0000-0000B2020000}"/>
    <cellStyle name="R01H" xfId="691" xr:uid="{00000000-0005-0000-0000-0000B3020000}"/>
    <cellStyle name="R01L" xfId="692" xr:uid="{00000000-0005-0000-0000-0000B4020000}"/>
    <cellStyle name="R02A" xfId="693" xr:uid="{00000000-0005-0000-0000-0000B5020000}"/>
    <cellStyle name="R02B" xfId="694" xr:uid="{00000000-0005-0000-0000-0000B6020000}"/>
    <cellStyle name="R02B 2" xfId="695" xr:uid="{00000000-0005-0000-0000-0000B7020000}"/>
    <cellStyle name="R02H" xfId="696" xr:uid="{00000000-0005-0000-0000-0000B8020000}"/>
    <cellStyle name="R02L" xfId="697" xr:uid="{00000000-0005-0000-0000-0000B9020000}"/>
    <cellStyle name="R03A" xfId="698" xr:uid="{00000000-0005-0000-0000-0000BA020000}"/>
    <cellStyle name="R03B" xfId="699" xr:uid="{00000000-0005-0000-0000-0000BB020000}"/>
    <cellStyle name="R03B 2" xfId="700" xr:uid="{00000000-0005-0000-0000-0000BC020000}"/>
    <cellStyle name="R03H" xfId="701" xr:uid="{00000000-0005-0000-0000-0000BD020000}"/>
    <cellStyle name="R03L" xfId="702" xr:uid="{00000000-0005-0000-0000-0000BE020000}"/>
    <cellStyle name="R04A" xfId="703" xr:uid="{00000000-0005-0000-0000-0000BF020000}"/>
    <cellStyle name="R04B" xfId="704" xr:uid="{00000000-0005-0000-0000-0000C0020000}"/>
    <cellStyle name="R04B 2" xfId="705" xr:uid="{00000000-0005-0000-0000-0000C1020000}"/>
    <cellStyle name="R04H" xfId="706" xr:uid="{00000000-0005-0000-0000-0000C2020000}"/>
    <cellStyle name="R04L" xfId="707" xr:uid="{00000000-0005-0000-0000-0000C3020000}"/>
    <cellStyle name="R05A" xfId="708" xr:uid="{00000000-0005-0000-0000-0000C4020000}"/>
    <cellStyle name="R05B" xfId="709" xr:uid="{00000000-0005-0000-0000-0000C5020000}"/>
    <cellStyle name="R05B 2" xfId="710" xr:uid="{00000000-0005-0000-0000-0000C6020000}"/>
    <cellStyle name="R05H" xfId="711" xr:uid="{00000000-0005-0000-0000-0000C7020000}"/>
    <cellStyle name="R05L" xfId="712" xr:uid="{00000000-0005-0000-0000-0000C8020000}"/>
    <cellStyle name="R05L 2" xfId="713" xr:uid="{00000000-0005-0000-0000-0000C9020000}"/>
    <cellStyle name="R06A" xfId="714" xr:uid="{00000000-0005-0000-0000-0000CA020000}"/>
    <cellStyle name="R06B" xfId="715" xr:uid="{00000000-0005-0000-0000-0000CB020000}"/>
    <cellStyle name="R06B 2" xfId="716" xr:uid="{00000000-0005-0000-0000-0000CC020000}"/>
    <cellStyle name="R06H" xfId="717" xr:uid="{00000000-0005-0000-0000-0000CD020000}"/>
    <cellStyle name="R06L" xfId="718" xr:uid="{00000000-0005-0000-0000-0000CE020000}"/>
    <cellStyle name="R07A" xfId="719" xr:uid="{00000000-0005-0000-0000-0000CF020000}"/>
    <cellStyle name="R07B" xfId="720" xr:uid="{00000000-0005-0000-0000-0000D0020000}"/>
    <cellStyle name="R07B 2" xfId="721" xr:uid="{00000000-0005-0000-0000-0000D1020000}"/>
    <cellStyle name="R07H" xfId="722" xr:uid="{00000000-0005-0000-0000-0000D2020000}"/>
    <cellStyle name="R07L" xfId="723" xr:uid="{00000000-0005-0000-0000-0000D3020000}"/>
    <cellStyle name="Title" xfId="724" builtinId="15" customBuiltin="1"/>
    <cellStyle name="Title 2" xfId="725" xr:uid="{00000000-0005-0000-0000-0000D5020000}"/>
    <cellStyle name="Title 2 2" xfId="726" xr:uid="{00000000-0005-0000-0000-0000D6020000}"/>
    <cellStyle name="Total" xfId="727" builtinId="25" customBuiltin="1"/>
    <cellStyle name="Total 2" xfId="728" xr:uid="{00000000-0005-0000-0000-0000D8020000}"/>
    <cellStyle name="Total 2 2" xfId="729" xr:uid="{00000000-0005-0000-0000-0000D9020000}"/>
    <cellStyle name="Total 3" xfId="730" xr:uid="{00000000-0005-0000-0000-0000DA020000}"/>
    <cellStyle name="Total 3 2" xfId="731" xr:uid="{00000000-0005-0000-0000-0000DB020000}"/>
    <cellStyle name="Warning Text" xfId="732" builtinId="11" customBuiltin="1"/>
    <cellStyle name="Warning Text 2" xfId="733" xr:uid="{00000000-0005-0000-0000-0000DD020000}"/>
    <cellStyle name="Warning Text 2 2" xfId="734" xr:uid="{00000000-0005-0000-0000-0000DE020000}"/>
  </cellStyles>
  <dxfs count="72"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48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28</xdr:row>
      <xdr:rowOff>114300</xdr:rowOff>
    </xdr:from>
    <xdr:to>
      <xdr:col>4</xdr:col>
      <xdr:colOff>495300</xdr:colOff>
      <xdr:row>29</xdr:row>
      <xdr:rowOff>152400</xdr:rowOff>
    </xdr:to>
    <xdr:sp macro="" textlink="">
      <xdr:nvSpPr>
        <xdr:cNvPr id="1557" name="Text Box 1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 txBox="1">
          <a:spLocks noChangeArrowheads="1"/>
        </xdr:cNvSpPr>
      </xdr:nvSpPr>
      <xdr:spPr bwMode="auto">
        <a:xfrm>
          <a:off x="3914775" y="54387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10741" name="Text Box 1">
          <a:extLst>
            <a:ext uri="{FF2B5EF4-FFF2-40B4-BE49-F238E27FC236}">
              <a16:creationId xmlns:a16="http://schemas.microsoft.com/office/drawing/2014/main" id="{00000000-0008-0000-0B00-0000F52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0978" name="Text Box 1">
          <a:extLst>
            <a:ext uri="{FF2B5EF4-FFF2-40B4-BE49-F238E27FC236}">
              <a16:creationId xmlns:a16="http://schemas.microsoft.com/office/drawing/2014/main" id="{00000000-0008-0000-0C00-0000F25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22004" name="Text Box 1">
          <a:extLst>
            <a:ext uri="{FF2B5EF4-FFF2-40B4-BE49-F238E27FC236}">
              <a16:creationId xmlns:a16="http://schemas.microsoft.com/office/drawing/2014/main" id="{00000000-0008-0000-0D00-0000F45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24050" name="Text Box 1">
          <a:extLst>
            <a:ext uri="{FF2B5EF4-FFF2-40B4-BE49-F238E27FC236}">
              <a16:creationId xmlns:a16="http://schemas.microsoft.com/office/drawing/2014/main" id="{00000000-0008-0000-0E00-0000F25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074" name="Text Box 1">
          <a:extLst>
            <a:ext uri="{FF2B5EF4-FFF2-40B4-BE49-F238E27FC236}">
              <a16:creationId xmlns:a16="http://schemas.microsoft.com/office/drawing/2014/main" id="{00000000-0008-0000-0F00-0000F26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7119" name="Text Box 1">
          <a:extLst>
            <a:ext uri="{FF2B5EF4-FFF2-40B4-BE49-F238E27FC236}">
              <a16:creationId xmlns:a16="http://schemas.microsoft.com/office/drawing/2014/main" id="{00000000-0008-0000-1000-0000EF6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8088" name="Text Box 1">
          <a:extLst>
            <a:ext uri="{FF2B5EF4-FFF2-40B4-BE49-F238E27FC236}">
              <a16:creationId xmlns:a16="http://schemas.microsoft.com/office/drawing/2014/main" id="{00000000-0008-0000-1100-0000B86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9109" name="Text Box 1">
          <a:extLst>
            <a:ext uri="{FF2B5EF4-FFF2-40B4-BE49-F238E27FC236}">
              <a16:creationId xmlns:a16="http://schemas.microsoft.com/office/drawing/2014/main" id="{00000000-0008-0000-1200-0000B57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0080" name="Text Box 1">
          <a:extLst>
            <a:ext uri="{FF2B5EF4-FFF2-40B4-BE49-F238E27FC236}">
              <a16:creationId xmlns:a16="http://schemas.microsoft.com/office/drawing/2014/main" id="{00000000-0008-0000-1300-0000807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1104" name="Text Box 1">
          <a:extLst>
            <a:ext uri="{FF2B5EF4-FFF2-40B4-BE49-F238E27FC236}">
              <a16:creationId xmlns:a16="http://schemas.microsoft.com/office/drawing/2014/main" id="{00000000-0008-0000-1400-0000807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2550" name="Text Box 1">
          <a:extLst>
            <a:ext uri="{FF2B5EF4-FFF2-40B4-BE49-F238E27FC236}">
              <a16:creationId xmlns:a16="http://schemas.microsoft.com/office/drawing/2014/main" id="{00000000-0008-0000-0300-0000F60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38147" name="Text Box 1">
          <a:extLst>
            <a:ext uri="{FF2B5EF4-FFF2-40B4-BE49-F238E27FC236}">
              <a16:creationId xmlns:a16="http://schemas.microsoft.com/office/drawing/2014/main" id="{00000000-0008-0000-1500-0000039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39171" name="Text Box 1">
          <a:extLst>
            <a:ext uri="{FF2B5EF4-FFF2-40B4-BE49-F238E27FC236}">
              <a16:creationId xmlns:a16="http://schemas.microsoft.com/office/drawing/2014/main" id="{00000000-0008-0000-1600-0000039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40195" name="Text Box 1">
          <a:extLst>
            <a:ext uri="{FF2B5EF4-FFF2-40B4-BE49-F238E27FC236}">
              <a16:creationId xmlns:a16="http://schemas.microsoft.com/office/drawing/2014/main" id="{00000000-0008-0000-1700-0000039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41219" name="Text Box 1">
          <a:extLst>
            <a:ext uri="{FF2B5EF4-FFF2-40B4-BE49-F238E27FC236}">
              <a16:creationId xmlns:a16="http://schemas.microsoft.com/office/drawing/2014/main" id="{00000000-0008-0000-1800-000003A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0</xdr:rowOff>
    </xdr:to>
    <xdr:sp macro="" textlink="">
      <xdr:nvSpPr>
        <xdr:cNvPr id="43102" name="Text Box 1">
          <a:extLst>
            <a:ext uri="{FF2B5EF4-FFF2-40B4-BE49-F238E27FC236}">
              <a16:creationId xmlns:a16="http://schemas.microsoft.com/office/drawing/2014/main" id="{00000000-0008-0000-1900-00005EA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0</xdr:rowOff>
    </xdr:to>
    <xdr:sp macro="" textlink="">
      <xdr:nvSpPr>
        <xdr:cNvPr id="44126" name="Text Box 1">
          <a:extLst>
            <a:ext uri="{FF2B5EF4-FFF2-40B4-BE49-F238E27FC236}">
              <a16:creationId xmlns:a16="http://schemas.microsoft.com/office/drawing/2014/main" id="{00000000-0008-0000-1A00-00005EA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48143" name="Text Box 1">
          <a:extLst>
            <a:ext uri="{FF2B5EF4-FFF2-40B4-BE49-F238E27FC236}">
              <a16:creationId xmlns:a16="http://schemas.microsoft.com/office/drawing/2014/main" id="{00000000-0008-0000-1B00-00000FBC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1</xdr:row>
      <xdr:rowOff>76200</xdr:rowOff>
    </xdr:to>
    <xdr:sp macro="" textlink="">
      <xdr:nvSpPr>
        <xdr:cNvPr id="49167" name="Text Box 1">
          <a:extLst>
            <a:ext uri="{FF2B5EF4-FFF2-40B4-BE49-F238E27FC236}">
              <a16:creationId xmlns:a16="http://schemas.microsoft.com/office/drawing/2014/main" id="{00000000-0008-0000-1C00-00000FC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50191" name="Text Box 1">
          <a:extLst>
            <a:ext uri="{FF2B5EF4-FFF2-40B4-BE49-F238E27FC236}">
              <a16:creationId xmlns:a16="http://schemas.microsoft.com/office/drawing/2014/main" id="{00000000-0008-0000-1D00-00000FC4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51215" name="Text Box 1">
          <a:extLst>
            <a:ext uri="{FF2B5EF4-FFF2-40B4-BE49-F238E27FC236}">
              <a16:creationId xmlns:a16="http://schemas.microsoft.com/office/drawing/2014/main" id="{00000000-0008-0000-1E00-00000FC8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3572" name="Text Box 1">
          <a:extLst>
            <a:ext uri="{FF2B5EF4-FFF2-40B4-BE49-F238E27FC236}">
              <a16:creationId xmlns:a16="http://schemas.microsoft.com/office/drawing/2014/main" id="{00000000-0008-0000-0400-0000F40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1</xdr:row>
      <xdr:rowOff>76200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2</xdr:row>
      <xdr:rowOff>15875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AF117FD-76E6-49EC-9EF2-8B5FC40C6226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3</xdr:row>
      <xdr:rowOff>15875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99CE5BC-D211-4ADF-B91D-8A549748BFC3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3</xdr:row>
      <xdr:rowOff>15875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5CA0CDC1-8A43-4F32-9FF5-BD0A38309929}"/>
            </a:ext>
          </a:extLst>
        </xdr:cNvPr>
        <xdr:cNvSpPr txBox="1">
          <a:spLocks noChangeArrowheads="1"/>
        </xdr:cNvSpPr>
      </xdr:nvSpPr>
      <xdr:spPr bwMode="auto">
        <a:xfrm>
          <a:off x="3917950" y="0"/>
          <a:ext cx="1143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183E4A05-7FE2-420F-AA7F-884E58E3AF5C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520700</xdr:colOff>
      <xdr:row>0</xdr:row>
      <xdr:rowOff>234950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775237B-B748-4EEA-BFD8-B884C2DB7248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74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7BF4B6B2-7875-40B0-8ADB-8431AF59480C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09329DD8-9C6D-4901-AF2D-8B3027DC9F4B}"/>
            </a:ext>
          </a:extLst>
        </xdr:cNvPr>
        <xdr:cNvSpPr txBox="1">
          <a:spLocks noChangeArrowheads="1"/>
        </xdr:cNvSpPr>
      </xdr:nvSpPr>
      <xdr:spPr bwMode="auto">
        <a:xfrm>
          <a:off x="4073525" y="0"/>
          <a:ext cx="114300" cy="23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523875</xdr:colOff>
      <xdr:row>0</xdr:row>
      <xdr:rowOff>238125</xdr:rowOff>
    </xdr:to>
    <xdr:sp macro="" textlink="">
      <xdr:nvSpPr>
        <xdr:cNvPr id="12787" name="Text Box 1">
          <a:extLst>
            <a:ext uri="{FF2B5EF4-FFF2-40B4-BE49-F238E27FC236}">
              <a16:creationId xmlns:a16="http://schemas.microsoft.com/office/drawing/2014/main" id="{00000000-0008-0000-2000-0000F33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1143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4596" name="Text Box 1">
          <a:extLst>
            <a:ext uri="{FF2B5EF4-FFF2-40B4-BE49-F238E27FC236}">
              <a16:creationId xmlns:a16="http://schemas.microsoft.com/office/drawing/2014/main" id="{00000000-0008-0000-0500-0000F41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5639" name="Text Box 1">
          <a:extLst>
            <a:ext uri="{FF2B5EF4-FFF2-40B4-BE49-F238E27FC236}">
              <a16:creationId xmlns:a16="http://schemas.microsoft.com/office/drawing/2014/main" id="{00000000-0008-0000-0600-00000716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6645" name="Text Box 1">
          <a:extLst>
            <a:ext uri="{FF2B5EF4-FFF2-40B4-BE49-F238E27FC236}">
              <a16:creationId xmlns:a16="http://schemas.microsoft.com/office/drawing/2014/main" id="{00000000-0008-0000-0700-0000F519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501650</xdr:colOff>
      <xdr:row>0</xdr:row>
      <xdr:rowOff>215900</xdr:rowOff>
    </xdr:to>
    <xdr:sp macro="" textlink="">
      <xdr:nvSpPr>
        <xdr:cNvPr id="7669" name="Text Box 1">
          <a:extLst>
            <a:ext uri="{FF2B5EF4-FFF2-40B4-BE49-F238E27FC236}">
              <a16:creationId xmlns:a16="http://schemas.microsoft.com/office/drawing/2014/main" id="{00000000-0008-0000-0800-0000F51D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8690" name="Text Box 1">
          <a:extLst>
            <a:ext uri="{FF2B5EF4-FFF2-40B4-BE49-F238E27FC236}">
              <a16:creationId xmlns:a16="http://schemas.microsoft.com/office/drawing/2014/main" id="{00000000-0008-0000-0900-0000F221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409575</xdr:colOff>
      <xdr:row>0</xdr:row>
      <xdr:rowOff>0</xdr:rowOff>
    </xdr:from>
    <xdr:to>
      <xdr:col>4</xdr:col>
      <xdr:colOff>504825</xdr:colOff>
      <xdr:row>0</xdr:row>
      <xdr:rowOff>219075</xdr:rowOff>
    </xdr:to>
    <xdr:sp macro="" textlink="">
      <xdr:nvSpPr>
        <xdr:cNvPr id="9716" name="Text Box 1">
          <a:extLst>
            <a:ext uri="{FF2B5EF4-FFF2-40B4-BE49-F238E27FC236}">
              <a16:creationId xmlns:a16="http://schemas.microsoft.com/office/drawing/2014/main" id="{00000000-0008-0000-0A00-0000F4250000}"/>
            </a:ext>
          </a:extLst>
        </xdr:cNvPr>
        <xdr:cNvSpPr txBox="1">
          <a:spLocks noChangeArrowheads="1"/>
        </xdr:cNvSpPr>
      </xdr:nvSpPr>
      <xdr:spPr bwMode="auto">
        <a:xfrm>
          <a:off x="3905250" y="0"/>
          <a:ext cx="95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00"/>
  <sheetViews>
    <sheetView tabSelected="1" zoomScale="70" zoomScaleNormal="70" zoomScaleSheetLayoutView="75" workbookViewId="0">
      <selection activeCell="Q18" sqref="Q18:V52"/>
    </sheetView>
  </sheetViews>
  <sheetFormatPr defaultColWidth="8.7265625" defaultRowHeight="12.75" customHeight="1"/>
  <cols>
    <col min="1" max="1" width="7.453125" style="148" customWidth="1"/>
    <col min="2" max="2" width="7" style="148" bestFit="1" customWidth="1"/>
    <col min="3" max="3" width="43.1796875" style="148" customWidth="1"/>
    <col min="4" max="4" width="9.54296875" style="148" customWidth="1"/>
    <col min="5" max="7" width="15.453125" style="148" bestFit="1" customWidth="1"/>
    <col min="8" max="8" width="2.81640625" style="148" customWidth="1"/>
    <col min="9" max="9" width="13.54296875" style="148" bestFit="1" customWidth="1"/>
    <col min="10" max="10" width="13.26953125" style="148" customWidth="1"/>
    <col min="11" max="11" width="14.81640625" style="148" customWidth="1"/>
    <col min="12" max="12" width="15.26953125" style="148" customWidth="1"/>
    <col min="13" max="13" width="2.453125" style="148" customWidth="1"/>
    <col min="14" max="14" width="6.1796875" style="148" customWidth="1"/>
    <col min="15" max="15" width="8.7265625" style="148" customWidth="1"/>
    <col min="16" max="16" width="10.7265625" style="148" customWidth="1"/>
    <col min="17" max="17" width="14.453125" style="699" customWidth="1"/>
    <col min="18" max="18" width="18.7265625" style="148" customWidth="1"/>
    <col min="19" max="19" width="2.453125" style="148" customWidth="1"/>
    <col min="20" max="20" width="19.1796875" style="148" bestFit="1" customWidth="1"/>
    <col min="21" max="21" width="11.81640625" style="214" bestFit="1" customWidth="1"/>
    <col min="22" max="22" width="13.81640625" style="148" customWidth="1"/>
    <col min="23" max="28" width="8.7265625" style="148"/>
    <col min="29" max="29" width="9.1796875" style="148" customWidth="1"/>
    <col min="30" max="16384" width="8.7265625" style="148"/>
  </cols>
  <sheetData>
    <row r="1" spans="1:23" ht="15.5">
      <c r="H1" s="149" t="s">
        <v>157</v>
      </c>
      <c r="U1" s="214">
        <v>2024</v>
      </c>
    </row>
    <row r="2" spans="1:23" ht="15.5">
      <c r="H2" s="150" t="s">
        <v>189</v>
      </c>
      <c r="U2" s="214">
        <f>+U1+1</f>
        <v>2025</v>
      </c>
    </row>
    <row r="3" spans="1:23" ht="15.5">
      <c r="H3" s="151" t="str">
        <f>"For Calendar Year "&amp;U1&amp;" and Projected Year "&amp;U1</f>
        <v>For Calendar Year 2024 and Projected Year 2024</v>
      </c>
    </row>
    <row r="4" spans="1:23" ht="15.5">
      <c r="H4" s="152"/>
    </row>
    <row r="5" spans="1:23" ht="15.5">
      <c r="H5" s="153" t="s">
        <v>158</v>
      </c>
    </row>
    <row r="7" spans="1:23" ht="18">
      <c r="C7" s="154"/>
      <c r="E7" s="154"/>
      <c r="F7" s="154"/>
      <c r="G7" s="154"/>
      <c r="H7" s="154" t="s">
        <v>124</v>
      </c>
      <c r="I7" s="154"/>
      <c r="J7" s="154"/>
      <c r="K7" s="154"/>
      <c r="L7" s="154"/>
    </row>
    <row r="8" spans="1:23" ht="12.5">
      <c r="D8" s="155"/>
    </row>
    <row r="9" spans="1:23" ht="12.5">
      <c r="A9" s="148" t="s">
        <v>257</v>
      </c>
    </row>
    <row r="12" spans="1:23" ht="22.5" customHeight="1">
      <c r="A12" s="156" t="s">
        <v>159</v>
      </c>
      <c r="B12" s="156" t="s">
        <v>160</v>
      </c>
      <c r="C12" s="157" t="s">
        <v>161</v>
      </c>
      <c r="D12" s="156" t="s">
        <v>162</v>
      </c>
      <c r="E12" s="156" t="s">
        <v>163</v>
      </c>
      <c r="F12" s="156" t="s">
        <v>164</v>
      </c>
      <c r="G12" s="156" t="str">
        <f>"(G) = "&amp;E12&amp;" + "&amp;F12</f>
        <v>(G) = (E) + (F)</v>
      </c>
      <c r="H12" s="156"/>
      <c r="I12" s="156" t="s">
        <v>165</v>
      </c>
      <c r="J12" s="156" t="s">
        <v>166</v>
      </c>
      <c r="K12" s="158" t="s">
        <v>197</v>
      </c>
      <c r="L12" s="156" t="str">
        <f>"(K) = "&amp;J12&amp;" - "&amp;K12</f>
        <v>(K) = (I) - (J)</v>
      </c>
      <c r="M12" s="156"/>
      <c r="N12" s="156" t="s">
        <v>198</v>
      </c>
      <c r="O12" s="156" t="s">
        <v>167</v>
      </c>
      <c r="P12" s="156" t="str">
        <f>"(N) = "&amp;N12&amp;"-"&amp;O12</f>
        <v>(N) = (L)-(M)</v>
      </c>
      <c r="Q12" s="700" t="s">
        <v>199</v>
      </c>
      <c r="R12" s="156" t="str">
        <f>"(P) = "&amp;I12&amp;"+"&amp;LEFT(L12,3)&amp;"+"&amp;LEFT(P12,3)&amp;"+"&amp;Q12</f>
        <v>(P) = (H)+(K)+(N)+(O)</v>
      </c>
      <c r="S12" s="156"/>
      <c r="T12" s="156" t="str">
        <f>"(Q) = "&amp;LEFT(G12,3)&amp;" + "&amp;LEFT(R12,3)</f>
        <v>(Q) = (G) + (P)</v>
      </c>
      <c r="U12" s="707"/>
      <c r="V12" s="159"/>
      <c r="W12" s="159"/>
    </row>
    <row r="13" spans="1:23" ht="16.5" customHeight="1">
      <c r="A13" s="160"/>
      <c r="B13" s="160"/>
      <c r="C13" s="160"/>
      <c r="D13" s="160"/>
      <c r="E13" s="723" t="str">
        <f>"Projected ARR For "&amp;U2&amp;" From WS-F"</f>
        <v>Projected ARR For 2025 From WS-F</v>
      </c>
      <c r="F13" s="723"/>
      <c r="G13" s="723"/>
      <c r="H13" s="160"/>
      <c r="I13" s="161" t="s">
        <v>360</v>
      </c>
      <c r="J13" s="161"/>
      <c r="K13" s="161"/>
      <c r="L13" s="161"/>
      <c r="M13" s="161"/>
      <c r="N13" s="161"/>
      <c r="O13" s="161"/>
      <c r="P13" s="161"/>
      <c r="Q13" s="701"/>
      <c r="R13" s="162"/>
      <c r="S13" s="160"/>
      <c r="T13" s="160"/>
      <c r="U13" s="708"/>
    </row>
    <row r="14" spans="1:23" ht="18" customHeight="1">
      <c r="I14" s="163"/>
      <c r="T14" s="724" t="str">
        <f>"Total ADJUSTED Revenue Requirement Effective
1/1/"&amp;U2&amp;""</f>
        <v>Total ADJUSTED Revenue Requirement Effective
1/1/2025</v>
      </c>
    </row>
    <row r="15" spans="1:23" ht="18" customHeight="1" thickBot="1">
      <c r="D15" s="160"/>
      <c r="E15" s="164"/>
      <c r="F15" s="164"/>
      <c r="G15" s="164"/>
      <c r="I15" s="161" t="s">
        <v>168</v>
      </c>
      <c r="J15" s="165"/>
      <c r="K15" s="165"/>
      <c r="L15" s="165"/>
      <c r="M15" s="166"/>
      <c r="N15" s="161" t="s">
        <v>196</v>
      </c>
      <c r="O15" s="167"/>
      <c r="P15" s="167"/>
      <c r="Q15" s="702"/>
      <c r="T15" s="724"/>
    </row>
    <row r="16" spans="1:23" ht="69" customHeight="1">
      <c r="A16" s="168" t="s">
        <v>179</v>
      </c>
      <c r="B16" s="169" t="s">
        <v>169</v>
      </c>
      <c r="C16" s="169" t="s">
        <v>131</v>
      </c>
      <c r="D16" s="170" t="s">
        <v>170</v>
      </c>
      <c r="E16" s="171" t="s">
        <v>194</v>
      </c>
      <c r="F16" s="172" t="s">
        <v>171</v>
      </c>
      <c r="G16" s="172" t="s">
        <v>172</v>
      </c>
      <c r="I16" s="173" t="s">
        <v>193</v>
      </c>
      <c r="J16" s="173" t="s">
        <v>223</v>
      </c>
      <c r="K16" s="173" t="s">
        <v>213</v>
      </c>
      <c r="L16" s="173" t="s">
        <v>195</v>
      </c>
      <c r="M16" s="173"/>
      <c r="N16" s="174" t="s">
        <v>173</v>
      </c>
      <c r="O16" s="174" t="s">
        <v>174</v>
      </c>
      <c r="P16" s="175" t="s">
        <v>175</v>
      </c>
      <c r="Q16" s="703" t="s">
        <v>176</v>
      </c>
      <c r="R16" s="171" t="s">
        <v>220</v>
      </c>
      <c r="T16" s="724"/>
      <c r="U16" s="709" t="s">
        <v>386</v>
      </c>
      <c r="V16" s="176" t="s">
        <v>200</v>
      </c>
    </row>
    <row r="17" spans="1:23" ht="13">
      <c r="B17" s="160"/>
      <c r="C17" s="160"/>
      <c r="E17" s="177"/>
      <c r="F17" s="177"/>
      <c r="G17" s="177"/>
      <c r="I17" s="177"/>
      <c r="J17" s="177"/>
      <c r="K17" s="177"/>
      <c r="L17" s="177"/>
      <c r="M17" s="177"/>
      <c r="N17" s="177"/>
      <c r="O17" s="177"/>
      <c r="P17" s="177"/>
      <c r="Q17" s="713"/>
      <c r="R17" s="177"/>
      <c r="T17" s="177"/>
      <c r="V17" s="178"/>
    </row>
    <row r="18" spans="1:23" ht="13">
      <c r="A18" s="156" t="s">
        <v>178</v>
      </c>
      <c r="B18" s="156" t="s">
        <v>117</v>
      </c>
      <c r="C18" s="179" t="str">
        <f t="shared" ref="C18:D52" ca="1" si="0">INDIRECT("'"&amp; $A18 &amp; "'!" &amp;C$61)</f>
        <v>Riverside-Glenpool (81-523) Reconductor</v>
      </c>
      <c r="D18" s="180">
        <f t="shared" ca="1" si="0"/>
        <v>2009</v>
      </c>
      <c r="E18" s="181">
        <v>0</v>
      </c>
      <c r="F18" s="182">
        <f t="shared" ref="F18:F45" ca="1" si="1">INDIRECT("'"&amp; $A18 &amp; "'!" &amp;F$61)</f>
        <v>0</v>
      </c>
      <c r="G18" s="182">
        <f t="shared" ref="G18:G27" ca="1" si="2">+E18+F18</f>
        <v>0</v>
      </c>
      <c r="H18" s="183"/>
      <c r="I18" s="184">
        <f t="shared" ref="I18:I52" ca="1" si="3">INDIRECT("'"&amp; $A18 &amp; "'!" &amp;I$61)</f>
        <v>8456.8804758506303</v>
      </c>
      <c r="J18" s="696">
        <v>89462.66372975886</v>
      </c>
      <c r="K18" s="185">
        <f t="shared" ref="K18:K45" si="4">J18/J$54*K$54</f>
        <v>97479.325058356844</v>
      </c>
      <c r="L18" s="181">
        <f t="shared" ref="L18:L27" si="5">+J18-K18</f>
        <v>-8016.6613285979838</v>
      </c>
      <c r="M18" s="181"/>
      <c r="N18" s="182">
        <v>0</v>
      </c>
      <c r="O18" s="182">
        <v>0</v>
      </c>
      <c r="P18" s="182">
        <f t="shared" ref="P18:P26" si="6">+N18-O18</f>
        <v>0</v>
      </c>
      <c r="Q18" s="714">
        <f t="shared" ref="Q18:Q43" ca="1" si="7">+V18/$V$54 * $Q$54</f>
        <v>960.15264809911037</v>
      </c>
      <c r="R18" s="186">
        <f t="shared" ref="R18:R27" ca="1" si="8">I18+L18+P18+Q18</f>
        <v>1400.3717953517569</v>
      </c>
      <c r="S18" s="186"/>
      <c r="T18" s="187">
        <f t="shared" ref="T18:T27" ca="1" si="9">+G18+R18</f>
        <v>1400.3717953517569</v>
      </c>
      <c r="U18" s="721">
        <v>0</v>
      </c>
      <c r="V18" s="188">
        <f t="shared" ref="V18:V27" ca="1" si="10">+I18+L18+P18</f>
        <v>440.21914725264651</v>
      </c>
      <c r="W18" s="159" t="str">
        <f>A18</f>
        <v>P.001</v>
      </c>
    </row>
    <row r="19" spans="1:23" ht="13">
      <c r="A19" s="156" t="s">
        <v>180</v>
      </c>
      <c r="B19" s="156" t="s">
        <v>117</v>
      </c>
      <c r="C19" s="179" t="str">
        <f t="shared" ca="1" si="0"/>
        <v>Craig Jct. to Broken Bow Dam 138 Rebuild (7.7mi)</v>
      </c>
      <c r="D19" s="180">
        <f t="shared" ca="1" si="0"/>
        <v>2009</v>
      </c>
      <c r="E19" s="181">
        <v>0</v>
      </c>
      <c r="F19" s="182">
        <f t="shared" ca="1" si="1"/>
        <v>0</v>
      </c>
      <c r="G19" s="182">
        <f t="shared" ca="1" si="2"/>
        <v>0</v>
      </c>
      <c r="H19" s="183"/>
      <c r="I19" s="184">
        <f t="shared" ca="1" si="3"/>
        <v>48834.357474322722</v>
      </c>
      <c r="J19" s="696">
        <v>468824.64618251205</v>
      </c>
      <c r="K19" s="185">
        <f t="shared" si="4"/>
        <v>510835.56173380901</v>
      </c>
      <c r="L19" s="181">
        <f t="shared" si="5"/>
        <v>-42010.915551296959</v>
      </c>
      <c r="M19" s="181"/>
      <c r="N19" s="182">
        <v>0</v>
      </c>
      <c r="O19" s="182">
        <v>0</v>
      </c>
      <c r="P19" s="182">
        <f t="shared" si="6"/>
        <v>0</v>
      </c>
      <c r="Q19" s="714">
        <f t="shared" ca="1" si="7"/>
        <v>14882.464500763001</v>
      </c>
      <c r="R19" s="186">
        <f t="shared" ca="1" si="8"/>
        <v>21705.906423788765</v>
      </c>
      <c r="S19" s="186"/>
      <c r="T19" s="189">
        <f t="shared" ca="1" si="9"/>
        <v>21705.906423788765</v>
      </c>
      <c r="U19" s="721">
        <v>0</v>
      </c>
      <c r="V19" s="188">
        <f t="shared" ca="1" si="10"/>
        <v>6823.4419230257627</v>
      </c>
      <c r="W19" s="159" t="str">
        <f t="shared" ref="W19:W25" si="11">A19</f>
        <v>P.002</v>
      </c>
    </row>
    <row r="20" spans="1:23" ht="25">
      <c r="A20" s="156" t="s">
        <v>181</v>
      </c>
      <c r="B20" s="156" t="s">
        <v>117</v>
      </c>
      <c r="C20" s="190" t="str">
        <f t="shared" ca="1" si="0"/>
        <v>WFEC New 138 kV Ties: Sayre to Erick (WFEC) Line &amp; Atoka and Tupelo station work</v>
      </c>
      <c r="D20" s="180">
        <f t="shared" ca="1" si="0"/>
        <v>2009</v>
      </c>
      <c r="E20" s="181">
        <v>0</v>
      </c>
      <c r="F20" s="182">
        <f t="shared" ca="1" si="1"/>
        <v>0</v>
      </c>
      <c r="G20" s="182">
        <f t="shared" ca="1" si="2"/>
        <v>0</v>
      </c>
      <c r="H20" s="183"/>
      <c r="I20" s="184">
        <f t="shared" ca="1" si="3"/>
        <v>114588.14052377664</v>
      </c>
      <c r="J20" s="696">
        <v>1148317.4014260659</v>
      </c>
      <c r="K20" s="185">
        <f t="shared" si="4"/>
        <v>1251216.9946326371</v>
      </c>
      <c r="L20" s="181">
        <f t="shared" si="5"/>
        <v>-102899.59320657118</v>
      </c>
      <c r="M20" s="181"/>
      <c r="N20" s="182">
        <v>0</v>
      </c>
      <c r="O20" s="182">
        <v>0</v>
      </c>
      <c r="P20" s="182">
        <f t="shared" si="6"/>
        <v>0</v>
      </c>
      <c r="Q20" s="714">
        <f t="shared" ca="1" si="7"/>
        <v>25493.642721100674</v>
      </c>
      <c r="R20" s="186">
        <f t="shared" ca="1" si="8"/>
        <v>37182.190038306137</v>
      </c>
      <c r="S20" s="186"/>
      <c r="T20" s="189">
        <f t="shared" ca="1" si="9"/>
        <v>37182.190038306137</v>
      </c>
      <c r="U20" s="721">
        <v>0</v>
      </c>
      <c r="V20" s="188">
        <f t="shared" ca="1" si="10"/>
        <v>11688.547317205463</v>
      </c>
      <c r="W20" s="159" t="str">
        <f t="shared" si="11"/>
        <v>P.003</v>
      </c>
    </row>
    <row r="21" spans="1:23" ht="25">
      <c r="A21" s="156" t="s">
        <v>182</v>
      </c>
      <c r="B21" s="156" t="s">
        <v>117</v>
      </c>
      <c r="C21" s="190" t="str">
        <f t="shared" ca="1" si="0"/>
        <v>Cache-Snyder to Altus Jct. 138 kV line (w/2 ring bus stations)</v>
      </c>
      <c r="D21" s="180">
        <f t="shared" ca="1" si="0"/>
        <v>2008</v>
      </c>
      <c r="E21" s="181">
        <v>0</v>
      </c>
      <c r="F21" s="182">
        <f t="shared" ca="1" si="1"/>
        <v>0</v>
      </c>
      <c r="G21" s="182">
        <f t="shared" ca="1" si="2"/>
        <v>0</v>
      </c>
      <c r="H21" s="183"/>
      <c r="I21" s="184">
        <f t="shared" ca="1" si="3"/>
        <v>130061.14016775577</v>
      </c>
      <c r="J21" s="696">
        <v>1420660.7582774439</v>
      </c>
      <c r="K21" s="185">
        <f t="shared" si="4"/>
        <v>1547964.7718974971</v>
      </c>
      <c r="L21" s="181">
        <f t="shared" si="5"/>
        <v>-127304.01362005319</v>
      </c>
      <c r="M21" s="181"/>
      <c r="N21" s="182">
        <v>0</v>
      </c>
      <c r="O21" s="182">
        <v>0</v>
      </c>
      <c r="P21" s="182">
        <f t="shared" si="6"/>
        <v>0</v>
      </c>
      <c r="Q21" s="714">
        <f t="shared" ca="1" si="7"/>
        <v>6013.5102537957218</v>
      </c>
      <c r="R21" s="186">
        <f t="shared" ca="1" si="8"/>
        <v>8770.6368014983091</v>
      </c>
      <c r="S21" s="186"/>
      <c r="T21" s="189">
        <f t="shared" ca="1" si="9"/>
        <v>8770.6368014983091</v>
      </c>
      <c r="U21" s="721">
        <v>0</v>
      </c>
      <c r="V21" s="188">
        <f t="shared" ca="1" si="10"/>
        <v>2757.1265477025881</v>
      </c>
      <c r="W21" s="159" t="str">
        <f t="shared" si="11"/>
        <v>P.004</v>
      </c>
    </row>
    <row r="22" spans="1:23" ht="13">
      <c r="A22" s="158" t="s">
        <v>183</v>
      </c>
      <c r="B22" s="156" t="s">
        <v>117</v>
      </c>
      <c r="C22" s="190" t="str">
        <f t="shared" ca="1" si="0"/>
        <v>Catoosa 138 kV Device (Cap. Bank)</v>
      </c>
      <c r="D22" s="180">
        <f t="shared" ca="1" si="0"/>
        <v>2006</v>
      </c>
      <c r="E22" s="181">
        <v>0</v>
      </c>
      <c r="F22" s="182">
        <f t="shared" ca="1" si="1"/>
        <v>0</v>
      </c>
      <c r="G22" s="182">
        <f t="shared" ca="1" si="2"/>
        <v>0</v>
      </c>
      <c r="H22" s="183"/>
      <c r="I22" s="184">
        <f t="shared" ca="1" si="3"/>
        <v>3557.5476424866283</v>
      </c>
      <c r="J22" s="696">
        <v>36405.294117035723</v>
      </c>
      <c r="K22" s="185">
        <f t="shared" si="4"/>
        <v>39667.536725705053</v>
      </c>
      <c r="L22" s="181">
        <f t="shared" si="5"/>
        <v>-3262.2426086693304</v>
      </c>
      <c r="M22" s="181"/>
      <c r="N22" s="182">
        <v>0</v>
      </c>
      <c r="O22" s="182">
        <v>0</v>
      </c>
      <c r="P22" s="182">
        <f t="shared" si="6"/>
        <v>0</v>
      </c>
      <c r="Q22" s="714">
        <f t="shared" ca="1" si="7"/>
        <v>644.08354790154215</v>
      </c>
      <c r="R22" s="186">
        <f t="shared" ca="1" si="8"/>
        <v>939.3885817188401</v>
      </c>
      <c r="S22" s="186"/>
      <c r="T22" s="189">
        <f t="shared" ca="1" si="9"/>
        <v>939.3885817188401</v>
      </c>
      <c r="U22" s="721">
        <v>0</v>
      </c>
      <c r="V22" s="188">
        <f t="shared" ca="1" si="10"/>
        <v>295.30503381729795</v>
      </c>
      <c r="W22" s="159" t="str">
        <f t="shared" si="11"/>
        <v>P.005</v>
      </c>
    </row>
    <row r="23" spans="1:23" ht="13">
      <c r="A23" s="156" t="s">
        <v>184</v>
      </c>
      <c r="B23" s="156" t="s">
        <v>117</v>
      </c>
      <c r="C23" s="190" t="str">
        <f t="shared" ca="1" si="0"/>
        <v>Pryor Junction 138/69 Upgrade Transf</v>
      </c>
      <c r="D23" s="180">
        <f t="shared" ca="1" si="0"/>
        <v>2008</v>
      </c>
      <c r="E23" s="181">
        <v>0</v>
      </c>
      <c r="F23" s="182">
        <f t="shared" ca="1" si="1"/>
        <v>0</v>
      </c>
      <c r="G23" s="182">
        <f t="shared" ca="1" si="2"/>
        <v>0</v>
      </c>
      <c r="H23" s="183"/>
      <c r="I23" s="184">
        <f t="shared" ca="1" si="3"/>
        <v>14589.853555077774</v>
      </c>
      <c r="J23" s="696">
        <v>148666.60848890175</v>
      </c>
      <c r="K23" s="185">
        <f t="shared" si="4"/>
        <v>161988.47709239999</v>
      </c>
      <c r="L23" s="181">
        <f t="shared" si="5"/>
        <v>-13321.868603498238</v>
      </c>
      <c r="M23" s="181"/>
      <c r="N23" s="182">
        <v>0</v>
      </c>
      <c r="O23" s="182">
        <v>0</v>
      </c>
      <c r="P23" s="182">
        <f t="shared" si="6"/>
        <v>0</v>
      </c>
      <c r="Q23" s="714">
        <f t="shared" ca="1" si="7"/>
        <v>2765.5750927848685</v>
      </c>
      <c r="R23" s="186">
        <f t="shared" ca="1" si="8"/>
        <v>4033.5600443644043</v>
      </c>
      <c r="S23" s="186"/>
      <c r="T23" s="189">
        <f t="shared" ca="1" si="9"/>
        <v>4033.5600443644043</v>
      </c>
      <c r="U23" s="721">
        <v>0</v>
      </c>
      <c r="V23" s="188">
        <f t="shared" ca="1" si="10"/>
        <v>1267.9849515795358</v>
      </c>
      <c r="W23" s="159" t="str">
        <f t="shared" si="11"/>
        <v>P.006</v>
      </c>
    </row>
    <row r="24" spans="1:23" ht="13">
      <c r="A24" s="156" t="s">
        <v>185</v>
      </c>
      <c r="B24" s="156" t="s">
        <v>117</v>
      </c>
      <c r="C24" s="190" t="str">
        <f t="shared" ca="1" si="0"/>
        <v>Elk City - Elk City 69 kV line (CT Upgrades)*</v>
      </c>
      <c r="D24" s="180">
        <f t="shared" ca="1" si="0"/>
        <v>2007</v>
      </c>
      <c r="E24" s="181">
        <v>0</v>
      </c>
      <c r="F24" s="182">
        <f t="shared" ca="1" si="1"/>
        <v>0</v>
      </c>
      <c r="G24" s="182">
        <f t="shared" ca="1" si="2"/>
        <v>0</v>
      </c>
      <c r="H24" s="183"/>
      <c r="I24" s="184">
        <f t="shared" ca="1" si="3"/>
        <v>781.9456033299939</v>
      </c>
      <c r="J24" s="696">
        <v>8195.757211601207</v>
      </c>
      <c r="K24" s="185">
        <f t="shared" si="4"/>
        <v>8930.170956482425</v>
      </c>
      <c r="L24" s="181">
        <f t="shared" si="5"/>
        <v>-734.41374488121801</v>
      </c>
      <c r="M24" s="181"/>
      <c r="N24" s="182">
        <v>0</v>
      </c>
      <c r="O24" s="182">
        <v>0</v>
      </c>
      <c r="P24" s="182">
        <f t="shared" si="6"/>
        <v>0</v>
      </c>
      <c r="Q24" s="714">
        <f t="shared" ca="1" si="7"/>
        <v>103.67072864386836</v>
      </c>
      <c r="R24" s="186">
        <f t="shared" ca="1" si="8"/>
        <v>151.20258709264425</v>
      </c>
      <c r="S24" s="191" t="s">
        <v>224</v>
      </c>
      <c r="T24" s="189">
        <f t="shared" ca="1" si="9"/>
        <v>151.20258709264425</v>
      </c>
      <c r="U24" s="721">
        <v>0</v>
      </c>
      <c r="V24" s="188">
        <f t="shared" ca="1" si="10"/>
        <v>47.531858448775893</v>
      </c>
      <c r="W24" s="159" t="str">
        <f t="shared" si="11"/>
        <v>P.007</v>
      </c>
    </row>
    <row r="25" spans="1:23" ht="25">
      <c r="A25" s="156" t="s">
        <v>186</v>
      </c>
      <c r="B25" s="156" t="s">
        <v>117</v>
      </c>
      <c r="C25" s="190" t="str">
        <f t="shared" ca="1" si="0"/>
        <v>Weleetka &amp; Okmulgee Wavetrap replacement 81-805*</v>
      </c>
      <c r="D25" s="180">
        <f t="shared" ca="1" si="0"/>
        <v>2006</v>
      </c>
      <c r="E25" s="181">
        <v>0</v>
      </c>
      <c r="F25" s="182">
        <f t="shared" ca="1" si="1"/>
        <v>0</v>
      </c>
      <c r="G25" s="182">
        <f t="shared" ca="1" si="2"/>
        <v>0</v>
      </c>
      <c r="H25" s="183"/>
      <c r="I25" s="184">
        <f t="shared" ca="1" si="3"/>
        <v>587.26247774677176</v>
      </c>
      <c r="J25" s="696">
        <v>5339.7022057709664</v>
      </c>
      <c r="K25" s="185">
        <f t="shared" si="4"/>
        <v>5818.1876699254863</v>
      </c>
      <c r="L25" s="181">
        <f t="shared" si="5"/>
        <v>-478.48546415451983</v>
      </c>
      <c r="M25" s="181"/>
      <c r="N25" s="182">
        <v>0</v>
      </c>
      <c r="O25" s="182">
        <v>0</v>
      </c>
      <c r="P25" s="182">
        <f t="shared" si="6"/>
        <v>0</v>
      </c>
      <c r="Q25" s="714">
        <f t="shared" ca="1" si="7"/>
        <v>237.25123794529756</v>
      </c>
      <c r="R25" s="186">
        <f t="shared" ca="1" si="8"/>
        <v>346.02825153754952</v>
      </c>
      <c r="S25" s="191" t="s">
        <v>224</v>
      </c>
      <c r="T25" s="189">
        <f t="shared" ca="1" si="9"/>
        <v>346.02825153754952</v>
      </c>
      <c r="U25" s="721">
        <v>0</v>
      </c>
      <c r="V25" s="188">
        <f ca="1">+I25+L25+P25</f>
        <v>108.77701359225193</v>
      </c>
      <c r="W25" s="159" t="str">
        <f t="shared" si="11"/>
        <v>P.008</v>
      </c>
    </row>
    <row r="26" spans="1:23" ht="13">
      <c r="A26" s="156" t="s">
        <v>187</v>
      </c>
      <c r="B26" s="156" t="s">
        <v>117</v>
      </c>
      <c r="C26" s="190" t="str">
        <f t="shared" ca="1" si="0"/>
        <v>Tulsa Southeast Upgrade (repl switches)*</v>
      </c>
      <c r="D26" s="180">
        <f t="shared" ca="1" si="0"/>
        <v>2007</v>
      </c>
      <c r="E26" s="181">
        <v>0</v>
      </c>
      <c r="F26" s="182">
        <f t="shared" ca="1" si="1"/>
        <v>0</v>
      </c>
      <c r="G26" s="182">
        <f t="shared" ca="1" si="2"/>
        <v>0</v>
      </c>
      <c r="H26" s="183"/>
      <c r="I26" s="184">
        <f t="shared" ca="1" si="3"/>
        <v>774.75914990022738</v>
      </c>
      <c r="J26" s="696">
        <v>7049.8642720221578</v>
      </c>
      <c r="K26" s="185">
        <f t="shared" si="4"/>
        <v>7681.5956773389553</v>
      </c>
      <c r="L26" s="181">
        <f t="shared" si="5"/>
        <v>-631.73140531679746</v>
      </c>
      <c r="M26" s="181"/>
      <c r="N26" s="182">
        <v>0</v>
      </c>
      <c r="O26" s="182">
        <v>0</v>
      </c>
      <c r="P26" s="182">
        <f t="shared" si="6"/>
        <v>0</v>
      </c>
      <c r="Q26" s="714">
        <f t="shared" ca="1" si="7"/>
        <v>311.95478109135757</v>
      </c>
      <c r="R26" s="186">
        <f t="shared" ca="1" si="8"/>
        <v>454.9825256747875</v>
      </c>
      <c r="S26" s="191" t="s">
        <v>224</v>
      </c>
      <c r="T26" s="189">
        <f t="shared" ca="1" si="9"/>
        <v>454.9825256747875</v>
      </c>
      <c r="U26" s="721">
        <v>0</v>
      </c>
      <c r="V26" s="188">
        <f t="shared" ca="1" si="10"/>
        <v>143.02774458342992</v>
      </c>
      <c r="W26" s="159" t="str">
        <f t="shared" ref="W26:W31" si="12">A26</f>
        <v>P.009</v>
      </c>
    </row>
    <row r="27" spans="1:23" ht="13">
      <c r="A27" s="156" t="s">
        <v>222</v>
      </c>
      <c r="B27" s="156" t="s">
        <v>117</v>
      </c>
      <c r="C27" s="192" t="str">
        <f t="shared" ca="1" si="0"/>
        <v>Wavetrap Clinton City-Foss Tap 69kV Ckt 1*</v>
      </c>
      <c r="D27" s="180">
        <f t="shared" ca="1" si="0"/>
        <v>2010</v>
      </c>
      <c r="E27" s="181">
        <v>0</v>
      </c>
      <c r="F27" s="182">
        <f t="shared" ca="1" si="1"/>
        <v>0</v>
      </c>
      <c r="G27" s="182">
        <f t="shared" ca="1" si="2"/>
        <v>0</v>
      </c>
      <c r="H27" s="183"/>
      <c r="I27" s="184">
        <f t="shared" ca="1" si="3"/>
        <v>1024.5102687936742</v>
      </c>
      <c r="J27" s="696">
        <v>9867.7882600246721</v>
      </c>
      <c r="K27" s="185">
        <f t="shared" si="4"/>
        <v>10752.031063054681</v>
      </c>
      <c r="L27" s="181">
        <f t="shared" si="5"/>
        <v>-884.24280303000887</v>
      </c>
      <c r="M27" s="181"/>
      <c r="N27" s="182">
        <v>0</v>
      </c>
      <c r="O27" s="182">
        <v>0</v>
      </c>
      <c r="P27" s="182">
        <f t="shared" ref="P27:P33" si="13">+N27-O27</f>
        <v>0</v>
      </c>
      <c r="Q27" s="714">
        <f t="shared" ca="1" si="7"/>
        <v>305.93439548380502</v>
      </c>
      <c r="R27" s="186">
        <f t="shared" ca="1" si="8"/>
        <v>446.20186124747033</v>
      </c>
      <c r="S27" s="186"/>
      <c r="T27" s="189">
        <f t="shared" ca="1" si="9"/>
        <v>446.20186124747033</v>
      </c>
      <c r="U27" s="721">
        <v>0</v>
      </c>
      <c r="V27" s="188">
        <f t="shared" ca="1" si="10"/>
        <v>140.26746576366531</v>
      </c>
      <c r="W27" s="159" t="str">
        <f t="shared" si="12"/>
        <v>P.010</v>
      </c>
    </row>
    <row r="28" spans="1:23" ht="13">
      <c r="A28" s="158" t="s">
        <v>230</v>
      </c>
      <c r="B28" s="156" t="s">
        <v>117</v>
      </c>
      <c r="C28" s="192" t="str">
        <f t="shared" ca="1" si="0"/>
        <v>Bartlesville SE to Coffeyville T Rebuild</v>
      </c>
      <c r="D28" s="180">
        <f t="shared" ca="1" si="0"/>
        <v>2011</v>
      </c>
      <c r="E28" s="181">
        <v>0</v>
      </c>
      <c r="F28" s="182">
        <f t="shared" ca="1" si="1"/>
        <v>0</v>
      </c>
      <c r="G28" s="182">
        <f t="shared" ref="G28:G33" ca="1" si="14">+E28+F28</f>
        <v>0</v>
      </c>
      <c r="H28" s="183"/>
      <c r="I28" s="184">
        <f t="shared" ca="1" si="3"/>
        <v>14542.716447920189</v>
      </c>
      <c r="J28" s="696">
        <v>159718.57699056924</v>
      </c>
      <c r="K28" s="185">
        <f t="shared" si="4"/>
        <v>174030.80162415211</v>
      </c>
      <c r="L28" s="181">
        <f t="shared" ref="L28:L33" si="15">+J28-K28</f>
        <v>-14312.224633582868</v>
      </c>
      <c r="M28" s="181"/>
      <c r="N28" s="182">
        <v>0</v>
      </c>
      <c r="O28" s="182">
        <v>0</v>
      </c>
      <c r="P28" s="182">
        <f t="shared" si="13"/>
        <v>0</v>
      </c>
      <c r="Q28" s="714">
        <f t="shared" ca="1" si="7"/>
        <v>502.72080912949735</v>
      </c>
      <c r="R28" s="186">
        <f t="shared" ref="R28:R33" ca="1" si="16">I28+L28+P28+Q28</f>
        <v>733.21262346681897</v>
      </c>
      <c r="S28" s="186"/>
      <c r="T28" s="189">
        <f t="shared" ref="T28:T33" ca="1" si="17">+G28+R28</f>
        <v>733.21262346681897</v>
      </c>
      <c r="U28" s="721">
        <v>0</v>
      </c>
      <c r="V28" s="188">
        <f t="shared" ref="V28:V33" ca="1" si="18">+I28+L28+P28</f>
        <v>230.49181433732156</v>
      </c>
      <c r="W28" s="159" t="str">
        <f t="shared" si="12"/>
        <v>P.011</v>
      </c>
    </row>
    <row r="29" spans="1:23" ht="25">
      <c r="A29" s="158" t="s">
        <v>235</v>
      </c>
      <c r="B29" s="156" t="s">
        <v>117</v>
      </c>
      <c r="C29" s="192" t="str">
        <f t="shared" ca="1" si="0"/>
        <v>Canadian River - McAlester City 138 kV Line Conversion</v>
      </c>
      <c r="D29" s="180">
        <f t="shared" ca="1" si="0"/>
        <v>2012</v>
      </c>
      <c r="E29" s="181">
        <v>0</v>
      </c>
      <c r="F29" s="182">
        <f t="shared" ca="1" si="1"/>
        <v>0</v>
      </c>
      <c r="G29" s="182">
        <f t="shared" ca="1" si="14"/>
        <v>0</v>
      </c>
      <c r="H29" s="183"/>
      <c r="I29" s="184">
        <f t="shared" ca="1" si="3"/>
        <v>34103.128096290224</v>
      </c>
      <c r="J29" s="696">
        <v>376690.41052741749</v>
      </c>
      <c r="K29" s="185">
        <f t="shared" si="4"/>
        <v>410445.26781683147</v>
      </c>
      <c r="L29" s="181">
        <f t="shared" si="15"/>
        <v>-33754.85728941398</v>
      </c>
      <c r="M29" s="181"/>
      <c r="N29" s="182">
        <v>0</v>
      </c>
      <c r="O29" s="182">
        <v>0</v>
      </c>
      <c r="P29" s="182">
        <f t="shared" si="13"/>
        <v>0</v>
      </c>
      <c r="Q29" s="714">
        <f t="shared" ca="1" si="7"/>
        <v>759.60607248627412</v>
      </c>
      <c r="R29" s="186">
        <f t="shared" ca="1" si="16"/>
        <v>1107.8768793625181</v>
      </c>
      <c r="S29" s="186"/>
      <c r="T29" s="189">
        <f t="shared" ca="1" si="17"/>
        <v>1107.8768793625181</v>
      </c>
      <c r="U29" s="721">
        <v>0</v>
      </c>
      <c r="V29" s="188">
        <f t="shared" ca="1" si="18"/>
        <v>348.27080687624402</v>
      </c>
      <c r="W29" s="159" t="str">
        <f t="shared" si="12"/>
        <v>P.012</v>
      </c>
    </row>
    <row r="30" spans="1:23" ht="15.75" customHeight="1">
      <c r="A30" s="158" t="s">
        <v>237</v>
      </c>
      <c r="B30" s="156" t="s">
        <v>117</v>
      </c>
      <c r="C30" s="192" t="str">
        <f t="shared" ca="1" si="0"/>
        <v>CoffeyvilleT to Dearing 138 kv Rebuild - 1.1 mi*</v>
      </c>
      <c r="D30" s="180">
        <f t="shared" ca="1" si="0"/>
        <v>2010</v>
      </c>
      <c r="E30" s="181">
        <v>0</v>
      </c>
      <c r="F30" s="182">
        <f t="shared" ca="1" si="1"/>
        <v>0</v>
      </c>
      <c r="G30" s="182">
        <f t="shared" ca="1" si="14"/>
        <v>0</v>
      </c>
      <c r="H30" s="183"/>
      <c r="I30" s="184">
        <f t="shared" ca="1" si="3"/>
        <v>235.67476577621392</v>
      </c>
      <c r="J30" s="696">
        <v>2347.8084569597795</v>
      </c>
      <c r="K30" s="185">
        <f t="shared" si="4"/>
        <v>2558.1932641986896</v>
      </c>
      <c r="L30" s="181">
        <f t="shared" si="15"/>
        <v>-210.38480723891007</v>
      </c>
      <c r="M30" s="181"/>
      <c r="N30" s="182">
        <v>0</v>
      </c>
      <c r="O30" s="182">
        <v>0</v>
      </c>
      <c r="P30" s="182">
        <f t="shared" si="13"/>
        <v>0</v>
      </c>
      <c r="Q30" s="714">
        <f t="shared" ca="1" si="7"/>
        <v>55.159392342317098</v>
      </c>
      <c r="R30" s="186">
        <f t="shared" ca="1" si="16"/>
        <v>80.449350879620937</v>
      </c>
      <c r="S30" s="186"/>
      <c r="T30" s="189">
        <f t="shared" ca="1" si="17"/>
        <v>80.449350879620937</v>
      </c>
      <c r="U30" s="721">
        <v>0</v>
      </c>
      <c r="V30" s="188">
        <f t="shared" ca="1" si="18"/>
        <v>25.289958537303846</v>
      </c>
      <c r="W30" s="159" t="str">
        <f t="shared" si="12"/>
        <v>P.013</v>
      </c>
    </row>
    <row r="31" spans="1:23" ht="15.75" customHeight="1">
      <c r="A31" s="193" t="s">
        <v>240</v>
      </c>
      <c r="B31" s="156" t="s">
        <v>117</v>
      </c>
      <c r="C31" s="192" t="str">
        <f t="shared" ca="1" si="0"/>
        <v>Ashdown West - Craig Junction</v>
      </c>
      <c r="D31" s="180">
        <f t="shared" ca="1" si="0"/>
        <v>2013</v>
      </c>
      <c r="E31" s="181">
        <v>0</v>
      </c>
      <c r="F31" s="182">
        <f t="shared" ca="1" si="1"/>
        <v>0</v>
      </c>
      <c r="G31" s="182">
        <f t="shared" ca="1" si="14"/>
        <v>0</v>
      </c>
      <c r="H31" s="183"/>
      <c r="I31" s="184">
        <f t="shared" ca="1" si="3"/>
        <v>20852.848174662518</v>
      </c>
      <c r="J31" s="696">
        <v>111982.99536823592</v>
      </c>
      <c r="K31" s="185">
        <f t="shared" si="4"/>
        <v>122017.68147081933</v>
      </c>
      <c r="L31" s="181">
        <f t="shared" si="15"/>
        <v>-10034.686102583408</v>
      </c>
      <c r="M31" s="181"/>
      <c r="N31" s="182">
        <v>0</v>
      </c>
      <c r="O31" s="182">
        <v>0</v>
      </c>
      <c r="P31" s="182">
        <f t="shared" si="13"/>
        <v>0</v>
      </c>
      <c r="Q31" s="714">
        <f t="shared" ca="1" si="7"/>
        <v>23595.263917747896</v>
      </c>
      <c r="R31" s="186">
        <f t="shared" ca="1" si="16"/>
        <v>34413.42598982701</v>
      </c>
      <c r="S31" s="186"/>
      <c r="T31" s="189">
        <f t="shared" ca="1" si="17"/>
        <v>34413.42598982701</v>
      </c>
      <c r="U31" s="721">
        <v>0</v>
      </c>
      <c r="V31" s="188">
        <f t="shared" ca="1" si="18"/>
        <v>10818.162072079111</v>
      </c>
      <c r="W31" s="159" t="str">
        <f t="shared" si="12"/>
        <v>P.014</v>
      </c>
    </row>
    <row r="32" spans="1:23" ht="25.5" customHeight="1">
      <c r="A32" s="193" t="s">
        <v>253</v>
      </c>
      <c r="B32" s="156" t="s">
        <v>117</v>
      </c>
      <c r="C32" s="192" t="str">
        <f t="shared" ca="1" si="0"/>
        <v>Locust Grove to Lone Star 115 kV Rebuild 2.1 miles</v>
      </c>
      <c r="D32" s="180">
        <f t="shared" ca="1" si="0"/>
        <v>2014</v>
      </c>
      <c r="E32" s="181">
        <v>0</v>
      </c>
      <c r="F32" s="182">
        <f t="shared" ca="1" si="1"/>
        <v>0</v>
      </c>
      <c r="G32" s="182">
        <f t="shared" ca="1" si="14"/>
        <v>0</v>
      </c>
      <c r="H32" s="183"/>
      <c r="I32" s="184">
        <f t="shared" ca="1" si="3"/>
        <v>25475.797153102001</v>
      </c>
      <c r="J32" s="696">
        <v>246846.72086541692</v>
      </c>
      <c r="K32" s="185">
        <f t="shared" si="4"/>
        <v>268966.41279892181</v>
      </c>
      <c r="L32" s="181">
        <f t="shared" si="15"/>
        <v>-22119.691933504888</v>
      </c>
      <c r="M32" s="181"/>
      <c r="N32" s="182">
        <v>0</v>
      </c>
      <c r="O32" s="182">
        <v>0</v>
      </c>
      <c r="P32" s="182">
        <f t="shared" si="13"/>
        <v>0</v>
      </c>
      <c r="Q32" s="714">
        <f t="shared" ca="1" si="7"/>
        <v>7319.9299349104876</v>
      </c>
      <c r="R32" s="186">
        <f t="shared" ca="1" si="16"/>
        <v>10676.035154507601</v>
      </c>
      <c r="S32" s="186"/>
      <c r="T32" s="189">
        <f t="shared" ca="1" si="17"/>
        <v>10676.035154507601</v>
      </c>
      <c r="U32" s="721">
        <v>0</v>
      </c>
      <c r="V32" s="188">
        <f t="shared" ca="1" si="18"/>
        <v>3356.1052195971133</v>
      </c>
      <c r="W32" s="159" t="str">
        <f t="shared" ref="W32:W39" si="19">A32</f>
        <v>P.015</v>
      </c>
    </row>
    <row r="33" spans="1:23" ht="15.75" customHeight="1">
      <c r="A33" s="193" t="s">
        <v>254</v>
      </c>
      <c r="B33" s="156" t="s">
        <v>117</v>
      </c>
      <c r="C33" s="192" t="str">
        <f t="shared" ca="1" si="0"/>
        <v>Cornville Station Conversion</v>
      </c>
      <c r="D33" s="180">
        <f t="shared" ca="1" si="0"/>
        <v>2014</v>
      </c>
      <c r="E33" s="181">
        <v>0</v>
      </c>
      <c r="F33" s="182">
        <f t="shared" ca="1" si="1"/>
        <v>0</v>
      </c>
      <c r="G33" s="182">
        <f t="shared" ca="1" si="14"/>
        <v>0</v>
      </c>
      <c r="H33" s="183"/>
      <c r="I33" s="184">
        <f t="shared" ca="1" si="3"/>
        <v>58923.327158263302</v>
      </c>
      <c r="J33" s="696">
        <v>564723.9870002158</v>
      </c>
      <c r="K33" s="185">
        <f t="shared" si="4"/>
        <v>615328.34818480653</v>
      </c>
      <c r="L33" s="181">
        <f t="shared" si="15"/>
        <v>-50604.361184590729</v>
      </c>
      <c r="M33" s="181"/>
      <c r="N33" s="182">
        <v>0</v>
      </c>
      <c r="O33" s="182">
        <v>0</v>
      </c>
      <c r="P33" s="182">
        <f t="shared" si="13"/>
        <v>0</v>
      </c>
      <c r="Q33" s="714">
        <f t="shared" ca="1" si="7"/>
        <v>18144.320298008341</v>
      </c>
      <c r="R33" s="186">
        <f t="shared" ca="1" si="16"/>
        <v>26463.286271680914</v>
      </c>
      <c r="S33" s="186"/>
      <c r="T33" s="189">
        <f t="shared" ca="1" si="17"/>
        <v>26463.286271680914</v>
      </c>
      <c r="U33" s="721">
        <v>0</v>
      </c>
      <c r="V33" s="188">
        <f t="shared" ca="1" si="18"/>
        <v>8318.9659736725735</v>
      </c>
      <c r="W33" s="159" t="str">
        <f t="shared" si="19"/>
        <v>P.016</v>
      </c>
    </row>
    <row r="34" spans="1:23" ht="13">
      <c r="A34" s="193" t="s">
        <v>264</v>
      </c>
      <c r="B34" s="156" t="s">
        <v>117</v>
      </c>
      <c r="C34" s="192" t="str">
        <f t="shared" ca="1" si="0"/>
        <v>Grady Customer Connection</v>
      </c>
      <c r="D34" s="180">
        <f t="shared" ca="1" si="0"/>
        <v>2015</v>
      </c>
      <c r="E34" s="181">
        <v>0</v>
      </c>
      <c r="F34" s="182">
        <f t="shared" ca="1" si="1"/>
        <v>0</v>
      </c>
      <c r="G34" s="182">
        <f t="shared" ref="G34:G39" ca="1" si="20">+E34+F34</f>
        <v>0</v>
      </c>
      <c r="H34" s="183"/>
      <c r="I34" s="184">
        <f t="shared" ca="1" si="3"/>
        <v>20206.74713159565</v>
      </c>
      <c r="J34" s="696">
        <v>192426.66908744062</v>
      </c>
      <c r="K34" s="185">
        <f t="shared" si="4"/>
        <v>209669.83369210761</v>
      </c>
      <c r="L34" s="181">
        <f t="shared" ref="L34:L39" si="21">+J34-K34</f>
        <v>-17243.164604666992</v>
      </c>
      <c r="M34" s="181"/>
      <c r="N34" s="182">
        <v>0</v>
      </c>
      <c r="O34" s="182">
        <v>0</v>
      </c>
      <c r="P34" s="182">
        <f t="shared" ref="P34:P39" si="22">+N34-O34</f>
        <v>0</v>
      </c>
      <c r="Q34" s="714">
        <f t="shared" ca="1" si="7"/>
        <v>6463.8070125962649</v>
      </c>
      <c r="R34" s="186">
        <f t="shared" ref="R34:R39" ca="1" si="23">I34+L34+P34+Q34</f>
        <v>9427.3895395249237</v>
      </c>
      <c r="S34" s="186"/>
      <c r="T34" s="189">
        <f t="shared" ref="T34:T39" ca="1" si="24">+G34+R34</f>
        <v>9427.3895395249237</v>
      </c>
      <c r="U34" s="722">
        <v>0</v>
      </c>
      <c r="V34" s="188">
        <f t="shared" ref="V34:V39" ca="1" si="25">+I34+L34+P34</f>
        <v>2963.5825269286579</v>
      </c>
      <c r="W34" s="159" t="str">
        <f t="shared" si="19"/>
        <v>P.017</v>
      </c>
    </row>
    <row r="35" spans="1:23" ht="13">
      <c r="A35" s="193" t="s">
        <v>265</v>
      </c>
      <c r="B35" s="156" t="s">
        <v>117</v>
      </c>
      <c r="C35" s="192" t="str">
        <f t="shared" ca="1" si="0"/>
        <v>Darlington-Red Rock 138 kV line</v>
      </c>
      <c r="D35" s="180">
        <f t="shared" ca="1" si="0"/>
        <v>2014</v>
      </c>
      <c r="E35" s="181">
        <v>0</v>
      </c>
      <c r="F35" s="195">
        <f t="shared" ca="1" si="1"/>
        <v>0</v>
      </c>
      <c r="G35" s="195">
        <f t="shared" ca="1" si="20"/>
        <v>0</v>
      </c>
      <c r="H35" s="196"/>
      <c r="I35" s="184">
        <f t="shared" ca="1" si="3"/>
        <v>22608.735187981918</v>
      </c>
      <c r="J35" s="696">
        <v>192856.70212709974</v>
      </c>
      <c r="K35" s="197">
        <f t="shared" si="4"/>
        <v>210138.40156960109</v>
      </c>
      <c r="L35" s="198">
        <f t="shared" si="21"/>
        <v>-17281.699442501354</v>
      </c>
      <c r="M35" s="198"/>
      <c r="N35" s="195">
        <v>0</v>
      </c>
      <c r="O35" s="195">
        <v>0</v>
      </c>
      <c r="P35" s="195">
        <f t="shared" si="22"/>
        <v>0</v>
      </c>
      <c r="Q35" s="715">
        <f t="shared" ca="1" si="7"/>
        <v>11618.68471524334</v>
      </c>
      <c r="R35" s="199">
        <f t="shared" ca="1" si="23"/>
        <v>16945.720460723904</v>
      </c>
      <c r="S35" s="199"/>
      <c r="T35" s="200">
        <f t="shared" ca="1" si="24"/>
        <v>16945.720460723904</v>
      </c>
      <c r="U35" s="722">
        <v>0</v>
      </c>
      <c r="V35" s="188">
        <f t="shared" ca="1" si="25"/>
        <v>5327.0357454805635</v>
      </c>
      <c r="W35" s="159" t="str">
        <f t="shared" si="19"/>
        <v>P.018</v>
      </c>
    </row>
    <row r="36" spans="1:23" ht="13">
      <c r="A36" s="193" t="s">
        <v>270</v>
      </c>
      <c r="B36" s="156" t="s">
        <v>117</v>
      </c>
      <c r="C36" s="192" t="str">
        <f t="shared" ca="1" si="0"/>
        <v>Valliant-NW Texarkana 345 kV</v>
      </c>
      <c r="D36" s="180">
        <f t="shared" ca="1" si="0"/>
        <v>2017</v>
      </c>
      <c r="E36" s="181">
        <v>0</v>
      </c>
      <c r="F36" s="195">
        <f t="shared" ca="1" si="1"/>
        <v>0</v>
      </c>
      <c r="G36" s="195">
        <f t="shared" ca="1" si="20"/>
        <v>0</v>
      </c>
      <c r="H36" s="196"/>
      <c r="I36" s="184">
        <f t="shared" ca="1" si="3"/>
        <v>16779.389662222733</v>
      </c>
      <c r="J36" s="696">
        <v>156188.99637524891</v>
      </c>
      <c r="K36" s="197">
        <f t="shared" si="4"/>
        <v>170184.93876051332</v>
      </c>
      <c r="L36" s="198">
        <f t="shared" si="21"/>
        <v>-13995.94238526441</v>
      </c>
      <c r="M36" s="198"/>
      <c r="N36" s="195">
        <v>0</v>
      </c>
      <c r="O36" s="195">
        <v>0</v>
      </c>
      <c r="P36" s="195">
        <f t="shared" si="22"/>
        <v>0</v>
      </c>
      <c r="Q36" s="715">
        <f t="shared" ca="1" si="7"/>
        <v>6070.9178382965592</v>
      </c>
      <c r="R36" s="199">
        <f t="shared" ca="1" si="23"/>
        <v>8854.3651152548809</v>
      </c>
      <c r="S36" s="199"/>
      <c r="T36" s="200">
        <f t="shared" ca="1" si="24"/>
        <v>8854.3651152548809</v>
      </c>
      <c r="U36" s="722">
        <v>0</v>
      </c>
      <c r="V36" s="188">
        <f t="shared" ca="1" si="25"/>
        <v>2783.4472769583226</v>
      </c>
      <c r="W36" s="159" t="str">
        <f t="shared" si="19"/>
        <v>P.019</v>
      </c>
    </row>
    <row r="37" spans="1:23" ht="13">
      <c r="A37" s="193" t="s">
        <v>271</v>
      </c>
      <c r="B37" s="156" t="s">
        <v>117</v>
      </c>
      <c r="C37" s="192" t="str">
        <f t="shared" ca="1" si="0"/>
        <v>Sayre 138 kV Capacitor Bank Addition</v>
      </c>
      <c r="D37" s="180">
        <f t="shared" ca="1" si="0"/>
        <v>2018</v>
      </c>
      <c r="E37" s="181">
        <v>0</v>
      </c>
      <c r="F37" s="182">
        <f t="shared" ca="1" si="1"/>
        <v>0</v>
      </c>
      <c r="G37" s="182">
        <f t="shared" ca="1" si="20"/>
        <v>0</v>
      </c>
      <c r="H37" s="183"/>
      <c r="I37" s="184">
        <f t="shared" ca="1" si="3"/>
        <v>24671.220612151723</v>
      </c>
      <c r="J37" s="696">
        <v>237212.81463553352</v>
      </c>
      <c r="K37" s="197">
        <f t="shared" si="4"/>
        <v>258469.22170475422</v>
      </c>
      <c r="L37" s="198">
        <f t="shared" si="21"/>
        <v>-21256.407069220702</v>
      </c>
      <c r="M37" s="198"/>
      <c r="N37" s="195">
        <v>0</v>
      </c>
      <c r="O37" s="195">
        <v>0</v>
      </c>
      <c r="P37" s="195">
        <f t="shared" si="22"/>
        <v>0</v>
      </c>
      <c r="Q37" s="715">
        <f t="shared" ca="1" si="7"/>
        <v>7447.9774141405514</v>
      </c>
      <c r="R37" s="199">
        <f t="shared" ca="1" si="23"/>
        <v>10862.790957071571</v>
      </c>
      <c r="S37" s="199"/>
      <c r="T37" s="200">
        <f t="shared" ca="1" si="24"/>
        <v>10862.790957071571</v>
      </c>
      <c r="U37" s="722">
        <v>0</v>
      </c>
      <c r="V37" s="188">
        <f t="shared" ca="1" si="25"/>
        <v>3414.8135429310205</v>
      </c>
      <c r="W37" s="159" t="str">
        <f t="shared" si="19"/>
        <v>P.020</v>
      </c>
    </row>
    <row r="38" spans="1:23" ht="13">
      <c r="A38" s="193" t="s">
        <v>272</v>
      </c>
      <c r="B38" s="156" t="s">
        <v>117</v>
      </c>
      <c r="C38" s="192" t="str">
        <f t="shared" ca="1" si="0"/>
        <v>Darlington-Roman Nose 138 kV</v>
      </c>
      <c r="D38" s="180">
        <f t="shared" ca="1" si="0"/>
        <v>2017</v>
      </c>
      <c r="E38" s="181">
        <v>0</v>
      </c>
      <c r="F38" s="182">
        <f t="shared" ca="1" si="1"/>
        <v>0</v>
      </c>
      <c r="G38" s="182">
        <f t="shared" ca="1" si="20"/>
        <v>0</v>
      </c>
      <c r="H38" s="183"/>
      <c r="I38" s="184">
        <f t="shared" ca="1" si="3"/>
        <v>3695.7122318608817</v>
      </c>
      <c r="J38" s="696">
        <v>38869.681930319995</v>
      </c>
      <c r="K38" s="197">
        <f t="shared" si="4"/>
        <v>42352.755907716528</v>
      </c>
      <c r="L38" s="198">
        <f t="shared" si="21"/>
        <v>-3483.0739773965324</v>
      </c>
      <c r="M38" s="198"/>
      <c r="N38" s="195">
        <v>0</v>
      </c>
      <c r="O38" s="195">
        <v>0</v>
      </c>
      <c r="P38" s="195">
        <f t="shared" si="22"/>
        <v>0</v>
      </c>
      <c r="Q38" s="715">
        <f t="shared" ca="1" si="7"/>
        <v>463.78078823987374</v>
      </c>
      <c r="R38" s="199">
        <f t="shared" ca="1" si="23"/>
        <v>676.4190427042231</v>
      </c>
      <c r="S38" s="199"/>
      <c r="T38" s="200">
        <f t="shared" ca="1" si="24"/>
        <v>676.4190427042231</v>
      </c>
      <c r="U38" s="722">
        <v>0</v>
      </c>
      <c r="V38" s="188">
        <f t="shared" ca="1" si="25"/>
        <v>212.6382544643493</v>
      </c>
      <c r="W38" s="159" t="str">
        <f t="shared" si="19"/>
        <v>P.021</v>
      </c>
    </row>
    <row r="39" spans="1:23" ht="13">
      <c r="A39" s="193" t="s">
        <v>273</v>
      </c>
      <c r="B39" s="156" t="s">
        <v>117</v>
      </c>
      <c r="C39" s="192" t="str">
        <f t="shared" ca="1" si="0"/>
        <v>Northeastern Station 138 kV Terminal Upgrades</v>
      </c>
      <c r="D39" s="180">
        <f t="shared" ca="1" si="0"/>
        <v>2018</v>
      </c>
      <c r="E39" s="181">
        <v>0</v>
      </c>
      <c r="F39" s="182">
        <f t="shared" ca="1" si="1"/>
        <v>0</v>
      </c>
      <c r="G39" s="182">
        <f t="shared" ca="1" si="20"/>
        <v>0</v>
      </c>
      <c r="H39" s="183"/>
      <c r="I39" s="184">
        <f t="shared" ca="1" si="3"/>
        <v>3174.8874432295452</v>
      </c>
      <c r="J39" s="696">
        <v>29221.837506612781</v>
      </c>
      <c r="K39" s="197">
        <f t="shared" si="4"/>
        <v>31840.377631881955</v>
      </c>
      <c r="L39" s="198">
        <f t="shared" si="21"/>
        <v>-2618.5401252691736</v>
      </c>
      <c r="M39" s="198"/>
      <c r="N39" s="195">
        <v>0</v>
      </c>
      <c r="O39" s="195">
        <v>0</v>
      </c>
      <c r="P39" s="195">
        <f t="shared" si="22"/>
        <v>0</v>
      </c>
      <c r="Q39" s="715">
        <f t="shared" ca="1" si="7"/>
        <v>1213.4373389622642</v>
      </c>
      <c r="R39" s="199">
        <f t="shared" ca="1" si="23"/>
        <v>1769.7846569226358</v>
      </c>
      <c r="S39" s="199"/>
      <c r="T39" s="200">
        <f t="shared" ca="1" si="24"/>
        <v>1769.7846569226358</v>
      </c>
      <c r="U39" s="722">
        <v>0</v>
      </c>
      <c r="V39" s="188">
        <f t="shared" ca="1" si="25"/>
        <v>556.34731796037158</v>
      </c>
      <c r="W39" s="159" t="str">
        <f t="shared" si="19"/>
        <v>P.022</v>
      </c>
    </row>
    <row r="40" spans="1:23" ht="13">
      <c r="A40" s="193" t="s">
        <v>305</v>
      </c>
      <c r="B40" s="156" t="s">
        <v>117</v>
      </c>
      <c r="C40" s="192" t="str">
        <f t="shared" ca="1" si="0"/>
        <v>Elk City 138KV Move Load</v>
      </c>
      <c r="D40" s="180">
        <f t="shared" ca="1" si="0"/>
        <v>2018</v>
      </c>
      <c r="E40" s="181">
        <v>0</v>
      </c>
      <c r="F40" s="182">
        <f t="shared" ca="1" si="1"/>
        <v>0</v>
      </c>
      <c r="G40" s="182">
        <f t="shared" ref="G40:G45" ca="1" si="26">+E40+F40</f>
        <v>0</v>
      </c>
      <c r="H40" s="183"/>
      <c r="I40" s="184">
        <f t="shared" ca="1" si="3"/>
        <v>17715.530349589681</v>
      </c>
      <c r="J40" s="696">
        <v>139246.98206094198</v>
      </c>
      <c r="K40" s="197">
        <f t="shared" si="4"/>
        <v>151724.7672025061</v>
      </c>
      <c r="L40" s="198">
        <f t="shared" ref="L40:L45" si="27">+J40-K40</f>
        <v>-12477.78514156412</v>
      </c>
      <c r="M40" s="198"/>
      <c r="N40" s="195">
        <v>0</v>
      </c>
      <c r="O40" s="195">
        <v>0</v>
      </c>
      <c r="P40" s="195">
        <f t="shared" ref="P40:P45" si="28">+N40-O40</f>
        <v>0</v>
      </c>
      <c r="Q40" s="715">
        <f t="shared" ca="1" si="7"/>
        <v>11423.935017228932</v>
      </c>
      <c r="R40" s="199">
        <f t="shared" ref="R40:R45" ca="1" si="29">I40+L40+P40+Q40</f>
        <v>16661.680225254495</v>
      </c>
      <c r="S40" s="199"/>
      <c r="T40" s="200">
        <f t="shared" ref="T40:T45" ca="1" si="30">+G40+R40</f>
        <v>16661.680225254495</v>
      </c>
      <c r="U40" s="722">
        <v>0</v>
      </c>
      <c r="V40" s="188">
        <f t="shared" ref="V40:V46" ca="1" si="31">+I40+L40+P40</f>
        <v>5237.7452080255607</v>
      </c>
      <c r="W40" s="159" t="str">
        <f t="shared" ref="W40:W46" si="32">A40</f>
        <v>P.023</v>
      </c>
    </row>
    <row r="41" spans="1:23" ht="13">
      <c r="A41" s="193" t="s">
        <v>306</v>
      </c>
      <c r="B41" s="156" t="s">
        <v>117</v>
      </c>
      <c r="C41" s="192" t="str">
        <f t="shared" ca="1" si="0"/>
        <v>Duncan-Comanche Tap 69 KV Rebuild</v>
      </c>
      <c r="D41" s="180">
        <f t="shared" ca="1" si="0"/>
        <v>2018</v>
      </c>
      <c r="E41" s="181">
        <v>0</v>
      </c>
      <c r="F41" s="182">
        <f t="shared" ca="1" si="1"/>
        <v>0</v>
      </c>
      <c r="G41" s="182">
        <f t="shared" ca="1" si="26"/>
        <v>0</v>
      </c>
      <c r="H41" s="183"/>
      <c r="I41" s="184">
        <f t="shared" ca="1" si="3"/>
        <v>16871.902432821866</v>
      </c>
      <c r="J41" s="696">
        <v>160015.31969863496</v>
      </c>
      <c r="K41" s="197">
        <f t="shared" si="4"/>
        <v>174354.13515450186</v>
      </c>
      <c r="L41" s="198">
        <f t="shared" si="27"/>
        <v>-14338.81545586689</v>
      </c>
      <c r="M41" s="198"/>
      <c r="N41" s="195">
        <v>0</v>
      </c>
      <c r="O41" s="195">
        <v>0</v>
      </c>
      <c r="P41" s="195">
        <f t="shared" si="28"/>
        <v>0</v>
      </c>
      <c r="Q41" s="715">
        <f t="shared" ca="1" si="7"/>
        <v>5524.8622963527132</v>
      </c>
      <c r="R41" s="199">
        <f t="shared" ca="1" si="29"/>
        <v>8057.9492733076886</v>
      </c>
      <c r="S41" s="199"/>
      <c r="T41" s="200">
        <f t="shared" ca="1" si="30"/>
        <v>8057.9492733076886</v>
      </c>
      <c r="U41" s="722">
        <v>0</v>
      </c>
      <c r="V41" s="188">
        <f t="shared" ca="1" si="31"/>
        <v>2533.0869769549754</v>
      </c>
      <c r="W41" s="159" t="str">
        <f t="shared" si="32"/>
        <v>P.024</v>
      </c>
    </row>
    <row r="42" spans="1:23" ht="13">
      <c r="A42" s="193" t="s">
        <v>311</v>
      </c>
      <c r="B42" s="156" t="s">
        <v>117</v>
      </c>
      <c r="C42" s="192" t="str">
        <f t="shared" ca="1" si="0"/>
        <v>Fort Towson-Valliant Line Rebuild</v>
      </c>
      <c r="D42" s="180">
        <f t="shared" ca="1" si="0"/>
        <v>2018</v>
      </c>
      <c r="E42" s="181">
        <v>0</v>
      </c>
      <c r="F42" s="182">
        <f t="shared" ca="1" si="1"/>
        <v>0</v>
      </c>
      <c r="G42" s="182">
        <f t="shared" ca="1" si="26"/>
        <v>0</v>
      </c>
      <c r="H42" s="196"/>
      <c r="I42" s="184">
        <f t="shared" ca="1" si="3"/>
        <v>5273.5871259814085</v>
      </c>
      <c r="J42" s="696">
        <v>35325.720392380754</v>
      </c>
      <c r="K42" s="197">
        <f t="shared" si="4"/>
        <v>38491.223461123627</v>
      </c>
      <c r="L42" s="198">
        <f t="shared" si="27"/>
        <v>-3165.5030687428734</v>
      </c>
      <c r="M42" s="198"/>
      <c r="N42" s="195">
        <v>0</v>
      </c>
      <c r="O42" s="195">
        <v>0</v>
      </c>
      <c r="P42" s="195">
        <f t="shared" si="28"/>
        <v>0</v>
      </c>
      <c r="Q42" s="715">
        <f t="shared" ca="1" si="7"/>
        <v>4597.8974395029063</v>
      </c>
      <c r="R42" s="199">
        <f t="shared" ca="1" si="29"/>
        <v>6705.9814967414413</v>
      </c>
      <c r="S42" s="199"/>
      <c r="T42" s="200">
        <f t="shared" ca="1" si="30"/>
        <v>6705.9814967414413</v>
      </c>
      <c r="U42" s="722">
        <v>0</v>
      </c>
      <c r="V42" s="188">
        <f t="shared" ca="1" si="31"/>
        <v>2108.084057238535</v>
      </c>
      <c r="W42" s="159" t="str">
        <f t="shared" si="32"/>
        <v>P.025</v>
      </c>
    </row>
    <row r="43" spans="1:23" ht="13">
      <c r="A43" s="193" t="s">
        <v>325</v>
      </c>
      <c r="B43" s="156" t="s">
        <v>117</v>
      </c>
      <c r="C43" s="611" t="str">
        <f t="shared" ca="1" si="0"/>
        <v>Tulsa Southeast - E. 61st St 138 kV Rebuild</v>
      </c>
      <c r="D43" s="180">
        <f t="shared" ca="1" si="0"/>
        <v>2019</v>
      </c>
      <c r="E43" s="181">
        <v>0</v>
      </c>
      <c r="F43" s="182">
        <f t="shared" ca="1" si="1"/>
        <v>0</v>
      </c>
      <c r="G43" s="182">
        <f t="shared" ca="1" si="26"/>
        <v>0</v>
      </c>
      <c r="H43" s="196"/>
      <c r="I43" s="184">
        <f t="shared" ca="1" si="3"/>
        <v>111000.3678094151</v>
      </c>
      <c r="J43" s="696">
        <v>999106.4230405502</v>
      </c>
      <c r="K43" s="197">
        <f t="shared" si="4"/>
        <v>1088635.3671924642</v>
      </c>
      <c r="L43" s="198">
        <f t="shared" si="27"/>
        <v>-89528.94415191398</v>
      </c>
      <c r="M43" s="198"/>
      <c r="N43" s="195">
        <v>0</v>
      </c>
      <c r="O43" s="195">
        <v>0</v>
      </c>
      <c r="P43" s="195">
        <f t="shared" si="28"/>
        <v>0</v>
      </c>
      <c r="Q43" s="715">
        <f t="shared" ca="1" si="7"/>
        <v>46830.866880435642</v>
      </c>
      <c r="R43" s="199">
        <f t="shared" ca="1" si="29"/>
        <v>68302.290537936758</v>
      </c>
      <c r="S43" s="199"/>
      <c r="T43" s="200">
        <f t="shared" ca="1" si="30"/>
        <v>68302.290537936758</v>
      </c>
      <c r="U43" s="722">
        <v>0</v>
      </c>
      <c r="V43" s="188">
        <f t="shared" ca="1" si="31"/>
        <v>21471.423657501116</v>
      </c>
      <c r="W43" s="159" t="str">
        <f t="shared" si="32"/>
        <v>P.026</v>
      </c>
    </row>
    <row r="44" spans="1:23" ht="13">
      <c r="A44" s="193" t="s">
        <v>326</v>
      </c>
      <c r="B44" s="156" t="s">
        <v>117</v>
      </c>
      <c r="C44" s="612" t="str">
        <f t="shared" ca="1" si="0"/>
        <v>Broken Arrow North-Lynn Lane East 138 kV</v>
      </c>
      <c r="D44" s="180">
        <f t="shared" ca="1" si="0"/>
        <v>2019</v>
      </c>
      <c r="E44" s="181">
        <v>0</v>
      </c>
      <c r="F44" s="182">
        <f t="shared" ca="1" si="1"/>
        <v>0</v>
      </c>
      <c r="G44" s="182">
        <f t="shared" ca="1" si="26"/>
        <v>0</v>
      </c>
      <c r="H44" s="196"/>
      <c r="I44" s="184">
        <f t="shared" ca="1" si="3"/>
        <v>54570.92350045417</v>
      </c>
      <c r="J44" s="696">
        <v>606929.23798117461</v>
      </c>
      <c r="K44" s="197">
        <f t="shared" si="4"/>
        <v>661315.57020593982</v>
      </c>
      <c r="L44" s="198">
        <f t="shared" si="27"/>
        <v>-54386.33222476521</v>
      </c>
      <c r="M44" s="198"/>
      <c r="N44" s="195">
        <v>0</v>
      </c>
      <c r="O44" s="195">
        <v>0</v>
      </c>
      <c r="P44" s="195">
        <f t="shared" si="28"/>
        <v>0</v>
      </c>
      <c r="Q44" s="715">
        <f t="shared" ref="Q44:Q52" ca="1" si="33">+V44/$V$54 * $Q$54</f>
        <v>402.60811751341123</v>
      </c>
      <c r="R44" s="199">
        <f t="shared" ca="1" si="29"/>
        <v>587.19939320237052</v>
      </c>
      <c r="S44" s="199"/>
      <c r="T44" s="200">
        <f t="shared" ca="1" si="30"/>
        <v>587.19939320237052</v>
      </c>
      <c r="U44" s="722">
        <v>0</v>
      </c>
      <c r="V44" s="188">
        <f t="shared" ca="1" si="31"/>
        <v>184.59127568895929</v>
      </c>
      <c r="W44" s="159" t="str">
        <f t="shared" si="32"/>
        <v>P.027</v>
      </c>
    </row>
    <row r="45" spans="1:23" ht="13">
      <c r="A45" s="193" t="s">
        <v>332</v>
      </c>
      <c r="B45" s="156" t="s">
        <v>117</v>
      </c>
      <c r="C45" s="614" t="str">
        <f t="shared" ca="1" si="0"/>
        <v>Keystone Dam - Wekiwa 138 kV</v>
      </c>
      <c r="D45" s="180">
        <f t="shared" ca="1" si="0"/>
        <v>2020</v>
      </c>
      <c r="E45" s="181">
        <v>0</v>
      </c>
      <c r="F45" s="182">
        <f t="shared" ca="1" si="1"/>
        <v>0</v>
      </c>
      <c r="G45" s="182">
        <f t="shared" ca="1" si="26"/>
        <v>0</v>
      </c>
      <c r="H45" s="196"/>
      <c r="I45" s="184">
        <f t="shared" ca="1" si="3"/>
        <v>35711.270320496755</v>
      </c>
      <c r="J45" s="696">
        <v>276254.24421086669</v>
      </c>
      <c r="K45" s="197">
        <f t="shared" si="4"/>
        <v>301009.11539507488</v>
      </c>
      <c r="L45" s="198">
        <f t="shared" si="27"/>
        <v>-24754.871184208198</v>
      </c>
      <c r="M45" s="198"/>
      <c r="N45" s="195">
        <v>0</v>
      </c>
      <c r="O45" s="195">
        <v>0</v>
      </c>
      <c r="P45" s="195">
        <f t="shared" si="28"/>
        <v>0</v>
      </c>
      <c r="Q45" s="715">
        <f t="shared" ca="1" si="33"/>
        <v>23896.76984745243</v>
      </c>
      <c r="R45" s="199">
        <f t="shared" ca="1" si="29"/>
        <v>34853.168983740987</v>
      </c>
      <c r="S45" s="199"/>
      <c r="T45" s="200">
        <f t="shared" ca="1" si="30"/>
        <v>34853.168983740987</v>
      </c>
      <c r="U45" s="722">
        <v>0</v>
      </c>
      <c r="V45" s="188">
        <f t="shared" ca="1" si="31"/>
        <v>10956.399136288557</v>
      </c>
      <c r="W45" s="159" t="str">
        <f t="shared" si="32"/>
        <v>P.028</v>
      </c>
    </row>
    <row r="46" spans="1:23" ht="13">
      <c r="A46" s="193" t="s">
        <v>338</v>
      </c>
      <c r="B46" s="156" t="s">
        <v>117</v>
      </c>
      <c r="C46" s="624" t="str">
        <f t="shared" ca="1" si="0"/>
        <v>Tulsa SE - S Hudson 138 kV</v>
      </c>
      <c r="D46" s="180">
        <f t="shared" ca="1" si="0"/>
        <v>2022</v>
      </c>
      <c r="E46" s="181"/>
      <c r="F46" s="182"/>
      <c r="G46" s="182"/>
      <c r="H46" s="196"/>
      <c r="I46" s="184">
        <f t="shared" ca="1" si="3"/>
        <v>2189.7520395725578</v>
      </c>
      <c r="J46" s="696">
        <v>-116412.22360193382</v>
      </c>
      <c r="K46" s="197">
        <f t="shared" ref="K46" si="34">J46/J$54*K$54</f>
        <v>-126843.80849129913</v>
      </c>
      <c r="L46" s="198">
        <f t="shared" ref="L46" si="35">+J46-K46</f>
        <v>10431.584889365316</v>
      </c>
      <c r="M46" s="198"/>
      <c r="N46" s="195"/>
      <c r="O46" s="195"/>
      <c r="P46" s="195"/>
      <c r="Q46" s="715">
        <f t="shared" ca="1" si="33"/>
        <v>27528.130365297144</v>
      </c>
      <c r="R46" s="199">
        <f t="shared" ref="R46" ca="1" si="36">I46+L46+P46+Q46</f>
        <v>40149.467294235015</v>
      </c>
      <c r="S46" s="199"/>
      <c r="T46" s="200">
        <f t="shared" ref="T46" ca="1" si="37">+G46+R46</f>
        <v>40149.467294235015</v>
      </c>
      <c r="U46" s="722">
        <v>0</v>
      </c>
      <c r="V46" s="188">
        <f t="shared" ca="1" si="31"/>
        <v>12621.336928937875</v>
      </c>
      <c r="W46" s="159" t="str">
        <f t="shared" si="32"/>
        <v>P.029</v>
      </c>
    </row>
    <row r="47" spans="1:23" ht="13">
      <c r="A47" s="193" t="s">
        <v>346</v>
      </c>
      <c r="B47" s="156" t="s">
        <v>117</v>
      </c>
      <c r="C47" s="629" t="str">
        <f t="shared" ca="1" si="0"/>
        <v>Tulsa SE - E 21st St Tap 138 kV</v>
      </c>
      <c r="D47" s="180">
        <f t="shared" ca="1" si="0"/>
        <v>2021</v>
      </c>
      <c r="E47" s="181"/>
      <c r="F47" s="182"/>
      <c r="G47" s="182"/>
      <c r="H47" s="196"/>
      <c r="I47" s="184">
        <f t="shared" ca="1" si="3"/>
        <v>955.50189607733046</v>
      </c>
      <c r="J47" s="696">
        <v>225044.3195541093</v>
      </c>
      <c r="K47" s="197">
        <f t="shared" ref="K47" si="38">J47/J$54*K$54</f>
        <v>245210.31974430883</v>
      </c>
      <c r="L47" s="198">
        <f t="shared" ref="L47" si="39">+J47-K47</f>
        <v>-20166.000190199527</v>
      </c>
      <c r="M47" s="198"/>
      <c r="N47" s="195"/>
      <c r="O47" s="195"/>
      <c r="P47" s="195"/>
      <c r="Q47" s="715">
        <f t="shared" ca="1" si="33"/>
        <v>-41899.610508806611</v>
      </c>
      <c r="R47" s="199">
        <f t="shared" ref="R47" ca="1" si="40">I47+L47+P47+Q47</f>
        <v>-61110.108802928808</v>
      </c>
      <c r="S47" s="199"/>
      <c r="T47" s="200">
        <f t="shared" ref="T47" ca="1" si="41">+G47+R47</f>
        <v>-61110.108802928808</v>
      </c>
      <c r="U47" s="710"/>
      <c r="V47" s="188">
        <f t="shared" ref="V47" ca="1" si="42">+I47+L47+P47</f>
        <v>-19210.498294122197</v>
      </c>
      <c r="W47" s="159" t="str">
        <f t="shared" ref="W47" si="43">A47</f>
        <v>P.030</v>
      </c>
    </row>
    <row r="48" spans="1:23" ht="13">
      <c r="A48" s="193" t="s">
        <v>347</v>
      </c>
      <c r="B48" s="156" t="s">
        <v>117</v>
      </c>
      <c r="C48" s="629" t="str">
        <f t="shared" ca="1" si="0"/>
        <v>Pryor Junction 138/115 kV</v>
      </c>
      <c r="D48" s="180">
        <f t="shared" ca="1" si="0"/>
        <v>2022</v>
      </c>
      <c r="E48" s="181"/>
      <c r="F48" s="182"/>
      <c r="G48" s="182"/>
      <c r="H48" s="196"/>
      <c r="I48" s="184">
        <f t="shared" ca="1" si="3"/>
        <v>14.260034761393399</v>
      </c>
      <c r="J48" s="696">
        <v>10326.89037707541</v>
      </c>
      <c r="K48" s="197">
        <f t="shared" ref="K48:K50" si="44">J48/J$54*K$54</f>
        <v>11252.272869381333</v>
      </c>
      <c r="L48" s="198">
        <f t="shared" ref="L48:L49" si="45">+J48-K48</f>
        <v>-925.38249230592373</v>
      </c>
      <c r="M48" s="198"/>
      <c r="N48" s="195"/>
      <c r="O48" s="195"/>
      <c r="P48" s="195"/>
      <c r="Q48" s="715">
        <f t="shared" ca="1" si="33"/>
        <v>-1987.2298736063005</v>
      </c>
      <c r="R48" s="199">
        <f t="shared" ref="R48" ca="1" si="46">I48+L48+P48+Q48</f>
        <v>-2898.3523311508307</v>
      </c>
      <c r="S48" s="199"/>
      <c r="T48" s="200">
        <f t="shared" ref="T48" ca="1" si="47">+G48+R48</f>
        <v>-2898.3523311508307</v>
      </c>
      <c r="U48" s="710"/>
      <c r="V48" s="188">
        <f t="shared" ref="V48" ca="1" si="48">+I48+L48+P48</f>
        <v>-911.12245754453033</v>
      </c>
      <c r="W48" s="159" t="str">
        <f t="shared" ref="W48:W52" si="49">A48</f>
        <v>P.031</v>
      </c>
    </row>
    <row r="49" spans="1:23" ht="13">
      <c r="A49" s="193" t="s">
        <v>369</v>
      </c>
      <c r="B49" s="156" t="s">
        <v>117</v>
      </c>
      <c r="C49" s="712" t="str">
        <f t="shared" ca="1" si="0"/>
        <v>Catoosa-Blue Circle Rebuild</v>
      </c>
      <c r="D49" s="180">
        <f t="shared" ca="1" si="0"/>
        <v>2024</v>
      </c>
      <c r="E49" s="181"/>
      <c r="F49" s="182"/>
      <c r="G49" s="182"/>
      <c r="H49" s="196"/>
      <c r="I49" s="184">
        <f t="shared" ca="1" si="3"/>
        <v>82320.437185211224</v>
      </c>
      <c r="J49" s="696">
        <v>222415.29712588375</v>
      </c>
      <c r="K49" s="197">
        <f t="shared" si="44"/>
        <v>242345.71320139567</v>
      </c>
      <c r="L49" s="198">
        <f t="shared" si="45"/>
        <v>-19930.416075511923</v>
      </c>
      <c r="M49" s="198"/>
      <c r="N49" s="195"/>
      <c r="O49" s="195"/>
      <c r="P49" s="195"/>
      <c r="Q49" s="715">
        <f t="shared" ca="1" si="33"/>
        <v>136077.55218574731</v>
      </c>
      <c r="R49" s="199">
        <f t="shared" ref="R49" ca="1" si="50">I49+L49+P49+Q49</f>
        <v>198467.57329544661</v>
      </c>
      <c r="S49" s="199"/>
      <c r="T49" s="200">
        <f t="shared" ref="T49" ca="1" si="51">+G49+R49</f>
        <v>198467.57329544661</v>
      </c>
      <c r="U49" s="710"/>
      <c r="V49" s="188">
        <f t="shared" ref="V49" ca="1" si="52">+I49+L49+P49</f>
        <v>62390.021109699301</v>
      </c>
      <c r="W49" s="159" t="str">
        <f t="shared" si="49"/>
        <v>P.032</v>
      </c>
    </row>
    <row r="50" spans="1:23" ht="13">
      <c r="A50" s="193" t="s">
        <v>370</v>
      </c>
      <c r="B50" s="156" t="s">
        <v>117</v>
      </c>
      <c r="C50" s="712" t="str">
        <f t="shared" ca="1" si="0"/>
        <v>Chisholm Substation 345 kV Terminal Upgrades</v>
      </c>
      <c r="D50" s="180">
        <f t="shared" ca="1" si="0"/>
        <v>2025</v>
      </c>
      <c r="E50" s="181"/>
      <c r="F50" s="182"/>
      <c r="G50" s="182"/>
      <c r="H50" s="196"/>
      <c r="I50" s="184">
        <f t="shared" ca="1" si="3"/>
        <v>0</v>
      </c>
      <c r="J50" s="696">
        <v>25.762152486776909</v>
      </c>
      <c r="K50" s="197">
        <f t="shared" si="44"/>
        <v>28.070673639310954</v>
      </c>
      <c r="L50" s="198">
        <f t="shared" ref="L50" si="53">+J50-K50</f>
        <v>-2.3085211525340448</v>
      </c>
      <c r="M50" s="198"/>
      <c r="N50" s="195"/>
      <c r="O50" s="195"/>
      <c r="P50" s="195"/>
      <c r="Q50" s="715">
        <f t="shared" ca="1" si="33"/>
        <v>-5.0350665381809963</v>
      </c>
      <c r="R50" s="199">
        <f t="shared" ref="R50" ca="1" si="54">I50+L50+P50+Q50</f>
        <v>-7.343587690715041</v>
      </c>
      <c r="S50" s="199"/>
      <c r="T50" s="200">
        <f t="shared" ref="T50" ca="1" si="55">+G50+R50</f>
        <v>-7.343587690715041</v>
      </c>
      <c r="U50" s="710"/>
      <c r="V50" s="188">
        <f t="shared" ref="V50" ca="1" si="56">+I50+L50+P50</f>
        <v>-2.3085211525340448</v>
      </c>
      <c r="W50" s="159" t="str">
        <f t="shared" si="49"/>
        <v>P.033</v>
      </c>
    </row>
    <row r="51" spans="1:23" ht="13">
      <c r="A51" s="193" t="s">
        <v>371</v>
      </c>
      <c r="B51" s="156" t="s">
        <v>117</v>
      </c>
      <c r="C51" s="712" t="str">
        <f t="shared" ca="1" si="0"/>
        <v>Sooner - Wekiwa 345 kV Terminal Upgrades</v>
      </c>
      <c r="D51" s="180">
        <f t="shared" ca="1" si="0"/>
        <v>2025</v>
      </c>
      <c r="E51" s="181"/>
      <c r="F51" s="182"/>
      <c r="G51" s="182"/>
      <c r="H51" s="196"/>
      <c r="I51" s="184">
        <f t="shared" ca="1" si="3"/>
        <v>0</v>
      </c>
      <c r="J51" s="696">
        <v>0</v>
      </c>
      <c r="K51" s="197"/>
      <c r="L51" s="198">
        <f t="shared" ref="L51" si="57">+J51-K51</f>
        <v>0</v>
      </c>
      <c r="M51" s="198"/>
      <c r="N51" s="195"/>
      <c r="O51" s="195"/>
      <c r="P51" s="195"/>
      <c r="Q51" s="715">
        <f t="shared" ca="1" si="33"/>
        <v>0</v>
      </c>
      <c r="R51" s="199">
        <f t="shared" ref="R51" ca="1" si="58">I51+L51+P51+Q51</f>
        <v>0</v>
      </c>
      <c r="S51" s="199"/>
      <c r="T51" s="200">
        <f t="shared" ref="T51" ca="1" si="59">+G51+R51</f>
        <v>0</v>
      </c>
      <c r="U51" s="710"/>
      <c r="V51" s="188">
        <f t="shared" ref="V51" ca="1" si="60">+I51+L51+P51</f>
        <v>0</v>
      </c>
      <c r="W51" s="159" t="str">
        <f t="shared" si="49"/>
        <v>P.034</v>
      </c>
    </row>
    <row r="52" spans="1:23" ht="25">
      <c r="A52" s="193" t="s">
        <v>372</v>
      </c>
      <c r="B52" s="156" t="s">
        <v>117</v>
      </c>
      <c r="C52" s="712" t="str">
        <f t="shared" ca="1" si="0"/>
        <v>Line - Osage - Webb City Tap - Shidler 138 kV Rebuild</v>
      </c>
      <c r="D52" s="180">
        <f t="shared" ca="1" si="0"/>
        <v>2024</v>
      </c>
      <c r="E52" s="181"/>
      <c r="F52" s="182"/>
      <c r="G52" s="182"/>
      <c r="H52" s="196"/>
      <c r="I52" s="184">
        <f t="shared" ca="1" si="3"/>
        <v>-10769.244792914746</v>
      </c>
      <c r="J52" s="696"/>
      <c r="K52" s="197"/>
      <c r="L52" s="198">
        <f t="shared" ref="L52" si="61">+J52-K52</f>
        <v>0</v>
      </c>
      <c r="M52" s="198"/>
      <c r="N52" s="195"/>
      <c r="O52" s="195"/>
      <c r="P52" s="195"/>
      <c r="Q52" s="715">
        <f t="shared" ca="1" si="33"/>
        <v>-23488.571477356352</v>
      </c>
      <c r="R52" s="199">
        <f t="shared" ref="R52" ca="1" si="62">I52+L52+P52+Q52</f>
        <v>-34257.816270271098</v>
      </c>
      <c r="S52" s="199"/>
      <c r="T52" s="200">
        <f t="shared" ref="T52" ca="1" si="63">+G52+R52</f>
        <v>-34257.816270271098</v>
      </c>
      <c r="U52" s="710"/>
      <c r="V52" s="188">
        <f t="shared" ref="V52" ca="1" si="64">+I52+L52+P52</f>
        <v>-10769.244792914746</v>
      </c>
      <c r="W52" s="159" t="str">
        <f t="shared" si="49"/>
        <v>P.035</v>
      </c>
    </row>
    <row r="53" spans="1:23" ht="13">
      <c r="A53" s="159"/>
      <c r="B53" s="159"/>
      <c r="C53" s="159"/>
      <c r="D53" s="156"/>
      <c r="E53" s="199"/>
      <c r="F53" s="199"/>
      <c r="G53" s="199"/>
      <c r="H53" s="186"/>
      <c r="I53" s="199"/>
      <c r="J53" s="199"/>
      <c r="K53" s="201"/>
      <c r="L53" s="199"/>
      <c r="M53" s="199"/>
      <c r="N53" s="199"/>
      <c r="O53" s="199"/>
      <c r="P53" s="199"/>
      <c r="Q53" s="199"/>
      <c r="R53" s="199"/>
      <c r="S53" s="186"/>
      <c r="T53" s="200"/>
      <c r="V53" s="178"/>
    </row>
    <row r="54" spans="1:23" ht="13">
      <c r="A54" s="159"/>
      <c r="B54" s="159"/>
      <c r="C54" s="202" t="s">
        <v>177</v>
      </c>
      <c r="D54" s="156"/>
      <c r="E54" s="186">
        <f>SUM(E18:E53)</f>
        <v>0</v>
      </c>
      <c r="F54" s="186">
        <f ca="1">SUM(F18:F53)</f>
        <v>0</v>
      </c>
      <c r="G54" s="186">
        <f ca="1">SUM(G18:G53)</f>
        <v>0</v>
      </c>
      <c r="H54" s="186"/>
      <c r="I54" s="186">
        <f ca="1">SUM(I18:I53)</f>
        <v>884380.86930556444</v>
      </c>
      <c r="J54" s="186">
        <f>SUM(J18:J53)</f>
        <v>8210155.6580343777</v>
      </c>
      <c r="K54" s="698">
        <v>8945859.633542547</v>
      </c>
      <c r="L54" s="186">
        <f>SUM(L18:L53)</f>
        <v>-735703.97550816927</v>
      </c>
      <c r="M54" s="186">
        <f>SUM(M18:M42)</f>
        <v>0</v>
      </c>
      <c r="N54" s="186">
        <f>SUM(N18:N53)</f>
        <v>0</v>
      </c>
      <c r="O54" s="186">
        <f>SUM(O18:O53)</f>
        <v>0</v>
      </c>
      <c r="P54" s="186">
        <f>SUM(P18:P53)</f>
        <v>0</v>
      </c>
      <c r="Q54" s="186">
        <v>324276.02066293592</v>
      </c>
      <c r="R54" s="186">
        <f ca="1">SUM(R18:R53)</f>
        <v>472952.91446033109</v>
      </c>
      <c r="S54" s="186">
        <f>SUM(S18:S42)</f>
        <v>0</v>
      </c>
      <c r="T54" s="189">
        <f ca="1">SUM(T18:T53)</f>
        <v>472952.91446033109</v>
      </c>
      <c r="U54" s="189">
        <f>SUM(U18:U53)</f>
        <v>0</v>
      </c>
      <c r="V54" s="189">
        <f ca="1">SUM(V18:V53)</f>
        <v>148676.89379739523</v>
      </c>
      <c r="W54" s="203" t="s">
        <v>267</v>
      </c>
    </row>
    <row r="55" spans="1:23" ht="13.5" thickBot="1">
      <c r="A55" s="159"/>
      <c r="B55" s="159"/>
      <c r="C55" s="204"/>
      <c r="D55" s="159"/>
      <c r="E55" s="205"/>
      <c r="F55" s="206" t="str">
        <f ca="1">IF(F54='PSO.WS.F.BPU.ATRR.Projected'!O19,"","Error")</f>
        <v/>
      </c>
      <c r="G55" s="206"/>
      <c r="H55" s="159"/>
      <c r="I55" s="207" t="str">
        <f ca="1">IF(ROUND(I54,0)=ROUND('PSO.WS.G.BPU.ATRR.True-up'!N19,0),"","Error")</f>
        <v/>
      </c>
      <c r="J55" s="208"/>
      <c r="K55" s="209" t="str">
        <f>IF(K54=SUM(K18:K52),"","Error -- check allocations above).")</f>
        <v/>
      </c>
      <c r="L55" s="210"/>
      <c r="M55" s="210"/>
      <c r="N55" s="210"/>
      <c r="O55" s="210"/>
      <c r="P55" s="210"/>
      <c r="Q55" s="705" t="str">
        <f ca="1">IF(Q54=SUM(Q18:Q53),"","Error -- check allocations above).")</f>
        <v/>
      </c>
      <c r="R55" s="186"/>
      <c r="S55" s="186"/>
      <c r="T55" s="186"/>
      <c r="V55" s="211"/>
      <c r="W55" s="203"/>
    </row>
    <row r="56" spans="1:23" ht="12.5">
      <c r="A56" s="159"/>
      <c r="B56" s="159"/>
      <c r="C56" s="212" t="s">
        <v>217</v>
      </c>
      <c r="D56" s="159"/>
      <c r="E56" s="186"/>
      <c r="F56" s="186"/>
      <c r="G56" s="186"/>
      <c r="H56" s="159"/>
      <c r="I56" s="213"/>
      <c r="J56" s="213"/>
      <c r="K56" s="159"/>
      <c r="L56" s="159"/>
      <c r="M56" s="159"/>
      <c r="N56" s="210"/>
      <c r="O56" s="210"/>
      <c r="P56" s="210"/>
      <c r="Q56" s="704"/>
      <c r="R56" s="186"/>
      <c r="S56" s="186"/>
      <c r="T56" s="186"/>
    </row>
    <row r="57" spans="1:23" ht="12.5">
      <c r="A57" s="159"/>
      <c r="B57" s="159"/>
      <c r="C57" s="212"/>
      <c r="D57" s="159"/>
      <c r="E57" s="186"/>
      <c r="F57" s="186" t="s">
        <v>348</v>
      </c>
      <c r="G57" s="186"/>
      <c r="H57" s="159"/>
      <c r="I57" s="214"/>
      <c r="J57" s="215"/>
      <c r="K57" s="185"/>
      <c r="L57" s="159"/>
      <c r="M57" s="159"/>
      <c r="N57" s="210"/>
      <c r="O57" s="210"/>
      <c r="P57" s="210"/>
      <c r="Q57" s="704"/>
      <c r="R57" s="210"/>
      <c r="S57" s="159"/>
      <c r="T57" s="159"/>
    </row>
    <row r="58" spans="1:23" ht="12.5">
      <c r="E58" s="216"/>
      <c r="F58" s="216"/>
      <c r="G58" s="216"/>
      <c r="I58" s="216"/>
      <c r="J58" s="217"/>
      <c r="N58" s="218"/>
      <c r="O58" s="218"/>
      <c r="P58" s="218"/>
      <c r="Q58" s="706"/>
      <c r="R58" s="218"/>
    </row>
    <row r="59" spans="1:23" ht="12.5">
      <c r="E59" s="216"/>
      <c r="F59" s="216"/>
      <c r="G59" s="216"/>
    </row>
    <row r="60" spans="1:23" ht="12.5">
      <c r="A60" s="219" t="s">
        <v>188</v>
      </c>
      <c r="B60" s="220"/>
      <c r="C60" s="220"/>
      <c r="D60" s="220"/>
      <c r="E60" s="221"/>
      <c r="F60" s="221"/>
      <c r="G60" s="221"/>
      <c r="H60" s="220"/>
      <c r="I60" s="220"/>
      <c r="J60" s="220"/>
      <c r="K60" s="220"/>
      <c r="L60" s="220"/>
      <c r="M60" s="220"/>
      <c r="N60" s="220"/>
      <c r="O60" s="222"/>
      <c r="V60" s="148" t="s">
        <v>201</v>
      </c>
    </row>
    <row r="61" spans="1:23" ht="15.5">
      <c r="A61" s="223" t="s">
        <v>191</v>
      </c>
      <c r="B61" s="194"/>
      <c r="C61" s="224" t="str">
        <f ca="1">RIGHT(CELL("address",P.001!D7),4)</f>
        <v>$D$7</v>
      </c>
      <c r="D61" s="224" t="str">
        <f ca="1">RIGHT(CELL("address",P.001!D11),4)</f>
        <v>D$11</v>
      </c>
      <c r="E61" s="224" t="str">
        <f ca="1">RIGHT(CELL("address",P.001!N5),4)</f>
        <v>$N$5</v>
      </c>
      <c r="F61" s="224" t="str">
        <f ca="1">RIGHT(CELL("address",P.001!N7),4)</f>
        <v>$N$7</v>
      </c>
      <c r="G61" s="194"/>
      <c r="H61" s="225"/>
      <c r="I61" s="224" t="str">
        <f ca="1">RIGHT(CELL("address",P.001!M89),4)</f>
        <v>M$89</v>
      </c>
      <c r="J61" s="224"/>
      <c r="K61" s="194"/>
      <c r="L61" s="194"/>
      <c r="M61" s="194"/>
      <c r="N61" s="224" t="str">
        <f ca="1">RIGHT(CELL("address",P.001!N87),4)</f>
        <v>N$87</v>
      </c>
      <c r="O61" s="226" t="str">
        <f ca="1">RIGHT(CELL("address",P.001!N88),4)</f>
        <v>N$88</v>
      </c>
      <c r="P61" s="177" t="s">
        <v>190</v>
      </c>
      <c r="V61" s="148" t="s">
        <v>202</v>
      </c>
    </row>
    <row r="62" spans="1:23" ht="12.5">
      <c r="A62" s="227" t="s">
        <v>192</v>
      </c>
      <c r="B62" s="228"/>
      <c r="C62" s="228"/>
      <c r="D62" s="228"/>
      <c r="E62" s="229"/>
      <c r="F62" s="229"/>
      <c r="G62" s="229"/>
      <c r="H62" s="228"/>
      <c r="I62" s="228"/>
      <c r="J62" s="228"/>
      <c r="K62" s="228"/>
      <c r="L62" s="228"/>
      <c r="M62" s="228"/>
      <c r="N62" s="228"/>
      <c r="O62" s="230"/>
      <c r="V62" s="148" t="s">
        <v>203</v>
      </c>
    </row>
    <row r="63" spans="1:23" ht="12.5">
      <c r="E63" s="216"/>
      <c r="F63" s="216"/>
      <c r="G63" s="216"/>
      <c r="V63" s="148" t="s">
        <v>204</v>
      </c>
    </row>
    <row r="64" spans="1:23" ht="12.5">
      <c r="A64" s="231" t="s">
        <v>241</v>
      </c>
      <c r="B64" s="231" t="s">
        <v>242</v>
      </c>
      <c r="E64" s="216"/>
      <c r="F64" s="216"/>
      <c r="G64" s="216"/>
      <c r="V64" s="232" t="s">
        <v>225</v>
      </c>
    </row>
    <row r="65" spans="2:11" ht="12.5">
      <c r="B65" s="231" t="s">
        <v>245</v>
      </c>
      <c r="E65" s="216"/>
      <c r="F65" s="216"/>
      <c r="G65" s="216"/>
    </row>
    <row r="66" spans="2:11" ht="12.5">
      <c r="B66" s="231" t="s">
        <v>246</v>
      </c>
      <c r="E66" s="216"/>
      <c r="F66" s="216"/>
      <c r="G66" s="216"/>
    </row>
    <row r="67" spans="2:11" ht="12.5">
      <c r="B67" s="231" t="s">
        <v>243</v>
      </c>
      <c r="E67" s="216"/>
      <c r="F67" s="216"/>
      <c r="G67" s="216"/>
      <c r="K67" s="235"/>
    </row>
    <row r="68" spans="2:11" ht="12.5">
      <c r="B68" s="231" t="s">
        <v>244</v>
      </c>
      <c r="E68" s="216"/>
      <c r="F68" s="216"/>
      <c r="G68" s="216"/>
      <c r="K68" s="233"/>
    </row>
    <row r="69" spans="2:11" ht="12.5">
      <c r="B69" s="231" t="s">
        <v>247</v>
      </c>
      <c r="E69" s="216"/>
      <c r="F69" s="216"/>
      <c r="G69" s="216"/>
    </row>
    <row r="72" spans="2:11" ht="12.75" customHeight="1">
      <c r="E72" s="160"/>
      <c r="F72" s="160"/>
      <c r="G72" s="160"/>
      <c r="H72" s="160"/>
      <c r="I72" s="234"/>
      <c r="J72" s="234"/>
    </row>
    <row r="74" spans="2:11" ht="12.75" customHeight="1">
      <c r="E74" s="214"/>
      <c r="F74" s="214"/>
      <c r="G74" s="235"/>
      <c r="H74" s="235"/>
      <c r="I74" s="236"/>
      <c r="J74" s="237"/>
    </row>
    <row r="75" spans="2:11" ht="12.75" customHeight="1">
      <c r="E75" s="214"/>
      <c r="F75" s="214"/>
      <c r="G75" s="235"/>
      <c r="H75" s="235"/>
      <c r="I75" s="236"/>
      <c r="J75" s="237"/>
    </row>
    <row r="76" spans="2:11" ht="12.75" customHeight="1">
      <c r="E76" s="214"/>
      <c r="F76" s="214"/>
      <c r="G76" s="235"/>
      <c r="H76" s="235"/>
      <c r="I76" s="236"/>
      <c r="J76" s="237"/>
    </row>
    <row r="77" spans="2:11" ht="12.75" customHeight="1">
      <c r="E77" s="214"/>
      <c r="F77" s="214"/>
      <c r="G77" s="235"/>
      <c r="H77" s="235"/>
      <c r="I77" s="236"/>
      <c r="J77" s="237"/>
    </row>
    <row r="78" spans="2:11" ht="12.75" customHeight="1">
      <c r="E78" s="214"/>
      <c r="F78" s="214"/>
      <c r="G78" s="235"/>
      <c r="H78" s="235"/>
      <c r="I78" s="236"/>
      <c r="J78" s="237"/>
    </row>
    <row r="79" spans="2:11" ht="12.75" customHeight="1">
      <c r="E79" s="214"/>
      <c r="F79" s="214"/>
      <c r="G79" s="235"/>
      <c r="H79" s="235"/>
      <c r="I79" s="236"/>
      <c r="J79" s="237"/>
    </row>
    <row r="80" spans="2:11" ht="12.75" customHeight="1">
      <c r="E80" s="214"/>
      <c r="F80" s="214"/>
      <c r="G80" s="235"/>
      <c r="H80" s="235"/>
      <c r="I80" s="236"/>
      <c r="J80" s="237"/>
    </row>
    <row r="81" spans="5:10" ht="12.75" customHeight="1">
      <c r="E81" s="214"/>
      <c r="F81" s="214"/>
      <c r="G81" s="235"/>
      <c r="H81" s="235"/>
      <c r="I81" s="236"/>
      <c r="J81" s="237"/>
    </row>
    <row r="82" spans="5:10" ht="12.75" customHeight="1">
      <c r="E82" s="214"/>
      <c r="F82" s="214"/>
      <c r="G82" s="235"/>
      <c r="H82" s="235"/>
      <c r="I82" s="236"/>
      <c r="J82" s="237"/>
    </row>
    <row r="83" spans="5:10" ht="12.75" customHeight="1">
      <c r="E83" s="214"/>
      <c r="F83" s="214"/>
      <c r="G83" s="235"/>
      <c r="H83" s="235"/>
      <c r="I83" s="236"/>
      <c r="J83" s="237"/>
    </row>
    <row r="84" spans="5:10" ht="12.75" customHeight="1">
      <c r="E84" s="214"/>
      <c r="F84" s="214"/>
      <c r="G84" s="235"/>
      <c r="H84" s="235"/>
      <c r="I84" s="236"/>
      <c r="J84" s="237"/>
    </row>
    <row r="85" spans="5:10" ht="12.75" customHeight="1">
      <c r="E85" s="214"/>
      <c r="F85" s="214"/>
      <c r="G85" s="235"/>
      <c r="H85" s="235"/>
      <c r="I85" s="236"/>
      <c r="J85" s="237"/>
    </row>
    <row r="86" spans="5:10" ht="12.75" customHeight="1">
      <c r="E86" s="214"/>
      <c r="F86" s="214"/>
      <c r="G86" s="235"/>
      <c r="H86" s="235"/>
      <c r="I86" s="236"/>
      <c r="J86" s="237"/>
    </row>
    <row r="87" spans="5:10" ht="12.75" customHeight="1">
      <c r="E87" s="214"/>
      <c r="F87" s="214"/>
      <c r="G87" s="235"/>
      <c r="H87" s="235"/>
      <c r="I87" s="236"/>
      <c r="J87" s="237"/>
    </row>
    <row r="88" spans="5:10" ht="12.75" customHeight="1">
      <c r="E88" s="214"/>
      <c r="F88" s="214"/>
      <c r="G88" s="235"/>
      <c r="H88" s="235"/>
      <c r="I88" s="236"/>
      <c r="J88" s="237"/>
    </row>
    <row r="89" spans="5:10" ht="12.75" customHeight="1">
      <c r="E89" s="214"/>
      <c r="F89" s="214"/>
      <c r="G89" s="235"/>
      <c r="H89" s="235"/>
      <c r="I89" s="236"/>
      <c r="J89" s="237"/>
    </row>
    <row r="90" spans="5:10" ht="12.75" customHeight="1">
      <c r="E90" s="214"/>
      <c r="F90" s="214"/>
      <c r="G90" s="235"/>
      <c r="H90" s="235"/>
      <c r="I90" s="236"/>
      <c r="J90" s="237"/>
    </row>
    <row r="91" spans="5:10" ht="12.75" customHeight="1">
      <c r="E91" s="214"/>
      <c r="F91" s="214"/>
      <c r="G91" s="235"/>
      <c r="H91" s="235"/>
      <c r="I91" s="236"/>
      <c r="J91" s="237"/>
    </row>
    <row r="92" spans="5:10" ht="12.75" customHeight="1">
      <c r="E92" s="214"/>
      <c r="F92" s="214"/>
      <c r="G92" s="235"/>
      <c r="H92" s="235"/>
      <c r="I92" s="236"/>
      <c r="J92" s="237"/>
    </row>
    <row r="93" spans="5:10" ht="12.75" customHeight="1">
      <c r="E93" s="214"/>
      <c r="F93" s="214"/>
      <c r="G93" s="235"/>
      <c r="H93" s="235"/>
      <c r="I93" s="236"/>
      <c r="J93" s="237"/>
    </row>
    <row r="94" spans="5:10" ht="12.75" customHeight="1">
      <c r="E94" s="214"/>
      <c r="F94" s="214"/>
      <c r="G94" s="235"/>
      <c r="H94" s="235"/>
      <c r="I94" s="236"/>
      <c r="J94" s="237"/>
    </row>
    <row r="95" spans="5:10" ht="12.75" customHeight="1">
      <c r="E95" s="214"/>
      <c r="F95" s="214"/>
      <c r="G95" s="235"/>
      <c r="H95" s="235"/>
      <c r="I95" s="236"/>
      <c r="J95" s="237"/>
    </row>
    <row r="96" spans="5:10" ht="12.75" customHeight="1">
      <c r="E96" s="214"/>
      <c r="F96" s="214"/>
      <c r="G96" s="235"/>
      <c r="H96" s="235"/>
      <c r="I96" s="236"/>
      <c r="J96" s="237"/>
    </row>
    <row r="97" spans="5:10" ht="12.75" customHeight="1">
      <c r="E97" s="214"/>
      <c r="F97" s="214"/>
      <c r="G97" s="235"/>
      <c r="H97" s="235"/>
      <c r="I97" s="236"/>
      <c r="J97" s="237"/>
    </row>
    <row r="98" spans="5:10" ht="12.75" customHeight="1">
      <c r="E98" s="214"/>
      <c r="F98" s="214"/>
      <c r="G98" s="235"/>
      <c r="H98" s="235"/>
      <c r="I98" s="236"/>
      <c r="J98" s="237"/>
    </row>
    <row r="99" spans="5:10" ht="12.75" customHeight="1">
      <c r="E99" s="235"/>
      <c r="F99" s="235"/>
      <c r="H99" s="235"/>
      <c r="I99" s="235"/>
      <c r="J99" s="235"/>
    </row>
    <row r="100" spans="5:10" ht="12.75" customHeight="1">
      <c r="E100" s="235"/>
      <c r="F100" s="235"/>
      <c r="G100" s="235"/>
      <c r="H100" s="235"/>
      <c r="I100" s="235"/>
      <c r="J100" s="235"/>
    </row>
  </sheetData>
  <mergeCells count="2">
    <mergeCell ref="E13:G13"/>
    <mergeCell ref="T14:T16"/>
  </mergeCells>
  <phoneticPr fontId="62" type="noConversion"/>
  <pageMargins left="0.25" right="0.25" top="1" bottom="1" header="0.65" footer="0.5"/>
  <pageSetup scale="48" orientation="landscape" r:id="rId1"/>
  <headerFooter alignWithMargins="0">
    <oddHeader xml:space="preserve">&amp;R&amp;16AEP - SPP Formula Rate
Schedule 11 Revenue Requirements
Public Service Company of Oklahoma
Page: &amp;P of &amp;N
</oddHeader>
    <oddFooter>&amp;L&amp;A</oddFooter>
  </headerFooter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5">
    <tabColor rgb="FFC00000"/>
  </sheetPr>
  <dimension ref="A1:P162"/>
  <sheetViews>
    <sheetView topLeftCell="A2"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7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8738.3958100464006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8738.3958100464006</v>
      </c>
      <c r="O6" s="231"/>
      <c r="P6" s="231"/>
    </row>
    <row r="7" spans="1:16" ht="13.5" thickBot="1">
      <c r="C7" s="428" t="s">
        <v>46</v>
      </c>
      <c r="D7" s="429" t="s">
        <v>214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>DOES NOT MEET SPP $100,000 MINIMUM INVESTMENT FOR REGIONAL BPU SHARING.</v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86</v>
      </c>
      <c r="E9" s="519" t="s">
        <v>374</v>
      </c>
      <c r="F9" s="719">
        <v>118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84424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2007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12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IF(D10=0,0,ROUND(D10/D13,0))</f>
        <v>2222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2007</v>
      </c>
      <c r="D17" s="470">
        <v>84424</v>
      </c>
      <c r="E17" s="471">
        <v>0</v>
      </c>
      <c r="F17" s="470">
        <v>84424</v>
      </c>
      <c r="G17" s="471">
        <v>0</v>
      </c>
      <c r="H17" s="478">
        <v>0</v>
      </c>
      <c r="I17" s="472">
        <f t="shared" ref="I17:I48" si="0">H17-G17</f>
        <v>0</v>
      </c>
      <c r="J17" s="472"/>
      <c r="K17" s="551">
        <v>0</v>
      </c>
      <c r="L17" s="474">
        <f t="shared" ref="L17:L48" si="1">IF(K17&lt;&gt;0,+G17-K17,0)</f>
        <v>0</v>
      </c>
      <c r="M17" s="551">
        <v>0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2008</v>
      </c>
      <c r="D18" s="476">
        <v>84424</v>
      </c>
      <c r="E18" s="477">
        <v>1508</v>
      </c>
      <c r="F18" s="476">
        <v>82916</v>
      </c>
      <c r="G18" s="477">
        <v>0</v>
      </c>
      <c r="H18" s="478">
        <v>0</v>
      </c>
      <c r="I18" s="472">
        <f t="shared" si="0"/>
        <v>0</v>
      </c>
      <c r="J18" s="472"/>
      <c r="K18" s="473">
        <v>0</v>
      </c>
      <c r="L18" s="475">
        <f t="shared" si="1"/>
        <v>0</v>
      </c>
      <c r="M18" s="473">
        <v>0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/>
      </c>
      <c r="C19" s="469">
        <f>IF(D11="","-",+C18+1)</f>
        <v>2009</v>
      </c>
      <c r="D19" s="476">
        <v>82916</v>
      </c>
      <c r="E19" s="477">
        <v>1508</v>
      </c>
      <c r="F19" s="476">
        <v>81408</v>
      </c>
      <c r="G19" s="477">
        <v>0</v>
      </c>
      <c r="H19" s="478">
        <v>0</v>
      </c>
      <c r="I19" s="472">
        <f t="shared" si="0"/>
        <v>0</v>
      </c>
      <c r="J19" s="472"/>
      <c r="K19" s="473">
        <v>0</v>
      </c>
      <c r="L19" s="475">
        <f t="shared" si="1"/>
        <v>0</v>
      </c>
      <c r="M19" s="473">
        <v>0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4">IF(D20=F19,"","IU")</f>
        <v/>
      </c>
      <c r="C20" s="469">
        <f>IF(D11="","-",+C19+1)</f>
        <v>2010</v>
      </c>
      <c r="D20" s="476">
        <v>81408</v>
      </c>
      <c r="E20" s="477">
        <v>1508</v>
      </c>
      <c r="F20" s="476">
        <v>79900</v>
      </c>
      <c r="G20" s="477">
        <v>13037.291488737637</v>
      </c>
      <c r="H20" s="478">
        <v>13037.291488737637</v>
      </c>
      <c r="I20" s="472">
        <v>0</v>
      </c>
      <c r="J20" s="472"/>
      <c r="K20" s="537">
        <f t="shared" ref="K20:K25" si="5">G20</f>
        <v>13037.291488737637</v>
      </c>
      <c r="L20" s="538">
        <f t="shared" si="1"/>
        <v>0</v>
      </c>
      <c r="M20" s="537">
        <f t="shared" ref="M20:M25" si="6">H20</f>
        <v>13037.291488737637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4"/>
        <v/>
      </c>
      <c r="C21" s="469">
        <f>IF(D11="","-",+C20+1)</f>
        <v>2011</v>
      </c>
      <c r="D21" s="476">
        <v>79900</v>
      </c>
      <c r="E21" s="477">
        <v>1655</v>
      </c>
      <c r="F21" s="476">
        <v>78245</v>
      </c>
      <c r="G21" s="477">
        <v>13903.733792156472</v>
      </c>
      <c r="H21" s="478">
        <v>13903.733792156472</v>
      </c>
      <c r="I21" s="472">
        <f t="shared" si="0"/>
        <v>0</v>
      </c>
      <c r="J21" s="472"/>
      <c r="K21" s="473">
        <f t="shared" si="5"/>
        <v>13903.733792156472</v>
      </c>
      <c r="L21" s="547">
        <f t="shared" si="1"/>
        <v>0</v>
      </c>
      <c r="M21" s="473">
        <f t="shared" si="6"/>
        <v>13903.733792156472</v>
      </c>
      <c r="N21" s="475">
        <f t="shared" si="2"/>
        <v>0</v>
      </c>
      <c r="O21" s="475">
        <f t="shared" si="3"/>
        <v>0</v>
      </c>
      <c r="P21" s="241"/>
    </row>
    <row r="22" spans="2:16" ht="12.5">
      <c r="B22" s="160" t="str">
        <f t="shared" si="4"/>
        <v/>
      </c>
      <c r="C22" s="469">
        <f>IF(D11="","-",+C21+1)</f>
        <v>2012</v>
      </c>
      <c r="D22" s="476">
        <v>78245</v>
      </c>
      <c r="E22" s="477">
        <v>1624</v>
      </c>
      <c r="F22" s="476">
        <v>76621</v>
      </c>
      <c r="G22" s="477">
        <v>12290.159159207155</v>
      </c>
      <c r="H22" s="478">
        <v>12290.159159207155</v>
      </c>
      <c r="I22" s="472">
        <f t="shared" si="0"/>
        <v>0</v>
      </c>
      <c r="J22" s="472"/>
      <c r="K22" s="473">
        <f t="shared" si="5"/>
        <v>12290.159159207155</v>
      </c>
      <c r="L22" s="547">
        <f t="shared" si="1"/>
        <v>0</v>
      </c>
      <c r="M22" s="473">
        <f t="shared" si="6"/>
        <v>12290.159159207155</v>
      </c>
      <c r="N22" s="475">
        <f t="shared" si="2"/>
        <v>0</v>
      </c>
      <c r="O22" s="475">
        <f t="shared" si="3"/>
        <v>0</v>
      </c>
      <c r="P22" s="241"/>
    </row>
    <row r="23" spans="2:16" ht="12.5">
      <c r="B23" s="160" t="str">
        <f t="shared" si="4"/>
        <v/>
      </c>
      <c r="C23" s="469">
        <f>IF(D11="","-",+C22+1)</f>
        <v>2013</v>
      </c>
      <c r="D23" s="476">
        <v>76621</v>
      </c>
      <c r="E23" s="477">
        <v>1624</v>
      </c>
      <c r="F23" s="476">
        <v>74997</v>
      </c>
      <c r="G23" s="477">
        <v>12334.078606810854</v>
      </c>
      <c r="H23" s="478">
        <v>12334.078606810854</v>
      </c>
      <c r="I23" s="472">
        <v>0</v>
      </c>
      <c r="J23" s="472"/>
      <c r="K23" s="473">
        <f t="shared" si="5"/>
        <v>12334.078606810854</v>
      </c>
      <c r="L23" s="547">
        <f t="shared" ref="L23:L28" si="7">IF(K23&lt;&gt;0,+G23-K23,0)</f>
        <v>0</v>
      </c>
      <c r="M23" s="473">
        <f t="shared" si="6"/>
        <v>12334.078606810854</v>
      </c>
      <c r="N23" s="475">
        <f t="shared" ref="N23:N28" si="8">IF(M23&lt;&gt;0,+H23-M23,0)</f>
        <v>0</v>
      </c>
      <c r="O23" s="475">
        <f t="shared" ref="O23:O28" si="9">+N23-L23</f>
        <v>0</v>
      </c>
      <c r="P23" s="241"/>
    </row>
    <row r="24" spans="2:16" ht="12.5">
      <c r="B24" s="160" t="str">
        <f t="shared" si="4"/>
        <v/>
      </c>
      <c r="C24" s="469">
        <f>IF(D11="","-",+C23+1)</f>
        <v>2014</v>
      </c>
      <c r="D24" s="476">
        <v>74997</v>
      </c>
      <c r="E24" s="477">
        <v>1624</v>
      </c>
      <c r="F24" s="476">
        <v>73373</v>
      </c>
      <c r="G24" s="477">
        <v>11724.436761777028</v>
      </c>
      <c r="H24" s="478">
        <v>11724.436761777028</v>
      </c>
      <c r="I24" s="472">
        <v>0</v>
      </c>
      <c r="J24" s="472"/>
      <c r="K24" s="473">
        <f t="shared" si="5"/>
        <v>11724.436761777028</v>
      </c>
      <c r="L24" s="547">
        <f t="shared" si="7"/>
        <v>0</v>
      </c>
      <c r="M24" s="473">
        <f t="shared" si="6"/>
        <v>11724.436761777028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4"/>
        <v/>
      </c>
      <c r="C25" s="469">
        <f>IF(D11="","-",+C24+1)</f>
        <v>2015</v>
      </c>
      <c r="D25" s="476">
        <v>73373</v>
      </c>
      <c r="E25" s="477">
        <v>1624</v>
      </c>
      <c r="F25" s="476">
        <v>71749</v>
      </c>
      <c r="G25" s="477">
        <v>11516.153501332747</v>
      </c>
      <c r="H25" s="478">
        <v>11516.153501332747</v>
      </c>
      <c r="I25" s="472">
        <v>0</v>
      </c>
      <c r="J25" s="472"/>
      <c r="K25" s="473">
        <f t="shared" si="5"/>
        <v>11516.153501332747</v>
      </c>
      <c r="L25" s="547">
        <f t="shared" si="7"/>
        <v>0</v>
      </c>
      <c r="M25" s="473">
        <f t="shared" si="6"/>
        <v>11516.153501332747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4"/>
        <v/>
      </c>
      <c r="C26" s="469">
        <f>IF(D11="","-",+C25+1)</f>
        <v>2016</v>
      </c>
      <c r="D26" s="476">
        <v>71749</v>
      </c>
      <c r="E26" s="477">
        <v>1624</v>
      </c>
      <c r="F26" s="476">
        <v>70125</v>
      </c>
      <c r="G26" s="477">
        <v>10821.569336122064</v>
      </c>
      <c r="H26" s="478">
        <v>10821.569336122064</v>
      </c>
      <c r="I26" s="472">
        <f t="shared" si="0"/>
        <v>0</v>
      </c>
      <c r="J26" s="472"/>
      <c r="K26" s="473">
        <f t="shared" ref="K26:K31" si="10">G26</f>
        <v>10821.569336122064</v>
      </c>
      <c r="L26" s="547">
        <f t="shared" si="7"/>
        <v>0</v>
      </c>
      <c r="M26" s="473">
        <f t="shared" ref="M26:M31" si="11">H26</f>
        <v>10821.569336122064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4"/>
        <v/>
      </c>
      <c r="C27" s="469">
        <f>IF(D11="","-",+C26+1)</f>
        <v>2017</v>
      </c>
      <c r="D27" s="476">
        <v>70125</v>
      </c>
      <c r="E27" s="477">
        <v>1835</v>
      </c>
      <c r="F27" s="476">
        <v>68290</v>
      </c>
      <c r="G27" s="477">
        <v>10525.630110064558</v>
      </c>
      <c r="H27" s="478">
        <v>10525.630110064558</v>
      </c>
      <c r="I27" s="472">
        <f t="shared" si="0"/>
        <v>0</v>
      </c>
      <c r="J27" s="472"/>
      <c r="K27" s="473">
        <f t="shared" si="10"/>
        <v>10525.630110064558</v>
      </c>
      <c r="L27" s="547">
        <f t="shared" si="7"/>
        <v>0</v>
      </c>
      <c r="M27" s="473">
        <f t="shared" si="11"/>
        <v>10525.630110064558</v>
      </c>
      <c r="N27" s="475">
        <f t="shared" si="8"/>
        <v>0</v>
      </c>
      <c r="O27" s="475">
        <f t="shared" si="9"/>
        <v>0</v>
      </c>
      <c r="P27" s="241"/>
    </row>
    <row r="28" spans="2:16" ht="12.5">
      <c r="B28" s="160" t="str">
        <f t="shared" si="4"/>
        <v/>
      </c>
      <c r="C28" s="469">
        <f>IF(D11="","-",+C27+1)</f>
        <v>2018</v>
      </c>
      <c r="D28" s="476">
        <v>68290</v>
      </c>
      <c r="E28" s="477">
        <v>1876</v>
      </c>
      <c r="F28" s="476">
        <v>66414</v>
      </c>
      <c r="G28" s="477">
        <v>9942.0041745497692</v>
      </c>
      <c r="H28" s="478">
        <v>9942.0041745497692</v>
      </c>
      <c r="I28" s="472">
        <f t="shared" si="0"/>
        <v>0</v>
      </c>
      <c r="J28" s="472"/>
      <c r="K28" s="473">
        <f t="shared" si="10"/>
        <v>9942.0041745497692</v>
      </c>
      <c r="L28" s="547">
        <f t="shared" si="7"/>
        <v>0</v>
      </c>
      <c r="M28" s="473">
        <f t="shared" si="11"/>
        <v>9942.0041745497692</v>
      </c>
      <c r="N28" s="475">
        <f t="shared" si="8"/>
        <v>0</v>
      </c>
      <c r="O28" s="475">
        <f t="shared" si="9"/>
        <v>0</v>
      </c>
      <c r="P28" s="241"/>
    </row>
    <row r="29" spans="2:16" ht="12.5">
      <c r="B29" s="160" t="str">
        <f t="shared" si="4"/>
        <v/>
      </c>
      <c r="C29" s="469">
        <f>IF(D11="","-",+C28+1)</f>
        <v>2019</v>
      </c>
      <c r="D29" s="476">
        <v>66414</v>
      </c>
      <c r="E29" s="477">
        <v>2111</v>
      </c>
      <c r="F29" s="476">
        <v>64303</v>
      </c>
      <c r="G29" s="477">
        <v>9408.7099366610164</v>
      </c>
      <c r="H29" s="478">
        <v>9408.7099366610164</v>
      </c>
      <c r="I29" s="472">
        <f t="shared" si="0"/>
        <v>0</v>
      </c>
      <c r="J29" s="472"/>
      <c r="K29" s="473">
        <f t="shared" si="10"/>
        <v>9408.7099366610164</v>
      </c>
      <c r="L29" s="547">
        <f t="shared" ref="L29" si="12">IF(K29&lt;&gt;0,+G29-K29,0)</f>
        <v>0</v>
      </c>
      <c r="M29" s="473">
        <f t="shared" si="11"/>
        <v>9408.7099366610164</v>
      </c>
      <c r="N29" s="475">
        <f t="shared" ref="N29" si="13">IF(M29&lt;&gt;0,+H29-M29,0)</f>
        <v>0</v>
      </c>
      <c r="O29" s="475">
        <f t="shared" ref="O29" si="14">+N29-L29</f>
        <v>0</v>
      </c>
      <c r="P29" s="241"/>
    </row>
    <row r="30" spans="2:16" ht="12.5">
      <c r="B30" s="160" t="str">
        <f t="shared" si="4"/>
        <v>IU</v>
      </c>
      <c r="C30" s="469">
        <f>IF(D11="","-",+C29+1)</f>
        <v>2020</v>
      </c>
      <c r="D30" s="476">
        <v>64538</v>
      </c>
      <c r="E30" s="477">
        <v>2010</v>
      </c>
      <c r="F30" s="476">
        <v>62528</v>
      </c>
      <c r="G30" s="477">
        <v>8871.8674914200565</v>
      </c>
      <c r="H30" s="478">
        <v>8871.8674914200565</v>
      </c>
      <c r="I30" s="472">
        <f t="shared" si="0"/>
        <v>0</v>
      </c>
      <c r="J30" s="472"/>
      <c r="K30" s="473">
        <f t="shared" si="10"/>
        <v>8871.8674914200565</v>
      </c>
      <c r="L30" s="547">
        <f t="shared" ref="L30" si="15">IF(K30&lt;&gt;0,+G30-K30,0)</f>
        <v>0</v>
      </c>
      <c r="M30" s="473">
        <f t="shared" si="11"/>
        <v>8871.8674914200565</v>
      </c>
      <c r="N30" s="475">
        <f t="shared" si="2"/>
        <v>0</v>
      </c>
      <c r="O30" s="475">
        <f t="shared" si="3"/>
        <v>0</v>
      </c>
      <c r="P30" s="241"/>
    </row>
    <row r="31" spans="2:16" ht="12.5">
      <c r="B31" s="160" t="str">
        <f t="shared" si="4"/>
        <v>IU</v>
      </c>
      <c r="C31" s="469">
        <f>IF(D11="","-",+C30+1)</f>
        <v>2021</v>
      </c>
      <c r="D31" s="476">
        <v>62293</v>
      </c>
      <c r="E31" s="477">
        <v>1963</v>
      </c>
      <c r="F31" s="476">
        <v>60330</v>
      </c>
      <c r="G31" s="477">
        <v>8467.8802590192263</v>
      </c>
      <c r="H31" s="478">
        <v>8467.8802590192263</v>
      </c>
      <c r="I31" s="472">
        <f t="shared" si="0"/>
        <v>0</v>
      </c>
      <c r="J31" s="472"/>
      <c r="K31" s="473">
        <f t="shared" si="10"/>
        <v>8467.8802590192263</v>
      </c>
      <c r="L31" s="547">
        <f t="shared" ref="L31" si="16">IF(K31&lt;&gt;0,+G31-K31,0)</f>
        <v>0</v>
      </c>
      <c r="M31" s="473">
        <f t="shared" si="11"/>
        <v>8467.8802590192263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4"/>
        <v/>
      </c>
      <c r="C32" s="469">
        <f>IF(D11="","-",+C31+1)</f>
        <v>2022</v>
      </c>
      <c r="D32" s="476">
        <v>60330</v>
      </c>
      <c r="E32" s="477">
        <v>2010</v>
      </c>
      <c r="F32" s="476">
        <v>58320</v>
      </c>
      <c r="G32" s="477">
        <v>8297.5518554789269</v>
      </c>
      <c r="H32" s="478">
        <v>8297.5518554789269</v>
      </c>
      <c r="I32" s="472">
        <f t="shared" si="0"/>
        <v>0</v>
      </c>
      <c r="J32" s="472"/>
      <c r="K32" s="473">
        <f t="shared" ref="K32" si="17">G32</f>
        <v>8297.5518554789269</v>
      </c>
      <c r="L32" s="547">
        <f t="shared" ref="L32" si="18">IF(K32&lt;&gt;0,+G32-K32,0)</f>
        <v>0</v>
      </c>
      <c r="M32" s="473">
        <f t="shared" ref="M32" si="19">H32</f>
        <v>8297.5518554789269</v>
      </c>
      <c r="N32" s="475">
        <f t="shared" si="2"/>
        <v>0</v>
      </c>
      <c r="O32" s="475">
        <f t="shared" si="3"/>
        <v>0</v>
      </c>
      <c r="P32" s="241"/>
    </row>
    <row r="33" spans="2:16" ht="12.5">
      <c r="B33" s="160" t="str">
        <f t="shared" si="4"/>
        <v/>
      </c>
      <c r="C33" s="469">
        <f>IF(D11="","-",+C32+1)</f>
        <v>2023</v>
      </c>
      <c r="D33" s="476">
        <v>58320</v>
      </c>
      <c r="E33" s="477">
        <v>2165</v>
      </c>
      <c r="F33" s="476">
        <v>56155</v>
      </c>
      <c r="G33" s="477">
        <v>8867.6018741323824</v>
      </c>
      <c r="H33" s="478">
        <v>8867.6018741323824</v>
      </c>
      <c r="I33" s="472">
        <f t="shared" si="0"/>
        <v>0</v>
      </c>
      <c r="J33" s="472"/>
      <c r="K33" s="473">
        <f t="shared" ref="K33" si="20">G33</f>
        <v>8867.6018741323824</v>
      </c>
      <c r="L33" s="547">
        <f t="shared" ref="L33" si="21">IF(K33&lt;&gt;0,+G33-K33,0)</f>
        <v>0</v>
      </c>
      <c r="M33" s="473">
        <f t="shared" ref="M33" si="22">H33</f>
        <v>8867.6018741323824</v>
      </c>
      <c r="N33" s="475">
        <f t="shared" si="2"/>
        <v>0</v>
      </c>
      <c r="O33" s="475">
        <f t="shared" si="3"/>
        <v>0</v>
      </c>
      <c r="P33" s="241"/>
    </row>
    <row r="34" spans="2:16" ht="12.5">
      <c r="B34" s="160" t="str">
        <f t="shared" si="4"/>
        <v/>
      </c>
      <c r="C34" s="469">
        <f>IF(D11="","-",+C33+1)</f>
        <v>2024</v>
      </c>
      <c r="D34" s="476">
        <v>56155</v>
      </c>
      <c r="E34" s="477">
        <v>2165</v>
      </c>
      <c r="F34" s="476">
        <v>53990</v>
      </c>
      <c r="G34" s="477">
        <v>8738.3958100464006</v>
      </c>
      <c r="H34" s="478">
        <v>8738.3958100464006</v>
      </c>
      <c r="I34" s="472">
        <f t="shared" si="0"/>
        <v>0</v>
      </c>
      <c r="J34" s="472"/>
      <c r="K34" s="473">
        <f t="shared" ref="K34" si="23">G34</f>
        <v>8738.3958100464006</v>
      </c>
      <c r="L34" s="547">
        <f t="shared" ref="L34" si="24">IF(K34&lt;&gt;0,+G34-K34,0)</f>
        <v>0</v>
      </c>
      <c r="M34" s="473">
        <f t="shared" ref="M34" si="25">H34</f>
        <v>8738.3958100464006</v>
      </c>
      <c r="N34" s="475">
        <f t="shared" ref="N34" si="26">IF(M34&lt;&gt;0,+H34-M34,0)</f>
        <v>0</v>
      </c>
      <c r="O34" s="475">
        <f t="shared" ref="O34" si="27">+N34-L34</f>
        <v>0</v>
      </c>
      <c r="P34" s="241"/>
    </row>
    <row r="35" spans="2:16" ht="12.5">
      <c r="B35" s="160" t="str">
        <f t="shared" si="4"/>
        <v/>
      </c>
      <c r="C35" s="469">
        <f>IF(D11="","-",+C34+1)</f>
        <v>2025</v>
      </c>
      <c r="D35" s="482">
        <f>IF(F34+SUM(E$17:E34)=D$10,F34,D$10-SUM(E$17:E34))</f>
        <v>53990</v>
      </c>
      <c r="E35" s="481">
        <f>IF(+I14&lt;F34,I14,D35)</f>
        <v>2222</v>
      </c>
      <c r="F35" s="482">
        <f t="shared" ref="F35:F48" si="28">+D35-E35</f>
        <v>51768</v>
      </c>
      <c r="G35" s="483">
        <f t="shared" ref="G35:G71" si="29">(D35+F35)/2*I$12+E35</f>
        <v>8236.4673790210873</v>
      </c>
      <c r="H35" s="452">
        <f t="shared" ref="H35:H71" si="30">+(D35+F35)/2*I$13+E35</f>
        <v>8236.4673790210873</v>
      </c>
      <c r="I35" s="472">
        <f t="shared" si="0"/>
        <v>0</v>
      </c>
      <c r="J35" s="472"/>
      <c r="K35" s="484"/>
      <c r="L35" s="475">
        <f t="shared" si="1"/>
        <v>0</v>
      </c>
      <c r="M35" s="484"/>
      <c r="N35" s="475">
        <f t="shared" si="2"/>
        <v>0</v>
      </c>
      <c r="O35" s="475">
        <f t="shared" si="3"/>
        <v>0</v>
      </c>
      <c r="P35" s="241"/>
    </row>
    <row r="36" spans="2:16" ht="12.5">
      <c r="B36" s="160" t="str">
        <f t="shared" si="4"/>
        <v/>
      </c>
      <c r="C36" s="469">
        <f>IF(D11="","-",+C35+1)</f>
        <v>2026</v>
      </c>
      <c r="D36" s="482">
        <f>IF(F35+SUM(E$17:E35)=D$10,F35,D$10-SUM(E$17:E35))</f>
        <v>51768</v>
      </c>
      <c r="E36" s="481">
        <f>IF(+I14&lt;F35,I14,D36)</f>
        <v>2222</v>
      </c>
      <c r="F36" s="482">
        <f t="shared" si="28"/>
        <v>49546</v>
      </c>
      <c r="G36" s="483">
        <f t="shared" si="29"/>
        <v>7983.7366822192407</v>
      </c>
      <c r="H36" s="452">
        <f t="shared" si="30"/>
        <v>7983.7366822192407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4"/>
        <v/>
      </c>
      <c r="C37" s="469">
        <f>IF(D11="","-",+C36+1)</f>
        <v>2027</v>
      </c>
      <c r="D37" s="482">
        <f>IF(F36+SUM(E$17:E36)=D$10,F36,D$10-SUM(E$17:E36))</f>
        <v>49546</v>
      </c>
      <c r="E37" s="481">
        <f>IF(+I14&lt;F36,I14,D37)</f>
        <v>2222</v>
      </c>
      <c r="F37" s="482">
        <f t="shared" si="28"/>
        <v>47324</v>
      </c>
      <c r="G37" s="483">
        <f t="shared" si="29"/>
        <v>7731.0059854173933</v>
      </c>
      <c r="H37" s="452">
        <f t="shared" si="30"/>
        <v>7731.0059854173933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4"/>
        <v/>
      </c>
      <c r="C38" s="469">
        <f>IF(D11="","-",+C37+1)</f>
        <v>2028</v>
      </c>
      <c r="D38" s="482">
        <f>IF(F37+SUM(E$17:E37)=D$10,F37,D$10-SUM(E$17:E37))</f>
        <v>47324</v>
      </c>
      <c r="E38" s="481">
        <f>IF(+I14&lt;F37,I14,D38)</f>
        <v>2222</v>
      </c>
      <c r="F38" s="482">
        <f t="shared" si="28"/>
        <v>45102</v>
      </c>
      <c r="G38" s="483">
        <f t="shared" si="29"/>
        <v>7478.2752886155467</v>
      </c>
      <c r="H38" s="452">
        <f t="shared" si="30"/>
        <v>7478.2752886155467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4"/>
        <v/>
      </c>
      <c r="C39" s="469">
        <f>IF(D11="","-",+C38+1)</f>
        <v>2029</v>
      </c>
      <c r="D39" s="482">
        <f>IF(F38+SUM(E$17:E38)=D$10,F38,D$10-SUM(E$17:E38))</f>
        <v>45102</v>
      </c>
      <c r="E39" s="481">
        <f>IF(+I14&lt;F38,I14,D39)</f>
        <v>2222</v>
      </c>
      <c r="F39" s="482">
        <f t="shared" si="28"/>
        <v>42880</v>
      </c>
      <c r="G39" s="483">
        <f t="shared" si="29"/>
        <v>7225.5445918137002</v>
      </c>
      <c r="H39" s="452">
        <f t="shared" si="30"/>
        <v>7225.5445918137002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4"/>
        <v/>
      </c>
      <c r="C40" s="469">
        <f>IF(D11="","-",+C39+1)</f>
        <v>2030</v>
      </c>
      <c r="D40" s="482">
        <f>IF(F39+SUM(E$17:E39)=D$10,F39,D$10-SUM(E$17:E39))</f>
        <v>42880</v>
      </c>
      <c r="E40" s="481">
        <f>IF(+I14&lt;F39,I14,D40)</f>
        <v>2222</v>
      </c>
      <c r="F40" s="482">
        <f t="shared" si="28"/>
        <v>40658</v>
      </c>
      <c r="G40" s="483">
        <f t="shared" si="29"/>
        <v>6972.8138950118537</v>
      </c>
      <c r="H40" s="452">
        <f t="shared" si="30"/>
        <v>6972.8138950118537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4"/>
        <v/>
      </c>
      <c r="C41" s="469">
        <f>IF(D11="","-",+C40+1)</f>
        <v>2031</v>
      </c>
      <c r="D41" s="482">
        <f>IF(F40+SUM(E$17:E40)=D$10,F40,D$10-SUM(E$17:E40))</f>
        <v>40658</v>
      </c>
      <c r="E41" s="481">
        <f>IF(+I14&lt;F40,I14,D41)</f>
        <v>2222</v>
      </c>
      <c r="F41" s="482">
        <f t="shared" si="28"/>
        <v>38436</v>
      </c>
      <c r="G41" s="483">
        <f t="shared" si="29"/>
        <v>6720.0831982100062</v>
      </c>
      <c r="H41" s="452">
        <f t="shared" si="30"/>
        <v>6720.0831982100062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4"/>
        <v/>
      </c>
      <c r="C42" s="469">
        <f>IF(D11="","-",+C41+1)</f>
        <v>2032</v>
      </c>
      <c r="D42" s="482">
        <f>IF(F41+SUM(E$17:E41)=D$10,F41,D$10-SUM(E$17:E41))</f>
        <v>38436</v>
      </c>
      <c r="E42" s="481">
        <f>IF(+I14&lt;F41,I14,D42)</f>
        <v>2222</v>
      </c>
      <c r="F42" s="482">
        <f t="shared" si="28"/>
        <v>36214</v>
      </c>
      <c r="G42" s="483">
        <f t="shared" si="29"/>
        <v>6467.3525014081597</v>
      </c>
      <c r="H42" s="452">
        <f t="shared" si="30"/>
        <v>6467.3525014081597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4"/>
        <v/>
      </c>
      <c r="C43" s="469">
        <f>IF(D11="","-",+C42+1)</f>
        <v>2033</v>
      </c>
      <c r="D43" s="482">
        <f>IF(F42+SUM(E$17:E42)=D$10,F42,D$10-SUM(E$17:E42))</f>
        <v>36214</v>
      </c>
      <c r="E43" s="481">
        <f>IF(+I14&lt;F42,I14,D43)</f>
        <v>2222</v>
      </c>
      <c r="F43" s="482">
        <f t="shared" si="28"/>
        <v>33992</v>
      </c>
      <c r="G43" s="483">
        <f t="shared" si="29"/>
        <v>6214.6218046063132</v>
      </c>
      <c r="H43" s="452">
        <f t="shared" si="30"/>
        <v>6214.6218046063132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4"/>
        <v/>
      </c>
      <c r="C44" s="469">
        <f>IF(D11="","-",+C43+1)</f>
        <v>2034</v>
      </c>
      <c r="D44" s="482">
        <f>IF(F43+SUM(E$17:E43)=D$10,F43,D$10-SUM(E$17:E43))</f>
        <v>33992</v>
      </c>
      <c r="E44" s="481">
        <f>IF(+I14&lt;F43,I14,D44)</f>
        <v>2222</v>
      </c>
      <c r="F44" s="482">
        <f t="shared" si="28"/>
        <v>31770</v>
      </c>
      <c r="G44" s="483">
        <f t="shared" si="29"/>
        <v>5961.8911078044657</v>
      </c>
      <c r="H44" s="452">
        <f t="shared" si="30"/>
        <v>5961.8911078044657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4"/>
        <v/>
      </c>
      <c r="C45" s="469">
        <f>IF(D11="","-",+C44+1)</f>
        <v>2035</v>
      </c>
      <c r="D45" s="482">
        <f>IF(F44+SUM(E$17:E44)=D$10,F44,D$10-SUM(E$17:E44))</f>
        <v>31770</v>
      </c>
      <c r="E45" s="481">
        <f>IF(+I14&lt;F44,I14,D45)</f>
        <v>2222</v>
      </c>
      <c r="F45" s="482">
        <f t="shared" si="28"/>
        <v>29548</v>
      </c>
      <c r="G45" s="483">
        <f t="shared" si="29"/>
        <v>5709.1604110026192</v>
      </c>
      <c r="H45" s="452">
        <f t="shared" si="30"/>
        <v>5709.1604110026192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4"/>
        <v/>
      </c>
      <c r="C46" s="469">
        <f>IF(D11="","-",+C45+1)</f>
        <v>2036</v>
      </c>
      <c r="D46" s="482">
        <f>IF(F45+SUM(E$17:E45)=D$10,F45,D$10-SUM(E$17:E45))</f>
        <v>29548</v>
      </c>
      <c r="E46" s="481">
        <f>IF(+I14&lt;F45,I14,D46)</f>
        <v>2222</v>
      </c>
      <c r="F46" s="482">
        <f t="shared" si="28"/>
        <v>27326</v>
      </c>
      <c r="G46" s="483">
        <f t="shared" si="29"/>
        <v>5456.4297142007727</v>
      </c>
      <c r="H46" s="452">
        <f t="shared" si="30"/>
        <v>5456.4297142007727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4"/>
        <v/>
      </c>
      <c r="C47" s="469">
        <f>IF(D11="","-",+C46+1)</f>
        <v>2037</v>
      </c>
      <c r="D47" s="482">
        <f>IF(F46+SUM(E$17:E46)=D$10,F46,D$10-SUM(E$17:E46))</f>
        <v>27326</v>
      </c>
      <c r="E47" s="481">
        <f>IF(+I14&lt;F46,I14,D47)</f>
        <v>2222</v>
      </c>
      <c r="F47" s="482">
        <f t="shared" si="28"/>
        <v>25104</v>
      </c>
      <c r="G47" s="483">
        <f t="shared" si="29"/>
        <v>5203.6990173989252</v>
      </c>
      <c r="H47" s="452">
        <f t="shared" si="30"/>
        <v>5203.6990173989252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4"/>
        <v/>
      </c>
      <c r="C48" s="469">
        <f>IF(D11="","-",+C47+1)</f>
        <v>2038</v>
      </c>
      <c r="D48" s="482">
        <f>IF(F47+SUM(E$17:E47)=D$10,F47,D$10-SUM(E$17:E47))</f>
        <v>25104</v>
      </c>
      <c r="E48" s="481">
        <f>IF(+I14&lt;F47,I14,D48)</f>
        <v>2222</v>
      </c>
      <c r="F48" s="482">
        <f t="shared" si="28"/>
        <v>22882</v>
      </c>
      <c r="G48" s="483">
        <f t="shared" si="29"/>
        <v>4950.9683205970796</v>
      </c>
      <c r="H48" s="452">
        <f t="shared" si="30"/>
        <v>4950.9683205970796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4"/>
        <v/>
      </c>
      <c r="C49" s="469">
        <f>IF(D11="","-",+C48+1)</f>
        <v>2039</v>
      </c>
      <c r="D49" s="482">
        <f>IF(F48+SUM(E$17:E48)=D$10,F48,D$10-SUM(E$17:E48))</f>
        <v>22882</v>
      </c>
      <c r="E49" s="481">
        <f>IF(+I14&lt;F48,I14,D49)</f>
        <v>2222</v>
      </c>
      <c r="F49" s="482">
        <f t="shared" ref="F49:F72" si="31">+D49-E49</f>
        <v>20660</v>
      </c>
      <c r="G49" s="483">
        <f t="shared" si="29"/>
        <v>4698.2376237952321</v>
      </c>
      <c r="H49" s="452">
        <f t="shared" si="30"/>
        <v>4698.2376237952321</v>
      </c>
      <c r="I49" s="472">
        <f t="shared" ref="I49:I72" si="32">H49-G49</f>
        <v>0</v>
      </c>
      <c r="J49" s="472"/>
      <c r="K49" s="484"/>
      <c r="L49" s="475">
        <f t="shared" ref="L49:L72" si="33">IF(K49&lt;&gt;0,+G49-K49,0)</f>
        <v>0</v>
      </c>
      <c r="M49" s="484"/>
      <c r="N49" s="475">
        <f t="shared" ref="N49:N72" si="34">IF(M49&lt;&gt;0,+H49-M49,0)</f>
        <v>0</v>
      </c>
      <c r="O49" s="475">
        <f t="shared" ref="O49:O72" si="35">+N49-L49</f>
        <v>0</v>
      </c>
      <c r="P49" s="241"/>
    </row>
    <row r="50" spans="2:16" ht="12.5">
      <c r="B50" s="160" t="str">
        <f t="shared" si="4"/>
        <v/>
      </c>
      <c r="C50" s="469">
        <f>IF(D11="","-",+C49+1)</f>
        <v>2040</v>
      </c>
      <c r="D50" s="482">
        <f>IF(F49+SUM(E$17:E49)=D$10,F49,D$10-SUM(E$17:E49))</f>
        <v>20660</v>
      </c>
      <c r="E50" s="481">
        <f>IF(+I14&lt;F49,I14,D50)</f>
        <v>2222</v>
      </c>
      <c r="F50" s="482">
        <f t="shared" si="31"/>
        <v>18438</v>
      </c>
      <c r="G50" s="483">
        <f t="shared" si="29"/>
        <v>4445.5069269933856</v>
      </c>
      <c r="H50" s="452">
        <f t="shared" si="30"/>
        <v>4445.5069269933856</v>
      </c>
      <c r="I50" s="472">
        <f t="shared" si="32"/>
        <v>0</v>
      </c>
      <c r="J50" s="472"/>
      <c r="K50" s="484"/>
      <c r="L50" s="475">
        <f t="shared" si="33"/>
        <v>0</v>
      </c>
      <c r="M50" s="484"/>
      <c r="N50" s="475">
        <f t="shared" si="34"/>
        <v>0</v>
      </c>
      <c r="O50" s="475">
        <f t="shared" si="35"/>
        <v>0</v>
      </c>
      <c r="P50" s="241"/>
    </row>
    <row r="51" spans="2:16" ht="12.5">
      <c r="B51" s="160" t="str">
        <f t="shared" si="4"/>
        <v/>
      </c>
      <c r="C51" s="469">
        <f>IF(D11="","-",+C50+1)</f>
        <v>2041</v>
      </c>
      <c r="D51" s="482">
        <f>IF(F50+SUM(E$17:E50)=D$10,F50,D$10-SUM(E$17:E50))</f>
        <v>18438</v>
      </c>
      <c r="E51" s="481">
        <f>IF(+I14&lt;F50,I14,D51)</f>
        <v>2222</v>
      </c>
      <c r="F51" s="482">
        <f t="shared" si="31"/>
        <v>16216</v>
      </c>
      <c r="G51" s="483">
        <f t="shared" si="29"/>
        <v>4192.7762301915391</v>
      </c>
      <c r="H51" s="452">
        <f t="shared" si="30"/>
        <v>4192.7762301915391</v>
      </c>
      <c r="I51" s="472">
        <f t="shared" si="32"/>
        <v>0</v>
      </c>
      <c r="J51" s="472"/>
      <c r="K51" s="484"/>
      <c r="L51" s="475">
        <f t="shared" si="33"/>
        <v>0</v>
      </c>
      <c r="M51" s="484"/>
      <c r="N51" s="475">
        <f t="shared" si="34"/>
        <v>0</v>
      </c>
      <c r="O51" s="475">
        <f t="shared" si="35"/>
        <v>0</v>
      </c>
      <c r="P51" s="241"/>
    </row>
    <row r="52" spans="2:16" ht="12.5">
      <c r="B52" s="160" t="str">
        <f t="shared" si="4"/>
        <v/>
      </c>
      <c r="C52" s="469">
        <f>IF(D11="","-",+C51+1)</f>
        <v>2042</v>
      </c>
      <c r="D52" s="482">
        <f>IF(F51+SUM(E$17:E51)=D$10,F51,D$10-SUM(E$17:E51))</f>
        <v>16216</v>
      </c>
      <c r="E52" s="481">
        <f>IF(+I14&lt;F51,I14,D52)</f>
        <v>2222</v>
      </c>
      <c r="F52" s="482">
        <f t="shared" si="31"/>
        <v>13994</v>
      </c>
      <c r="G52" s="483">
        <f t="shared" si="29"/>
        <v>3940.0455333896921</v>
      </c>
      <c r="H52" s="452">
        <f t="shared" si="30"/>
        <v>3940.0455333896921</v>
      </c>
      <c r="I52" s="472">
        <f t="shared" si="32"/>
        <v>0</v>
      </c>
      <c r="J52" s="472"/>
      <c r="K52" s="484"/>
      <c r="L52" s="475">
        <f t="shared" si="33"/>
        <v>0</v>
      </c>
      <c r="M52" s="484"/>
      <c r="N52" s="475">
        <f t="shared" si="34"/>
        <v>0</v>
      </c>
      <c r="O52" s="475">
        <f t="shared" si="35"/>
        <v>0</v>
      </c>
      <c r="P52" s="241"/>
    </row>
    <row r="53" spans="2:16" ht="12.5">
      <c r="B53" s="160" t="str">
        <f t="shared" si="4"/>
        <v/>
      </c>
      <c r="C53" s="469">
        <f>IF(D11="","-",+C52+1)</f>
        <v>2043</v>
      </c>
      <c r="D53" s="482">
        <f>IF(F52+SUM(E$17:E52)=D$10,F52,D$10-SUM(E$17:E52))</f>
        <v>13994</v>
      </c>
      <c r="E53" s="481">
        <f>IF(+I14&lt;F52,I14,D53)</f>
        <v>2222</v>
      </c>
      <c r="F53" s="482">
        <f t="shared" si="31"/>
        <v>11772</v>
      </c>
      <c r="G53" s="483">
        <f t="shared" si="29"/>
        <v>3687.3148365878451</v>
      </c>
      <c r="H53" s="452">
        <f t="shared" si="30"/>
        <v>3687.3148365878451</v>
      </c>
      <c r="I53" s="472">
        <f t="shared" si="32"/>
        <v>0</v>
      </c>
      <c r="J53" s="472"/>
      <c r="K53" s="484"/>
      <c r="L53" s="475">
        <f t="shared" si="33"/>
        <v>0</v>
      </c>
      <c r="M53" s="484"/>
      <c r="N53" s="475">
        <f t="shared" si="34"/>
        <v>0</v>
      </c>
      <c r="O53" s="475">
        <f t="shared" si="35"/>
        <v>0</v>
      </c>
      <c r="P53" s="241"/>
    </row>
    <row r="54" spans="2:16" ht="12.5">
      <c r="B54" s="160" t="str">
        <f t="shared" si="4"/>
        <v/>
      </c>
      <c r="C54" s="469">
        <f>IF(D11="","-",+C53+1)</f>
        <v>2044</v>
      </c>
      <c r="D54" s="482">
        <f>IF(F53+SUM(E$17:E53)=D$10,F53,D$10-SUM(E$17:E53))</f>
        <v>11772</v>
      </c>
      <c r="E54" s="481">
        <f>IF(+I14&lt;F53,I14,D54)</f>
        <v>2222</v>
      </c>
      <c r="F54" s="482">
        <f t="shared" si="31"/>
        <v>9550</v>
      </c>
      <c r="G54" s="483">
        <f t="shared" si="29"/>
        <v>3434.5841397859986</v>
      </c>
      <c r="H54" s="452">
        <f t="shared" si="30"/>
        <v>3434.5841397859986</v>
      </c>
      <c r="I54" s="472">
        <f t="shared" si="32"/>
        <v>0</v>
      </c>
      <c r="J54" s="472"/>
      <c r="K54" s="484"/>
      <c r="L54" s="475">
        <f t="shared" si="33"/>
        <v>0</v>
      </c>
      <c r="M54" s="484"/>
      <c r="N54" s="475">
        <f t="shared" si="34"/>
        <v>0</v>
      </c>
      <c r="O54" s="475">
        <f t="shared" si="35"/>
        <v>0</v>
      </c>
      <c r="P54" s="241"/>
    </row>
    <row r="55" spans="2:16" ht="12.5">
      <c r="B55" s="160" t="str">
        <f t="shared" si="4"/>
        <v/>
      </c>
      <c r="C55" s="469">
        <f>IF(D11="","-",+C54+1)</f>
        <v>2045</v>
      </c>
      <c r="D55" s="482">
        <f>IF(F54+SUM(E$17:E54)=D$10,F54,D$10-SUM(E$17:E54))</f>
        <v>9550</v>
      </c>
      <c r="E55" s="481">
        <f>IF(+I14&lt;F54,I14,D55)</f>
        <v>2222</v>
      </c>
      <c r="F55" s="482">
        <f t="shared" si="31"/>
        <v>7328</v>
      </c>
      <c r="G55" s="483">
        <f t="shared" si="29"/>
        <v>3181.8534429841516</v>
      </c>
      <c r="H55" s="452">
        <f t="shared" si="30"/>
        <v>3181.8534429841516</v>
      </c>
      <c r="I55" s="472">
        <f t="shared" si="32"/>
        <v>0</v>
      </c>
      <c r="J55" s="472"/>
      <c r="K55" s="484"/>
      <c r="L55" s="475">
        <f t="shared" si="33"/>
        <v>0</v>
      </c>
      <c r="M55" s="484"/>
      <c r="N55" s="475">
        <f t="shared" si="34"/>
        <v>0</v>
      </c>
      <c r="O55" s="475">
        <f t="shared" si="35"/>
        <v>0</v>
      </c>
      <c r="P55" s="241"/>
    </row>
    <row r="56" spans="2:16" ht="12.5">
      <c r="B56" s="160" t="str">
        <f t="shared" si="4"/>
        <v/>
      </c>
      <c r="C56" s="469">
        <f>IF(D11="","-",+C55+1)</f>
        <v>2046</v>
      </c>
      <c r="D56" s="482">
        <f>IF(F55+SUM(E$17:E55)=D$10,F55,D$10-SUM(E$17:E55))</f>
        <v>7328</v>
      </c>
      <c r="E56" s="481">
        <f>IF(+I14&lt;F55,I14,D56)</f>
        <v>2222</v>
      </c>
      <c r="F56" s="482">
        <f t="shared" si="31"/>
        <v>5106</v>
      </c>
      <c r="G56" s="483">
        <f t="shared" si="29"/>
        <v>2929.1227461823046</v>
      </c>
      <c r="H56" s="452">
        <f t="shared" si="30"/>
        <v>2929.1227461823046</v>
      </c>
      <c r="I56" s="472">
        <f t="shared" si="32"/>
        <v>0</v>
      </c>
      <c r="J56" s="472"/>
      <c r="K56" s="484"/>
      <c r="L56" s="475">
        <f t="shared" si="33"/>
        <v>0</v>
      </c>
      <c r="M56" s="484"/>
      <c r="N56" s="475">
        <f t="shared" si="34"/>
        <v>0</v>
      </c>
      <c r="O56" s="475">
        <f t="shared" si="35"/>
        <v>0</v>
      </c>
      <c r="P56" s="241"/>
    </row>
    <row r="57" spans="2:16" ht="12.5">
      <c r="B57" s="160" t="str">
        <f t="shared" si="4"/>
        <v/>
      </c>
      <c r="C57" s="469">
        <f>IF(D11="","-",+C56+1)</f>
        <v>2047</v>
      </c>
      <c r="D57" s="482">
        <f>IF(F56+SUM(E$17:E56)=D$10,F56,D$10-SUM(E$17:E56))</f>
        <v>5106</v>
      </c>
      <c r="E57" s="481">
        <f>IF(+I14&lt;F56,I14,D57)</f>
        <v>2222</v>
      </c>
      <c r="F57" s="482">
        <f t="shared" si="31"/>
        <v>2884</v>
      </c>
      <c r="G57" s="483">
        <f t="shared" si="29"/>
        <v>2676.392049380458</v>
      </c>
      <c r="H57" s="452">
        <f t="shared" si="30"/>
        <v>2676.392049380458</v>
      </c>
      <c r="I57" s="472">
        <f t="shared" si="32"/>
        <v>0</v>
      </c>
      <c r="J57" s="472"/>
      <c r="K57" s="484"/>
      <c r="L57" s="475">
        <f t="shared" si="33"/>
        <v>0</v>
      </c>
      <c r="M57" s="484"/>
      <c r="N57" s="475">
        <f t="shared" si="34"/>
        <v>0</v>
      </c>
      <c r="O57" s="475">
        <f t="shared" si="35"/>
        <v>0</v>
      </c>
      <c r="P57" s="241"/>
    </row>
    <row r="58" spans="2:16" ht="12.5">
      <c r="B58" s="160" t="str">
        <f t="shared" si="4"/>
        <v/>
      </c>
      <c r="C58" s="469">
        <f>IF(D11="","-",+C57+1)</f>
        <v>2048</v>
      </c>
      <c r="D58" s="482">
        <f>IF(F57+SUM(E$17:E57)=D$10,F57,D$10-SUM(E$17:E57))</f>
        <v>2884</v>
      </c>
      <c r="E58" s="481">
        <f>IF(+I14&lt;F57,I14,D58)</f>
        <v>2222</v>
      </c>
      <c r="F58" s="482">
        <f t="shared" si="31"/>
        <v>662</v>
      </c>
      <c r="G58" s="483">
        <f t="shared" si="29"/>
        <v>2423.6613525786115</v>
      </c>
      <c r="H58" s="452">
        <f t="shared" si="30"/>
        <v>2423.6613525786115</v>
      </c>
      <c r="I58" s="472">
        <f t="shared" si="32"/>
        <v>0</v>
      </c>
      <c r="J58" s="472"/>
      <c r="K58" s="484"/>
      <c r="L58" s="475">
        <f t="shared" si="33"/>
        <v>0</v>
      </c>
      <c r="M58" s="484"/>
      <c r="N58" s="475">
        <f t="shared" si="34"/>
        <v>0</v>
      </c>
      <c r="O58" s="475">
        <f t="shared" si="35"/>
        <v>0</v>
      </c>
      <c r="P58" s="241"/>
    </row>
    <row r="59" spans="2:16" ht="12.5">
      <c r="B59" s="160" t="str">
        <f t="shared" si="4"/>
        <v/>
      </c>
      <c r="C59" s="469">
        <f>IF(D11="","-",+C58+1)</f>
        <v>2049</v>
      </c>
      <c r="D59" s="482">
        <f>IF(F58+SUM(E$17:E58)=D$10,F58,D$10-SUM(E$17:E58))</f>
        <v>662</v>
      </c>
      <c r="E59" s="481">
        <f>IF(+I14&lt;F58,I14,D59)</f>
        <v>662</v>
      </c>
      <c r="F59" s="482">
        <f t="shared" si="31"/>
        <v>0</v>
      </c>
      <c r="G59" s="483">
        <f t="shared" si="29"/>
        <v>699.64800208884401</v>
      </c>
      <c r="H59" s="452">
        <f t="shared" si="30"/>
        <v>699.64800208884401</v>
      </c>
      <c r="I59" s="472">
        <f t="shared" si="32"/>
        <v>0</v>
      </c>
      <c r="J59" s="472"/>
      <c r="K59" s="484"/>
      <c r="L59" s="475">
        <f t="shared" si="33"/>
        <v>0</v>
      </c>
      <c r="M59" s="484"/>
      <c r="N59" s="475">
        <f t="shared" si="34"/>
        <v>0</v>
      </c>
      <c r="O59" s="475">
        <f t="shared" si="35"/>
        <v>0</v>
      </c>
      <c r="P59" s="241"/>
    </row>
    <row r="60" spans="2:16" ht="12.5">
      <c r="B60" s="160" t="str">
        <f t="shared" si="4"/>
        <v/>
      </c>
      <c r="C60" s="469">
        <f>IF(D11="","-",+C59+1)</f>
        <v>2050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1"/>
        <v>0</v>
      </c>
      <c r="G60" s="483">
        <f t="shared" si="29"/>
        <v>0</v>
      </c>
      <c r="H60" s="452">
        <f t="shared" si="30"/>
        <v>0</v>
      </c>
      <c r="I60" s="472">
        <f t="shared" si="32"/>
        <v>0</v>
      </c>
      <c r="J60" s="472"/>
      <c r="K60" s="484"/>
      <c r="L60" s="475">
        <f t="shared" si="33"/>
        <v>0</v>
      </c>
      <c r="M60" s="484"/>
      <c r="N60" s="475">
        <f t="shared" si="34"/>
        <v>0</v>
      </c>
      <c r="O60" s="475">
        <f t="shared" si="35"/>
        <v>0</v>
      </c>
      <c r="P60" s="241"/>
    </row>
    <row r="61" spans="2:16" ht="12.5">
      <c r="B61" s="160" t="str">
        <f t="shared" si="4"/>
        <v/>
      </c>
      <c r="C61" s="469">
        <f>IF(D11="","-",+C60+1)</f>
        <v>2051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1"/>
        <v>0</v>
      </c>
      <c r="G61" s="483">
        <f t="shared" si="29"/>
        <v>0</v>
      </c>
      <c r="H61" s="452">
        <f t="shared" si="30"/>
        <v>0</v>
      </c>
      <c r="I61" s="472">
        <f t="shared" si="32"/>
        <v>0</v>
      </c>
      <c r="J61" s="472"/>
      <c r="K61" s="484"/>
      <c r="L61" s="475">
        <f t="shared" si="33"/>
        <v>0</v>
      </c>
      <c r="M61" s="484"/>
      <c r="N61" s="475">
        <f t="shared" si="34"/>
        <v>0</v>
      </c>
      <c r="O61" s="475">
        <f t="shared" si="35"/>
        <v>0</v>
      </c>
      <c r="P61" s="241"/>
    </row>
    <row r="62" spans="2:16" ht="12.5">
      <c r="B62" s="160" t="str">
        <f t="shared" si="4"/>
        <v/>
      </c>
      <c r="C62" s="469">
        <f>IF(D11="","-",+C61+1)</f>
        <v>2052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1"/>
        <v>0</v>
      </c>
      <c r="G62" s="483">
        <f t="shared" si="29"/>
        <v>0</v>
      </c>
      <c r="H62" s="452">
        <f t="shared" si="30"/>
        <v>0</v>
      </c>
      <c r="I62" s="472">
        <f t="shared" si="32"/>
        <v>0</v>
      </c>
      <c r="J62" s="472"/>
      <c r="K62" s="484"/>
      <c r="L62" s="475">
        <f t="shared" si="33"/>
        <v>0</v>
      </c>
      <c r="M62" s="484"/>
      <c r="N62" s="475">
        <f t="shared" si="34"/>
        <v>0</v>
      </c>
      <c r="O62" s="475">
        <f t="shared" si="35"/>
        <v>0</v>
      </c>
      <c r="P62" s="241"/>
    </row>
    <row r="63" spans="2:16" ht="12.5">
      <c r="B63" s="160" t="str">
        <f t="shared" si="4"/>
        <v/>
      </c>
      <c r="C63" s="469">
        <f>IF(D11="","-",+C62+1)</f>
        <v>2053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1"/>
        <v>0</v>
      </c>
      <c r="G63" s="483">
        <f t="shared" si="29"/>
        <v>0</v>
      </c>
      <c r="H63" s="452">
        <f t="shared" si="30"/>
        <v>0</v>
      </c>
      <c r="I63" s="472">
        <f t="shared" si="32"/>
        <v>0</v>
      </c>
      <c r="J63" s="472"/>
      <c r="K63" s="484"/>
      <c r="L63" s="475">
        <f t="shared" si="33"/>
        <v>0</v>
      </c>
      <c r="M63" s="484"/>
      <c r="N63" s="475">
        <f t="shared" si="34"/>
        <v>0</v>
      </c>
      <c r="O63" s="475">
        <f t="shared" si="35"/>
        <v>0</v>
      </c>
      <c r="P63" s="241"/>
    </row>
    <row r="64" spans="2:16" ht="12.5">
      <c r="B64" s="160" t="str">
        <f t="shared" si="4"/>
        <v/>
      </c>
      <c r="C64" s="469">
        <f>IF(D11="","-",+C63+1)</f>
        <v>2054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1"/>
        <v>0</v>
      </c>
      <c r="G64" s="483">
        <f t="shared" si="29"/>
        <v>0</v>
      </c>
      <c r="H64" s="452">
        <f t="shared" si="30"/>
        <v>0</v>
      </c>
      <c r="I64" s="472">
        <f t="shared" si="32"/>
        <v>0</v>
      </c>
      <c r="J64" s="472"/>
      <c r="K64" s="484"/>
      <c r="L64" s="475">
        <f t="shared" si="33"/>
        <v>0</v>
      </c>
      <c r="M64" s="484"/>
      <c r="N64" s="475">
        <f t="shared" si="34"/>
        <v>0</v>
      </c>
      <c r="O64" s="475">
        <f t="shared" si="35"/>
        <v>0</v>
      </c>
      <c r="P64" s="241"/>
    </row>
    <row r="65" spans="2:16" ht="12.5">
      <c r="B65" s="160" t="str">
        <f t="shared" si="4"/>
        <v/>
      </c>
      <c r="C65" s="469">
        <f>IF(D11="","-",+C64+1)</f>
        <v>2055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1"/>
        <v>0</v>
      </c>
      <c r="G65" s="483">
        <f t="shared" si="29"/>
        <v>0</v>
      </c>
      <c r="H65" s="452">
        <f t="shared" si="30"/>
        <v>0</v>
      </c>
      <c r="I65" s="472">
        <f t="shared" si="32"/>
        <v>0</v>
      </c>
      <c r="J65" s="472"/>
      <c r="K65" s="484"/>
      <c r="L65" s="475">
        <f t="shared" si="33"/>
        <v>0</v>
      </c>
      <c r="M65" s="484"/>
      <c r="N65" s="475">
        <f t="shared" si="34"/>
        <v>0</v>
      </c>
      <c r="O65" s="475">
        <f t="shared" si="35"/>
        <v>0</v>
      </c>
      <c r="P65" s="241"/>
    </row>
    <row r="66" spans="2:16" ht="12.5">
      <c r="B66" s="160" t="str">
        <f t="shared" si="4"/>
        <v/>
      </c>
      <c r="C66" s="469">
        <f>IF(D11="","-",+C65+1)</f>
        <v>2056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1"/>
        <v>0</v>
      </c>
      <c r="G66" s="483">
        <f t="shared" si="29"/>
        <v>0</v>
      </c>
      <c r="H66" s="452">
        <f t="shared" si="30"/>
        <v>0</v>
      </c>
      <c r="I66" s="472">
        <f t="shared" si="32"/>
        <v>0</v>
      </c>
      <c r="J66" s="472"/>
      <c r="K66" s="484"/>
      <c r="L66" s="475">
        <f t="shared" si="33"/>
        <v>0</v>
      </c>
      <c r="M66" s="484"/>
      <c r="N66" s="475">
        <f t="shared" si="34"/>
        <v>0</v>
      </c>
      <c r="O66" s="475">
        <f t="shared" si="35"/>
        <v>0</v>
      </c>
      <c r="P66" s="241"/>
    </row>
    <row r="67" spans="2:16" ht="12.5">
      <c r="B67" s="160" t="str">
        <f t="shared" si="4"/>
        <v/>
      </c>
      <c r="C67" s="469">
        <f>IF(D11="","-",+C66+1)</f>
        <v>2057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1"/>
        <v>0</v>
      </c>
      <c r="G67" s="483">
        <f t="shared" si="29"/>
        <v>0</v>
      </c>
      <c r="H67" s="452">
        <f t="shared" si="30"/>
        <v>0</v>
      </c>
      <c r="I67" s="472">
        <f t="shared" si="32"/>
        <v>0</v>
      </c>
      <c r="J67" s="472"/>
      <c r="K67" s="484"/>
      <c r="L67" s="475">
        <f t="shared" si="33"/>
        <v>0</v>
      </c>
      <c r="M67" s="484"/>
      <c r="N67" s="475">
        <f t="shared" si="34"/>
        <v>0</v>
      </c>
      <c r="O67" s="475">
        <f t="shared" si="35"/>
        <v>0</v>
      </c>
      <c r="P67" s="241"/>
    </row>
    <row r="68" spans="2:16" ht="12.5">
      <c r="B68" s="160" t="str">
        <f t="shared" si="4"/>
        <v/>
      </c>
      <c r="C68" s="469">
        <f>IF(D11="","-",+C67+1)</f>
        <v>2058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1"/>
        <v>0</v>
      </c>
      <c r="G68" s="483">
        <f t="shared" si="29"/>
        <v>0</v>
      </c>
      <c r="H68" s="452">
        <f t="shared" si="30"/>
        <v>0</v>
      </c>
      <c r="I68" s="472">
        <f t="shared" si="32"/>
        <v>0</v>
      </c>
      <c r="J68" s="472"/>
      <c r="K68" s="484"/>
      <c r="L68" s="475">
        <f t="shared" si="33"/>
        <v>0</v>
      </c>
      <c r="M68" s="484"/>
      <c r="N68" s="475">
        <f t="shared" si="34"/>
        <v>0</v>
      </c>
      <c r="O68" s="475">
        <f t="shared" si="35"/>
        <v>0</v>
      </c>
      <c r="P68" s="241"/>
    </row>
    <row r="69" spans="2:16" ht="12.5">
      <c r="B69" s="160" t="str">
        <f t="shared" si="4"/>
        <v/>
      </c>
      <c r="C69" s="469">
        <f>IF(D11="","-",+C68+1)</f>
        <v>2059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1"/>
        <v>0</v>
      </c>
      <c r="G69" s="483">
        <f t="shared" si="29"/>
        <v>0</v>
      </c>
      <c r="H69" s="452">
        <f t="shared" si="30"/>
        <v>0</v>
      </c>
      <c r="I69" s="472">
        <f t="shared" si="32"/>
        <v>0</v>
      </c>
      <c r="J69" s="472"/>
      <c r="K69" s="484"/>
      <c r="L69" s="475">
        <f t="shared" si="33"/>
        <v>0</v>
      </c>
      <c r="M69" s="484"/>
      <c r="N69" s="475">
        <f t="shared" si="34"/>
        <v>0</v>
      </c>
      <c r="O69" s="475">
        <f t="shared" si="35"/>
        <v>0</v>
      </c>
      <c r="P69" s="241"/>
    </row>
    <row r="70" spans="2:16" ht="12.5">
      <c r="B70" s="160" t="str">
        <f t="shared" si="4"/>
        <v/>
      </c>
      <c r="C70" s="469">
        <f>IF(D11="","-",+C69+1)</f>
        <v>2060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1"/>
        <v>0</v>
      </c>
      <c r="G70" s="483">
        <f t="shared" si="29"/>
        <v>0</v>
      </c>
      <c r="H70" s="452">
        <f t="shared" si="30"/>
        <v>0</v>
      </c>
      <c r="I70" s="472">
        <f t="shared" si="32"/>
        <v>0</v>
      </c>
      <c r="J70" s="472"/>
      <c r="K70" s="484"/>
      <c r="L70" s="475">
        <f t="shared" si="33"/>
        <v>0</v>
      </c>
      <c r="M70" s="484"/>
      <c r="N70" s="475">
        <f t="shared" si="34"/>
        <v>0</v>
      </c>
      <c r="O70" s="475">
        <f t="shared" si="35"/>
        <v>0</v>
      </c>
      <c r="P70" s="241"/>
    </row>
    <row r="71" spans="2:16" ht="12.5">
      <c r="B71" s="160" t="str">
        <f t="shared" si="4"/>
        <v/>
      </c>
      <c r="C71" s="469">
        <f>IF(D11="","-",+C70+1)</f>
        <v>2061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1"/>
        <v>0</v>
      </c>
      <c r="G71" s="483">
        <f t="shared" si="29"/>
        <v>0</v>
      </c>
      <c r="H71" s="452">
        <f t="shared" si="30"/>
        <v>0</v>
      </c>
      <c r="I71" s="472">
        <f t="shared" si="32"/>
        <v>0</v>
      </c>
      <c r="J71" s="472"/>
      <c r="K71" s="484"/>
      <c r="L71" s="475">
        <f t="shared" si="33"/>
        <v>0</v>
      </c>
      <c r="M71" s="484"/>
      <c r="N71" s="475">
        <f t="shared" si="34"/>
        <v>0</v>
      </c>
      <c r="O71" s="475">
        <f t="shared" si="35"/>
        <v>0</v>
      </c>
      <c r="P71" s="241"/>
    </row>
    <row r="72" spans="2:16" ht="13" thickBot="1">
      <c r="B72" s="160" t="str">
        <f t="shared" si="4"/>
        <v/>
      </c>
      <c r="C72" s="486">
        <f>IF(D11="","-",+C71+1)</f>
        <v>2062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1"/>
        <v>0</v>
      </c>
      <c r="G72" s="487">
        <f t="shared" ref="G72" si="36">(D72+F72)/2*I$12+E72</f>
        <v>0</v>
      </c>
      <c r="H72" s="487">
        <f t="shared" ref="H72" si="37">+(D72+F72)/2*I$13+E72</f>
        <v>0</v>
      </c>
      <c r="I72" s="490">
        <f t="shared" si="32"/>
        <v>0</v>
      </c>
      <c r="J72" s="472"/>
      <c r="K72" s="491"/>
      <c r="L72" s="492">
        <f t="shared" si="33"/>
        <v>0</v>
      </c>
      <c r="M72" s="491"/>
      <c r="N72" s="492">
        <f t="shared" si="34"/>
        <v>0</v>
      </c>
      <c r="O72" s="492">
        <f t="shared" si="35"/>
        <v>0</v>
      </c>
      <c r="P72" s="241"/>
    </row>
    <row r="73" spans="2:16" ht="12.5">
      <c r="C73" s="344" t="s">
        <v>77</v>
      </c>
      <c r="D73" s="345"/>
      <c r="E73" s="345">
        <f>SUM(E17:E72)</f>
        <v>84424</v>
      </c>
      <c r="F73" s="345"/>
      <c r="G73" s="345">
        <f>SUM(G17:G72)</f>
        <v>287368.25693880155</v>
      </c>
      <c r="H73" s="345">
        <f>SUM(H17:H72)</f>
        <v>287368.25693880155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7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8738.3958100464006</v>
      </c>
      <c r="N87" s="505">
        <f>IF(J92&lt;D11,0,VLOOKUP(J92,C17:O72,11))</f>
        <v>8738.3958100464006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9520.3414133763945</v>
      </c>
      <c r="N88" s="509">
        <f>IF(J92&lt;D11,0,VLOOKUP(J92,C99:P154,7))</f>
        <v>9520.3414133763945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Elk City - Elk City 69 kV line (CT Upgrades)*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781.9456033299939</v>
      </c>
      <c r="N89" s="514">
        <f>+N88-N87</f>
        <v>781.9456033299939</v>
      </c>
      <c r="O89" s="515">
        <f>+O88-O87</f>
        <v>0</v>
      </c>
      <c r="P89" s="231"/>
    </row>
    <row r="90" spans="1:16" ht="13.5" thickBot="1">
      <c r="C90" s="493"/>
      <c r="D90" s="516" t="str">
        <f>D8</f>
        <v>DOES NOT MEET SPP $100,000 MINIMUM INVESTMENT FOR REGIONAL BPU SHARING.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TP2007015</v>
      </c>
      <c r="E91" s="519" t="str">
        <f>E9</f>
        <v>SPP Project ID =</v>
      </c>
      <c r="F91" s="718">
        <f>F9</f>
        <v>118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84424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2007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12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2222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2007</v>
      </c>
      <c r="D99" s="470">
        <v>0</v>
      </c>
      <c r="E99" s="477">
        <v>0</v>
      </c>
      <c r="F99" s="476">
        <v>84424</v>
      </c>
      <c r="G99" s="534">
        <v>42212</v>
      </c>
      <c r="H99" s="535">
        <v>0</v>
      </c>
      <c r="I99" s="536">
        <v>0</v>
      </c>
      <c r="J99" s="475">
        <f t="shared" ref="J99:J130" si="38">+I99-H99</f>
        <v>0</v>
      </c>
      <c r="K99" s="475"/>
      <c r="L99" s="551">
        <v>0</v>
      </c>
      <c r="M99" s="474">
        <f t="shared" ref="M99:M130" si="39">IF(L99&lt;&gt;0,+H99-L99,0)</f>
        <v>0</v>
      </c>
      <c r="N99" s="551">
        <v>0</v>
      </c>
      <c r="O99" s="474">
        <f t="shared" ref="O99:O130" si="40">IF(N99&lt;&gt;0,+I99-N99,0)</f>
        <v>0</v>
      </c>
      <c r="P99" s="474">
        <f t="shared" ref="P99:P130" si="41">+O99-M99</f>
        <v>0</v>
      </c>
    </row>
    <row r="100" spans="1:16" ht="12.5">
      <c r="B100" s="160" t="str">
        <f>IF(D100=F99,"","IU")</f>
        <v/>
      </c>
      <c r="C100" s="469">
        <f>IF(D93="","-",+C99+1)</f>
        <v>2008</v>
      </c>
      <c r="D100" s="470">
        <v>84424</v>
      </c>
      <c r="E100" s="477">
        <v>1593</v>
      </c>
      <c r="F100" s="476">
        <v>82831</v>
      </c>
      <c r="G100" s="476">
        <v>83628</v>
      </c>
      <c r="H100" s="477">
        <v>14877</v>
      </c>
      <c r="I100" s="478">
        <v>14877</v>
      </c>
      <c r="J100" s="475">
        <f t="shared" si="38"/>
        <v>0</v>
      </c>
      <c r="K100" s="475"/>
      <c r="L100" s="473">
        <v>14877</v>
      </c>
      <c r="M100" s="475">
        <f t="shared" si="39"/>
        <v>0</v>
      </c>
      <c r="N100" s="473">
        <v>14877</v>
      </c>
      <c r="O100" s="475">
        <f t="shared" si="40"/>
        <v>0</v>
      </c>
      <c r="P100" s="475">
        <f t="shared" si="41"/>
        <v>0</v>
      </c>
    </row>
    <row r="101" spans="1:16" ht="12.5">
      <c r="B101" s="160" t="str">
        <f t="shared" ref="B101:B154" si="42">IF(D101=F100,"","IU")</f>
        <v/>
      </c>
      <c r="C101" s="469">
        <f>IF(D93="","-",+C100+1)</f>
        <v>2009</v>
      </c>
      <c r="D101" s="470">
        <v>82831</v>
      </c>
      <c r="E101" s="477">
        <v>1508</v>
      </c>
      <c r="F101" s="476">
        <v>81323</v>
      </c>
      <c r="G101" s="476">
        <v>82077</v>
      </c>
      <c r="H101" s="477">
        <v>13508.337143636172</v>
      </c>
      <c r="I101" s="478">
        <v>13508.337143636172</v>
      </c>
      <c r="J101" s="475">
        <f t="shared" si="38"/>
        <v>0</v>
      </c>
      <c r="K101" s="475"/>
      <c r="L101" s="537">
        <f t="shared" ref="L101:L106" si="43">H101</f>
        <v>13508.337143636172</v>
      </c>
      <c r="M101" s="538">
        <f t="shared" si="39"/>
        <v>0</v>
      </c>
      <c r="N101" s="537">
        <f t="shared" ref="N101:N106" si="44">I101</f>
        <v>13508.337143636172</v>
      </c>
      <c r="O101" s="475">
        <f t="shared" si="40"/>
        <v>0</v>
      </c>
      <c r="P101" s="475">
        <f t="shared" si="41"/>
        <v>0</v>
      </c>
    </row>
    <row r="102" spans="1:16" ht="12.5">
      <c r="B102" s="160" t="str">
        <f t="shared" si="42"/>
        <v/>
      </c>
      <c r="C102" s="469">
        <f>IF(D93="","-",+C101+1)</f>
        <v>2010</v>
      </c>
      <c r="D102" s="470">
        <v>81323</v>
      </c>
      <c r="E102" s="477">
        <v>1655</v>
      </c>
      <c r="F102" s="476">
        <v>79668</v>
      </c>
      <c r="G102" s="476">
        <v>80495.5</v>
      </c>
      <c r="H102" s="477">
        <v>14599.901682354179</v>
      </c>
      <c r="I102" s="478">
        <v>14599.901682354179</v>
      </c>
      <c r="J102" s="475">
        <f t="shared" si="38"/>
        <v>0</v>
      </c>
      <c r="K102" s="475"/>
      <c r="L102" s="537">
        <f t="shared" si="43"/>
        <v>14599.901682354179</v>
      </c>
      <c r="M102" s="538">
        <f t="shared" si="39"/>
        <v>0</v>
      </c>
      <c r="N102" s="537">
        <f t="shared" si="44"/>
        <v>14599.901682354179</v>
      </c>
      <c r="O102" s="475">
        <f t="shared" si="40"/>
        <v>0</v>
      </c>
      <c r="P102" s="475">
        <f t="shared" si="41"/>
        <v>0</v>
      </c>
    </row>
    <row r="103" spans="1:16" ht="12.5">
      <c r="B103" s="160" t="str">
        <f t="shared" si="42"/>
        <v/>
      </c>
      <c r="C103" s="469">
        <f>IF(D93="","-",+C102+1)</f>
        <v>2011</v>
      </c>
      <c r="D103" s="470">
        <v>79668</v>
      </c>
      <c r="E103" s="477">
        <v>1624</v>
      </c>
      <c r="F103" s="476">
        <v>78044</v>
      </c>
      <c r="G103" s="476">
        <v>78856</v>
      </c>
      <c r="H103" s="477">
        <v>12649.128461660426</v>
      </c>
      <c r="I103" s="478">
        <v>12649.128461660426</v>
      </c>
      <c r="J103" s="475">
        <f t="shared" si="38"/>
        <v>0</v>
      </c>
      <c r="K103" s="475"/>
      <c r="L103" s="537">
        <f t="shared" si="43"/>
        <v>12649.128461660426</v>
      </c>
      <c r="M103" s="538">
        <f t="shared" si="39"/>
        <v>0</v>
      </c>
      <c r="N103" s="537">
        <f t="shared" si="44"/>
        <v>12649.128461660426</v>
      </c>
      <c r="O103" s="475">
        <f t="shared" si="40"/>
        <v>0</v>
      </c>
      <c r="P103" s="475">
        <f t="shared" si="41"/>
        <v>0</v>
      </c>
    </row>
    <row r="104" spans="1:16" ht="12.5">
      <c r="B104" s="160" t="str">
        <f t="shared" si="42"/>
        <v/>
      </c>
      <c r="C104" s="469">
        <f>IF(D93="","-",+C103+1)</f>
        <v>2012</v>
      </c>
      <c r="D104" s="470">
        <v>78044</v>
      </c>
      <c r="E104" s="477">
        <v>1624</v>
      </c>
      <c r="F104" s="476">
        <v>76420</v>
      </c>
      <c r="G104" s="476">
        <v>77232</v>
      </c>
      <c r="H104" s="477">
        <v>12734.246570183563</v>
      </c>
      <c r="I104" s="478">
        <v>12734.246570183563</v>
      </c>
      <c r="J104" s="475">
        <v>0</v>
      </c>
      <c r="K104" s="475"/>
      <c r="L104" s="537">
        <f t="shared" si="43"/>
        <v>12734.246570183563</v>
      </c>
      <c r="M104" s="538">
        <f t="shared" ref="M104:M109" si="45">IF(L104&lt;&gt;0,+H104-L104,0)</f>
        <v>0</v>
      </c>
      <c r="N104" s="537">
        <f t="shared" si="44"/>
        <v>12734.246570183563</v>
      </c>
      <c r="O104" s="475">
        <f t="shared" ref="O104:O109" si="46">IF(N104&lt;&gt;0,+I104-N104,0)</f>
        <v>0</v>
      </c>
      <c r="P104" s="475">
        <f t="shared" ref="P104:P109" si="47">+O104-M104</f>
        <v>0</v>
      </c>
    </row>
    <row r="105" spans="1:16" ht="12.5">
      <c r="B105" s="160" t="str">
        <f t="shared" si="42"/>
        <v/>
      </c>
      <c r="C105" s="469">
        <f>IF(D93="","-",+C104+1)</f>
        <v>2013</v>
      </c>
      <c r="D105" s="470">
        <v>76420</v>
      </c>
      <c r="E105" s="477">
        <v>1624</v>
      </c>
      <c r="F105" s="476">
        <v>74796</v>
      </c>
      <c r="G105" s="476">
        <v>75608</v>
      </c>
      <c r="H105" s="477">
        <v>12506.984818583547</v>
      </c>
      <c r="I105" s="478">
        <v>12506.984818583547</v>
      </c>
      <c r="J105" s="475">
        <v>0</v>
      </c>
      <c r="K105" s="475"/>
      <c r="L105" s="537">
        <f t="shared" si="43"/>
        <v>12506.984818583547</v>
      </c>
      <c r="M105" s="538">
        <f t="shared" si="45"/>
        <v>0</v>
      </c>
      <c r="N105" s="537">
        <f t="shared" si="44"/>
        <v>12506.984818583547</v>
      </c>
      <c r="O105" s="475">
        <f t="shared" si="46"/>
        <v>0</v>
      </c>
      <c r="P105" s="475">
        <f t="shared" si="47"/>
        <v>0</v>
      </c>
    </row>
    <row r="106" spans="1:16" ht="12.5">
      <c r="B106" s="160" t="str">
        <f t="shared" si="42"/>
        <v/>
      </c>
      <c r="C106" s="469">
        <f>IF(D93="","-",+C105+1)</f>
        <v>2014</v>
      </c>
      <c r="D106" s="470">
        <v>74796</v>
      </c>
      <c r="E106" s="477">
        <v>1624</v>
      </c>
      <c r="F106" s="476">
        <v>73172</v>
      </c>
      <c r="G106" s="476">
        <v>73984</v>
      </c>
      <c r="H106" s="477">
        <v>12025.847971361507</v>
      </c>
      <c r="I106" s="478">
        <v>12025.847971361507</v>
      </c>
      <c r="J106" s="475">
        <v>0</v>
      </c>
      <c r="K106" s="475"/>
      <c r="L106" s="537">
        <f t="shared" si="43"/>
        <v>12025.847971361507</v>
      </c>
      <c r="M106" s="538">
        <f t="shared" si="45"/>
        <v>0</v>
      </c>
      <c r="N106" s="537">
        <f t="shared" si="44"/>
        <v>12025.847971361507</v>
      </c>
      <c r="O106" s="475">
        <f t="shared" si="46"/>
        <v>0</v>
      </c>
      <c r="P106" s="475">
        <f t="shared" si="47"/>
        <v>0</v>
      </c>
    </row>
    <row r="107" spans="1:16" ht="12.5">
      <c r="B107" s="160" t="str">
        <f t="shared" si="42"/>
        <v/>
      </c>
      <c r="C107" s="469">
        <f>IF(D93="","-",+C106+1)</f>
        <v>2015</v>
      </c>
      <c r="D107" s="470">
        <v>73172</v>
      </c>
      <c r="E107" s="477">
        <v>1624</v>
      </c>
      <c r="F107" s="476">
        <v>71548</v>
      </c>
      <c r="G107" s="476">
        <v>72360</v>
      </c>
      <c r="H107" s="477">
        <v>11496.940196929139</v>
      </c>
      <c r="I107" s="478">
        <v>11496.940196929139</v>
      </c>
      <c r="J107" s="475">
        <f t="shared" si="38"/>
        <v>0</v>
      </c>
      <c r="K107" s="475"/>
      <c r="L107" s="537">
        <f t="shared" ref="L107:L112" si="48">H107</f>
        <v>11496.940196929139</v>
      </c>
      <c r="M107" s="538">
        <f t="shared" si="45"/>
        <v>0</v>
      </c>
      <c r="N107" s="537">
        <f t="shared" ref="N107:N112" si="49">I107</f>
        <v>11496.940196929139</v>
      </c>
      <c r="O107" s="475">
        <f t="shared" si="46"/>
        <v>0</v>
      </c>
      <c r="P107" s="475">
        <f t="shared" si="47"/>
        <v>0</v>
      </c>
    </row>
    <row r="108" spans="1:16" ht="12.5">
      <c r="B108" s="160" t="str">
        <f t="shared" si="42"/>
        <v/>
      </c>
      <c r="C108" s="469">
        <f>IF(D93="","-",+C107+1)</f>
        <v>2016</v>
      </c>
      <c r="D108" s="470">
        <v>71548</v>
      </c>
      <c r="E108" s="477">
        <v>1835</v>
      </c>
      <c r="F108" s="476">
        <v>69713</v>
      </c>
      <c r="G108" s="476">
        <v>70630.5</v>
      </c>
      <c r="H108" s="477">
        <v>10940.383800869789</v>
      </c>
      <c r="I108" s="478">
        <v>10940.383800869789</v>
      </c>
      <c r="J108" s="475">
        <f t="shared" si="38"/>
        <v>0</v>
      </c>
      <c r="K108" s="475"/>
      <c r="L108" s="537">
        <f t="shared" si="48"/>
        <v>10940.383800869789</v>
      </c>
      <c r="M108" s="538">
        <f t="shared" si="45"/>
        <v>0</v>
      </c>
      <c r="N108" s="537">
        <f t="shared" si="49"/>
        <v>10940.383800869789</v>
      </c>
      <c r="O108" s="475">
        <f t="shared" si="46"/>
        <v>0</v>
      </c>
      <c r="P108" s="475">
        <f t="shared" si="47"/>
        <v>0</v>
      </c>
    </row>
    <row r="109" spans="1:16" ht="12.5">
      <c r="B109" s="160" t="str">
        <f t="shared" si="42"/>
        <v/>
      </c>
      <c r="C109" s="469">
        <f>IF(D93="","-",+C108+1)</f>
        <v>2017</v>
      </c>
      <c r="D109" s="470">
        <v>69713</v>
      </c>
      <c r="E109" s="477">
        <v>1835</v>
      </c>
      <c r="F109" s="476">
        <v>67878</v>
      </c>
      <c r="G109" s="476">
        <v>68795.5</v>
      </c>
      <c r="H109" s="477">
        <v>10561.882642914878</v>
      </c>
      <c r="I109" s="478">
        <v>10561.882642914878</v>
      </c>
      <c r="J109" s="475">
        <f t="shared" si="38"/>
        <v>0</v>
      </c>
      <c r="K109" s="475"/>
      <c r="L109" s="537">
        <f t="shared" si="48"/>
        <v>10561.882642914878</v>
      </c>
      <c r="M109" s="538">
        <f t="shared" si="45"/>
        <v>0</v>
      </c>
      <c r="N109" s="537">
        <f t="shared" si="49"/>
        <v>10561.882642914878</v>
      </c>
      <c r="O109" s="475">
        <f t="shared" si="46"/>
        <v>0</v>
      </c>
      <c r="P109" s="475">
        <f t="shared" si="47"/>
        <v>0</v>
      </c>
    </row>
    <row r="110" spans="1:16" ht="12.5">
      <c r="B110" s="160" t="str">
        <f t="shared" si="42"/>
        <v/>
      </c>
      <c r="C110" s="469">
        <f>IF(D93="","-",+C109+1)</f>
        <v>2018</v>
      </c>
      <c r="D110" s="470">
        <v>67878</v>
      </c>
      <c r="E110" s="477">
        <v>1963</v>
      </c>
      <c r="F110" s="476">
        <v>65915</v>
      </c>
      <c r="G110" s="476">
        <v>66896.5</v>
      </c>
      <c r="H110" s="477">
        <v>8835.6498462369182</v>
      </c>
      <c r="I110" s="478">
        <v>8835.6498462369182</v>
      </c>
      <c r="J110" s="475">
        <f t="shared" si="38"/>
        <v>0</v>
      </c>
      <c r="K110" s="475"/>
      <c r="L110" s="537">
        <f t="shared" si="48"/>
        <v>8835.6498462369182</v>
      </c>
      <c r="M110" s="538">
        <f t="shared" ref="M110" si="50">IF(L110&lt;&gt;0,+H110-L110,0)</f>
        <v>0</v>
      </c>
      <c r="N110" s="537">
        <f t="shared" si="49"/>
        <v>8835.6498462369182</v>
      </c>
      <c r="O110" s="475">
        <f t="shared" ref="O110" si="51">IF(N110&lt;&gt;0,+I110-N110,0)</f>
        <v>0</v>
      </c>
      <c r="P110" s="475">
        <f t="shared" ref="P110" si="52">+O110-M110</f>
        <v>0</v>
      </c>
    </row>
    <row r="111" spans="1:16" ht="12.5">
      <c r="B111" s="160" t="str">
        <f t="shared" si="42"/>
        <v/>
      </c>
      <c r="C111" s="469">
        <f>IF(D93="","-",+C110+1)</f>
        <v>2019</v>
      </c>
      <c r="D111" s="470">
        <v>65915</v>
      </c>
      <c r="E111" s="477">
        <v>2059</v>
      </c>
      <c r="F111" s="476">
        <v>63856</v>
      </c>
      <c r="G111" s="476">
        <v>64885.5</v>
      </c>
      <c r="H111" s="477">
        <v>8749.6051392547379</v>
      </c>
      <c r="I111" s="478">
        <v>8749.6051392547379</v>
      </c>
      <c r="J111" s="475">
        <f t="shared" si="38"/>
        <v>0</v>
      </c>
      <c r="K111" s="475"/>
      <c r="L111" s="537">
        <f t="shared" si="48"/>
        <v>8749.6051392547379</v>
      </c>
      <c r="M111" s="538">
        <f t="shared" ref="M111" si="53">IF(L111&lt;&gt;0,+H111-L111,0)</f>
        <v>0</v>
      </c>
      <c r="N111" s="537">
        <f t="shared" si="49"/>
        <v>8749.6051392547379</v>
      </c>
      <c r="O111" s="475">
        <f t="shared" si="40"/>
        <v>0</v>
      </c>
      <c r="P111" s="475">
        <f t="shared" si="41"/>
        <v>0</v>
      </c>
    </row>
    <row r="112" spans="1:16" ht="12.5">
      <c r="B112" s="160" t="str">
        <f t="shared" si="42"/>
        <v/>
      </c>
      <c r="C112" s="469">
        <f>IF(D93="","-",+C111+1)</f>
        <v>2020</v>
      </c>
      <c r="D112" s="470">
        <v>63856</v>
      </c>
      <c r="E112" s="477">
        <v>1963</v>
      </c>
      <c r="F112" s="476">
        <v>61893</v>
      </c>
      <c r="G112" s="476">
        <v>62874.5</v>
      </c>
      <c r="H112" s="477">
        <v>9212.2569908153564</v>
      </c>
      <c r="I112" s="478">
        <v>9212.2569908153564</v>
      </c>
      <c r="J112" s="475">
        <f t="shared" si="38"/>
        <v>0</v>
      </c>
      <c r="K112" s="475"/>
      <c r="L112" s="537">
        <f t="shared" si="48"/>
        <v>9212.2569908153564</v>
      </c>
      <c r="M112" s="538">
        <f t="shared" ref="M112" si="54">IF(L112&lt;&gt;0,+H112-L112,0)</f>
        <v>0</v>
      </c>
      <c r="N112" s="537">
        <f t="shared" si="49"/>
        <v>9212.2569908153564</v>
      </c>
      <c r="O112" s="475">
        <f t="shared" si="40"/>
        <v>0</v>
      </c>
      <c r="P112" s="475">
        <f t="shared" si="41"/>
        <v>0</v>
      </c>
    </row>
    <row r="113" spans="2:16" ht="12.5">
      <c r="B113" s="160" t="str">
        <f t="shared" si="42"/>
        <v/>
      </c>
      <c r="C113" s="469">
        <f>IF(D93="","-",+C112+1)</f>
        <v>2021</v>
      </c>
      <c r="D113" s="470">
        <v>61893</v>
      </c>
      <c r="E113" s="477">
        <v>2059</v>
      </c>
      <c r="F113" s="476">
        <v>59834</v>
      </c>
      <c r="G113" s="476">
        <v>60863.5</v>
      </c>
      <c r="H113" s="477">
        <v>8984.8276586704978</v>
      </c>
      <c r="I113" s="478">
        <v>8984.8276586704978</v>
      </c>
      <c r="J113" s="475">
        <f t="shared" si="38"/>
        <v>0</v>
      </c>
      <c r="K113" s="475"/>
      <c r="L113" s="537">
        <f t="shared" ref="L113" si="55">H113</f>
        <v>8984.8276586704978</v>
      </c>
      <c r="M113" s="538">
        <f t="shared" ref="M113" si="56">IF(L113&lt;&gt;0,+H113-L113,0)</f>
        <v>0</v>
      </c>
      <c r="N113" s="537">
        <f t="shared" ref="N113" si="57">I113</f>
        <v>8984.8276586704978</v>
      </c>
      <c r="O113" s="475">
        <f t="shared" si="40"/>
        <v>0</v>
      </c>
      <c r="P113" s="475">
        <f t="shared" si="41"/>
        <v>0</v>
      </c>
    </row>
    <row r="114" spans="2:16" ht="12.5">
      <c r="B114" s="160" t="str">
        <f t="shared" si="42"/>
        <v/>
      </c>
      <c r="C114" s="469">
        <f>IF(D93="","-",+C113+1)</f>
        <v>2022</v>
      </c>
      <c r="D114" s="470">
        <v>59834</v>
      </c>
      <c r="E114" s="477">
        <v>2165</v>
      </c>
      <c r="F114" s="476">
        <v>57669</v>
      </c>
      <c r="G114" s="476">
        <v>58751.5</v>
      </c>
      <c r="H114" s="477">
        <v>8638.3961304237382</v>
      </c>
      <c r="I114" s="478">
        <v>8638.3961304237382</v>
      </c>
      <c r="J114" s="475">
        <f t="shared" si="38"/>
        <v>0</v>
      </c>
      <c r="K114" s="475"/>
      <c r="L114" s="537">
        <f t="shared" ref="L114" si="58">H114</f>
        <v>8638.3961304237382</v>
      </c>
      <c r="M114" s="538">
        <f t="shared" ref="M114" si="59">IF(L114&lt;&gt;0,+H114-L114,0)</f>
        <v>0</v>
      </c>
      <c r="N114" s="537">
        <f t="shared" ref="N114" si="60">I114</f>
        <v>8638.3961304237382</v>
      </c>
      <c r="O114" s="475">
        <f t="shared" ref="O114" si="61">IF(N114&lt;&gt;0,+I114-N114,0)</f>
        <v>0</v>
      </c>
      <c r="P114" s="475">
        <f t="shared" ref="P114" si="62">+O114-M114</f>
        <v>0</v>
      </c>
    </row>
    <row r="115" spans="2:16" ht="12.5">
      <c r="B115" s="160" t="str">
        <f t="shared" si="42"/>
        <v/>
      </c>
      <c r="C115" s="469">
        <f>IF(D93="","-",+C114+1)</f>
        <v>2023</v>
      </c>
      <c r="D115" s="470">
        <v>57669</v>
      </c>
      <c r="E115" s="477">
        <v>2222</v>
      </c>
      <c r="F115" s="476">
        <v>55447</v>
      </c>
      <c r="G115" s="476">
        <v>56558</v>
      </c>
      <c r="H115" s="477">
        <v>8682.4536667105749</v>
      </c>
      <c r="I115" s="478">
        <v>8682.4536667105749</v>
      </c>
      <c r="J115" s="475">
        <f t="shared" si="38"/>
        <v>0</v>
      </c>
      <c r="K115" s="475"/>
      <c r="L115" s="537">
        <f t="shared" ref="L115" si="63">H115</f>
        <v>8682.4536667105749</v>
      </c>
      <c r="M115" s="538">
        <f t="shared" ref="M115" si="64">IF(L115&lt;&gt;0,+H115-L115,0)</f>
        <v>0</v>
      </c>
      <c r="N115" s="537">
        <f t="shared" ref="N115" si="65">I115</f>
        <v>8682.4536667105749</v>
      </c>
      <c r="O115" s="475">
        <f t="shared" ref="O115" si="66">IF(N115&lt;&gt;0,+I115-N115,0)</f>
        <v>0</v>
      </c>
      <c r="P115" s="475">
        <f t="shared" ref="P115" si="67">+O115-M115</f>
        <v>0</v>
      </c>
    </row>
    <row r="116" spans="2:16" ht="12.5">
      <c r="B116" s="160" t="str">
        <f t="shared" si="42"/>
        <v/>
      </c>
      <c r="C116" s="469">
        <f>IF(D93="","-",+C115+1)</f>
        <v>2024</v>
      </c>
      <c r="D116" s="344">
        <f>IF(F115+SUM(E$99:E115)=D$92,F115,D$92-SUM(E$99:E115))</f>
        <v>55447</v>
      </c>
      <c r="E116" s="483">
        <f>IF(+J96&lt;F115,J96,D116)</f>
        <v>2222</v>
      </c>
      <c r="F116" s="482">
        <f t="shared" ref="F116:F129" si="68">+D116-E116</f>
        <v>53225</v>
      </c>
      <c r="G116" s="482">
        <f t="shared" ref="G116:G129" si="69">+(F116+D116)/2</f>
        <v>54336</v>
      </c>
      <c r="H116" s="483">
        <f t="shared" ref="H116:H153" si="70">(D116+F116)/2*J$94+E116</f>
        <v>9520.3414133763945</v>
      </c>
      <c r="I116" s="539">
        <f t="shared" ref="I116:I153" si="71">+J$95*G116+E116</f>
        <v>9520.3414133763945</v>
      </c>
      <c r="J116" s="475">
        <f t="shared" si="38"/>
        <v>0</v>
      </c>
      <c r="K116" s="475"/>
      <c r="L116" s="484"/>
      <c r="M116" s="475">
        <f t="shared" si="39"/>
        <v>0</v>
      </c>
      <c r="N116" s="484"/>
      <c r="O116" s="475">
        <f t="shared" si="40"/>
        <v>0</v>
      </c>
      <c r="P116" s="475">
        <f t="shared" si="41"/>
        <v>0</v>
      </c>
    </row>
    <row r="117" spans="2:16" ht="12.5">
      <c r="B117" s="160" t="str">
        <f t="shared" si="42"/>
        <v/>
      </c>
      <c r="C117" s="469">
        <f>IF(D93="","-",+C116+1)</f>
        <v>2025</v>
      </c>
      <c r="D117" s="344">
        <f>IF(F116+SUM(E$99:E116)=D$92,F116,D$92-SUM(E$99:E116))</f>
        <v>53225</v>
      </c>
      <c r="E117" s="483">
        <f>IF(+J96&lt;F116,J96,D117)</f>
        <v>2222</v>
      </c>
      <c r="F117" s="482">
        <f t="shared" si="68"/>
        <v>51003</v>
      </c>
      <c r="G117" s="482">
        <f t="shared" si="69"/>
        <v>52114</v>
      </c>
      <c r="H117" s="483">
        <f t="shared" si="70"/>
        <v>9221.8852402955199</v>
      </c>
      <c r="I117" s="539">
        <f t="shared" si="71"/>
        <v>9221.8852402955199</v>
      </c>
      <c r="J117" s="475">
        <f t="shared" si="38"/>
        <v>0</v>
      </c>
      <c r="K117" s="475"/>
      <c r="L117" s="484"/>
      <c r="M117" s="475">
        <f t="shared" si="39"/>
        <v>0</v>
      </c>
      <c r="N117" s="484"/>
      <c r="O117" s="475">
        <f t="shared" si="40"/>
        <v>0</v>
      </c>
      <c r="P117" s="475">
        <f t="shared" si="41"/>
        <v>0</v>
      </c>
    </row>
    <row r="118" spans="2:16" ht="12.5">
      <c r="B118" s="160" t="str">
        <f t="shared" si="42"/>
        <v/>
      </c>
      <c r="C118" s="469">
        <f>IF(D93="","-",+C117+1)</f>
        <v>2026</v>
      </c>
      <c r="D118" s="344">
        <f>IF(F117+SUM(E$99:E117)=D$92,F117,D$92-SUM(E$99:E117))</f>
        <v>51003</v>
      </c>
      <c r="E118" s="483">
        <f>IF(+J96&lt;F117,J96,D118)</f>
        <v>2222</v>
      </c>
      <c r="F118" s="482">
        <f t="shared" si="68"/>
        <v>48781</v>
      </c>
      <c r="G118" s="482">
        <f t="shared" si="69"/>
        <v>49892</v>
      </c>
      <c r="H118" s="483">
        <f t="shared" si="70"/>
        <v>8923.4290672146453</v>
      </c>
      <c r="I118" s="539">
        <f t="shared" si="71"/>
        <v>8923.4290672146453</v>
      </c>
      <c r="J118" s="475">
        <f t="shared" si="38"/>
        <v>0</v>
      </c>
      <c r="K118" s="475"/>
      <c r="L118" s="484"/>
      <c r="M118" s="475">
        <f t="shared" si="39"/>
        <v>0</v>
      </c>
      <c r="N118" s="484"/>
      <c r="O118" s="475">
        <f t="shared" si="40"/>
        <v>0</v>
      </c>
      <c r="P118" s="475">
        <f t="shared" si="41"/>
        <v>0</v>
      </c>
    </row>
    <row r="119" spans="2:16" ht="12.5">
      <c r="B119" s="160" t="str">
        <f t="shared" si="42"/>
        <v/>
      </c>
      <c r="C119" s="469">
        <f>IF(D93="","-",+C118+1)</f>
        <v>2027</v>
      </c>
      <c r="D119" s="344">
        <f>IF(F118+SUM(E$99:E118)=D$92,F118,D$92-SUM(E$99:E118))</f>
        <v>48781</v>
      </c>
      <c r="E119" s="483">
        <f>IF(+J96&lt;F118,J96,D119)</f>
        <v>2222</v>
      </c>
      <c r="F119" s="482">
        <f t="shared" si="68"/>
        <v>46559</v>
      </c>
      <c r="G119" s="482">
        <f t="shared" si="69"/>
        <v>47670</v>
      </c>
      <c r="H119" s="483">
        <f t="shared" si="70"/>
        <v>8624.9728941337726</v>
      </c>
      <c r="I119" s="539">
        <f t="shared" si="71"/>
        <v>8624.9728941337726</v>
      </c>
      <c r="J119" s="475">
        <f t="shared" si="38"/>
        <v>0</v>
      </c>
      <c r="K119" s="475"/>
      <c r="L119" s="484"/>
      <c r="M119" s="475">
        <f t="shared" si="39"/>
        <v>0</v>
      </c>
      <c r="N119" s="484"/>
      <c r="O119" s="475">
        <f t="shared" si="40"/>
        <v>0</v>
      </c>
      <c r="P119" s="475">
        <f t="shared" si="41"/>
        <v>0</v>
      </c>
    </row>
    <row r="120" spans="2:16" ht="12.5">
      <c r="B120" s="160" t="str">
        <f t="shared" si="42"/>
        <v/>
      </c>
      <c r="C120" s="469">
        <f>IF(D93="","-",+C119+1)</f>
        <v>2028</v>
      </c>
      <c r="D120" s="344">
        <f>IF(F119+SUM(E$99:E119)=D$92,F119,D$92-SUM(E$99:E119))</f>
        <v>46559</v>
      </c>
      <c r="E120" s="483">
        <f>IF(+J96&lt;F119,J96,D120)</f>
        <v>2222</v>
      </c>
      <c r="F120" s="482">
        <f t="shared" si="68"/>
        <v>44337</v>
      </c>
      <c r="G120" s="482">
        <f t="shared" si="69"/>
        <v>45448</v>
      </c>
      <c r="H120" s="483">
        <f t="shared" si="70"/>
        <v>8326.5167210528998</v>
      </c>
      <c r="I120" s="539">
        <f t="shared" si="71"/>
        <v>8326.5167210528998</v>
      </c>
      <c r="J120" s="475">
        <f t="shared" si="38"/>
        <v>0</v>
      </c>
      <c r="K120" s="475"/>
      <c r="L120" s="484"/>
      <c r="M120" s="475">
        <f t="shared" si="39"/>
        <v>0</v>
      </c>
      <c r="N120" s="484"/>
      <c r="O120" s="475">
        <f t="shared" si="40"/>
        <v>0</v>
      </c>
      <c r="P120" s="475">
        <f t="shared" si="41"/>
        <v>0</v>
      </c>
    </row>
    <row r="121" spans="2:16" ht="12.5">
      <c r="B121" s="160" t="str">
        <f t="shared" si="42"/>
        <v/>
      </c>
      <c r="C121" s="469">
        <f>IF(D93="","-",+C120+1)</f>
        <v>2029</v>
      </c>
      <c r="D121" s="344">
        <f>IF(F120+SUM(E$99:E120)=D$92,F120,D$92-SUM(E$99:E120))</f>
        <v>44337</v>
      </c>
      <c r="E121" s="483">
        <f>IF(+J96&lt;F120,J96,D121)</f>
        <v>2222</v>
      </c>
      <c r="F121" s="482">
        <f t="shared" si="68"/>
        <v>42115</v>
      </c>
      <c r="G121" s="482">
        <f t="shared" si="69"/>
        <v>43226</v>
      </c>
      <c r="H121" s="483">
        <f t="shared" si="70"/>
        <v>8028.0605479720252</v>
      </c>
      <c r="I121" s="539">
        <f t="shared" si="71"/>
        <v>8028.0605479720252</v>
      </c>
      <c r="J121" s="475">
        <f t="shared" si="38"/>
        <v>0</v>
      </c>
      <c r="K121" s="475"/>
      <c r="L121" s="484"/>
      <c r="M121" s="475">
        <f t="shared" si="39"/>
        <v>0</v>
      </c>
      <c r="N121" s="484"/>
      <c r="O121" s="475">
        <f t="shared" si="40"/>
        <v>0</v>
      </c>
      <c r="P121" s="475">
        <f t="shared" si="41"/>
        <v>0</v>
      </c>
    </row>
    <row r="122" spans="2:16" ht="12.5">
      <c r="B122" s="160" t="str">
        <f t="shared" si="42"/>
        <v/>
      </c>
      <c r="C122" s="469">
        <f>IF(D93="","-",+C121+1)</f>
        <v>2030</v>
      </c>
      <c r="D122" s="344">
        <f>IF(F121+SUM(E$99:E121)=D$92,F121,D$92-SUM(E$99:E121))</f>
        <v>42115</v>
      </c>
      <c r="E122" s="483">
        <f>IF(+J96&lt;F121,J96,D122)</f>
        <v>2222</v>
      </c>
      <c r="F122" s="482">
        <f t="shared" si="68"/>
        <v>39893</v>
      </c>
      <c r="G122" s="482">
        <f t="shared" si="69"/>
        <v>41004</v>
      </c>
      <c r="H122" s="483">
        <f t="shared" si="70"/>
        <v>7729.6043748911525</v>
      </c>
      <c r="I122" s="539">
        <f t="shared" si="71"/>
        <v>7729.6043748911525</v>
      </c>
      <c r="J122" s="475">
        <f t="shared" si="38"/>
        <v>0</v>
      </c>
      <c r="K122" s="475"/>
      <c r="L122" s="484"/>
      <c r="M122" s="475">
        <f t="shared" si="39"/>
        <v>0</v>
      </c>
      <c r="N122" s="484"/>
      <c r="O122" s="475">
        <f t="shared" si="40"/>
        <v>0</v>
      </c>
      <c r="P122" s="475">
        <f t="shared" si="41"/>
        <v>0</v>
      </c>
    </row>
    <row r="123" spans="2:16" ht="12.5">
      <c r="B123" s="160" t="str">
        <f t="shared" si="42"/>
        <v/>
      </c>
      <c r="C123" s="469">
        <f>IF(D93="","-",+C122+1)</f>
        <v>2031</v>
      </c>
      <c r="D123" s="344">
        <f>IF(F122+SUM(E$99:E122)=D$92,F122,D$92-SUM(E$99:E122))</f>
        <v>39893</v>
      </c>
      <c r="E123" s="483">
        <f>IF(+J96&lt;F122,J96,D123)</f>
        <v>2222</v>
      </c>
      <c r="F123" s="482">
        <f t="shared" si="68"/>
        <v>37671</v>
      </c>
      <c r="G123" s="482">
        <f t="shared" si="69"/>
        <v>38782</v>
      </c>
      <c r="H123" s="483">
        <f t="shared" si="70"/>
        <v>7431.1482018102788</v>
      </c>
      <c r="I123" s="539">
        <f t="shared" si="71"/>
        <v>7431.1482018102788</v>
      </c>
      <c r="J123" s="475">
        <f t="shared" si="38"/>
        <v>0</v>
      </c>
      <c r="K123" s="475"/>
      <c r="L123" s="484"/>
      <c r="M123" s="475">
        <f t="shared" si="39"/>
        <v>0</v>
      </c>
      <c r="N123" s="484"/>
      <c r="O123" s="475">
        <f t="shared" si="40"/>
        <v>0</v>
      </c>
      <c r="P123" s="475">
        <f t="shared" si="41"/>
        <v>0</v>
      </c>
    </row>
    <row r="124" spans="2:16" ht="12.5">
      <c r="B124" s="160" t="str">
        <f t="shared" si="42"/>
        <v/>
      </c>
      <c r="C124" s="469">
        <f>IF(D93="","-",+C123+1)</f>
        <v>2032</v>
      </c>
      <c r="D124" s="344">
        <f>IF(F123+SUM(E$99:E123)=D$92,F123,D$92-SUM(E$99:E123))</f>
        <v>37671</v>
      </c>
      <c r="E124" s="483">
        <f>IF(+J96&lt;F123,J96,D124)</f>
        <v>2222</v>
      </c>
      <c r="F124" s="482">
        <f t="shared" si="68"/>
        <v>35449</v>
      </c>
      <c r="G124" s="482">
        <f t="shared" si="69"/>
        <v>36560</v>
      </c>
      <c r="H124" s="483">
        <f t="shared" si="70"/>
        <v>7132.6920287294051</v>
      </c>
      <c r="I124" s="539">
        <f t="shared" si="71"/>
        <v>7132.6920287294051</v>
      </c>
      <c r="J124" s="475">
        <f t="shared" si="38"/>
        <v>0</v>
      </c>
      <c r="K124" s="475"/>
      <c r="L124" s="484"/>
      <c r="M124" s="475">
        <f t="shared" si="39"/>
        <v>0</v>
      </c>
      <c r="N124" s="484"/>
      <c r="O124" s="475">
        <f t="shared" si="40"/>
        <v>0</v>
      </c>
      <c r="P124" s="475">
        <f t="shared" si="41"/>
        <v>0</v>
      </c>
    </row>
    <row r="125" spans="2:16" ht="12.5">
      <c r="B125" s="160" t="str">
        <f t="shared" si="42"/>
        <v/>
      </c>
      <c r="C125" s="469">
        <f>IF(D93="","-",+C124+1)</f>
        <v>2033</v>
      </c>
      <c r="D125" s="344">
        <f>IF(F124+SUM(E$99:E124)=D$92,F124,D$92-SUM(E$99:E124))</f>
        <v>35449</v>
      </c>
      <c r="E125" s="483">
        <f>IF(+J96&lt;F124,J96,D125)</f>
        <v>2222</v>
      </c>
      <c r="F125" s="482">
        <f t="shared" si="68"/>
        <v>33227</v>
      </c>
      <c r="G125" s="482">
        <f t="shared" si="69"/>
        <v>34338</v>
      </c>
      <c r="H125" s="483">
        <f t="shared" si="70"/>
        <v>6834.2358556485315</v>
      </c>
      <c r="I125" s="539">
        <f t="shared" si="71"/>
        <v>6834.2358556485315</v>
      </c>
      <c r="J125" s="475">
        <f t="shared" si="38"/>
        <v>0</v>
      </c>
      <c r="K125" s="475"/>
      <c r="L125" s="484"/>
      <c r="M125" s="475">
        <f t="shared" si="39"/>
        <v>0</v>
      </c>
      <c r="N125" s="484"/>
      <c r="O125" s="475">
        <f t="shared" si="40"/>
        <v>0</v>
      </c>
      <c r="P125" s="475">
        <f t="shared" si="41"/>
        <v>0</v>
      </c>
    </row>
    <row r="126" spans="2:16" ht="12.5">
      <c r="B126" s="160" t="str">
        <f t="shared" si="42"/>
        <v/>
      </c>
      <c r="C126" s="469">
        <f>IF(D93="","-",+C125+1)</f>
        <v>2034</v>
      </c>
      <c r="D126" s="344">
        <f>IF(F125+SUM(E$99:E125)=D$92,F125,D$92-SUM(E$99:E125))</f>
        <v>33227</v>
      </c>
      <c r="E126" s="483">
        <f>IF(+J96&lt;F125,J96,D126)</f>
        <v>2222</v>
      </c>
      <c r="F126" s="482">
        <f t="shared" si="68"/>
        <v>31005</v>
      </c>
      <c r="G126" s="482">
        <f t="shared" si="69"/>
        <v>32116</v>
      </c>
      <c r="H126" s="483">
        <f t="shared" si="70"/>
        <v>6535.7796825676578</v>
      </c>
      <c r="I126" s="539">
        <f t="shared" si="71"/>
        <v>6535.7796825676578</v>
      </c>
      <c r="J126" s="475">
        <f t="shared" si="38"/>
        <v>0</v>
      </c>
      <c r="K126" s="475"/>
      <c r="L126" s="484"/>
      <c r="M126" s="475">
        <f t="shared" si="39"/>
        <v>0</v>
      </c>
      <c r="N126" s="484"/>
      <c r="O126" s="475">
        <f t="shared" si="40"/>
        <v>0</v>
      </c>
      <c r="P126" s="475">
        <f t="shared" si="41"/>
        <v>0</v>
      </c>
    </row>
    <row r="127" spans="2:16" ht="12.5">
      <c r="B127" s="160" t="str">
        <f t="shared" si="42"/>
        <v/>
      </c>
      <c r="C127" s="469">
        <f>IF(D93="","-",+C126+1)</f>
        <v>2035</v>
      </c>
      <c r="D127" s="344">
        <f>IF(F126+SUM(E$99:E126)=D$92,F126,D$92-SUM(E$99:E126))</f>
        <v>31005</v>
      </c>
      <c r="E127" s="483">
        <f>IF(+J96&lt;F126,J96,D127)</f>
        <v>2222</v>
      </c>
      <c r="F127" s="482">
        <f t="shared" si="68"/>
        <v>28783</v>
      </c>
      <c r="G127" s="482">
        <f t="shared" si="69"/>
        <v>29894</v>
      </c>
      <c r="H127" s="483">
        <f t="shared" si="70"/>
        <v>6237.3235094867841</v>
      </c>
      <c r="I127" s="539">
        <f t="shared" si="71"/>
        <v>6237.3235094867841</v>
      </c>
      <c r="J127" s="475">
        <f t="shared" si="38"/>
        <v>0</v>
      </c>
      <c r="K127" s="475"/>
      <c r="L127" s="484"/>
      <c r="M127" s="475">
        <f t="shared" si="39"/>
        <v>0</v>
      </c>
      <c r="N127" s="484"/>
      <c r="O127" s="475">
        <f t="shared" si="40"/>
        <v>0</v>
      </c>
      <c r="P127" s="475">
        <f t="shared" si="41"/>
        <v>0</v>
      </c>
    </row>
    <row r="128" spans="2:16" ht="12.5">
      <c r="B128" s="160" t="str">
        <f t="shared" si="42"/>
        <v/>
      </c>
      <c r="C128" s="469">
        <f>IF(D93="","-",+C127+1)</f>
        <v>2036</v>
      </c>
      <c r="D128" s="344">
        <f>IF(F127+SUM(E$99:E127)=D$92,F127,D$92-SUM(E$99:E127))</f>
        <v>28783</v>
      </c>
      <c r="E128" s="483">
        <f>IF(+J96&lt;F127,J96,D128)</f>
        <v>2222</v>
      </c>
      <c r="F128" s="482">
        <f t="shared" si="68"/>
        <v>26561</v>
      </c>
      <c r="G128" s="482">
        <f t="shared" si="69"/>
        <v>27672</v>
      </c>
      <c r="H128" s="483">
        <f t="shared" si="70"/>
        <v>5938.8673364059105</v>
      </c>
      <c r="I128" s="539">
        <f t="shared" si="71"/>
        <v>5938.8673364059105</v>
      </c>
      <c r="J128" s="475">
        <f t="shared" si="38"/>
        <v>0</v>
      </c>
      <c r="K128" s="475"/>
      <c r="L128" s="484"/>
      <c r="M128" s="475">
        <f t="shared" si="39"/>
        <v>0</v>
      </c>
      <c r="N128" s="484"/>
      <c r="O128" s="475">
        <f t="shared" si="40"/>
        <v>0</v>
      </c>
      <c r="P128" s="475">
        <f t="shared" si="41"/>
        <v>0</v>
      </c>
    </row>
    <row r="129" spans="2:16" ht="12.5">
      <c r="B129" s="160" t="str">
        <f t="shared" si="42"/>
        <v/>
      </c>
      <c r="C129" s="469">
        <f>IF(D93="","-",+C128+1)</f>
        <v>2037</v>
      </c>
      <c r="D129" s="344">
        <f>IF(F128+SUM(E$99:E128)=D$92,F128,D$92-SUM(E$99:E128))</f>
        <v>26561</v>
      </c>
      <c r="E129" s="483">
        <f>IF(+J96&lt;F128,J96,D129)</f>
        <v>2222</v>
      </c>
      <c r="F129" s="482">
        <f t="shared" si="68"/>
        <v>24339</v>
      </c>
      <c r="G129" s="482">
        <f t="shared" si="69"/>
        <v>25450</v>
      </c>
      <c r="H129" s="483">
        <f t="shared" si="70"/>
        <v>5640.4111633250377</v>
      </c>
      <c r="I129" s="539">
        <f t="shared" si="71"/>
        <v>5640.4111633250377</v>
      </c>
      <c r="J129" s="475">
        <f t="shared" si="38"/>
        <v>0</v>
      </c>
      <c r="K129" s="475"/>
      <c r="L129" s="484"/>
      <c r="M129" s="475">
        <f t="shared" si="39"/>
        <v>0</v>
      </c>
      <c r="N129" s="484"/>
      <c r="O129" s="475">
        <f t="shared" si="40"/>
        <v>0</v>
      </c>
      <c r="P129" s="475">
        <f t="shared" si="41"/>
        <v>0</v>
      </c>
    </row>
    <row r="130" spans="2:16" ht="12.5">
      <c r="B130" s="160" t="str">
        <f t="shared" si="42"/>
        <v/>
      </c>
      <c r="C130" s="469">
        <f>IF(D93="","-",+C129+1)</f>
        <v>2038</v>
      </c>
      <c r="D130" s="344">
        <f>IF(F129+SUM(E$99:E129)=D$92,F129,D$92-SUM(E$99:E129))</f>
        <v>24339</v>
      </c>
      <c r="E130" s="483">
        <f>IF(+J96&lt;F129,J96,D130)</f>
        <v>2222</v>
      </c>
      <c r="F130" s="482">
        <f t="shared" ref="F130:F153" si="72">+D130-E130</f>
        <v>22117</v>
      </c>
      <c r="G130" s="482">
        <f t="shared" ref="G130:G153" si="73">+(F130+D130)/2</f>
        <v>23228</v>
      </c>
      <c r="H130" s="483">
        <f t="shared" si="70"/>
        <v>5341.9549902441631</v>
      </c>
      <c r="I130" s="539">
        <f t="shared" si="71"/>
        <v>5341.9549902441631</v>
      </c>
      <c r="J130" s="475">
        <f t="shared" si="38"/>
        <v>0</v>
      </c>
      <c r="K130" s="475"/>
      <c r="L130" s="484"/>
      <c r="M130" s="475">
        <f t="shared" si="39"/>
        <v>0</v>
      </c>
      <c r="N130" s="484"/>
      <c r="O130" s="475">
        <f t="shared" si="40"/>
        <v>0</v>
      </c>
      <c r="P130" s="475">
        <f t="shared" si="41"/>
        <v>0</v>
      </c>
    </row>
    <row r="131" spans="2:16" ht="12.5">
      <c r="B131" s="160" t="str">
        <f t="shared" si="42"/>
        <v/>
      </c>
      <c r="C131" s="469">
        <f>IF(D93="","-",+C130+1)</f>
        <v>2039</v>
      </c>
      <c r="D131" s="344">
        <f>IF(F130+SUM(E$99:E130)=D$92,F130,D$92-SUM(E$99:E130))</f>
        <v>22117</v>
      </c>
      <c r="E131" s="483">
        <f>IF(+J96&lt;F130,J96,D131)</f>
        <v>2222</v>
      </c>
      <c r="F131" s="482">
        <f t="shared" si="72"/>
        <v>19895</v>
      </c>
      <c r="G131" s="482">
        <f t="shared" si="73"/>
        <v>21006</v>
      </c>
      <c r="H131" s="483">
        <f t="shared" si="70"/>
        <v>5043.4988171632904</v>
      </c>
      <c r="I131" s="539">
        <f t="shared" si="71"/>
        <v>5043.4988171632904</v>
      </c>
      <c r="J131" s="475">
        <f t="shared" ref="J131:J154" si="74">+I382-H382</f>
        <v>0</v>
      </c>
      <c r="K131" s="475"/>
      <c r="L131" s="484"/>
      <c r="M131" s="475">
        <f t="shared" ref="M131:M154" si="75">IF(L382&lt;&gt;0,+H382-L382,0)</f>
        <v>0</v>
      </c>
      <c r="N131" s="484"/>
      <c r="O131" s="475">
        <f t="shared" ref="O131:O154" si="76">IF(N382&lt;&gt;0,+I382-N382,0)</f>
        <v>0</v>
      </c>
      <c r="P131" s="475">
        <f t="shared" ref="P131:P154" si="77">+O382-M382</f>
        <v>0</v>
      </c>
    </row>
    <row r="132" spans="2:16" ht="12.5">
      <c r="B132" s="160" t="str">
        <f t="shared" si="42"/>
        <v/>
      </c>
      <c r="C132" s="469">
        <f>IF(D93="","-",+C131+1)</f>
        <v>2040</v>
      </c>
      <c r="D132" s="344">
        <f>IF(F131+SUM(E$99:E131)=D$92,F131,D$92-SUM(E$99:E131))</f>
        <v>19895</v>
      </c>
      <c r="E132" s="483">
        <f>IF(+J96&lt;F131,J96,D132)</f>
        <v>2222</v>
      </c>
      <c r="F132" s="482">
        <f t="shared" si="72"/>
        <v>17673</v>
      </c>
      <c r="G132" s="482">
        <f t="shared" si="73"/>
        <v>18784</v>
      </c>
      <c r="H132" s="483">
        <f t="shared" si="70"/>
        <v>4745.0426440824158</v>
      </c>
      <c r="I132" s="539">
        <f t="shared" si="71"/>
        <v>4745.0426440824158</v>
      </c>
      <c r="J132" s="475">
        <f t="shared" si="74"/>
        <v>0</v>
      </c>
      <c r="K132" s="475"/>
      <c r="L132" s="484"/>
      <c r="M132" s="475">
        <f t="shared" si="75"/>
        <v>0</v>
      </c>
      <c r="N132" s="484"/>
      <c r="O132" s="475">
        <f t="shared" si="76"/>
        <v>0</v>
      </c>
      <c r="P132" s="475">
        <f t="shared" si="77"/>
        <v>0</v>
      </c>
    </row>
    <row r="133" spans="2:16" ht="12.5">
      <c r="B133" s="160" t="str">
        <f t="shared" si="42"/>
        <v/>
      </c>
      <c r="C133" s="469">
        <f>IF(D93="","-",+C132+1)</f>
        <v>2041</v>
      </c>
      <c r="D133" s="344">
        <f>IF(F132+SUM(E$99:E132)=D$92,F132,D$92-SUM(E$99:E132))</f>
        <v>17673</v>
      </c>
      <c r="E133" s="483">
        <f>IF(+J96&lt;F132,J96,D133)</f>
        <v>2222</v>
      </c>
      <c r="F133" s="482">
        <f t="shared" si="72"/>
        <v>15451</v>
      </c>
      <c r="G133" s="482">
        <f t="shared" si="73"/>
        <v>16562</v>
      </c>
      <c r="H133" s="483">
        <f t="shared" si="70"/>
        <v>4446.586471001543</v>
      </c>
      <c r="I133" s="539">
        <f t="shared" si="71"/>
        <v>4446.586471001543</v>
      </c>
      <c r="J133" s="475">
        <f t="shared" si="74"/>
        <v>0</v>
      </c>
      <c r="K133" s="475"/>
      <c r="L133" s="484"/>
      <c r="M133" s="475">
        <f t="shared" si="75"/>
        <v>0</v>
      </c>
      <c r="N133" s="484"/>
      <c r="O133" s="475">
        <f t="shared" si="76"/>
        <v>0</v>
      </c>
      <c r="P133" s="475">
        <f t="shared" si="77"/>
        <v>0</v>
      </c>
    </row>
    <row r="134" spans="2:16" ht="12.5">
      <c r="B134" s="160" t="str">
        <f t="shared" si="42"/>
        <v/>
      </c>
      <c r="C134" s="469">
        <f>IF(D93="","-",+C133+1)</f>
        <v>2042</v>
      </c>
      <c r="D134" s="344">
        <f>IF(F133+SUM(E$99:E133)=D$92,F133,D$92-SUM(E$99:E133))</f>
        <v>15451</v>
      </c>
      <c r="E134" s="483">
        <f>IF(+J96&lt;F133,J96,D134)</f>
        <v>2222</v>
      </c>
      <c r="F134" s="482">
        <f t="shared" si="72"/>
        <v>13229</v>
      </c>
      <c r="G134" s="482">
        <f t="shared" si="73"/>
        <v>14340</v>
      </c>
      <c r="H134" s="483">
        <f t="shared" si="70"/>
        <v>4148.1302979206694</v>
      </c>
      <c r="I134" s="539">
        <f t="shared" si="71"/>
        <v>4148.1302979206694</v>
      </c>
      <c r="J134" s="475">
        <f t="shared" si="74"/>
        <v>0</v>
      </c>
      <c r="K134" s="475"/>
      <c r="L134" s="484"/>
      <c r="M134" s="475">
        <f t="shared" si="75"/>
        <v>0</v>
      </c>
      <c r="N134" s="484"/>
      <c r="O134" s="475">
        <f t="shared" si="76"/>
        <v>0</v>
      </c>
      <c r="P134" s="475">
        <f t="shared" si="77"/>
        <v>0</v>
      </c>
    </row>
    <row r="135" spans="2:16" ht="12.5">
      <c r="B135" s="160" t="str">
        <f t="shared" si="42"/>
        <v/>
      </c>
      <c r="C135" s="469">
        <f>IF(D93="","-",+C134+1)</f>
        <v>2043</v>
      </c>
      <c r="D135" s="344">
        <f>IF(F134+SUM(E$99:E134)=D$92,F134,D$92-SUM(E$99:E134))</f>
        <v>13229</v>
      </c>
      <c r="E135" s="483">
        <f>IF(+J96&lt;F134,J96,D135)</f>
        <v>2222</v>
      </c>
      <c r="F135" s="482">
        <f t="shared" si="72"/>
        <v>11007</v>
      </c>
      <c r="G135" s="482">
        <f t="shared" si="73"/>
        <v>12118</v>
      </c>
      <c r="H135" s="483">
        <f t="shared" si="70"/>
        <v>3849.6741248397957</v>
      </c>
      <c r="I135" s="539">
        <f t="shared" si="71"/>
        <v>3849.6741248397957</v>
      </c>
      <c r="J135" s="475">
        <f t="shared" si="74"/>
        <v>0</v>
      </c>
      <c r="K135" s="475"/>
      <c r="L135" s="484"/>
      <c r="M135" s="475">
        <f t="shared" si="75"/>
        <v>0</v>
      </c>
      <c r="N135" s="484"/>
      <c r="O135" s="475">
        <f t="shared" si="76"/>
        <v>0</v>
      </c>
      <c r="P135" s="475">
        <f t="shared" si="77"/>
        <v>0</v>
      </c>
    </row>
    <row r="136" spans="2:16" ht="12.5">
      <c r="B136" s="160" t="str">
        <f t="shared" si="42"/>
        <v/>
      </c>
      <c r="C136" s="469">
        <f>IF(D93="","-",+C135+1)</f>
        <v>2044</v>
      </c>
      <c r="D136" s="344">
        <f>IF(F135+SUM(E$99:E135)=D$92,F135,D$92-SUM(E$99:E135))</f>
        <v>11007</v>
      </c>
      <c r="E136" s="483">
        <f>IF(+J96&lt;F135,J96,D136)</f>
        <v>2222</v>
      </c>
      <c r="F136" s="482">
        <f t="shared" si="72"/>
        <v>8785</v>
      </c>
      <c r="G136" s="482">
        <f t="shared" si="73"/>
        <v>9896</v>
      </c>
      <c r="H136" s="483">
        <f t="shared" si="70"/>
        <v>3551.217951758922</v>
      </c>
      <c r="I136" s="539">
        <f t="shared" si="71"/>
        <v>3551.217951758922</v>
      </c>
      <c r="J136" s="475">
        <f t="shared" si="74"/>
        <v>0</v>
      </c>
      <c r="K136" s="475"/>
      <c r="L136" s="484"/>
      <c r="M136" s="475">
        <f t="shared" si="75"/>
        <v>0</v>
      </c>
      <c r="N136" s="484"/>
      <c r="O136" s="475">
        <f t="shared" si="76"/>
        <v>0</v>
      </c>
      <c r="P136" s="475">
        <f t="shared" si="77"/>
        <v>0</v>
      </c>
    </row>
    <row r="137" spans="2:16" ht="12.5">
      <c r="B137" s="160" t="str">
        <f t="shared" si="42"/>
        <v/>
      </c>
      <c r="C137" s="469">
        <f>IF(D93="","-",+C136+1)</f>
        <v>2045</v>
      </c>
      <c r="D137" s="344">
        <f>IF(F136+SUM(E$99:E136)=D$92,F136,D$92-SUM(E$99:E136))</f>
        <v>8785</v>
      </c>
      <c r="E137" s="483">
        <f>IF(+J96&lt;F136,J96,D137)</f>
        <v>2222</v>
      </c>
      <c r="F137" s="482">
        <f t="shared" si="72"/>
        <v>6563</v>
      </c>
      <c r="G137" s="482">
        <f t="shared" si="73"/>
        <v>7674</v>
      </c>
      <c r="H137" s="483">
        <f t="shared" si="70"/>
        <v>3252.7617786780484</v>
      </c>
      <c r="I137" s="539">
        <f t="shared" si="71"/>
        <v>3252.7617786780484</v>
      </c>
      <c r="J137" s="475">
        <f t="shared" si="74"/>
        <v>0</v>
      </c>
      <c r="K137" s="475"/>
      <c r="L137" s="484"/>
      <c r="M137" s="475">
        <f t="shared" si="75"/>
        <v>0</v>
      </c>
      <c r="N137" s="484"/>
      <c r="O137" s="475">
        <f t="shared" si="76"/>
        <v>0</v>
      </c>
      <c r="P137" s="475">
        <f t="shared" si="77"/>
        <v>0</v>
      </c>
    </row>
    <row r="138" spans="2:16" ht="12.5">
      <c r="B138" s="160" t="str">
        <f t="shared" si="42"/>
        <v/>
      </c>
      <c r="C138" s="469">
        <f>IF(D93="","-",+C137+1)</f>
        <v>2046</v>
      </c>
      <c r="D138" s="344">
        <f>IF(F137+SUM(E$99:E137)=D$92,F137,D$92-SUM(E$99:E137))</f>
        <v>6563</v>
      </c>
      <c r="E138" s="483">
        <f>IF(+J96&lt;F137,J96,D138)</f>
        <v>2222</v>
      </c>
      <c r="F138" s="482">
        <f t="shared" si="72"/>
        <v>4341</v>
      </c>
      <c r="G138" s="482">
        <f t="shared" si="73"/>
        <v>5452</v>
      </c>
      <c r="H138" s="483">
        <f t="shared" si="70"/>
        <v>2954.3056055971747</v>
      </c>
      <c r="I138" s="539">
        <f t="shared" si="71"/>
        <v>2954.3056055971747</v>
      </c>
      <c r="J138" s="475">
        <f t="shared" si="74"/>
        <v>0</v>
      </c>
      <c r="K138" s="475"/>
      <c r="L138" s="484"/>
      <c r="M138" s="475">
        <f t="shared" si="75"/>
        <v>0</v>
      </c>
      <c r="N138" s="484"/>
      <c r="O138" s="475">
        <f t="shared" si="76"/>
        <v>0</v>
      </c>
      <c r="P138" s="475">
        <f t="shared" si="77"/>
        <v>0</v>
      </c>
    </row>
    <row r="139" spans="2:16" ht="12.5">
      <c r="B139" s="160" t="str">
        <f t="shared" si="42"/>
        <v/>
      </c>
      <c r="C139" s="469">
        <f>IF(D93="","-",+C138+1)</f>
        <v>2047</v>
      </c>
      <c r="D139" s="344">
        <f>IF(F138+SUM(E$99:E138)=D$92,F138,D$92-SUM(E$99:E138))</f>
        <v>4341</v>
      </c>
      <c r="E139" s="483">
        <f>IF(+J96&lt;F138,J96,D139)</f>
        <v>2222</v>
      </c>
      <c r="F139" s="482">
        <f t="shared" si="72"/>
        <v>2119</v>
      </c>
      <c r="G139" s="482">
        <f t="shared" si="73"/>
        <v>3230</v>
      </c>
      <c r="H139" s="483">
        <f t="shared" si="70"/>
        <v>2655.8494325163015</v>
      </c>
      <c r="I139" s="539">
        <f t="shared" si="71"/>
        <v>2655.8494325163015</v>
      </c>
      <c r="J139" s="475">
        <f t="shared" si="74"/>
        <v>0</v>
      </c>
      <c r="K139" s="475"/>
      <c r="L139" s="484"/>
      <c r="M139" s="475">
        <f t="shared" si="75"/>
        <v>0</v>
      </c>
      <c r="N139" s="484"/>
      <c r="O139" s="475">
        <f t="shared" si="76"/>
        <v>0</v>
      </c>
      <c r="P139" s="475">
        <f t="shared" si="77"/>
        <v>0</v>
      </c>
    </row>
    <row r="140" spans="2:16" ht="12.5">
      <c r="B140" s="160" t="str">
        <f t="shared" si="42"/>
        <v/>
      </c>
      <c r="C140" s="469">
        <f>IF(D93="","-",+C139+1)</f>
        <v>2048</v>
      </c>
      <c r="D140" s="344">
        <f>IF(F139+SUM(E$99:E139)=D$92,F139,D$92-SUM(E$99:E139))</f>
        <v>2119</v>
      </c>
      <c r="E140" s="483">
        <f>IF(+J96&lt;F139,J96,D140)</f>
        <v>2119</v>
      </c>
      <c r="F140" s="482">
        <f t="shared" si="72"/>
        <v>0</v>
      </c>
      <c r="G140" s="482">
        <f t="shared" si="73"/>
        <v>1059.5</v>
      </c>
      <c r="H140" s="483">
        <f t="shared" si="70"/>
        <v>2261.3106729879323</v>
      </c>
      <c r="I140" s="539">
        <f t="shared" si="71"/>
        <v>2261.3106729879323</v>
      </c>
      <c r="J140" s="475">
        <f t="shared" si="74"/>
        <v>0</v>
      </c>
      <c r="K140" s="475"/>
      <c r="L140" s="484"/>
      <c r="M140" s="475">
        <f t="shared" si="75"/>
        <v>0</v>
      </c>
      <c r="N140" s="484"/>
      <c r="O140" s="475">
        <f t="shared" si="76"/>
        <v>0</v>
      </c>
      <c r="P140" s="475">
        <f t="shared" si="77"/>
        <v>0</v>
      </c>
    </row>
    <row r="141" spans="2:16" ht="12.5">
      <c r="B141" s="160" t="str">
        <f t="shared" si="42"/>
        <v/>
      </c>
      <c r="C141" s="469">
        <f>IF(D93="","-",+C140+1)</f>
        <v>2049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72"/>
        <v>0</v>
      </c>
      <c r="G141" s="482">
        <f t="shared" si="73"/>
        <v>0</v>
      </c>
      <c r="H141" s="483">
        <f t="shared" si="70"/>
        <v>0</v>
      </c>
      <c r="I141" s="539">
        <f t="shared" si="71"/>
        <v>0</v>
      </c>
      <c r="J141" s="475">
        <f t="shared" si="74"/>
        <v>0</v>
      </c>
      <c r="K141" s="475"/>
      <c r="L141" s="484"/>
      <c r="M141" s="475">
        <f t="shared" si="75"/>
        <v>0</v>
      </c>
      <c r="N141" s="484"/>
      <c r="O141" s="475">
        <f t="shared" si="76"/>
        <v>0</v>
      </c>
      <c r="P141" s="475">
        <f t="shared" si="77"/>
        <v>0</v>
      </c>
    </row>
    <row r="142" spans="2:16" ht="12.5">
      <c r="B142" s="160" t="str">
        <f t="shared" si="42"/>
        <v/>
      </c>
      <c r="C142" s="469">
        <f>IF(D93="","-",+C141+1)</f>
        <v>2050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72"/>
        <v>0</v>
      </c>
      <c r="G142" s="482">
        <f t="shared" si="73"/>
        <v>0</v>
      </c>
      <c r="H142" s="483">
        <f t="shared" si="70"/>
        <v>0</v>
      </c>
      <c r="I142" s="539">
        <f t="shared" si="71"/>
        <v>0</v>
      </c>
      <c r="J142" s="475">
        <f t="shared" si="74"/>
        <v>0</v>
      </c>
      <c r="K142" s="475"/>
      <c r="L142" s="484"/>
      <c r="M142" s="475">
        <f t="shared" si="75"/>
        <v>0</v>
      </c>
      <c r="N142" s="484"/>
      <c r="O142" s="475">
        <f t="shared" si="76"/>
        <v>0</v>
      </c>
      <c r="P142" s="475">
        <f t="shared" si="77"/>
        <v>0</v>
      </c>
    </row>
    <row r="143" spans="2:16" ht="12.5">
      <c r="B143" s="160" t="str">
        <f t="shared" si="42"/>
        <v/>
      </c>
      <c r="C143" s="469">
        <f>IF(D93="","-",+C142+1)</f>
        <v>2051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72"/>
        <v>0</v>
      </c>
      <c r="G143" s="482">
        <f t="shared" si="73"/>
        <v>0</v>
      </c>
      <c r="H143" s="483">
        <f t="shared" si="70"/>
        <v>0</v>
      </c>
      <c r="I143" s="539">
        <f t="shared" si="71"/>
        <v>0</v>
      </c>
      <c r="J143" s="475">
        <f t="shared" si="74"/>
        <v>0</v>
      </c>
      <c r="K143" s="475"/>
      <c r="L143" s="484"/>
      <c r="M143" s="475">
        <f t="shared" si="75"/>
        <v>0</v>
      </c>
      <c r="N143" s="484"/>
      <c r="O143" s="475">
        <f t="shared" si="76"/>
        <v>0</v>
      </c>
      <c r="P143" s="475">
        <f t="shared" si="77"/>
        <v>0</v>
      </c>
    </row>
    <row r="144" spans="2:16" ht="12.5">
      <c r="B144" s="160" t="str">
        <f t="shared" si="42"/>
        <v/>
      </c>
      <c r="C144" s="469">
        <f>IF(D93="","-",+C143+1)</f>
        <v>2052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72"/>
        <v>0</v>
      </c>
      <c r="G144" s="482">
        <f t="shared" si="73"/>
        <v>0</v>
      </c>
      <c r="H144" s="483">
        <f t="shared" si="70"/>
        <v>0</v>
      </c>
      <c r="I144" s="539">
        <f t="shared" si="71"/>
        <v>0</v>
      </c>
      <c r="J144" s="475">
        <f t="shared" si="74"/>
        <v>0</v>
      </c>
      <c r="K144" s="475"/>
      <c r="L144" s="484"/>
      <c r="M144" s="475">
        <f t="shared" si="75"/>
        <v>0</v>
      </c>
      <c r="N144" s="484"/>
      <c r="O144" s="475">
        <f t="shared" si="76"/>
        <v>0</v>
      </c>
      <c r="P144" s="475">
        <f t="shared" si="77"/>
        <v>0</v>
      </c>
    </row>
    <row r="145" spans="2:16" ht="12.5">
      <c r="B145" s="160" t="str">
        <f t="shared" si="42"/>
        <v/>
      </c>
      <c r="C145" s="469">
        <f>IF(D93="","-",+C144+1)</f>
        <v>2053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72"/>
        <v>0</v>
      </c>
      <c r="G145" s="482">
        <f t="shared" si="73"/>
        <v>0</v>
      </c>
      <c r="H145" s="483">
        <f t="shared" si="70"/>
        <v>0</v>
      </c>
      <c r="I145" s="539">
        <f t="shared" si="71"/>
        <v>0</v>
      </c>
      <c r="J145" s="475">
        <f t="shared" si="74"/>
        <v>0</v>
      </c>
      <c r="K145" s="475"/>
      <c r="L145" s="484"/>
      <c r="M145" s="475">
        <f t="shared" si="75"/>
        <v>0</v>
      </c>
      <c r="N145" s="484"/>
      <c r="O145" s="475">
        <f t="shared" si="76"/>
        <v>0</v>
      </c>
      <c r="P145" s="475">
        <f t="shared" si="77"/>
        <v>0</v>
      </c>
    </row>
    <row r="146" spans="2:16" ht="12.5">
      <c r="B146" s="160" t="str">
        <f t="shared" si="42"/>
        <v/>
      </c>
      <c r="C146" s="469">
        <f>IF(D93="","-",+C145+1)</f>
        <v>2054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72"/>
        <v>0</v>
      </c>
      <c r="G146" s="482">
        <f t="shared" si="73"/>
        <v>0</v>
      </c>
      <c r="H146" s="483">
        <f t="shared" si="70"/>
        <v>0</v>
      </c>
      <c r="I146" s="539">
        <f t="shared" si="71"/>
        <v>0</v>
      </c>
      <c r="J146" s="475">
        <f t="shared" si="74"/>
        <v>0</v>
      </c>
      <c r="K146" s="475"/>
      <c r="L146" s="484"/>
      <c r="M146" s="475">
        <f t="shared" si="75"/>
        <v>0</v>
      </c>
      <c r="N146" s="484"/>
      <c r="O146" s="475">
        <f t="shared" si="76"/>
        <v>0</v>
      </c>
      <c r="P146" s="475">
        <f t="shared" si="77"/>
        <v>0</v>
      </c>
    </row>
    <row r="147" spans="2:16" ht="12.5">
      <c r="B147" s="160" t="str">
        <f t="shared" si="42"/>
        <v/>
      </c>
      <c r="C147" s="469">
        <f>IF(D93="","-",+C146+1)</f>
        <v>2055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72"/>
        <v>0</v>
      </c>
      <c r="G147" s="482">
        <f t="shared" si="73"/>
        <v>0</v>
      </c>
      <c r="H147" s="483">
        <f t="shared" si="70"/>
        <v>0</v>
      </c>
      <c r="I147" s="539">
        <f t="shared" si="71"/>
        <v>0</v>
      </c>
      <c r="J147" s="475">
        <f t="shared" si="74"/>
        <v>0</v>
      </c>
      <c r="K147" s="475"/>
      <c r="L147" s="484"/>
      <c r="M147" s="475">
        <f t="shared" si="75"/>
        <v>0</v>
      </c>
      <c r="N147" s="484"/>
      <c r="O147" s="475">
        <f t="shared" si="76"/>
        <v>0</v>
      </c>
      <c r="P147" s="475">
        <f t="shared" si="77"/>
        <v>0</v>
      </c>
    </row>
    <row r="148" spans="2:16" ht="12.5">
      <c r="B148" s="160" t="str">
        <f t="shared" si="42"/>
        <v/>
      </c>
      <c r="C148" s="469">
        <f>IF(D93="","-",+C147+1)</f>
        <v>2056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72"/>
        <v>0</v>
      </c>
      <c r="G148" s="482">
        <f t="shared" si="73"/>
        <v>0</v>
      </c>
      <c r="H148" s="483">
        <f t="shared" si="70"/>
        <v>0</v>
      </c>
      <c r="I148" s="539">
        <f t="shared" si="71"/>
        <v>0</v>
      </c>
      <c r="J148" s="475">
        <f t="shared" si="74"/>
        <v>0</v>
      </c>
      <c r="K148" s="475"/>
      <c r="L148" s="484"/>
      <c r="M148" s="475">
        <f t="shared" si="75"/>
        <v>0</v>
      </c>
      <c r="N148" s="484"/>
      <c r="O148" s="475">
        <f t="shared" si="76"/>
        <v>0</v>
      </c>
      <c r="P148" s="475">
        <f t="shared" si="77"/>
        <v>0</v>
      </c>
    </row>
    <row r="149" spans="2:16" ht="12.5">
      <c r="B149" s="160" t="str">
        <f t="shared" si="42"/>
        <v/>
      </c>
      <c r="C149" s="469">
        <f>IF(D93="","-",+C148+1)</f>
        <v>2057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72"/>
        <v>0</v>
      </c>
      <c r="G149" s="482">
        <f t="shared" si="73"/>
        <v>0</v>
      </c>
      <c r="H149" s="483">
        <f t="shared" si="70"/>
        <v>0</v>
      </c>
      <c r="I149" s="539">
        <f t="shared" si="71"/>
        <v>0</v>
      </c>
      <c r="J149" s="475">
        <f t="shared" si="74"/>
        <v>0</v>
      </c>
      <c r="K149" s="475"/>
      <c r="L149" s="484"/>
      <c r="M149" s="475">
        <f t="shared" si="75"/>
        <v>0</v>
      </c>
      <c r="N149" s="484"/>
      <c r="O149" s="475">
        <f t="shared" si="76"/>
        <v>0</v>
      </c>
      <c r="P149" s="475">
        <f t="shared" si="77"/>
        <v>0</v>
      </c>
    </row>
    <row r="150" spans="2:16" ht="12.5">
      <c r="B150" s="160" t="str">
        <f t="shared" si="42"/>
        <v/>
      </c>
      <c r="C150" s="469">
        <f>IF(D93="","-",+C149+1)</f>
        <v>2058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72"/>
        <v>0</v>
      </c>
      <c r="G150" s="482">
        <f t="shared" si="73"/>
        <v>0</v>
      </c>
      <c r="H150" s="483">
        <f t="shared" si="70"/>
        <v>0</v>
      </c>
      <c r="I150" s="539">
        <f t="shared" si="71"/>
        <v>0</v>
      </c>
      <c r="J150" s="475">
        <f t="shared" si="74"/>
        <v>0</v>
      </c>
      <c r="K150" s="475"/>
      <c r="L150" s="484"/>
      <c r="M150" s="475">
        <f t="shared" si="75"/>
        <v>0</v>
      </c>
      <c r="N150" s="484"/>
      <c r="O150" s="475">
        <f t="shared" si="76"/>
        <v>0</v>
      </c>
      <c r="P150" s="475">
        <f t="shared" si="77"/>
        <v>0</v>
      </c>
    </row>
    <row r="151" spans="2:16" ht="12.5">
      <c r="B151" s="160" t="str">
        <f t="shared" si="42"/>
        <v/>
      </c>
      <c r="C151" s="469">
        <f>IF(D93="","-",+C150+1)</f>
        <v>2059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72"/>
        <v>0</v>
      </c>
      <c r="G151" s="482">
        <f t="shared" si="73"/>
        <v>0</v>
      </c>
      <c r="H151" s="483">
        <f t="shared" si="70"/>
        <v>0</v>
      </c>
      <c r="I151" s="539">
        <f t="shared" si="71"/>
        <v>0</v>
      </c>
      <c r="J151" s="475">
        <f t="shared" si="74"/>
        <v>0</v>
      </c>
      <c r="K151" s="475"/>
      <c r="L151" s="484"/>
      <c r="M151" s="475">
        <f t="shared" si="75"/>
        <v>0</v>
      </c>
      <c r="N151" s="484"/>
      <c r="O151" s="475">
        <f t="shared" si="76"/>
        <v>0</v>
      </c>
      <c r="P151" s="475">
        <f t="shared" si="77"/>
        <v>0</v>
      </c>
    </row>
    <row r="152" spans="2:16" ht="12.5">
      <c r="B152" s="160" t="str">
        <f t="shared" si="42"/>
        <v/>
      </c>
      <c r="C152" s="469">
        <f>IF(D93="","-",+C151+1)</f>
        <v>2060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72"/>
        <v>0</v>
      </c>
      <c r="G152" s="482">
        <f t="shared" si="73"/>
        <v>0</v>
      </c>
      <c r="H152" s="483">
        <f t="shared" si="70"/>
        <v>0</v>
      </c>
      <c r="I152" s="539">
        <f t="shared" si="71"/>
        <v>0</v>
      </c>
      <c r="J152" s="475">
        <f t="shared" si="74"/>
        <v>0</v>
      </c>
      <c r="K152" s="475"/>
      <c r="L152" s="484"/>
      <c r="M152" s="475">
        <f t="shared" si="75"/>
        <v>0</v>
      </c>
      <c r="N152" s="484"/>
      <c r="O152" s="475">
        <f t="shared" si="76"/>
        <v>0</v>
      </c>
      <c r="P152" s="475">
        <f t="shared" si="77"/>
        <v>0</v>
      </c>
    </row>
    <row r="153" spans="2:16" ht="12.5">
      <c r="B153" s="160" t="str">
        <f t="shared" si="42"/>
        <v/>
      </c>
      <c r="C153" s="469">
        <f>IF(D93="","-",+C152+1)</f>
        <v>2061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72"/>
        <v>0</v>
      </c>
      <c r="G153" s="482">
        <f t="shared" si="73"/>
        <v>0</v>
      </c>
      <c r="H153" s="483">
        <f t="shared" si="70"/>
        <v>0</v>
      </c>
      <c r="I153" s="539">
        <f t="shared" si="71"/>
        <v>0</v>
      </c>
      <c r="J153" s="475">
        <f t="shared" si="74"/>
        <v>0</v>
      </c>
      <c r="K153" s="475"/>
      <c r="L153" s="484"/>
      <c r="M153" s="475">
        <f t="shared" si="75"/>
        <v>0</v>
      </c>
      <c r="N153" s="484"/>
      <c r="O153" s="475">
        <f t="shared" si="76"/>
        <v>0</v>
      </c>
      <c r="P153" s="475">
        <f t="shared" si="77"/>
        <v>0</v>
      </c>
    </row>
    <row r="154" spans="2:16" ht="13" thickBot="1">
      <c r="B154" s="160" t="str">
        <f t="shared" si="42"/>
        <v/>
      </c>
      <c r="C154" s="486">
        <f>IF(D93="","-",+C153+1)</f>
        <v>2062</v>
      </c>
      <c r="D154" s="540">
        <f>IF(F153+SUM(E$99:E153)=D$92,F153,D$92-SUM(E$99:E153))</f>
        <v>0</v>
      </c>
      <c r="E154" s="541">
        <f>IF(+J96&lt;F153,J96,D154)</f>
        <v>0</v>
      </c>
      <c r="F154" s="487">
        <f>+D154-E154</f>
        <v>0</v>
      </c>
      <c r="G154" s="487">
        <f>+(F154+D154)/2</f>
        <v>0</v>
      </c>
      <c r="H154" s="489">
        <f t="shared" ref="H154" si="78">+J$94*G154+E154</f>
        <v>0</v>
      </c>
      <c r="I154" s="542">
        <f t="shared" ref="I154" si="79">+J$95*G154+E154</f>
        <v>0</v>
      </c>
      <c r="J154" s="492">
        <f t="shared" si="74"/>
        <v>0</v>
      </c>
      <c r="K154" s="475"/>
      <c r="L154" s="491"/>
      <c r="M154" s="492">
        <f t="shared" si="75"/>
        <v>0</v>
      </c>
      <c r="N154" s="491"/>
      <c r="O154" s="492">
        <f t="shared" si="76"/>
        <v>0</v>
      </c>
      <c r="P154" s="492">
        <f t="shared" si="77"/>
        <v>0</v>
      </c>
    </row>
    <row r="155" spans="2:16" ht="12.5">
      <c r="C155" s="344" t="s">
        <v>77</v>
      </c>
      <c r="D155" s="345"/>
      <c r="E155" s="345">
        <f>SUM(E99:E154)</f>
        <v>84424</v>
      </c>
      <c r="F155" s="345"/>
      <c r="G155" s="345"/>
      <c r="H155" s="345">
        <f>SUM(H99:H154)</f>
        <v>327379.44354430522</v>
      </c>
      <c r="I155" s="345">
        <f>SUM(I99:I154)</f>
        <v>327379.44354430522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148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59" priority="1" stopIfTrue="1" operator="equal">
      <formula>$I$10</formula>
    </cfRule>
  </conditionalFormatting>
  <conditionalFormatting sqref="C99:C154">
    <cfRule type="cellIs" dxfId="5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6">
    <tabColor rgb="FFC00000"/>
  </sheetPr>
  <dimension ref="A1:P162"/>
  <sheetViews>
    <sheetView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8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5600.8991076380617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5600.8991076380617</v>
      </c>
      <c r="O6" s="231"/>
      <c r="P6" s="231"/>
    </row>
    <row r="7" spans="1:16" ht="13.5" thickBot="1">
      <c r="C7" s="428" t="s">
        <v>46</v>
      </c>
      <c r="D7" s="429" t="s">
        <v>215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>DOES NOT MEET SPP $100,000 MINIMUM INVESTMENT FOR REGIONAL BPU SHARING.</v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87</v>
      </c>
      <c r="E9" s="519" t="s">
        <v>374</v>
      </c>
      <c r="F9" s="719" t="s">
        <v>377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56133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2006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3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1477.1842105263158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2006</v>
      </c>
      <c r="D17" s="470">
        <v>56133</v>
      </c>
      <c r="E17" s="471">
        <v>752</v>
      </c>
      <c r="F17" s="470">
        <v>55381</v>
      </c>
      <c r="G17" s="471">
        <v>0</v>
      </c>
      <c r="H17" s="478">
        <v>0</v>
      </c>
      <c r="I17" s="472">
        <f t="shared" ref="I17:I48" si="0">H17-G17</f>
        <v>0</v>
      </c>
      <c r="J17" s="472"/>
      <c r="K17" s="551">
        <v>0</v>
      </c>
      <c r="L17" s="474">
        <f t="shared" ref="L17:L48" si="1">IF(K17&lt;&gt;0,+G17-K17,0)</f>
        <v>0</v>
      </c>
      <c r="M17" s="551">
        <v>0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2007</v>
      </c>
      <c r="D18" s="476">
        <v>55381</v>
      </c>
      <c r="E18" s="477">
        <v>1002</v>
      </c>
      <c r="F18" s="476">
        <v>54379</v>
      </c>
      <c r="G18" s="477">
        <v>0</v>
      </c>
      <c r="H18" s="478">
        <v>0</v>
      </c>
      <c r="I18" s="472">
        <f t="shared" si="0"/>
        <v>0</v>
      </c>
      <c r="J18" s="472"/>
      <c r="K18" s="473">
        <v>0</v>
      </c>
      <c r="L18" s="475">
        <f t="shared" si="1"/>
        <v>0</v>
      </c>
      <c r="M18" s="473">
        <v>0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/>
      </c>
      <c r="C19" s="469">
        <f>IF(D11="","-",+C18+1)</f>
        <v>2008</v>
      </c>
      <c r="D19" s="476">
        <v>54379</v>
      </c>
      <c r="E19" s="477">
        <v>1002</v>
      </c>
      <c r="F19" s="476">
        <v>53377</v>
      </c>
      <c r="G19" s="477">
        <v>0</v>
      </c>
      <c r="H19" s="478">
        <v>0</v>
      </c>
      <c r="I19" s="472">
        <f t="shared" si="0"/>
        <v>0</v>
      </c>
      <c r="J19" s="472"/>
      <c r="K19" s="473">
        <v>0</v>
      </c>
      <c r="L19" s="475">
        <f t="shared" si="1"/>
        <v>0</v>
      </c>
      <c r="M19" s="473">
        <v>0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4">IF(D20=F19,"","IU")</f>
        <v/>
      </c>
      <c r="C20" s="469">
        <f>IF(D11="","-",+C19+1)</f>
        <v>2009</v>
      </c>
      <c r="D20" s="476">
        <v>53377</v>
      </c>
      <c r="E20" s="477">
        <v>1002</v>
      </c>
      <c r="F20" s="476">
        <v>52375</v>
      </c>
      <c r="G20" s="477">
        <v>0</v>
      </c>
      <c r="H20" s="478">
        <v>0</v>
      </c>
      <c r="I20" s="472">
        <f t="shared" si="0"/>
        <v>0</v>
      </c>
      <c r="J20" s="472"/>
      <c r="K20" s="473">
        <v>0</v>
      </c>
      <c r="L20" s="475">
        <f t="shared" si="1"/>
        <v>0</v>
      </c>
      <c r="M20" s="473">
        <v>0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4"/>
        <v/>
      </c>
      <c r="C21" s="469">
        <f>IF(D11="","-",+C20+1)</f>
        <v>2010</v>
      </c>
      <c r="D21" s="476">
        <v>52375</v>
      </c>
      <c r="E21" s="477">
        <v>1002.375</v>
      </c>
      <c r="F21" s="476">
        <v>51372.625</v>
      </c>
      <c r="G21" s="477">
        <v>8415.2657154769768</v>
      </c>
      <c r="H21" s="478">
        <v>8415.2657154769768</v>
      </c>
      <c r="I21" s="472">
        <f t="shared" si="0"/>
        <v>0</v>
      </c>
      <c r="J21" s="472"/>
      <c r="K21" s="473">
        <f t="shared" ref="K21:K26" si="5">G21</f>
        <v>8415.2657154769768</v>
      </c>
      <c r="L21" s="547">
        <f t="shared" si="1"/>
        <v>0</v>
      </c>
      <c r="M21" s="473">
        <f t="shared" ref="M21:M26" si="6">H21</f>
        <v>8415.2657154769768</v>
      </c>
      <c r="N21" s="475">
        <f t="shared" si="2"/>
        <v>0</v>
      </c>
      <c r="O21" s="475">
        <f t="shared" si="3"/>
        <v>0</v>
      </c>
      <c r="P21" s="241"/>
    </row>
    <row r="22" spans="2:16" ht="12.5">
      <c r="B22" s="160" t="str">
        <f t="shared" si="4"/>
        <v/>
      </c>
      <c r="C22" s="469">
        <f>IF(D11="","-",+C21+1)</f>
        <v>2011</v>
      </c>
      <c r="D22" s="476">
        <v>51372.625</v>
      </c>
      <c r="E22" s="477">
        <v>1100.6470588235295</v>
      </c>
      <c r="F22" s="476">
        <v>50271.977941176468</v>
      </c>
      <c r="G22" s="477">
        <v>8970.3904929935452</v>
      </c>
      <c r="H22" s="478">
        <v>8970.3904929935452</v>
      </c>
      <c r="I22" s="472">
        <f t="shared" si="0"/>
        <v>0</v>
      </c>
      <c r="J22" s="472"/>
      <c r="K22" s="473">
        <f t="shared" si="5"/>
        <v>8970.3904929935452</v>
      </c>
      <c r="L22" s="547">
        <f t="shared" si="1"/>
        <v>0</v>
      </c>
      <c r="M22" s="473">
        <f t="shared" si="6"/>
        <v>8970.3904929935452</v>
      </c>
      <c r="N22" s="475">
        <f t="shared" si="2"/>
        <v>0</v>
      </c>
      <c r="O22" s="475">
        <f t="shared" si="3"/>
        <v>0</v>
      </c>
      <c r="P22" s="241"/>
    </row>
    <row r="23" spans="2:16" ht="12.5">
      <c r="B23" s="160" t="str">
        <f t="shared" si="4"/>
        <v/>
      </c>
      <c r="C23" s="469">
        <f>IF(D11="","-",+C22+1)</f>
        <v>2012</v>
      </c>
      <c r="D23" s="476">
        <v>50271.977941176468</v>
      </c>
      <c r="E23" s="477">
        <v>1079.4807692307693</v>
      </c>
      <c r="F23" s="476">
        <v>49192.497171945703</v>
      </c>
      <c r="G23" s="477">
        <v>7927.4076335998161</v>
      </c>
      <c r="H23" s="478">
        <v>7927.4076335998161</v>
      </c>
      <c r="I23" s="472">
        <f t="shared" si="0"/>
        <v>0</v>
      </c>
      <c r="J23" s="472"/>
      <c r="K23" s="473">
        <f t="shared" si="5"/>
        <v>7927.4076335998161</v>
      </c>
      <c r="L23" s="547">
        <f t="shared" si="1"/>
        <v>0</v>
      </c>
      <c r="M23" s="473">
        <f t="shared" si="6"/>
        <v>7927.4076335998161</v>
      </c>
      <c r="N23" s="475">
        <f t="shared" si="2"/>
        <v>0</v>
      </c>
      <c r="O23" s="475">
        <f t="shared" si="3"/>
        <v>0</v>
      </c>
      <c r="P23" s="241"/>
    </row>
    <row r="24" spans="2:16" ht="12.5">
      <c r="B24" s="160" t="str">
        <f t="shared" si="4"/>
        <v/>
      </c>
      <c r="C24" s="469">
        <f>IF(D11="","-",+C23+1)</f>
        <v>2013</v>
      </c>
      <c r="D24" s="476">
        <v>49192.497171945703</v>
      </c>
      <c r="E24" s="477">
        <v>1079.4807692307693</v>
      </c>
      <c r="F24" s="476">
        <v>48113.016402714937</v>
      </c>
      <c r="G24" s="477">
        <v>7950.3447729090094</v>
      </c>
      <c r="H24" s="478">
        <v>7950.3447729090094</v>
      </c>
      <c r="I24" s="472">
        <v>0</v>
      </c>
      <c r="J24" s="472"/>
      <c r="K24" s="473">
        <f t="shared" si="5"/>
        <v>7950.3447729090094</v>
      </c>
      <c r="L24" s="547">
        <f t="shared" ref="L24:L29" si="7">IF(K24&lt;&gt;0,+G24-K24,0)</f>
        <v>0</v>
      </c>
      <c r="M24" s="473">
        <f t="shared" si="6"/>
        <v>7950.3447729090094</v>
      </c>
      <c r="N24" s="475">
        <f t="shared" ref="N24:N29" si="8">IF(M24&lt;&gt;0,+H24-M24,0)</f>
        <v>0</v>
      </c>
      <c r="O24" s="475">
        <f t="shared" ref="O24:O29" si="9">+N24-L24</f>
        <v>0</v>
      </c>
      <c r="P24" s="241"/>
    </row>
    <row r="25" spans="2:16" ht="12.5">
      <c r="B25" s="160" t="str">
        <f t="shared" si="4"/>
        <v/>
      </c>
      <c r="C25" s="469">
        <f>IF(D11="","-",+C24+1)</f>
        <v>2014</v>
      </c>
      <c r="D25" s="476">
        <v>48113.016402714937</v>
      </c>
      <c r="E25" s="477">
        <v>1079.4807692307693</v>
      </c>
      <c r="F25" s="476">
        <v>47033.535633484171</v>
      </c>
      <c r="G25" s="477">
        <v>7554.0593246775043</v>
      </c>
      <c r="H25" s="478">
        <v>7554.0593246775043</v>
      </c>
      <c r="I25" s="472">
        <v>0</v>
      </c>
      <c r="J25" s="472"/>
      <c r="K25" s="473">
        <f t="shared" si="5"/>
        <v>7554.0593246775043</v>
      </c>
      <c r="L25" s="547">
        <f t="shared" si="7"/>
        <v>0</v>
      </c>
      <c r="M25" s="473">
        <f t="shared" si="6"/>
        <v>7554.0593246775043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4"/>
        <v/>
      </c>
      <c r="C26" s="469">
        <f>IF(D11="","-",+C25+1)</f>
        <v>2015</v>
      </c>
      <c r="D26" s="476">
        <v>47033.535633484171</v>
      </c>
      <c r="E26" s="477">
        <v>1079.4807692307693</v>
      </c>
      <c r="F26" s="476">
        <v>45954.054864253405</v>
      </c>
      <c r="G26" s="477">
        <v>7415.24244849963</v>
      </c>
      <c r="H26" s="478">
        <v>7415.24244849963</v>
      </c>
      <c r="I26" s="472">
        <v>0</v>
      </c>
      <c r="J26" s="472"/>
      <c r="K26" s="473">
        <f t="shared" si="5"/>
        <v>7415.24244849963</v>
      </c>
      <c r="L26" s="547">
        <f t="shared" si="7"/>
        <v>0</v>
      </c>
      <c r="M26" s="473">
        <f t="shared" si="6"/>
        <v>7415.24244849963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4"/>
        <v/>
      </c>
      <c r="C27" s="469">
        <f>IF(D11="","-",+C26+1)</f>
        <v>2016</v>
      </c>
      <c r="D27" s="476">
        <v>45954.054864253405</v>
      </c>
      <c r="E27" s="477">
        <v>1079.4807692307693</v>
      </c>
      <c r="F27" s="476">
        <v>44874.574095022639</v>
      </c>
      <c r="G27" s="477">
        <v>6965.2134846377958</v>
      </c>
      <c r="H27" s="478">
        <v>6965.2134846377958</v>
      </c>
      <c r="I27" s="472">
        <f t="shared" si="0"/>
        <v>0</v>
      </c>
      <c r="J27" s="472"/>
      <c r="K27" s="473">
        <f t="shared" ref="K27:K32" si="10">G27</f>
        <v>6965.2134846377958</v>
      </c>
      <c r="L27" s="547">
        <f t="shared" si="7"/>
        <v>0</v>
      </c>
      <c r="M27" s="473">
        <f t="shared" ref="M27:M32" si="11">H27</f>
        <v>6965.2134846377958</v>
      </c>
      <c r="N27" s="475">
        <f t="shared" si="8"/>
        <v>0</v>
      </c>
      <c r="O27" s="475">
        <f t="shared" si="9"/>
        <v>0</v>
      </c>
      <c r="P27" s="241"/>
    </row>
    <row r="28" spans="2:16" ht="12.5">
      <c r="B28" s="160" t="str">
        <f t="shared" si="4"/>
        <v/>
      </c>
      <c r="C28" s="469">
        <f>IF(D11="","-",+C27+1)</f>
        <v>2017</v>
      </c>
      <c r="D28" s="476">
        <v>44874.574095022639</v>
      </c>
      <c r="E28" s="477">
        <v>1220.2826086956522</v>
      </c>
      <c r="F28" s="476">
        <v>43654.291486326983</v>
      </c>
      <c r="G28" s="477">
        <v>6775.7563240948048</v>
      </c>
      <c r="H28" s="478">
        <v>6775.7563240948048</v>
      </c>
      <c r="I28" s="472">
        <f t="shared" si="0"/>
        <v>0</v>
      </c>
      <c r="J28" s="472"/>
      <c r="K28" s="473">
        <f t="shared" si="10"/>
        <v>6775.7563240948048</v>
      </c>
      <c r="L28" s="547">
        <f t="shared" si="7"/>
        <v>0</v>
      </c>
      <c r="M28" s="473">
        <f t="shared" si="11"/>
        <v>6775.7563240948048</v>
      </c>
      <c r="N28" s="475">
        <f t="shared" si="8"/>
        <v>0</v>
      </c>
      <c r="O28" s="475">
        <f t="shared" si="9"/>
        <v>0</v>
      </c>
      <c r="P28" s="241"/>
    </row>
    <row r="29" spans="2:16" ht="12.5">
      <c r="B29" s="160" t="str">
        <f t="shared" si="4"/>
        <v/>
      </c>
      <c r="C29" s="469">
        <f>IF(D11="","-",+C28+1)</f>
        <v>2018</v>
      </c>
      <c r="D29" s="476">
        <v>43654.291486326983</v>
      </c>
      <c r="E29" s="477">
        <v>1247.4000000000001</v>
      </c>
      <c r="F29" s="476">
        <v>42406.891486326982</v>
      </c>
      <c r="G29" s="477">
        <v>6400.6980544313355</v>
      </c>
      <c r="H29" s="478">
        <v>6400.6980544313355</v>
      </c>
      <c r="I29" s="472">
        <f t="shared" si="0"/>
        <v>0</v>
      </c>
      <c r="J29" s="472"/>
      <c r="K29" s="473">
        <f t="shared" si="10"/>
        <v>6400.6980544313355</v>
      </c>
      <c r="L29" s="547">
        <f t="shared" si="7"/>
        <v>0</v>
      </c>
      <c r="M29" s="473">
        <f t="shared" si="11"/>
        <v>6400.6980544313355</v>
      </c>
      <c r="N29" s="475">
        <f t="shared" si="8"/>
        <v>0</v>
      </c>
      <c r="O29" s="475">
        <f t="shared" si="9"/>
        <v>0</v>
      </c>
      <c r="P29" s="241"/>
    </row>
    <row r="30" spans="2:16" ht="12.5">
      <c r="B30" s="160" t="str">
        <f t="shared" si="4"/>
        <v/>
      </c>
      <c r="C30" s="469">
        <f>IF(D11="","-",+C29+1)</f>
        <v>2019</v>
      </c>
      <c r="D30" s="476">
        <v>42406.891486326982</v>
      </c>
      <c r="E30" s="477">
        <v>1403.325</v>
      </c>
      <c r="F30" s="476">
        <v>41003.566486326985</v>
      </c>
      <c r="G30" s="477">
        <v>6059.9903761062678</v>
      </c>
      <c r="H30" s="478">
        <v>6059.9903761062678</v>
      </c>
      <c r="I30" s="472">
        <f t="shared" si="0"/>
        <v>0</v>
      </c>
      <c r="J30" s="472"/>
      <c r="K30" s="473">
        <f t="shared" si="10"/>
        <v>6059.9903761062678</v>
      </c>
      <c r="L30" s="547">
        <f t="shared" ref="L30" si="12">IF(K30&lt;&gt;0,+G30-K30,0)</f>
        <v>0</v>
      </c>
      <c r="M30" s="473">
        <f t="shared" si="11"/>
        <v>6059.9903761062678</v>
      </c>
      <c r="N30" s="475">
        <f t="shared" ref="N30" si="13">IF(M30&lt;&gt;0,+H30-M30,0)</f>
        <v>0</v>
      </c>
      <c r="O30" s="475">
        <f t="shared" ref="O30" si="14">+N30-L30</f>
        <v>0</v>
      </c>
      <c r="P30" s="241"/>
    </row>
    <row r="31" spans="2:16" ht="12.5">
      <c r="B31" s="160" t="str">
        <f t="shared" si="4"/>
        <v>IU</v>
      </c>
      <c r="C31" s="469">
        <f>IF(D11="","-",+C30+1)</f>
        <v>2020</v>
      </c>
      <c r="D31" s="476">
        <v>41159.491486326981</v>
      </c>
      <c r="E31" s="477">
        <v>1336.5</v>
      </c>
      <c r="F31" s="476">
        <v>39822.991486326981</v>
      </c>
      <c r="G31" s="477">
        <v>5709.7475035377865</v>
      </c>
      <c r="H31" s="478">
        <v>5709.7475035377865</v>
      </c>
      <c r="I31" s="472">
        <f t="shared" si="0"/>
        <v>0</v>
      </c>
      <c r="J31" s="472"/>
      <c r="K31" s="473">
        <f t="shared" si="10"/>
        <v>5709.7475035377865</v>
      </c>
      <c r="L31" s="547">
        <f t="shared" ref="L31" si="15">IF(K31&lt;&gt;0,+G31-K31,0)</f>
        <v>0</v>
      </c>
      <c r="M31" s="473">
        <f t="shared" si="11"/>
        <v>5709.7475035377865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4"/>
        <v>IU</v>
      </c>
      <c r="C32" s="469">
        <f>IF(D11="","-",+C31+1)</f>
        <v>2021</v>
      </c>
      <c r="D32" s="476">
        <v>39667.06648632697</v>
      </c>
      <c r="E32" s="477">
        <v>1305.4186046511627</v>
      </c>
      <c r="F32" s="476">
        <v>38361.64788167581</v>
      </c>
      <c r="G32" s="477">
        <v>5441.6348487910545</v>
      </c>
      <c r="H32" s="478">
        <v>5441.6348487910545</v>
      </c>
      <c r="I32" s="472">
        <f t="shared" si="0"/>
        <v>0</v>
      </c>
      <c r="J32" s="472"/>
      <c r="K32" s="473">
        <f t="shared" si="10"/>
        <v>5441.6348487910545</v>
      </c>
      <c r="L32" s="547">
        <f t="shared" ref="L32" si="16">IF(K32&lt;&gt;0,+G32-K32,0)</f>
        <v>0</v>
      </c>
      <c r="M32" s="473">
        <f t="shared" si="11"/>
        <v>5441.6348487910545</v>
      </c>
      <c r="N32" s="475">
        <f t="shared" si="2"/>
        <v>0</v>
      </c>
      <c r="O32" s="475">
        <f t="shared" si="3"/>
        <v>0</v>
      </c>
      <c r="P32" s="241"/>
    </row>
    <row r="33" spans="2:16" ht="12.5">
      <c r="B33" s="160" t="str">
        <f t="shared" si="4"/>
        <v/>
      </c>
      <c r="C33" s="469">
        <f>IF(D11="","-",+C32+1)</f>
        <v>2022</v>
      </c>
      <c r="D33" s="476">
        <v>38361.64788167581</v>
      </c>
      <c r="E33" s="477">
        <v>1336.5</v>
      </c>
      <c r="F33" s="476">
        <v>37025.14788167581</v>
      </c>
      <c r="G33" s="477">
        <v>5328.2273193212004</v>
      </c>
      <c r="H33" s="478">
        <v>5328.2273193212004</v>
      </c>
      <c r="I33" s="472">
        <f t="shared" si="0"/>
        <v>0</v>
      </c>
      <c r="J33" s="472"/>
      <c r="K33" s="473">
        <f t="shared" ref="K33" si="17">G33</f>
        <v>5328.2273193212004</v>
      </c>
      <c r="L33" s="547">
        <f t="shared" ref="L33" si="18">IF(K33&lt;&gt;0,+G33-K33,0)</f>
        <v>0</v>
      </c>
      <c r="M33" s="473">
        <f t="shared" ref="M33" si="19">H33</f>
        <v>5328.2273193212004</v>
      </c>
      <c r="N33" s="475">
        <f t="shared" si="2"/>
        <v>0</v>
      </c>
      <c r="O33" s="475">
        <f t="shared" si="3"/>
        <v>0</v>
      </c>
      <c r="P33" s="241"/>
    </row>
    <row r="34" spans="2:16" ht="12.5">
      <c r="B34" s="160" t="str">
        <f t="shared" si="4"/>
        <v/>
      </c>
      <c r="C34" s="469">
        <f>IF(D11="","-",+C33+1)</f>
        <v>2023</v>
      </c>
      <c r="D34" s="476">
        <v>37025.14788167581</v>
      </c>
      <c r="E34" s="477">
        <v>1439.3076923076924</v>
      </c>
      <c r="F34" s="476">
        <v>35585.840189368115</v>
      </c>
      <c r="G34" s="477">
        <v>5686.7962355511117</v>
      </c>
      <c r="H34" s="478">
        <v>5686.7962355511117</v>
      </c>
      <c r="I34" s="472">
        <f t="shared" si="0"/>
        <v>0</v>
      </c>
      <c r="J34" s="472"/>
      <c r="K34" s="473">
        <f t="shared" ref="K34" si="20">G34</f>
        <v>5686.7962355511117</v>
      </c>
      <c r="L34" s="547">
        <f t="shared" ref="L34" si="21">IF(K34&lt;&gt;0,+G34-K34,0)</f>
        <v>0</v>
      </c>
      <c r="M34" s="473">
        <f t="shared" ref="M34" si="22">H34</f>
        <v>5686.7962355511117</v>
      </c>
      <c r="N34" s="475">
        <f t="shared" si="2"/>
        <v>0</v>
      </c>
      <c r="O34" s="475">
        <f t="shared" si="3"/>
        <v>0</v>
      </c>
      <c r="P34" s="241"/>
    </row>
    <row r="35" spans="2:16" ht="12.5">
      <c r="B35" s="160" t="str">
        <f t="shared" si="4"/>
        <v/>
      </c>
      <c r="C35" s="469">
        <f>IF(D11="","-",+C34+1)</f>
        <v>2024</v>
      </c>
      <c r="D35" s="476">
        <v>35585.840189368115</v>
      </c>
      <c r="E35" s="477">
        <v>1439.3076923076924</v>
      </c>
      <c r="F35" s="476">
        <v>34146.53249706042</v>
      </c>
      <c r="G35" s="477">
        <v>5600.8991076380617</v>
      </c>
      <c r="H35" s="478">
        <v>5600.8991076380617</v>
      </c>
      <c r="I35" s="472">
        <f t="shared" si="0"/>
        <v>0</v>
      </c>
      <c r="J35" s="472"/>
      <c r="K35" s="473">
        <f t="shared" ref="K35" si="23">G35</f>
        <v>5600.8991076380617</v>
      </c>
      <c r="L35" s="547">
        <f t="shared" ref="L35" si="24">IF(K35&lt;&gt;0,+G35-K35,0)</f>
        <v>0</v>
      </c>
      <c r="M35" s="473">
        <f t="shared" ref="M35" si="25">H35</f>
        <v>5600.8991076380617</v>
      </c>
      <c r="N35" s="475">
        <f t="shared" ref="N35" si="26">IF(M35&lt;&gt;0,+H35-M35,0)</f>
        <v>0</v>
      </c>
      <c r="O35" s="475">
        <f t="shared" ref="O35" si="27">+N35-L35</f>
        <v>0</v>
      </c>
      <c r="P35" s="241"/>
    </row>
    <row r="36" spans="2:16" ht="12.5">
      <c r="B36" s="160" t="str">
        <f t="shared" si="4"/>
        <v/>
      </c>
      <c r="C36" s="469">
        <f>IF(D11="","-",+C35+1)</f>
        <v>2025</v>
      </c>
      <c r="D36" s="482">
        <f>IF(F35+SUM(E$17:E35)=D$10,F35,D$10-SUM(E$17:E35))</f>
        <v>34146.53249706042</v>
      </c>
      <c r="E36" s="481">
        <f>IF(+I14&lt;F35,I14,D36)</f>
        <v>1477.1842105263158</v>
      </c>
      <c r="F36" s="482">
        <f t="shared" ref="F36:F48" si="28">+D36-E36</f>
        <v>32669.348286534103</v>
      </c>
      <c r="G36" s="483">
        <f t="shared" ref="G36:G72" si="29">(D36+F36)/2*I$12+E36</f>
        <v>5277.0096173370639</v>
      </c>
      <c r="H36" s="452">
        <f t="shared" ref="H36:H72" si="30">+(D36+F36)/2*I$13+E36</f>
        <v>5277.0096173370639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4"/>
        <v/>
      </c>
      <c r="C37" s="469">
        <f>IF(D11="","-",+C36+1)</f>
        <v>2026</v>
      </c>
      <c r="D37" s="482">
        <f>IF(F36+SUM(E$17:E36)=D$10,F36,D$10-SUM(E$17:E36))</f>
        <v>32669.348286534103</v>
      </c>
      <c r="E37" s="481">
        <f>IF(+I14&lt;F36,I14,D37)</f>
        <v>1477.1842105263158</v>
      </c>
      <c r="F37" s="482">
        <f t="shared" si="28"/>
        <v>31192.164076007786</v>
      </c>
      <c r="G37" s="483">
        <f t="shared" si="29"/>
        <v>5108.9944081421945</v>
      </c>
      <c r="H37" s="452">
        <f t="shared" si="30"/>
        <v>5108.9944081421945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562" t="str">
        <f t="shared" si="4"/>
        <v/>
      </c>
      <c r="C38" s="469">
        <f>IF(D11="","-",+C37+1)</f>
        <v>2027</v>
      </c>
      <c r="D38" s="482">
        <f>IF(F37+SUM(E$17:E37)=D$10,F37,D$10-SUM(E$17:E37))</f>
        <v>31192.164076007786</v>
      </c>
      <c r="E38" s="481">
        <f>IF(+I14&lt;F37,I14,D38)</f>
        <v>1477.1842105263158</v>
      </c>
      <c r="F38" s="482">
        <f t="shared" si="28"/>
        <v>29714.979865481469</v>
      </c>
      <c r="G38" s="483">
        <f t="shared" si="29"/>
        <v>4940.9791989473233</v>
      </c>
      <c r="H38" s="452">
        <f t="shared" si="30"/>
        <v>4940.9791989473233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4"/>
        <v/>
      </c>
      <c r="C39" s="469">
        <f>IF(D11="","-",+C38+1)</f>
        <v>2028</v>
      </c>
      <c r="D39" s="482">
        <f>IF(F38+SUM(E$17:E38)=D$10,F38,D$10-SUM(E$17:E38))</f>
        <v>29714.979865481469</v>
      </c>
      <c r="E39" s="481">
        <f>IF(+I14&lt;F38,I14,D39)</f>
        <v>1477.1842105263158</v>
      </c>
      <c r="F39" s="482">
        <f t="shared" si="28"/>
        <v>28237.795654955153</v>
      </c>
      <c r="G39" s="483">
        <f t="shared" si="29"/>
        <v>4772.9639897524539</v>
      </c>
      <c r="H39" s="452">
        <f t="shared" si="30"/>
        <v>4772.9639897524539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4"/>
        <v/>
      </c>
      <c r="C40" s="469">
        <f>IF(D11="","-",+C39+1)</f>
        <v>2029</v>
      </c>
      <c r="D40" s="482">
        <f>IF(F39+SUM(E$17:E39)=D$10,F39,D$10-SUM(E$17:E39))</f>
        <v>28237.795654955153</v>
      </c>
      <c r="E40" s="481">
        <f>IF(+I14&lt;F39,I14,D40)</f>
        <v>1477.1842105263158</v>
      </c>
      <c r="F40" s="482">
        <f t="shared" si="28"/>
        <v>26760.611444428836</v>
      </c>
      <c r="G40" s="483">
        <f t="shared" si="29"/>
        <v>4604.9487805575827</v>
      </c>
      <c r="H40" s="452">
        <f t="shared" si="30"/>
        <v>4604.9487805575827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4"/>
        <v/>
      </c>
      <c r="C41" s="469">
        <f>IF(D11="","-",+C40+1)</f>
        <v>2030</v>
      </c>
      <c r="D41" s="482">
        <f>IF(F40+SUM(E$17:E40)=D$10,F40,D$10-SUM(E$17:E40))</f>
        <v>26760.611444428836</v>
      </c>
      <c r="E41" s="481">
        <f>IF(+I14&lt;F40,I14,D41)</f>
        <v>1477.1842105263158</v>
      </c>
      <c r="F41" s="482">
        <f t="shared" si="28"/>
        <v>25283.427233902519</v>
      </c>
      <c r="G41" s="483">
        <f t="shared" si="29"/>
        <v>4436.9335713627133</v>
      </c>
      <c r="H41" s="452">
        <f t="shared" si="30"/>
        <v>4436.9335713627133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4"/>
        <v/>
      </c>
      <c r="C42" s="469">
        <f>IF(D11="","-",+C41+1)</f>
        <v>2031</v>
      </c>
      <c r="D42" s="482">
        <f>IF(F41+SUM(E$17:E41)=D$10,F41,D$10-SUM(E$17:E41))</f>
        <v>25283.427233902519</v>
      </c>
      <c r="E42" s="481">
        <f>IF(+I14&lt;F41,I14,D42)</f>
        <v>1477.1842105263158</v>
      </c>
      <c r="F42" s="482">
        <f t="shared" si="28"/>
        <v>23806.243023376202</v>
      </c>
      <c r="G42" s="483">
        <f t="shared" si="29"/>
        <v>4268.9183621678421</v>
      </c>
      <c r="H42" s="452">
        <f t="shared" si="30"/>
        <v>4268.9183621678421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4"/>
        <v/>
      </c>
      <c r="C43" s="469">
        <f>IF(D11="","-",+C42+1)</f>
        <v>2032</v>
      </c>
      <c r="D43" s="482">
        <f>IF(F42+SUM(E$17:E42)=D$10,F42,D$10-SUM(E$17:E42))</f>
        <v>23806.243023376202</v>
      </c>
      <c r="E43" s="481">
        <f>IF(+I14&lt;F42,I14,D43)</f>
        <v>1477.1842105263158</v>
      </c>
      <c r="F43" s="482">
        <f t="shared" si="28"/>
        <v>22329.058812849886</v>
      </c>
      <c r="G43" s="483">
        <f t="shared" si="29"/>
        <v>4100.9031529729727</v>
      </c>
      <c r="H43" s="452">
        <f t="shared" si="30"/>
        <v>4100.9031529729727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4"/>
        <v/>
      </c>
      <c r="C44" s="469">
        <f>IF(D11="","-",+C43+1)</f>
        <v>2033</v>
      </c>
      <c r="D44" s="482">
        <f>IF(F43+SUM(E$17:E43)=D$10,F43,D$10-SUM(E$17:E43))</f>
        <v>22329.058812849886</v>
      </c>
      <c r="E44" s="481">
        <f>IF(+I14&lt;F43,I14,D44)</f>
        <v>1477.1842105263158</v>
      </c>
      <c r="F44" s="482">
        <f t="shared" si="28"/>
        <v>20851.874602323569</v>
      </c>
      <c r="G44" s="483">
        <f t="shared" si="29"/>
        <v>3932.8879437781015</v>
      </c>
      <c r="H44" s="452">
        <f t="shared" si="30"/>
        <v>3932.8879437781015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4"/>
        <v/>
      </c>
      <c r="C45" s="469">
        <f>IF(D11="","-",+C44+1)</f>
        <v>2034</v>
      </c>
      <c r="D45" s="482">
        <f>IF(F44+SUM(E$17:E44)=D$10,F44,D$10-SUM(E$17:E44))</f>
        <v>20851.874602323569</v>
      </c>
      <c r="E45" s="481">
        <f>IF(+I14&lt;F44,I14,D45)</f>
        <v>1477.1842105263158</v>
      </c>
      <c r="F45" s="482">
        <f t="shared" si="28"/>
        <v>19374.690391797252</v>
      </c>
      <c r="G45" s="483">
        <f t="shared" si="29"/>
        <v>3764.8727345832317</v>
      </c>
      <c r="H45" s="452">
        <f t="shared" si="30"/>
        <v>3764.8727345832317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4"/>
        <v/>
      </c>
      <c r="C46" s="469">
        <f>IF(D11="","-",+C45+1)</f>
        <v>2035</v>
      </c>
      <c r="D46" s="482">
        <f>IF(F45+SUM(E$17:E45)=D$10,F45,D$10-SUM(E$17:E45))</f>
        <v>19374.690391797252</v>
      </c>
      <c r="E46" s="481">
        <f>IF(+I14&lt;F45,I14,D46)</f>
        <v>1477.1842105263158</v>
      </c>
      <c r="F46" s="482">
        <f t="shared" si="28"/>
        <v>17897.506181270935</v>
      </c>
      <c r="G46" s="483">
        <f t="shared" si="29"/>
        <v>3596.857525388361</v>
      </c>
      <c r="H46" s="452">
        <f t="shared" si="30"/>
        <v>3596.857525388361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4"/>
        <v/>
      </c>
      <c r="C47" s="469">
        <f>IF(D11="","-",+C46+1)</f>
        <v>2036</v>
      </c>
      <c r="D47" s="482">
        <f>IF(F46+SUM(E$17:E46)=D$10,F46,D$10-SUM(E$17:E46))</f>
        <v>17897.506181270935</v>
      </c>
      <c r="E47" s="481">
        <f>IF(+I14&lt;F46,I14,D47)</f>
        <v>1477.1842105263158</v>
      </c>
      <c r="F47" s="482">
        <f t="shared" si="28"/>
        <v>16420.321970744619</v>
      </c>
      <c r="G47" s="483">
        <f t="shared" si="29"/>
        <v>3428.8423161934907</v>
      </c>
      <c r="H47" s="452">
        <f t="shared" si="30"/>
        <v>3428.8423161934907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4"/>
        <v/>
      </c>
      <c r="C48" s="469">
        <f>IF(D11="","-",+C47+1)</f>
        <v>2037</v>
      </c>
      <c r="D48" s="482">
        <f>IF(F47+SUM(E$17:E47)=D$10,F47,D$10-SUM(E$17:E47))</f>
        <v>16420.321970744619</v>
      </c>
      <c r="E48" s="481">
        <f>IF(+I14&lt;F47,I14,D48)</f>
        <v>1477.1842105263158</v>
      </c>
      <c r="F48" s="482">
        <f t="shared" si="28"/>
        <v>14943.137760218302</v>
      </c>
      <c r="G48" s="483">
        <f t="shared" si="29"/>
        <v>3260.8271069986204</v>
      </c>
      <c r="H48" s="452">
        <f t="shared" si="30"/>
        <v>3260.8271069986204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4"/>
        <v/>
      </c>
      <c r="C49" s="469">
        <f>IF(D11="","-",+C48+1)</f>
        <v>2038</v>
      </c>
      <c r="D49" s="482">
        <f>IF(F48+SUM(E$17:E48)=D$10,F48,D$10-SUM(E$17:E48))</f>
        <v>14943.137760218302</v>
      </c>
      <c r="E49" s="481">
        <f>IF(+I14&lt;F48,I14,D49)</f>
        <v>1477.1842105263158</v>
      </c>
      <c r="F49" s="482">
        <f t="shared" ref="F49:F72" si="31">+D49-E49</f>
        <v>13465.953549691985</v>
      </c>
      <c r="G49" s="483">
        <f t="shared" si="29"/>
        <v>3092.8118978037501</v>
      </c>
      <c r="H49" s="452">
        <f t="shared" si="30"/>
        <v>3092.8118978037501</v>
      </c>
      <c r="I49" s="472">
        <f t="shared" ref="I49:I72" si="32">H49-G49</f>
        <v>0</v>
      </c>
      <c r="J49" s="472"/>
      <c r="K49" s="484"/>
      <c r="L49" s="475">
        <f t="shared" ref="L49:L72" si="33">IF(K49&lt;&gt;0,+G49-K49,0)</f>
        <v>0</v>
      </c>
      <c r="M49" s="484"/>
      <c r="N49" s="475">
        <f t="shared" ref="N49:N72" si="34">IF(M49&lt;&gt;0,+H49-M49,0)</f>
        <v>0</v>
      </c>
      <c r="O49" s="475">
        <f t="shared" ref="O49:O72" si="35">+N49-L49</f>
        <v>0</v>
      </c>
      <c r="P49" s="241"/>
    </row>
    <row r="50" spans="2:16" ht="12.5">
      <c r="B50" s="160" t="str">
        <f t="shared" si="4"/>
        <v/>
      </c>
      <c r="C50" s="469">
        <f>IF(D11="","-",+C49+1)</f>
        <v>2039</v>
      </c>
      <c r="D50" s="482">
        <f>IF(F49+SUM(E$17:E49)=D$10,F49,D$10-SUM(E$17:E49))</f>
        <v>13465.953549691985</v>
      </c>
      <c r="E50" s="481">
        <f>IF(+I14&lt;F49,I14,D50)</f>
        <v>1477.1842105263158</v>
      </c>
      <c r="F50" s="482">
        <f t="shared" si="31"/>
        <v>11988.769339165668</v>
      </c>
      <c r="G50" s="483">
        <f t="shared" si="29"/>
        <v>2924.7966886088798</v>
      </c>
      <c r="H50" s="452">
        <f t="shared" si="30"/>
        <v>2924.7966886088798</v>
      </c>
      <c r="I50" s="472">
        <f t="shared" si="32"/>
        <v>0</v>
      </c>
      <c r="J50" s="472"/>
      <c r="K50" s="484"/>
      <c r="L50" s="475">
        <f t="shared" si="33"/>
        <v>0</v>
      </c>
      <c r="M50" s="484"/>
      <c r="N50" s="475">
        <f t="shared" si="34"/>
        <v>0</v>
      </c>
      <c r="O50" s="475">
        <f t="shared" si="35"/>
        <v>0</v>
      </c>
      <c r="P50" s="241"/>
    </row>
    <row r="51" spans="2:16" ht="12.5">
      <c r="B51" s="160" t="str">
        <f t="shared" si="4"/>
        <v/>
      </c>
      <c r="C51" s="469">
        <f>IF(D11="","-",+C50+1)</f>
        <v>2040</v>
      </c>
      <c r="D51" s="482">
        <f>IF(F50+SUM(E$17:E50)=D$10,F50,D$10-SUM(E$17:E50))</f>
        <v>11988.769339165668</v>
      </c>
      <c r="E51" s="481">
        <f>IF(+I14&lt;F50,I14,D51)</f>
        <v>1477.1842105263158</v>
      </c>
      <c r="F51" s="482">
        <f t="shared" si="31"/>
        <v>10511.585128639352</v>
      </c>
      <c r="G51" s="483">
        <f t="shared" si="29"/>
        <v>2756.7814794140095</v>
      </c>
      <c r="H51" s="452">
        <f t="shared" si="30"/>
        <v>2756.7814794140095</v>
      </c>
      <c r="I51" s="472">
        <f t="shared" si="32"/>
        <v>0</v>
      </c>
      <c r="J51" s="472"/>
      <c r="K51" s="484"/>
      <c r="L51" s="475">
        <f t="shared" si="33"/>
        <v>0</v>
      </c>
      <c r="M51" s="484"/>
      <c r="N51" s="475">
        <f t="shared" si="34"/>
        <v>0</v>
      </c>
      <c r="O51" s="475">
        <f t="shared" si="35"/>
        <v>0</v>
      </c>
      <c r="P51" s="241"/>
    </row>
    <row r="52" spans="2:16" ht="12.5">
      <c r="B52" s="160" t="str">
        <f t="shared" si="4"/>
        <v/>
      </c>
      <c r="C52" s="469">
        <f>IF(D11="","-",+C51+1)</f>
        <v>2041</v>
      </c>
      <c r="D52" s="482">
        <f>IF(F51+SUM(E$17:E51)=D$10,F51,D$10-SUM(E$17:E51))</f>
        <v>10511.585128639352</v>
      </c>
      <c r="E52" s="481">
        <f>IF(+I14&lt;F51,I14,D52)</f>
        <v>1477.1842105263158</v>
      </c>
      <c r="F52" s="482">
        <f t="shared" si="31"/>
        <v>9034.400918113035</v>
      </c>
      <c r="G52" s="483">
        <f t="shared" si="29"/>
        <v>2588.7662702191387</v>
      </c>
      <c r="H52" s="452">
        <f t="shared" si="30"/>
        <v>2588.7662702191387</v>
      </c>
      <c r="I52" s="472">
        <f t="shared" si="32"/>
        <v>0</v>
      </c>
      <c r="J52" s="472"/>
      <c r="K52" s="484"/>
      <c r="L52" s="475">
        <f t="shared" si="33"/>
        <v>0</v>
      </c>
      <c r="M52" s="484"/>
      <c r="N52" s="475">
        <f t="shared" si="34"/>
        <v>0</v>
      </c>
      <c r="O52" s="475">
        <f t="shared" si="35"/>
        <v>0</v>
      </c>
      <c r="P52" s="241"/>
    </row>
    <row r="53" spans="2:16" ht="12.5">
      <c r="B53" s="160" t="str">
        <f t="shared" si="4"/>
        <v/>
      </c>
      <c r="C53" s="469">
        <f>IF(D11="","-",+C52+1)</f>
        <v>2042</v>
      </c>
      <c r="D53" s="482">
        <f>IF(F52+SUM(E$17:E52)=D$10,F52,D$10-SUM(E$17:E52))</f>
        <v>9034.400918113035</v>
      </c>
      <c r="E53" s="481">
        <f>IF(+I14&lt;F52,I14,D53)</f>
        <v>1477.1842105263158</v>
      </c>
      <c r="F53" s="482">
        <f t="shared" si="31"/>
        <v>7557.2167075867192</v>
      </c>
      <c r="G53" s="483">
        <f t="shared" si="29"/>
        <v>2420.7510610242684</v>
      </c>
      <c r="H53" s="452">
        <f t="shared" si="30"/>
        <v>2420.7510610242684</v>
      </c>
      <c r="I53" s="472">
        <f t="shared" si="32"/>
        <v>0</v>
      </c>
      <c r="J53" s="472"/>
      <c r="K53" s="484"/>
      <c r="L53" s="475">
        <f t="shared" si="33"/>
        <v>0</v>
      </c>
      <c r="M53" s="484"/>
      <c r="N53" s="475">
        <f t="shared" si="34"/>
        <v>0</v>
      </c>
      <c r="O53" s="475">
        <f t="shared" si="35"/>
        <v>0</v>
      </c>
      <c r="P53" s="241"/>
    </row>
    <row r="54" spans="2:16" ht="12.5">
      <c r="B54" s="160" t="str">
        <f t="shared" si="4"/>
        <v/>
      </c>
      <c r="C54" s="469">
        <f>IF(D11="","-",+C53+1)</f>
        <v>2043</v>
      </c>
      <c r="D54" s="482">
        <f>IF(F53+SUM(E$17:E53)=D$10,F53,D$10-SUM(E$17:E53))</f>
        <v>7557.2167075867192</v>
      </c>
      <c r="E54" s="481">
        <f>IF(+I14&lt;F53,I14,D54)</f>
        <v>1477.1842105263158</v>
      </c>
      <c r="F54" s="482">
        <f t="shared" si="31"/>
        <v>6080.0324970604033</v>
      </c>
      <c r="G54" s="483">
        <f t="shared" si="29"/>
        <v>2252.7358518293981</v>
      </c>
      <c r="H54" s="452">
        <f t="shared" si="30"/>
        <v>2252.7358518293981</v>
      </c>
      <c r="I54" s="472">
        <f t="shared" si="32"/>
        <v>0</v>
      </c>
      <c r="J54" s="472"/>
      <c r="K54" s="484"/>
      <c r="L54" s="475">
        <f t="shared" si="33"/>
        <v>0</v>
      </c>
      <c r="M54" s="484"/>
      <c r="N54" s="475">
        <f t="shared" si="34"/>
        <v>0</v>
      </c>
      <c r="O54" s="475">
        <f t="shared" si="35"/>
        <v>0</v>
      </c>
      <c r="P54" s="241"/>
    </row>
    <row r="55" spans="2:16" ht="12.5">
      <c r="B55" s="160" t="str">
        <f t="shared" si="4"/>
        <v/>
      </c>
      <c r="C55" s="469">
        <f>IF(D11="","-",+C54+1)</f>
        <v>2044</v>
      </c>
      <c r="D55" s="482">
        <f>IF(F54+SUM(E$17:E54)=D$10,F54,D$10-SUM(E$17:E54))</f>
        <v>6080.0324970604033</v>
      </c>
      <c r="E55" s="481">
        <f>IF(+I14&lt;F54,I14,D55)</f>
        <v>1477.1842105263158</v>
      </c>
      <c r="F55" s="482">
        <f t="shared" si="31"/>
        <v>4602.8482865340875</v>
      </c>
      <c r="G55" s="483">
        <f t="shared" si="29"/>
        <v>2084.7206426345278</v>
      </c>
      <c r="H55" s="452">
        <f t="shared" si="30"/>
        <v>2084.7206426345278</v>
      </c>
      <c r="I55" s="472">
        <f t="shared" si="32"/>
        <v>0</v>
      </c>
      <c r="J55" s="472"/>
      <c r="K55" s="484"/>
      <c r="L55" s="475">
        <f t="shared" si="33"/>
        <v>0</v>
      </c>
      <c r="M55" s="484"/>
      <c r="N55" s="475">
        <f t="shared" si="34"/>
        <v>0</v>
      </c>
      <c r="O55" s="475">
        <f t="shared" si="35"/>
        <v>0</v>
      </c>
      <c r="P55" s="241"/>
    </row>
    <row r="56" spans="2:16" ht="12.5">
      <c r="B56" s="160" t="str">
        <f t="shared" si="4"/>
        <v>IU</v>
      </c>
      <c r="C56" s="469">
        <f>IF(D11="","-",+C55+1)</f>
        <v>2045</v>
      </c>
      <c r="D56" s="482">
        <f>IF(F55+SUM(E$17:E55)=D$10,F55,D$10-SUM(E$17:E55))</f>
        <v>4602.8482865341357</v>
      </c>
      <c r="E56" s="481">
        <f>IF(+I14&lt;F55,I14,D56)</f>
        <v>1477.1842105263158</v>
      </c>
      <c r="F56" s="482">
        <f t="shared" si="31"/>
        <v>3125.6640760078199</v>
      </c>
      <c r="G56" s="483">
        <f t="shared" si="29"/>
        <v>1916.7054334396632</v>
      </c>
      <c r="H56" s="452">
        <f t="shared" si="30"/>
        <v>1916.7054334396632</v>
      </c>
      <c r="I56" s="472">
        <f t="shared" si="32"/>
        <v>0</v>
      </c>
      <c r="J56" s="472"/>
      <c r="K56" s="484"/>
      <c r="L56" s="475">
        <f t="shared" si="33"/>
        <v>0</v>
      </c>
      <c r="M56" s="484"/>
      <c r="N56" s="475">
        <f t="shared" si="34"/>
        <v>0</v>
      </c>
      <c r="O56" s="475">
        <f t="shared" si="35"/>
        <v>0</v>
      </c>
      <c r="P56" s="241"/>
    </row>
    <row r="57" spans="2:16" ht="12.5">
      <c r="B57" s="160" t="str">
        <f t="shared" si="4"/>
        <v/>
      </c>
      <c r="C57" s="469">
        <f>IF(D11="","-",+C56+1)</f>
        <v>2046</v>
      </c>
      <c r="D57" s="482">
        <f>IF(F56+SUM(E$17:E56)=D$10,F56,D$10-SUM(E$17:E56))</f>
        <v>3125.6640760078199</v>
      </c>
      <c r="E57" s="481">
        <f>IF(+I14&lt;F56,I14,D57)</f>
        <v>1477.1842105263158</v>
      </c>
      <c r="F57" s="482">
        <f t="shared" si="31"/>
        <v>1648.479865481504</v>
      </c>
      <c r="G57" s="483">
        <f t="shared" si="29"/>
        <v>1748.6902242447929</v>
      </c>
      <c r="H57" s="452">
        <f t="shared" si="30"/>
        <v>1748.6902242447929</v>
      </c>
      <c r="I57" s="472">
        <f t="shared" si="32"/>
        <v>0</v>
      </c>
      <c r="J57" s="472"/>
      <c r="K57" s="484"/>
      <c r="L57" s="475">
        <f t="shared" si="33"/>
        <v>0</v>
      </c>
      <c r="M57" s="484"/>
      <c r="N57" s="475">
        <f t="shared" si="34"/>
        <v>0</v>
      </c>
      <c r="O57" s="475">
        <f t="shared" si="35"/>
        <v>0</v>
      </c>
      <c r="P57" s="241"/>
    </row>
    <row r="58" spans="2:16" ht="12.5">
      <c r="B58" s="160" t="str">
        <f t="shared" si="4"/>
        <v/>
      </c>
      <c r="C58" s="469">
        <f>IF(D11="","-",+C57+1)</f>
        <v>2047</v>
      </c>
      <c r="D58" s="482">
        <f>IF(F57+SUM(E$17:E57)=D$10,F57,D$10-SUM(E$17:E57))</f>
        <v>1648.479865481504</v>
      </c>
      <c r="E58" s="481">
        <f>IF(+I14&lt;F57,I14,D58)</f>
        <v>1477.1842105263158</v>
      </c>
      <c r="F58" s="482">
        <f t="shared" si="31"/>
        <v>171.29565495518818</v>
      </c>
      <c r="G58" s="483">
        <f t="shared" si="29"/>
        <v>1580.6750150499226</v>
      </c>
      <c r="H58" s="452">
        <f t="shared" si="30"/>
        <v>1580.6750150499226</v>
      </c>
      <c r="I58" s="472">
        <f t="shared" si="32"/>
        <v>0</v>
      </c>
      <c r="J58" s="472"/>
      <c r="K58" s="484"/>
      <c r="L58" s="475">
        <f t="shared" si="33"/>
        <v>0</v>
      </c>
      <c r="M58" s="484"/>
      <c r="N58" s="475">
        <f t="shared" si="34"/>
        <v>0</v>
      </c>
      <c r="O58" s="475">
        <f t="shared" si="35"/>
        <v>0</v>
      </c>
      <c r="P58" s="241"/>
    </row>
    <row r="59" spans="2:16" ht="12.5">
      <c r="B59" s="160" t="str">
        <f t="shared" si="4"/>
        <v/>
      </c>
      <c r="C59" s="469">
        <f>IF(D11="","-",+C58+1)</f>
        <v>2048</v>
      </c>
      <c r="D59" s="482">
        <f>IF(F58+SUM(E$17:E58)=D$10,F58,D$10-SUM(E$17:E58))</f>
        <v>171.29565495518818</v>
      </c>
      <c r="E59" s="481">
        <f>IF(+I14&lt;F58,I14,D59)</f>
        <v>171.29565495518818</v>
      </c>
      <c r="F59" s="482">
        <f t="shared" si="31"/>
        <v>0</v>
      </c>
      <c r="G59" s="483">
        <f t="shared" si="29"/>
        <v>181.03725491827402</v>
      </c>
      <c r="H59" s="452">
        <f t="shared" si="30"/>
        <v>181.03725491827402</v>
      </c>
      <c r="I59" s="472">
        <f t="shared" si="32"/>
        <v>0</v>
      </c>
      <c r="J59" s="472"/>
      <c r="K59" s="484"/>
      <c r="L59" s="475">
        <f t="shared" si="33"/>
        <v>0</v>
      </c>
      <c r="M59" s="484"/>
      <c r="N59" s="475">
        <f t="shared" si="34"/>
        <v>0</v>
      </c>
      <c r="O59" s="475">
        <f t="shared" si="35"/>
        <v>0</v>
      </c>
      <c r="P59" s="241"/>
    </row>
    <row r="60" spans="2:16" ht="12.5">
      <c r="B60" s="160" t="str">
        <f t="shared" si="4"/>
        <v/>
      </c>
      <c r="C60" s="469">
        <f>IF(D11="","-",+C59+1)</f>
        <v>2049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1"/>
        <v>0</v>
      </c>
      <c r="G60" s="483">
        <f t="shared" si="29"/>
        <v>0</v>
      </c>
      <c r="H60" s="452">
        <f t="shared" si="30"/>
        <v>0</v>
      </c>
      <c r="I60" s="472">
        <f t="shared" si="32"/>
        <v>0</v>
      </c>
      <c r="J60" s="472"/>
      <c r="K60" s="484"/>
      <c r="L60" s="475">
        <f t="shared" si="33"/>
        <v>0</v>
      </c>
      <c r="M60" s="484"/>
      <c r="N60" s="475">
        <f t="shared" si="34"/>
        <v>0</v>
      </c>
      <c r="O60" s="475">
        <f t="shared" si="35"/>
        <v>0</v>
      </c>
      <c r="P60" s="241"/>
    </row>
    <row r="61" spans="2:16" ht="12.5">
      <c r="B61" s="160" t="str">
        <f t="shared" si="4"/>
        <v/>
      </c>
      <c r="C61" s="469">
        <f>IF(D11="","-",+C60+1)</f>
        <v>2050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1"/>
        <v>0</v>
      </c>
      <c r="G61" s="483">
        <f t="shared" si="29"/>
        <v>0</v>
      </c>
      <c r="H61" s="452">
        <f t="shared" si="30"/>
        <v>0</v>
      </c>
      <c r="I61" s="472">
        <f t="shared" si="32"/>
        <v>0</v>
      </c>
      <c r="J61" s="472"/>
      <c r="K61" s="484"/>
      <c r="L61" s="475">
        <f t="shared" si="33"/>
        <v>0</v>
      </c>
      <c r="M61" s="484"/>
      <c r="N61" s="475">
        <f t="shared" si="34"/>
        <v>0</v>
      </c>
      <c r="O61" s="475">
        <f t="shared" si="35"/>
        <v>0</v>
      </c>
      <c r="P61" s="241"/>
    </row>
    <row r="62" spans="2:16" ht="12.5">
      <c r="B62" s="160" t="str">
        <f t="shared" si="4"/>
        <v/>
      </c>
      <c r="C62" s="469">
        <f>IF(D11="","-",+C61+1)</f>
        <v>2051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1"/>
        <v>0</v>
      </c>
      <c r="G62" s="483">
        <f t="shared" si="29"/>
        <v>0</v>
      </c>
      <c r="H62" s="452">
        <f t="shared" si="30"/>
        <v>0</v>
      </c>
      <c r="I62" s="472">
        <f t="shared" si="32"/>
        <v>0</v>
      </c>
      <c r="J62" s="472"/>
      <c r="K62" s="484"/>
      <c r="L62" s="475">
        <f t="shared" si="33"/>
        <v>0</v>
      </c>
      <c r="M62" s="484"/>
      <c r="N62" s="475">
        <f t="shared" si="34"/>
        <v>0</v>
      </c>
      <c r="O62" s="475">
        <f t="shared" si="35"/>
        <v>0</v>
      </c>
      <c r="P62" s="241"/>
    </row>
    <row r="63" spans="2:16" ht="12.5">
      <c r="B63" s="562" t="str">
        <f t="shared" si="4"/>
        <v/>
      </c>
      <c r="C63" s="469">
        <f>IF(D11="","-",+C62+1)</f>
        <v>2052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1"/>
        <v>0</v>
      </c>
      <c r="G63" s="483">
        <f t="shared" si="29"/>
        <v>0</v>
      </c>
      <c r="H63" s="452">
        <f t="shared" si="30"/>
        <v>0</v>
      </c>
      <c r="I63" s="472">
        <f t="shared" si="32"/>
        <v>0</v>
      </c>
      <c r="J63" s="472"/>
      <c r="K63" s="484"/>
      <c r="L63" s="475">
        <f t="shared" si="33"/>
        <v>0</v>
      </c>
      <c r="M63" s="484"/>
      <c r="N63" s="475">
        <f t="shared" si="34"/>
        <v>0</v>
      </c>
      <c r="O63" s="475">
        <f t="shared" si="35"/>
        <v>0</v>
      </c>
      <c r="P63" s="241"/>
    </row>
    <row r="64" spans="2:16" ht="12.5">
      <c r="B64" s="160" t="str">
        <f t="shared" si="4"/>
        <v/>
      </c>
      <c r="C64" s="469">
        <f>IF(D11="","-",+C63+1)</f>
        <v>2053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1"/>
        <v>0</v>
      </c>
      <c r="G64" s="483">
        <f t="shared" si="29"/>
        <v>0</v>
      </c>
      <c r="H64" s="452">
        <f t="shared" si="30"/>
        <v>0</v>
      </c>
      <c r="I64" s="472">
        <f t="shared" si="32"/>
        <v>0</v>
      </c>
      <c r="J64" s="472"/>
      <c r="K64" s="484"/>
      <c r="L64" s="475">
        <f t="shared" si="33"/>
        <v>0</v>
      </c>
      <c r="M64" s="484"/>
      <c r="N64" s="475">
        <f t="shared" si="34"/>
        <v>0</v>
      </c>
      <c r="O64" s="475">
        <f t="shared" si="35"/>
        <v>0</v>
      </c>
      <c r="P64" s="241"/>
    </row>
    <row r="65" spans="2:16" ht="12.5">
      <c r="B65" s="160" t="str">
        <f t="shared" si="4"/>
        <v/>
      </c>
      <c r="C65" s="469">
        <f>IF(D11="","-",+C64+1)</f>
        <v>2054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1"/>
        <v>0</v>
      </c>
      <c r="G65" s="483">
        <f t="shared" si="29"/>
        <v>0</v>
      </c>
      <c r="H65" s="452">
        <f t="shared" si="30"/>
        <v>0</v>
      </c>
      <c r="I65" s="472">
        <f t="shared" si="32"/>
        <v>0</v>
      </c>
      <c r="J65" s="472"/>
      <c r="K65" s="484"/>
      <c r="L65" s="475">
        <f t="shared" si="33"/>
        <v>0</v>
      </c>
      <c r="M65" s="484"/>
      <c r="N65" s="475">
        <f t="shared" si="34"/>
        <v>0</v>
      </c>
      <c r="O65" s="475">
        <f t="shared" si="35"/>
        <v>0</v>
      </c>
      <c r="P65" s="241"/>
    </row>
    <row r="66" spans="2:16" ht="12.5">
      <c r="B66" s="160" t="str">
        <f t="shared" si="4"/>
        <v/>
      </c>
      <c r="C66" s="469">
        <f>IF(D11="","-",+C65+1)</f>
        <v>2055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1"/>
        <v>0</v>
      </c>
      <c r="G66" s="483">
        <f t="shared" si="29"/>
        <v>0</v>
      </c>
      <c r="H66" s="452">
        <f t="shared" si="30"/>
        <v>0</v>
      </c>
      <c r="I66" s="472">
        <f t="shared" si="32"/>
        <v>0</v>
      </c>
      <c r="J66" s="472"/>
      <c r="K66" s="484"/>
      <c r="L66" s="475">
        <f t="shared" si="33"/>
        <v>0</v>
      </c>
      <c r="M66" s="484"/>
      <c r="N66" s="475">
        <f t="shared" si="34"/>
        <v>0</v>
      </c>
      <c r="O66" s="475">
        <f t="shared" si="35"/>
        <v>0</v>
      </c>
      <c r="P66" s="241"/>
    </row>
    <row r="67" spans="2:16" ht="12.5">
      <c r="B67" s="160" t="str">
        <f t="shared" si="4"/>
        <v/>
      </c>
      <c r="C67" s="469">
        <f>IF(D11="","-",+C66+1)</f>
        <v>2056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1"/>
        <v>0</v>
      </c>
      <c r="G67" s="483">
        <f t="shared" si="29"/>
        <v>0</v>
      </c>
      <c r="H67" s="452">
        <f t="shared" si="30"/>
        <v>0</v>
      </c>
      <c r="I67" s="472">
        <f t="shared" si="32"/>
        <v>0</v>
      </c>
      <c r="J67" s="472"/>
      <c r="K67" s="484"/>
      <c r="L67" s="475">
        <f t="shared" si="33"/>
        <v>0</v>
      </c>
      <c r="M67" s="484"/>
      <c r="N67" s="475">
        <f t="shared" si="34"/>
        <v>0</v>
      </c>
      <c r="O67" s="475">
        <f t="shared" si="35"/>
        <v>0</v>
      </c>
      <c r="P67" s="241"/>
    </row>
    <row r="68" spans="2:16" ht="12.5">
      <c r="B68" s="160" t="str">
        <f t="shared" si="4"/>
        <v/>
      </c>
      <c r="C68" s="469">
        <f>IF(D11="","-",+C67+1)</f>
        <v>2057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1"/>
        <v>0</v>
      </c>
      <c r="G68" s="483">
        <f t="shared" si="29"/>
        <v>0</v>
      </c>
      <c r="H68" s="452">
        <f t="shared" si="30"/>
        <v>0</v>
      </c>
      <c r="I68" s="472">
        <f t="shared" si="32"/>
        <v>0</v>
      </c>
      <c r="J68" s="472"/>
      <c r="K68" s="484"/>
      <c r="L68" s="475">
        <f t="shared" si="33"/>
        <v>0</v>
      </c>
      <c r="M68" s="484"/>
      <c r="N68" s="475">
        <f t="shared" si="34"/>
        <v>0</v>
      </c>
      <c r="O68" s="475">
        <f t="shared" si="35"/>
        <v>0</v>
      </c>
      <c r="P68" s="241"/>
    </row>
    <row r="69" spans="2:16" ht="12.5">
      <c r="B69" s="160" t="str">
        <f t="shared" si="4"/>
        <v/>
      </c>
      <c r="C69" s="469">
        <f>IF(D11="","-",+C68+1)</f>
        <v>2058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1"/>
        <v>0</v>
      </c>
      <c r="G69" s="483">
        <f t="shared" si="29"/>
        <v>0</v>
      </c>
      <c r="H69" s="452">
        <f t="shared" si="30"/>
        <v>0</v>
      </c>
      <c r="I69" s="472">
        <f t="shared" si="32"/>
        <v>0</v>
      </c>
      <c r="J69" s="472"/>
      <c r="K69" s="484"/>
      <c r="L69" s="475">
        <f t="shared" si="33"/>
        <v>0</v>
      </c>
      <c r="M69" s="484"/>
      <c r="N69" s="475">
        <f t="shared" si="34"/>
        <v>0</v>
      </c>
      <c r="O69" s="475">
        <f t="shared" si="35"/>
        <v>0</v>
      </c>
      <c r="P69" s="241"/>
    </row>
    <row r="70" spans="2:16" ht="12.5">
      <c r="B70" s="160" t="str">
        <f t="shared" si="4"/>
        <v/>
      </c>
      <c r="C70" s="469">
        <f>IF(D11="","-",+C69+1)</f>
        <v>2059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1"/>
        <v>0</v>
      </c>
      <c r="G70" s="483">
        <f t="shared" si="29"/>
        <v>0</v>
      </c>
      <c r="H70" s="452">
        <f t="shared" si="30"/>
        <v>0</v>
      </c>
      <c r="I70" s="472">
        <f t="shared" si="32"/>
        <v>0</v>
      </c>
      <c r="J70" s="472"/>
      <c r="K70" s="484"/>
      <c r="L70" s="475">
        <f t="shared" si="33"/>
        <v>0</v>
      </c>
      <c r="M70" s="484"/>
      <c r="N70" s="475">
        <f t="shared" si="34"/>
        <v>0</v>
      </c>
      <c r="O70" s="475">
        <f t="shared" si="35"/>
        <v>0</v>
      </c>
      <c r="P70" s="241"/>
    </row>
    <row r="71" spans="2:16" ht="12.5">
      <c r="B71" s="160" t="str">
        <f t="shared" si="4"/>
        <v/>
      </c>
      <c r="C71" s="469">
        <f>IF(D11="","-",+C70+1)</f>
        <v>2060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1"/>
        <v>0</v>
      </c>
      <c r="G71" s="483">
        <f t="shared" si="29"/>
        <v>0</v>
      </c>
      <c r="H71" s="452">
        <f t="shared" si="30"/>
        <v>0</v>
      </c>
      <c r="I71" s="472">
        <f t="shared" si="32"/>
        <v>0</v>
      </c>
      <c r="J71" s="472"/>
      <c r="K71" s="484"/>
      <c r="L71" s="475">
        <f t="shared" si="33"/>
        <v>0</v>
      </c>
      <c r="M71" s="484"/>
      <c r="N71" s="475">
        <f t="shared" si="34"/>
        <v>0</v>
      </c>
      <c r="O71" s="475">
        <f t="shared" si="35"/>
        <v>0</v>
      </c>
      <c r="P71" s="241"/>
    </row>
    <row r="72" spans="2:16" ht="13" thickBot="1">
      <c r="B72" s="160" t="str">
        <f t="shared" si="4"/>
        <v/>
      </c>
      <c r="C72" s="486">
        <f>IF(D11="","-",+C71+1)</f>
        <v>2061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1"/>
        <v>0</v>
      </c>
      <c r="G72" s="487">
        <f t="shared" si="29"/>
        <v>0</v>
      </c>
      <c r="H72" s="487">
        <f t="shared" si="30"/>
        <v>0</v>
      </c>
      <c r="I72" s="490">
        <f t="shared" si="32"/>
        <v>0</v>
      </c>
      <c r="J72" s="472"/>
      <c r="K72" s="491"/>
      <c r="L72" s="492">
        <f t="shared" si="33"/>
        <v>0</v>
      </c>
      <c r="M72" s="491"/>
      <c r="N72" s="492">
        <f t="shared" si="34"/>
        <v>0</v>
      </c>
      <c r="O72" s="492">
        <f t="shared" si="35"/>
        <v>0</v>
      </c>
      <c r="P72" s="241"/>
    </row>
    <row r="73" spans="2:16" ht="12.5">
      <c r="C73" s="344" t="s">
        <v>77</v>
      </c>
      <c r="D73" s="345"/>
      <c r="E73" s="345">
        <f>SUM(E17:E72)</f>
        <v>56132.999999999993</v>
      </c>
      <c r="F73" s="345"/>
      <c r="G73" s="345">
        <f>SUM(G17:G72)</f>
        <v>181246.0841696345</v>
      </c>
      <c r="H73" s="345">
        <f>SUM(H17:H72)</f>
        <v>181246.0841696345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8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5600.8991076380617</v>
      </c>
      <c r="N87" s="505">
        <f>IF(J92&lt;D11,0,VLOOKUP(J92,C17:O72,11))</f>
        <v>5600.8991076380617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6188.1615853848334</v>
      </c>
      <c r="N88" s="509">
        <f>IF(J92&lt;D11,0,VLOOKUP(J92,C99:P154,7))</f>
        <v>6188.1615853848334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Weleetka &amp; Okmulgee Wavetrap replacement 81-805*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587.26247774677176</v>
      </c>
      <c r="N89" s="514">
        <f>+N88-N87</f>
        <v>587.26247774677176</v>
      </c>
      <c r="O89" s="515">
        <f>+O88-O87</f>
        <v>0</v>
      </c>
      <c r="P89" s="231"/>
    </row>
    <row r="90" spans="1:16" ht="13.5" thickBot="1">
      <c r="C90" s="493"/>
      <c r="D90" s="516" t="str">
        <f>D8</f>
        <v>DOES NOT MEET SPP $100,000 MINIMUM INVESTMENT FOR REGIONAL BPU SHARING.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TP2005046</v>
      </c>
      <c r="E91" s="519" t="str">
        <f>E9</f>
        <v>SPP Project ID =</v>
      </c>
      <c r="F91" s="519" t="str">
        <f>F9</f>
        <v>3 &amp; 4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56133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2006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3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1477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2006</v>
      </c>
      <c r="D99" s="470">
        <v>0</v>
      </c>
      <c r="E99" s="477">
        <v>0</v>
      </c>
      <c r="F99" s="476">
        <v>56133</v>
      </c>
      <c r="G99" s="534">
        <v>28067</v>
      </c>
      <c r="H99" s="535">
        <v>0</v>
      </c>
      <c r="I99" s="536">
        <v>0</v>
      </c>
      <c r="J99" s="475">
        <f t="shared" ref="J99:J130" si="36">+I99-H99</f>
        <v>0</v>
      </c>
      <c r="K99" s="475"/>
      <c r="L99" s="551">
        <v>0</v>
      </c>
      <c r="M99" s="474">
        <f t="shared" ref="M99:M130" si="37">IF(L99&lt;&gt;0,+H99-L99,0)</f>
        <v>0</v>
      </c>
      <c r="N99" s="551">
        <v>0</v>
      </c>
      <c r="O99" s="474">
        <f t="shared" ref="O99:O130" si="38">IF(N99&lt;&gt;0,+I99-N99,0)</f>
        <v>0</v>
      </c>
      <c r="P99" s="474">
        <f t="shared" ref="P99:P130" si="39">+O99-M99</f>
        <v>0</v>
      </c>
    </row>
    <row r="100" spans="1:16" ht="12.5">
      <c r="B100" s="160" t="str">
        <f>IF(D100=F99,"","IU")</f>
        <v/>
      </c>
      <c r="C100" s="469">
        <f>IF(D93="","-",+C99+1)</f>
        <v>2007</v>
      </c>
      <c r="D100" s="470">
        <v>56133</v>
      </c>
      <c r="E100" s="477">
        <v>1059</v>
      </c>
      <c r="F100" s="476">
        <v>55074</v>
      </c>
      <c r="G100" s="476">
        <v>55603</v>
      </c>
      <c r="H100" s="477">
        <v>0</v>
      </c>
      <c r="I100" s="478">
        <v>0</v>
      </c>
      <c r="J100" s="475">
        <f t="shared" si="36"/>
        <v>0</v>
      </c>
      <c r="K100" s="475"/>
      <c r="L100" s="473">
        <v>0</v>
      </c>
      <c r="M100" s="475">
        <f t="shared" si="37"/>
        <v>0</v>
      </c>
      <c r="N100" s="473">
        <v>0</v>
      </c>
      <c r="O100" s="475">
        <f t="shared" si="38"/>
        <v>0</v>
      </c>
      <c r="P100" s="475">
        <f t="shared" si="39"/>
        <v>0</v>
      </c>
    </row>
    <row r="101" spans="1:16" ht="12.5">
      <c r="B101" s="160" t="str">
        <f t="shared" ref="B101:B154" si="40">IF(D101=F100,"","IU")</f>
        <v/>
      </c>
      <c r="C101" s="469">
        <f>IF(D93="","-",+C100+1)</f>
        <v>2008</v>
      </c>
      <c r="D101" s="470">
        <v>55074</v>
      </c>
      <c r="E101" s="477">
        <v>1059</v>
      </c>
      <c r="F101" s="476">
        <v>54015</v>
      </c>
      <c r="G101" s="476">
        <v>54544</v>
      </c>
      <c r="H101" s="477">
        <v>9723</v>
      </c>
      <c r="I101" s="478">
        <v>9723</v>
      </c>
      <c r="J101" s="475">
        <f t="shared" si="36"/>
        <v>0</v>
      </c>
      <c r="K101" s="475"/>
      <c r="L101" s="473">
        <v>9723</v>
      </c>
      <c r="M101" s="475">
        <f t="shared" si="37"/>
        <v>0</v>
      </c>
      <c r="N101" s="473">
        <v>9723</v>
      </c>
      <c r="O101" s="475">
        <f t="shared" si="38"/>
        <v>0</v>
      </c>
      <c r="P101" s="475">
        <f t="shared" si="39"/>
        <v>0</v>
      </c>
    </row>
    <row r="102" spans="1:16" ht="12.5">
      <c r="B102" s="160" t="str">
        <f t="shared" si="40"/>
        <v/>
      </c>
      <c r="C102" s="469">
        <f>IF(D93="","-",+C101+1)</f>
        <v>2009</v>
      </c>
      <c r="D102" s="470">
        <v>54015</v>
      </c>
      <c r="E102" s="477">
        <v>1002</v>
      </c>
      <c r="F102" s="476">
        <v>53013</v>
      </c>
      <c r="G102" s="476">
        <v>53514</v>
      </c>
      <c r="H102" s="477">
        <v>8826.1899911613018</v>
      </c>
      <c r="I102" s="478">
        <v>8826.1899911613018</v>
      </c>
      <c r="J102" s="475">
        <f t="shared" si="36"/>
        <v>0</v>
      </c>
      <c r="K102" s="475"/>
      <c r="L102" s="537">
        <f t="shared" ref="L102:L107" si="41">H102</f>
        <v>8826.1899911613018</v>
      </c>
      <c r="M102" s="538">
        <f t="shared" si="37"/>
        <v>0</v>
      </c>
      <c r="N102" s="537">
        <f t="shared" ref="N102:N107" si="42">I102</f>
        <v>8826.1899911613018</v>
      </c>
      <c r="O102" s="475">
        <f t="shared" si="38"/>
        <v>0</v>
      </c>
      <c r="P102" s="475">
        <f t="shared" si="39"/>
        <v>0</v>
      </c>
    </row>
    <row r="103" spans="1:16" ht="12.5">
      <c r="B103" s="160" t="str">
        <f t="shared" si="40"/>
        <v/>
      </c>
      <c r="C103" s="469">
        <f>IF(D93="","-",+C102+1)</f>
        <v>2010</v>
      </c>
      <c r="D103" s="470">
        <v>53013</v>
      </c>
      <c r="E103" s="477">
        <v>1101</v>
      </c>
      <c r="F103" s="476">
        <v>51912</v>
      </c>
      <c r="G103" s="476">
        <v>52462.5</v>
      </c>
      <c r="H103" s="477">
        <v>9537.7685710444202</v>
      </c>
      <c r="I103" s="478">
        <v>9537.7685710444202</v>
      </c>
      <c r="J103" s="475">
        <f t="shared" si="36"/>
        <v>0</v>
      </c>
      <c r="K103" s="475"/>
      <c r="L103" s="537">
        <f t="shared" si="41"/>
        <v>9537.7685710444202</v>
      </c>
      <c r="M103" s="538">
        <f t="shared" si="37"/>
        <v>0</v>
      </c>
      <c r="N103" s="537">
        <f t="shared" si="42"/>
        <v>9537.7685710444202</v>
      </c>
      <c r="O103" s="475">
        <f t="shared" si="38"/>
        <v>0</v>
      </c>
      <c r="P103" s="475">
        <f t="shared" si="39"/>
        <v>0</v>
      </c>
    </row>
    <row r="104" spans="1:16" ht="12.5">
      <c r="B104" s="160" t="str">
        <f t="shared" si="40"/>
        <v/>
      </c>
      <c r="C104" s="469">
        <f>IF(D93="","-",+C103+1)</f>
        <v>2011</v>
      </c>
      <c r="D104" s="470">
        <v>51912</v>
      </c>
      <c r="E104" s="477">
        <v>1079</v>
      </c>
      <c r="F104" s="476">
        <v>50833</v>
      </c>
      <c r="G104" s="476">
        <v>51372.5</v>
      </c>
      <c r="H104" s="477">
        <v>8261.5658402233203</v>
      </c>
      <c r="I104" s="478">
        <v>8261.5658402233203</v>
      </c>
      <c r="J104" s="475">
        <f t="shared" si="36"/>
        <v>0</v>
      </c>
      <c r="K104" s="475"/>
      <c r="L104" s="537">
        <f t="shared" si="41"/>
        <v>8261.5658402233203</v>
      </c>
      <c r="M104" s="538">
        <f t="shared" si="37"/>
        <v>0</v>
      </c>
      <c r="N104" s="537">
        <f t="shared" si="42"/>
        <v>8261.5658402233203</v>
      </c>
      <c r="O104" s="475">
        <f t="shared" si="38"/>
        <v>0</v>
      </c>
      <c r="P104" s="475">
        <f t="shared" si="39"/>
        <v>0</v>
      </c>
    </row>
    <row r="105" spans="1:16" ht="12.5">
      <c r="B105" s="160" t="str">
        <f t="shared" si="40"/>
        <v/>
      </c>
      <c r="C105" s="469">
        <f>IF(D93="","-",+C104+1)</f>
        <v>2012</v>
      </c>
      <c r="D105" s="470">
        <v>50833</v>
      </c>
      <c r="E105" s="477">
        <v>1079</v>
      </c>
      <c r="F105" s="476">
        <v>49754</v>
      </c>
      <c r="G105" s="476">
        <v>50293.5</v>
      </c>
      <c r="H105" s="477">
        <v>8313.995673781943</v>
      </c>
      <c r="I105" s="478">
        <v>8313.995673781943</v>
      </c>
      <c r="J105" s="475">
        <v>0</v>
      </c>
      <c r="K105" s="475"/>
      <c r="L105" s="537">
        <f t="shared" si="41"/>
        <v>8313.995673781943</v>
      </c>
      <c r="M105" s="538">
        <f t="shared" ref="M105:M110" si="43">IF(L105&lt;&gt;0,+H105-L105,0)</f>
        <v>0</v>
      </c>
      <c r="N105" s="537">
        <f t="shared" si="42"/>
        <v>8313.995673781943</v>
      </c>
      <c r="O105" s="475">
        <f t="shared" ref="O105:O110" si="44">IF(N105&lt;&gt;0,+I105-N105,0)</f>
        <v>0</v>
      </c>
      <c r="P105" s="475">
        <f t="shared" ref="P105:P110" si="45">+O105-M105</f>
        <v>0</v>
      </c>
    </row>
    <row r="106" spans="1:16" ht="12.5">
      <c r="B106" s="160" t="str">
        <f t="shared" si="40"/>
        <v/>
      </c>
      <c r="C106" s="469">
        <f>IF(D93="","-",+C105+1)</f>
        <v>2013</v>
      </c>
      <c r="D106" s="470">
        <v>49754</v>
      </c>
      <c r="E106" s="477">
        <v>1079</v>
      </c>
      <c r="F106" s="476">
        <v>48675</v>
      </c>
      <c r="G106" s="476">
        <v>49214.5</v>
      </c>
      <c r="H106" s="477">
        <v>8162.9151459393179</v>
      </c>
      <c r="I106" s="478">
        <v>8162.9151459393179</v>
      </c>
      <c r="J106" s="475">
        <v>0</v>
      </c>
      <c r="K106" s="475"/>
      <c r="L106" s="537">
        <f t="shared" si="41"/>
        <v>8162.9151459393179</v>
      </c>
      <c r="M106" s="538">
        <f t="shared" si="43"/>
        <v>0</v>
      </c>
      <c r="N106" s="537">
        <f t="shared" si="42"/>
        <v>8162.9151459393179</v>
      </c>
      <c r="O106" s="475">
        <f t="shared" si="44"/>
        <v>0</v>
      </c>
      <c r="P106" s="475">
        <f t="shared" si="45"/>
        <v>0</v>
      </c>
    </row>
    <row r="107" spans="1:16" ht="12.5">
      <c r="B107" s="160" t="str">
        <f t="shared" si="40"/>
        <v/>
      </c>
      <c r="C107" s="469">
        <f>IF(D93="","-",+C106+1)</f>
        <v>2014</v>
      </c>
      <c r="D107" s="470">
        <v>48675</v>
      </c>
      <c r="E107" s="477">
        <v>1079</v>
      </c>
      <c r="F107" s="476">
        <v>47596</v>
      </c>
      <c r="G107" s="476">
        <v>48135.5</v>
      </c>
      <c r="H107" s="477">
        <v>7846.6545337569178</v>
      </c>
      <c r="I107" s="478">
        <v>7846.6545337569178</v>
      </c>
      <c r="J107" s="475">
        <v>0</v>
      </c>
      <c r="K107" s="475"/>
      <c r="L107" s="537">
        <f t="shared" si="41"/>
        <v>7846.6545337569178</v>
      </c>
      <c r="M107" s="538">
        <f t="shared" si="43"/>
        <v>0</v>
      </c>
      <c r="N107" s="537">
        <f t="shared" si="42"/>
        <v>7846.6545337569178</v>
      </c>
      <c r="O107" s="475">
        <f t="shared" si="44"/>
        <v>0</v>
      </c>
      <c r="P107" s="475">
        <f t="shared" si="45"/>
        <v>0</v>
      </c>
    </row>
    <row r="108" spans="1:16" ht="12.5">
      <c r="B108" s="160" t="str">
        <f t="shared" si="40"/>
        <v/>
      </c>
      <c r="C108" s="469">
        <f>IF(D93="","-",+C107+1)</f>
        <v>2015</v>
      </c>
      <c r="D108" s="470">
        <v>47596</v>
      </c>
      <c r="E108" s="477">
        <v>1079</v>
      </c>
      <c r="F108" s="476">
        <v>46517</v>
      </c>
      <c r="G108" s="476">
        <v>47056.5</v>
      </c>
      <c r="H108" s="477">
        <v>7499.4810720950254</v>
      </c>
      <c r="I108" s="478">
        <v>7499.4810720950254</v>
      </c>
      <c r="J108" s="475">
        <f t="shared" si="36"/>
        <v>0</v>
      </c>
      <c r="K108" s="475"/>
      <c r="L108" s="537">
        <f t="shared" ref="L108:L113" si="46">H108</f>
        <v>7499.4810720950254</v>
      </c>
      <c r="M108" s="538">
        <f t="shared" si="43"/>
        <v>0</v>
      </c>
      <c r="N108" s="537">
        <f t="shared" ref="N108:N113" si="47">I108</f>
        <v>7499.4810720950254</v>
      </c>
      <c r="O108" s="475">
        <f t="shared" si="44"/>
        <v>0</v>
      </c>
      <c r="P108" s="475">
        <f t="shared" si="45"/>
        <v>0</v>
      </c>
    </row>
    <row r="109" spans="1:16" ht="12.5">
      <c r="B109" s="160" t="str">
        <f t="shared" si="40"/>
        <v/>
      </c>
      <c r="C109" s="469">
        <f>IF(D93="","-",+C108+1)</f>
        <v>2016</v>
      </c>
      <c r="D109" s="470">
        <v>46517</v>
      </c>
      <c r="E109" s="477">
        <v>1220</v>
      </c>
      <c r="F109" s="476">
        <v>45297</v>
      </c>
      <c r="G109" s="476">
        <v>45907</v>
      </c>
      <c r="H109" s="477">
        <v>7138.135283574793</v>
      </c>
      <c r="I109" s="478">
        <v>7138.135283574793</v>
      </c>
      <c r="J109" s="475">
        <f t="shared" si="36"/>
        <v>0</v>
      </c>
      <c r="K109" s="475"/>
      <c r="L109" s="537">
        <f t="shared" si="46"/>
        <v>7138.135283574793</v>
      </c>
      <c r="M109" s="538">
        <f t="shared" si="43"/>
        <v>0</v>
      </c>
      <c r="N109" s="537">
        <f t="shared" si="47"/>
        <v>7138.135283574793</v>
      </c>
      <c r="O109" s="475">
        <f t="shared" si="44"/>
        <v>0</v>
      </c>
      <c r="P109" s="475">
        <f t="shared" si="45"/>
        <v>0</v>
      </c>
    </row>
    <row r="110" spans="1:16" ht="12.5">
      <c r="B110" s="160" t="str">
        <f t="shared" si="40"/>
        <v/>
      </c>
      <c r="C110" s="469">
        <f>IF(D93="","-",+C109+1)</f>
        <v>2017</v>
      </c>
      <c r="D110" s="470">
        <v>45297</v>
      </c>
      <c r="E110" s="477">
        <v>1220</v>
      </c>
      <c r="F110" s="476">
        <v>44077</v>
      </c>
      <c r="G110" s="476">
        <v>44687</v>
      </c>
      <c r="H110" s="477">
        <v>6888.6586283105316</v>
      </c>
      <c r="I110" s="478">
        <v>6888.6586283105316</v>
      </c>
      <c r="J110" s="475">
        <f t="shared" si="36"/>
        <v>0</v>
      </c>
      <c r="K110" s="475"/>
      <c r="L110" s="537">
        <f t="shared" si="46"/>
        <v>6888.6586283105316</v>
      </c>
      <c r="M110" s="538">
        <f t="shared" si="43"/>
        <v>0</v>
      </c>
      <c r="N110" s="537">
        <f t="shared" si="47"/>
        <v>6888.6586283105316</v>
      </c>
      <c r="O110" s="475">
        <f t="shared" si="44"/>
        <v>0</v>
      </c>
      <c r="P110" s="475">
        <f t="shared" si="45"/>
        <v>0</v>
      </c>
    </row>
    <row r="111" spans="1:16" ht="12.5">
      <c r="B111" s="160" t="str">
        <f t="shared" si="40"/>
        <v/>
      </c>
      <c r="C111" s="469">
        <f>IF(D93="","-",+C110+1)</f>
        <v>2018</v>
      </c>
      <c r="D111" s="470">
        <v>44077</v>
      </c>
      <c r="E111" s="477">
        <v>1305</v>
      </c>
      <c r="F111" s="476">
        <v>42772</v>
      </c>
      <c r="G111" s="476">
        <v>43424.5</v>
      </c>
      <c r="H111" s="477">
        <v>5766.2406216754998</v>
      </c>
      <c r="I111" s="478">
        <v>5766.2406216754998</v>
      </c>
      <c r="J111" s="475">
        <f t="shared" si="36"/>
        <v>0</v>
      </c>
      <c r="K111" s="475"/>
      <c r="L111" s="537">
        <f t="shared" si="46"/>
        <v>5766.2406216754998</v>
      </c>
      <c r="M111" s="538">
        <f t="shared" ref="M111" si="48">IF(L111&lt;&gt;0,+H111-L111,0)</f>
        <v>0</v>
      </c>
      <c r="N111" s="537">
        <f t="shared" si="47"/>
        <v>5766.2406216754998</v>
      </c>
      <c r="O111" s="475">
        <f t="shared" ref="O111" si="49">IF(N111&lt;&gt;0,+I111-N111,0)</f>
        <v>0</v>
      </c>
      <c r="P111" s="475">
        <f t="shared" ref="P111" si="50">+O111-M111</f>
        <v>0</v>
      </c>
    </row>
    <row r="112" spans="1:16" ht="12.5">
      <c r="B112" s="160" t="str">
        <f t="shared" si="40"/>
        <v/>
      </c>
      <c r="C112" s="469">
        <f>IF(D93="","-",+C111+1)</f>
        <v>2019</v>
      </c>
      <c r="D112" s="470">
        <v>42772</v>
      </c>
      <c r="E112" s="477">
        <v>1369</v>
      </c>
      <c r="F112" s="476">
        <v>41403</v>
      </c>
      <c r="G112" s="476">
        <v>42087.5</v>
      </c>
      <c r="H112" s="477">
        <v>5708.8115726685282</v>
      </c>
      <c r="I112" s="478">
        <v>5708.8115726685282</v>
      </c>
      <c r="J112" s="475">
        <f t="shared" si="36"/>
        <v>0</v>
      </c>
      <c r="K112" s="475"/>
      <c r="L112" s="537">
        <f t="shared" si="46"/>
        <v>5708.8115726685282</v>
      </c>
      <c r="M112" s="538">
        <f t="shared" ref="M112" si="51">IF(L112&lt;&gt;0,+H112-L112,0)</f>
        <v>0</v>
      </c>
      <c r="N112" s="537">
        <f t="shared" si="47"/>
        <v>5708.8115726685282</v>
      </c>
      <c r="O112" s="475">
        <f t="shared" si="38"/>
        <v>0</v>
      </c>
      <c r="P112" s="475">
        <f t="shared" si="39"/>
        <v>0</v>
      </c>
    </row>
    <row r="113" spans="2:16" ht="12.5">
      <c r="B113" s="160" t="str">
        <f t="shared" si="40"/>
        <v/>
      </c>
      <c r="C113" s="469">
        <f>IF(D93="","-",+C112+1)</f>
        <v>2020</v>
      </c>
      <c r="D113" s="470">
        <v>41403</v>
      </c>
      <c r="E113" s="477">
        <v>1305</v>
      </c>
      <c r="F113" s="476">
        <v>40098</v>
      </c>
      <c r="G113" s="476">
        <v>40750.5</v>
      </c>
      <c r="H113" s="477">
        <v>6003.4206157380368</v>
      </c>
      <c r="I113" s="478">
        <v>6003.4206157380368</v>
      </c>
      <c r="J113" s="475">
        <f t="shared" si="36"/>
        <v>0</v>
      </c>
      <c r="K113" s="475"/>
      <c r="L113" s="537">
        <f t="shared" si="46"/>
        <v>6003.4206157380368</v>
      </c>
      <c r="M113" s="538">
        <f t="shared" ref="M113" si="52">IF(L113&lt;&gt;0,+H113-L113,0)</f>
        <v>0</v>
      </c>
      <c r="N113" s="537">
        <f t="shared" si="47"/>
        <v>6003.4206157380368</v>
      </c>
      <c r="O113" s="475">
        <f t="shared" si="38"/>
        <v>0</v>
      </c>
      <c r="P113" s="475">
        <f t="shared" si="39"/>
        <v>0</v>
      </c>
    </row>
    <row r="114" spans="2:16" ht="12.5">
      <c r="B114" s="160" t="str">
        <f t="shared" si="40"/>
        <v/>
      </c>
      <c r="C114" s="469">
        <f>IF(D93="","-",+C113+1)</f>
        <v>2021</v>
      </c>
      <c r="D114" s="470">
        <v>40098</v>
      </c>
      <c r="E114" s="477">
        <v>1369</v>
      </c>
      <c r="F114" s="476">
        <v>38729</v>
      </c>
      <c r="G114" s="476">
        <v>39413.5</v>
      </c>
      <c r="H114" s="477">
        <v>5853.9722481455983</v>
      </c>
      <c r="I114" s="478">
        <v>5853.9722481455983</v>
      </c>
      <c r="J114" s="475">
        <f t="shared" si="36"/>
        <v>0</v>
      </c>
      <c r="K114" s="475"/>
      <c r="L114" s="537">
        <f t="shared" ref="L114" si="53">H114</f>
        <v>5853.9722481455983</v>
      </c>
      <c r="M114" s="538">
        <f t="shared" ref="M114" si="54">IF(L114&lt;&gt;0,+H114-L114,0)</f>
        <v>0</v>
      </c>
      <c r="N114" s="537">
        <f t="shared" ref="N114" si="55">I114</f>
        <v>5853.9722481455983</v>
      </c>
      <c r="O114" s="475">
        <f t="shared" si="38"/>
        <v>0</v>
      </c>
      <c r="P114" s="475">
        <f t="shared" si="39"/>
        <v>0</v>
      </c>
    </row>
    <row r="115" spans="2:16" ht="12.5">
      <c r="B115" s="160" t="str">
        <f t="shared" si="40"/>
        <v/>
      </c>
      <c r="C115" s="469">
        <f>IF(D93="","-",+C114+1)</f>
        <v>2022</v>
      </c>
      <c r="D115" s="470">
        <v>38729</v>
      </c>
      <c r="E115" s="477">
        <v>1439</v>
      </c>
      <c r="F115" s="476">
        <v>37290</v>
      </c>
      <c r="G115" s="476">
        <v>38009.5</v>
      </c>
      <c r="H115" s="477">
        <v>5626.9875444770105</v>
      </c>
      <c r="I115" s="478">
        <v>5626.9875444770105</v>
      </c>
      <c r="J115" s="475">
        <f t="shared" si="36"/>
        <v>0</v>
      </c>
      <c r="K115" s="475"/>
      <c r="L115" s="537">
        <f t="shared" ref="L115" si="56">H115</f>
        <v>5626.9875444770105</v>
      </c>
      <c r="M115" s="538">
        <f t="shared" ref="M115" si="57">IF(L115&lt;&gt;0,+H115-L115,0)</f>
        <v>0</v>
      </c>
      <c r="N115" s="537">
        <f t="shared" ref="N115" si="58">I115</f>
        <v>5626.9875444770105</v>
      </c>
      <c r="O115" s="475">
        <f t="shared" ref="O115" si="59">IF(N115&lt;&gt;0,+I115-N115,0)</f>
        <v>0</v>
      </c>
      <c r="P115" s="475">
        <f t="shared" ref="P115" si="60">+O115-M115</f>
        <v>0</v>
      </c>
    </row>
    <row r="116" spans="2:16" ht="12.5">
      <c r="B116" s="160" t="str">
        <f t="shared" si="40"/>
        <v/>
      </c>
      <c r="C116" s="469">
        <f>IF(D93="","-",+C115+1)</f>
        <v>2023</v>
      </c>
      <c r="D116" s="470">
        <v>37290</v>
      </c>
      <c r="E116" s="477">
        <v>1477</v>
      </c>
      <c r="F116" s="476">
        <v>35813</v>
      </c>
      <c r="G116" s="476">
        <v>36551.5</v>
      </c>
      <c r="H116" s="477">
        <v>5652.1701297565614</v>
      </c>
      <c r="I116" s="478">
        <v>5652.1701297565614</v>
      </c>
      <c r="J116" s="475">
        <f t="shared" si="36"/>
        <v>0</v>
      </c>
      <c r="K116" s="475"/>
      <c r="L116" s="537">
        <f t="shared" ref="L116" si="61">H116</f>
        <v>5652.1701297565614</v>
      </c>
      <c r="M116" s="538">
        <f t="shared" ref="M116" si="62">IF(L116&lt;&gt;0,+H116-L116,0)</f>
        <v>0</v>
      </c>
      <c r="N116" s="537">
        <f t="shared" ref="N116" si="63">I116</f>
        <v>5652.1701297565614</v>
      </c>
      <c r="O116" s="475">
        <f t="shared" ref="O116" si="64">IF(N116&lt;&gt;0,+I116-N116,0)</f>
        <v>0</v>
      </c>
      <c r="P116" s="475">
        <f t="shared" ref="P116" si="65">+O116-M116</f>
        <v>0</v>
      </c>
    </row>
    <row r="117" spans="2:16" ht="12.5">
      <c r="B117" s="160" t="str">
        <f t="shared" si="40"/>
        <v/>
      </c>
      <c r="C117" s="469">
        <f>IF(D93="","-",+C116+1)</f>
        <v>2024</v>
      </c>
      <c r="D117" s="344">
        <f>IF(F116+SUM(E$99:E116)=D$92,F116,D$92-SUM(E$99:E116))</f>
        <v>35813</v>
      </c>
      <c r="E117" s="483">
        <f>IF(+J96&lt;F116,J96,D117)</f>
        <v>1477</v>
      </c>
      <c r="F117" s="482">
        <f t="shared" ref="F117:F130" si="66">+D117-E117</f>
        <v>34336</v>
      </c>
      <c r="G117" s="482">
        <f t="shared" ref="G117:G130" si="67">+(F117+D117)/2</f>
        <v>35074.5</v>
      </c>
      <c r="H117" s="483">
        <f t="shared" ref="H117:H153" si="68">(D117+F117)/2*J$94+E117</f>
        <v>6188.1615853848334</v>
      </c>
      <c r="I117" s="539">
        <f t="shared" ref="I117:I153" si="69">+J$95*G117+E117</f>
        <v>6188.1615853848334</v>
      </c>
      <c r="J117" s="475">
        <f t="shared" si="36"/>
        <v>0</v>
      </c>
      <c r="K117" s="475"/>
      <c r="L117" s="484"/>
      <c r="M117" s="475">
        <f t="shared" si="37"/>
        <v>0</v>
      </c>
      <c r="N117" s="484"/>
      <c r="O117" s="475">
        <f t="shared" si="38"/>
        <v>0</v>
      </c>
      <c r="P117" s="475">
        <f t="shared" si="39"/>
        <v>0</v>
      </c>
    </row>
    <row r="118" spans="2:16" ht="12.5">
      <c r="B118" s="160" t="str">
        <f t="shared" si="40"/>
        <v/>
      </c>
      <c r="C118" s="469">
        <f>IF(D93="","-",+C117+1)</f>
        <v>2025</v>
      </c>
      <c r="D118" s="344">
        <f>IF(F117+SUM(E$99:E117)=D$92,F117,D$92-SUM(E$99:E117))</f>
        <v>34336</v>
      </c>
      <c r="E118" s="483">
        <f>IF(+J96&lt;F117,J96,D118)</f>
        <v>1477</v>
      </c>
      <c r="F118" s="482">
        <f t="shared" si="66"/>
        <v>32859</v>
      </c>
      <c r="G118" s="482">
        <f t="shared" si="67"/>
        <v>33597.5</v>
      </c>
      <c r="H118" s="483">
        <f t="shared" si="68"/>
        <v>5989.7728510731995</v>
      </c>
      <c r="I118" s="539">
        <f t="shared" si="69"/>
        <v>5989.7728510731995</v>
      </c>
      <c r="J118" s="475">
        <f t="shared" si="36"/>
        <v>0</v>
      </c>
      <c r="K118" s="475"/>
      <c r="L118" s="484"/>
      <c r="M118" s="475">
        <f t="shared" si="37"/>
        <v>0</v>
      </c>
      <c r="N118" s="484"/>
      <c r="O118" s="475">
        <f t="shared" si="38"/>
        <v>0</v>
      </c>
      <c r="P118" s="475">
        <f t="shared" si="39"/>
        <v>0</v>
      </c>
    </row>
    <row r="119" spans="2:16" ht="12.5">
      <c r="B119" s="160" t="str">
        <f t="shared" si="40"/>
        <v/>
      </c>
      <c r="C119" s="469">
        <f>IF(D93="","-",+C118+1)</f>
        <v>2026</v>
      </c>
      <c r="D119" s="344">
        <f>IF(F118+SUM(E$99:E118)=D$92,F118,D$92-SUM(E$99:E118))</f>
        <v>32859</v>
      </c>
      <c r="E119" s="483">
        <f>IF(+J96&lt;F118,J96,D119)</f>
        <v>1477</v>
      </c>
      <c r="F119" s="482">
        <f t="shared" si="66"/>
        <v>31382</v>
      </c>
      <c r="G119" s="482">
        <f t="shared" si="67"/>
        <v>32120.5</v>
      </c>
      <c r="H119" s="483">
        <f t="shared" si="68"/>
        <v>5791.3841167615656</v>
      </c>
      <c r="I119" s="539">
        <f t="shared" si="69"/>
        <v>5791.3841167615656</v>
      </c>
      <c r="J119" s="475">
        <f t="shared" si="36"/>
        <v>0</v>
      </c>
      <c r="K119" s="475"/>
      <c r="L119" s="484"/>
      <c r="M119" s="475">
        <f t="shared" si="37"/>
        <v>0</v>
      </c>
      <c r="N119" s="484"/>
      <c r="O119" s="475">
        <f t="shared" si="38"/>
        <v>0</v>
      </c>
      <c r="P119" s="475">
        <f t="shared" si="39"/>
        <v>0</v>
      </c>
    </row>
    <row r="120" spans="2:16" ht="12.5">
      <c r="B120" s="160" t="str">
        <f t="shared" si="40"/>
        <v/>
      </c>
      <c r="C120" s="469">
        <f>IF(D93="","-",+C119+1)</f>
        <v>2027</v>
      </c>
      <c r="D120" s="344">
        <f>IF(F119+SUM(E$99:E119)=D$92,F119,D$92-SUM(E$99:E119))</f>
        <v>31382</v>
      </c>
      <c r="E120" s="483">
        <f>IF(+J96&lt;F119,J96,D120)</f>
        <v>1477</v>
      </c>
      <c r="F120" s="482">
        <f t="shared" si="66"/>
        <v>29905</v>
      </c>
      <c r="G120" s="482">
        <f t="shared" si="67"/>
        <v>30643.5</v>
      </c>
      <c r="H120" s="483">
        <f t="shared" si="68"/>
        <v>5592.9953824499325</v>
      </c>
      <c r="I120" s="539">
        <f t="shared" si="69"/>
        <v>5592.9953824499325</v>
      </c>
      <c r="J120" s="475">
        <f t="shared" si="36"/>
        <v>0</v>
      </c>
      <c r="K120" s="475"/>
      <c r="L120" s="484"/>
      <c r="M120" s="475">
        <f t="shared" si="37"/>
        <v>0</v>
      </c>
      <c r="N120" s="484"/>
      <c r="O120" s="475">
        <f t="shared" si="38"/>
        <v>0</v>
      </c>
      <c r="P120" s="475">
        <f t="shared" si="39"/>
        <v>0</v>
      </c>
    </row>
    <row r="121" spans="2:16" ht="12.5">
      <c r="B121" s="160" t="str">
        <f t="shared" si="40"/>
        <v/>
      </c>
      <c r="C121" s="469">
        <f>IF(D93="","-",+C120+1)</f>
        <v>2028</v>
      </c>
      <c r="D121" s="344">
        <f>IF(F120+SUM(E$99:E120)=D$92,F120,D$92-SUM(E$99:E120))</f>
        <v>29905</v>
      </c>
      <c r="E121" s="483">
        <f>IF(+J96&lt;F120,J96,D121)</f>
        <v>1477</v>
      </c>
      <c r="F121" s="482">
        <f t="shared" si="66"/>
        <v>28428</v>
      </c>
      <c r="G121" s="482">
        <f t="shared" si="67"/>
        <v>29166.5</v>
      </c>
      <c r="H121" s="483">
        <f t="shared" si="68"/>
        <v>5394.6066481382986</v>
      </c>
      <c r="I121" s="539">
        <f t="shared" si="69"/>
        <v>5394.6066481382986</v>
      </c>
      <c r="J121" s="475">
        <f t="shared" si="36"/>
        <v>0</v>
      </c>
      <c r="K121" s="475"/>
      <c r="L121" s="484"/>
      <c r="M121" s="475">
        <f t="shared" si="37"/>
        <v>0</v>
      </c>
      <c r="N121" s="484"/>
      <c r="O121" s="475">
        <f t="shared" si="38"/>
        <v>0</v>
      </c>
      <c r="P121" s="475">
        <f t="shared" si="39"/>
        <v>0</v>
      </c>
    </row>
    <row r="122" spans="2:16" ht="12.5">
      <c r="B122" s="160" t="str">
        <f t="shared" si="40"/>
        <v/>
      </c>
      <c r="C122" s="469">
        <f>IF(D93="","-",+C121+1)</f>
        <v>2029</v>
      </c>
      <c r="D122" s="344">
        <f>IF(F121+SUM(E$99:E121)=D$92,F121,D$92-SUM(E$99:E121))</f>
        <v>28428</v>
      </c>
      <c r="E122" s="483">
        <f>IF(+J96&lt;F121,J96,D122)</f>
        <v>1477</v>
      </c>
      <c r="F122" s="482">
        <f t="shared" si="66"/>
        <v>26951</v>
      </c>
      <c r="G122" s="482">
        <f t="shared" si="67"/>
        <v>27689.5</v>
      </c>
      <c r="H122" s="483">
        <f t="shared" si="68"/>
        <v>5196.2179138266647</v>
      </c>
      <c r="I122" s="539">
        <f t="shared" si="69"/>
        <v>5196.2179138266647</v>
      </c>
      <c r="J122" s="475">
        <f t="shared" si="36"/>
        <v>0</v>
      </c>
      <c r="K122" s="475"/>
      <c r="L122" s="484"/>
      <c r="M122" s="475">
        <f t="shared" si="37"/>
        <v>0</v>
      </c>
      <c r="N122" s="484"/>
      <c r="O122" s="475">
        <f t="shared" si="38"/>
        <v>0</v>
      </c>
      <c r="P122" s="475">
        <f t="shared" si="39"/>
        <v>0</v>
      </c>
    </row>
    <row r="123" spans="2:16" ht="12.5">
      <c r="B123" s="160" t="str">
        <f t="shared" si="40"/>
        <v/>
      </c>
      <c r="C123" s="469">
        <f>IF(D93="","-",+C122+1)</f>
        <v>2030</v>
      </c>
      <c r="D123" s="344">
        <f>IF(F122+SUM(E$99:E122)=D$92,F122,D$92-SUM(E$99:E122))</f>
        <v>26951</v>
      </c>
      <c r="E123" s="483">
        <f>IF(+J96&lt;F122,J96,D123)</f>
        <v>1477</v>
      </c>
      <c r="F123" s="482">
        <f t="shared" si="66"/>
        <v>25474</v>
      </c>
      <c r="G123" s="482">
        <f t="shared" si="67"/>
        <v>26212.5</v>
      </c>
      <c r="H123" s="483">
        <f t="shared" si="68"/>
        <v>4997.8291795150308</v>
      </c>
      <c r="I123" s="539">
        <f t="shared" si="69"/>
        <v>4997.8291795150308</v>
      </c>
      <c r="J123" s="475">
        <f t="shared" si="36"/>
        <v>0</v>
      </c>
      <c r="K123" s="475"/>
      <c r="L123" s="484"/>
      <c r="M123" s="475">
        <f t="shared" si="37"/>
        <v>0</v>
      </c>
      <c r="N123" s="484"/>
      <c r="O123" s="475">
        <f t="shared" si="38"/>
        <v>0</v>
      </c>
      <c r="P123" s="475">
        <f t="shared" si="39"/>
        <v>0</v>
      </c>
    </row>
    <row r="124" spans="2:16" ht="12.5">
      <c r="B124" s="160" t="str">
        <f t="shared" si="40"/>
        <v/>
      </c>
      <c r="C124" s="469">
        <f>IF(D93="","-",+C123+1)</f>
        <v>2031</v>
      </c>
      <c r="D124" s="344">
        <f>IF(F123+SUM(E$99:E123)=D$92,F123,D$92-SUM(E$99:E123))</f>
        <v>25474</v>
      </c>
      <c r="E124" s="483">
        <f>IF(+J96&lt;F123,J96,D124)</f>
        <v>1477</v>
      </c>
      <c r="F124" s="482">
        <f t="shared" si="66"/>
        <v>23997</v>
      </c>
      <c r="G124" s="482">
        <f t="shared" si="67"/>
        <v>24735.5</v>
      </c>
      <c r="H124" s="483">
        <f t="shared" si="68"/>
        <v>4799.4404452033968</v>
      </c>
      <c r="I124" s="539">
        <f t="shared" si="69"/>
        <v>4799.4404452033968</v>
      </c>
      <c r="J124" s="475">
        <f t="shared" si="36"/>
        <v>0</v>
      </c>
      <c r="K124" s="475"/>
      <c r="L124" s="484"/>
      <c r="M124" s="475">
        <f t="shared" si="37"/>
        <v>0</v>
      </c>
      <c r="N124" s="484"/>
      <c r="O124" s="475">
        <f t="shared" si="38"/>
        <v>0</v>
      </c>
      <c r="P124" s="475">
        <f t="shared" si="39"/>
        <v>0</v>
      </c>
    </row>
    <row r="125" spans="2:16" ht="12.5">
      <c r="B125" s="160" t="str">
        <f t="shared" si="40"/>
        <v/>
      </c>
      <c r="C125" s="469">
        <f>IF(D93="","-",+C124+1)</f>
        <v>2032</v>
      </c>
      <c r="D125" s="344">
        <f>IF(F124+SUM(E$99:E124)=D$92,F124,D$92-SUM(E$99:E124))</f>
        <v>23997</v>
      </c>
      <c r="E125" s="483">
        <f>IF(+J96&lt;F124,J96,D125)</f>
        <v>1477</v>
      </c>
      <c r="F125" s="482">
        <f t="shared" si="66"/>
        <v>22520</v>
      </c>
      <c r="G125" s="482">
        <f t="shared" si="67"/>
        <v>23258.5</v>
      </c>
      <c r="H125" s="483">
        <f t="shared" si="68"/>
        <v>4601.0517108917629</v>
      </c>
      <c r="I125" s="539">
        <f t="shared" si="69"/>
        <v>4601.0517108917629</v>
      </c>
      <c r="J125" s="475">
        <f t="shared" si="36"/>
        <v>0</v>
      </c>
      <c r="K125" s="475"/>
      <c r="L125" s="484"/>
      <c r="M125" s="475">
        <f t="shared" si="37"/>
        <v>0</v>
      </c>
      <c r="N125" s="484"/>
      <c r="O125" s="475">
        <f t="shared" si="38"/>
        <v>0</v>
      </c>
      <c r="P125" s="475">
        <f t="shared" si="39"/>
        <v>0</v>
      </c>
    </row>
    <row r="126" spans="2:16" ht="12.5">
      <c r="B126" s="160" t="str">
        <f t="shared" si="40"/>
        <v/>
      </c>
      <c r="C126" s="469">
        <f>IF(D93="","-",+C125+1)</f>
        <v>2033</v>
      </c>
      <c r="D126" s="344">
        <f>IF(F125+SUM(E$99:E125)=D$92,F125,D$92-SUM(E$99:E125))</f>
        <v>22520</v>
      </c>
      <c r="E126" s="483">
        <f>IF(+J96&lt;F125,J96,D126)</f>
        <v>1477</v>
      </c>
      <c r="F126" s="482">
        <f t="shared" si="66"/>
        <v>21043</v>
      </c>
      <c r="G126" s="482">
        <f t="shared" si="67"/>
        <v>21781.5</v>
      </c>
      <c r="H126" s="483">
        <f t="shared" si="68"/>
        <v>4402.6629765801299</v>
      </c>
      <c r="I126" s="539">
        <f t="shared" si="69"/>
        <v>4402.6629765801299</v>
      </c>
      <c r="J126" s="475">
        <f t="shared" si="36"/>
        <v>0</v>
      </c>
      <c r="K126" s="475"/>
      <c r="L126" s="484"/>
      <c r="M126" s="475">
        <f t="shared" si="37"/>
        <v>0</v>
      </c>
      <c r="N126" s="484"/>
      <c r="O126" s="475">
        <f t="shared" si="38"/>
        <v>0</v>
      </c>
      <c r="P126" s="475">
        <f t="shared" si="39"/>
        <v>0</v>
      </c>
    </row>
    <row r="127" spans="2:16" ht="12.5">
      <c r="B127" s="160" t="str">
        <f t="shared" si="40"/>
        <v/>
      </c>
      <c r="C127" s="469">
        <f>IF(D93="","-",+C126+1)</f>
        <v>2034</v>
      </c>
      <c r="D127" s="344">
        <f>IF(F126+SUM(E$99:E126)=D$92,F126,D$92-SUM(E$99:E126))</f>
        <v>21043</v>
      </c>
      <c r="E127" s="483">
        <f>IF(+J96&lt;F126,J96,D127)</f>
        <v>1477</v>
      </c>
      <c r="F127" s="482">
        <f t="shared" si="66"/>
        <v>19566</v>
      </c>
      <c r="G127" s="482">
        <f t="shared" si="67"/>
        <v>20304.5</v>
      </c>
      <c r="H127" s="483">
        <f t="shared" si="68"/>
        <v>4204.2742422684951</v>
      </c>
      <c r="I127" s="539">
        <f t="shared" si="69"/>
        <v>4204.2742422684951</v>
      </c>
      <c r="J127" s="475">
        <f t="shared" si="36"/>
        <v>0</v>
      </c>
      <c r="K127" s="475"/>
      <c r="L127" s="484"/>
      <c r="M127" s="475">
        <f t="shared" si="37"/>
        <v>0</v>
      </c>
      <c r="N127" s="484"/>
      <c r="O127" s="475">
        <f t="shared" si="38"/>
        <v>0</v>
      </c>
      <c r="P127" s="475">
        <f t="shared" si="39"/>
        <v>0</v>
      </c>
    </row>
    <row r="128" spans="2:16" ht="12.5">
      <c r="B128" s="160" t="str">
        <f t="shared" si="40"/>
        <v/>
      </c>
      <c r="C128" s="469">
        <f>IF(D93="","-",+C127+1)</f>
        <v>2035</v>
      </c>
      <c r="D128" s="344">
        <f>IF(F127+SUM(E$99:E127)=D$92,F127,D$92-SUM(E$99:E127))</f>
        <v>19566</v>
      </c>
      <c r="E128" s="483">
        <f>IF(+J96&lt;F127,J96,D128)</f>
        <v>1477</v>
      </c>
      <c r="F128" s="482">
        <f t="shared" si="66"/>
        <v>18089</v>
      </c>
      <c r="G128" s="482">
        <f t="shared" si="67"/>
        <v>18827.5</v>
      </c>
      <c r="H128" s="483">
        <f t="shared" si="68"/>
        <v>4005.8855079568621</v>
      </c>
      <c r="I128" s="539">
        <f t="shared" si="69"/>
        <v>4005.8855079568621</v>
      </c>
      <c r="J128" s="475">
        <f t="shared" si="36"/>
        <v>0</v>
      </c>
      <c r="K128" s="475"/>
      <c r="L128" s="484"/>
      <c r="M128" s="475">
        <f t="shared" si="37"/>
        <v>0</v>
      </c>
      <c r="N128" s="484"/>
      <c r="O128" s="475">
        <f t="shared" si="38"/>
        <v>0</v>
      </c>
      <c r="P128" s="475">
        <f t="shared" si="39"/>
        <v>0</v>
      </c>
    </row>
    <row r="129" spans="2:16" ht="12.5">
      <c r="B129" s="160" t="str">
        <f t="shared" si="40"/>
        <v/>
      </c>
      <c r="C129" s="469">
        <f>IF(D93="","-",+C128+1)</f>
        <v>2036</v>
      </c>
      <c r="D129" s="344">
        <f>IF(F128+SUM(E$99:E128)=D$92,F128,D$92-SUM(E$99:E128))</f>
        <v>18089</v>
      </c>
      <c r="E129" s="483">
        <f>IF(+J96&lt;F128,J96,D129)</f>
        <v>1477</v>
      </c>
      <c r="F129" s="482">
        <f t="shared" si="66"/>
        <v>16612</v>
      </c>
      <c r="G129" s="482">
        <f t="shared" si="67"/>
        <v>17350.5</v>
      </c>
      <c r="H129" s="483">
        <f t="shared" si="68"/>
        <v>3807.4967736452281</v>
      </c>
      <c r="I129" s="539">
        <f t="shared" si="69"/>
        <v>3807.4967736452281</v>
      </c>
      <c r="J129" s="475">
        <f t="shared" si="36"/>
        <v>0</v>
      </c>
      <c r="K129" s="475"/>
      <c r="L129" s="484"/>
      <c r="M129" s="475">
        <f t="shared" si="37"/>
        <v>0</v>
      </c>
      <c r="N129" s="484"/>
      <c r="O129" s="475">
        <f t="shared" si="38"/>
        <v>0</v>
      </c>
      <c r="P129" s="475">
        <f t="shared" si="39"/>
        <v>0</v>
      </c>
    </row>
    <row r="130" spans="2:16" ht="12.5">
      <c r="B130" s="160" t="str">
        <f t="shared" si="40"/>
        <v/>
      </c>
      <c r="C130" s="469">
        <f>IF(D93="","-",+C129+1)</f>
        <v>2037</v>
      </c>
      <c r="D130" s="344">
        <f>IF(F129+SUM(E$99:E129)=D$92,F129,D$92-SUM(E$99:E129))</f>
        <v>16612</v>
      </c>
      <c r="E130" s="483">
        <f>IF(+J96&lt;F129,J96,D130)</f>
        <v>1477</v>
      </c>
      <c r="F130" s="482">
        <f t="shared" si="66"/>
        <v>15135</v>
      </c>
      <c r="G130" s="482">
        <f t="shared" si="67"/>
        <v>15873.5</v>
      </c>
      <c r="H130" s="483">
        <f t="shared" si="68"/>
        <v>3609.1080393335942</v>
      </c>
      <c r="I130" s="539">
        <f t="shared" si="69"/>
        <v>3609.1080393335942</v>
      </c>
      <c r="J130" s="475">
        <f t="shared" si="36"/>
        <v>0</v>
      </c>
      <c r="K130" s="475"/>
      <c r="L130" s="484"/>
      <c r="M130" s="475">
        <f t="shared" si="37"/>
        <v>0</v>
      </c>
      <c r="N130" s="484"/>
      <c r="O130" s="475">
        <f t="shared" si="38"/>
        <v>0</v>
      </c>
      <c r="P130" s="475">
        <f t="shared" si="39"/>
        <v>0</v>
      </c>
    </row>
    <row r="131" spans="2:16" ht="12.5">
      <c r="B131" s="160" t="str">
        <f t="shared" si="40"/>
        <v/>
      </c>
      <c r="C131" s="469">
        <f>IF(D93="","-",+C130+1)</f>
        <v>2038</v>
      </c>
      <c r="D131" s="344">
        <f>IF(F130+SUM(E$99:E130)=D$92,F130,D$92-SUM(E$99:E130))</f>
        <v>15135</v>
      </c>
      <c r="E131" s="483">
        <f>IF(+J96&lt;F130,J96,D131)</f>
        <v>1477</v>
      </c>
      <c r="F131" s="482">
        <f t="shared" ref="F131:F154" si="70">+D131-E131</f>
        <v>13658</v>
      </c>
      <c r="G131" s="482">
        <f t="shared" ref="G131:G154" si="71">+(F131+D131)/2</f>
        <v>14396.5</v>
      </c>
      <c r="H131" s="483">
        <f t="shared" si="68"/>
        <v>3410.7193050219603</v>
      </c>
      <c r="I131" s="539">
        <f t="shared" si="69"/>
        <v>3410.7193050219603</v>
      </c>
      <c r="J131" s="475">
        <f t="shared" ref="J131:J154" si="72">+I131-H131</f>
        <v>0</v>
      </c>
      <c r="K131" s="475"/>
      <c r="L131" s="484"/>
      <c r="M131" s="475">
        <f t="shared" ref="M131:M154" si="73">IF(L131&lt;&gt;0,+H131-L131,0)</f>
        <v>0</v>
      </c>
      <c r="N131" s="484"/>
      <c r="O131" s="475">
        <f t="shared" ref="O131:O154" si="74">IF(N131&lt;&gt;0,+I131-N131,0)</f>
        <v>0</v>
      </c>
      <c r="P131" s="475">
        <f t="shared" ref="P131:P154" si="75">+O131-M131</f>
        <v>0</v>
      </c>
    </row>
    <row r="132" spans="2:16" ht="12.5">
      <c r="B132" s="160" t="str">
        <f t="shared" si="40"/>
        <v/>
      </c>
      <c r="C132" s="469">
        <f>IF(D93="","-",+C131+1)</f>
        <v>2039</v>
      </c>
      <c r="D132" s="344">
        <f>IF(F131+SUM(E$99:E131)=D$92,F131,D$92-SUM(E$99:E131))</f>
        <v>13658</v>
      </c>
      <c r="E132" s="483">
        <f>IF(+J96&lt;F131,J96,D132)</f>
        <v>1477</v>
      </c>
      <c r="F132" s="482">
        <f t="shared" si="70"/>
        <v>12181</v>
      </c>
      <c r="G132" s="482">
        <f t="shared" si="71"/>
        <v>12919.5</v>
      </c>
      <c r="H132" s="483">
        <f t="shared" si="68"/>
        <v>3212.3305707103268</v>
      </c>
      <c r="I132" s="539">
        <f t="shared" si="69"/>
        <v>3212.3305707103268</v>
      </c>
      <c r="J132" s="475">
        <f t="shared" si="72"/>
        <v>0</v>
      </c>
      <c r="K132" s="475"/>
      <c r="L132" s="484"/>
      <c r="M132" s="475">
        <f t="shared" si="73"/>
        <v>0</v>
      </c>
      <c r="N132" s="484"/>
      <c r="O132" s="475">
        <f t="shared" si="74"/>
        <v>0</v>
      </c>
      <c r="P132" s="475">
        <f t="shared" si="75"/>
        <v>0</v>
      </c>
    </row>
    <row r="133" spans="2:16" ht="12.5">
      <c r="B133" s="160" t="str">
        <f t="shared" si="40"/>
        <v/>
      </c>
      <c r="C133" s="469">
        <f>IF(D93="","-",+C132+1)</f>
        <v>2040</v>
      </c>
      <c r="D133" s="344">
        <f>IF(F132+SUM(E$99:E132)=D$92,F132,D$92-SUM(E$99:E132))</f>
        <v>12181</v>
      </c>
      <c r="E133" s="483">
        <f>IF(+J96&lt;F132,J96,D133)</f>
        <v>1477</v>
      </c>
      <c r="F133" s="482">
        <f t="shared" si="70"/>
        <v>10704</v>
      </c>
      <c r="G133" s="482">
        <f t="shared" si="71"/>
        <v>11442.5</v>
      </c>
      <c r="H133" s="483">
        <f t="shared" si="68"/>
        <v>3013.9418363986929</v>
      </c>
      <c r="I133" s="539">
        <f t="shared" si="69"/>
        <v>3013.9418363986929</v>
      </c>
      <c r="J133" s="475">
        <f t="shared" si="72"/>
        <v>0</v>
      </c>
      <c r="K133" s="475"/>
      <c r="L133" s="484"/>
      <c r="M133" s="475">
        <f t="shared" si="73"/>
        <v>0</v>
      </c>
      <c r="N133" s="484"/>
      <c r="O133" s="475">
        <f t="shared" si="74"/>
        <v>0</v>
      </c>
      <c r="P133" s="475">
        <f t="shared" si="75"/>
        <v>0</v>
      </c>
    </row>
    <row r="134" spans="2:16" ht="12.5">
      <c r="B134" s="160" t="str">
        <f t="shared" si="40"/>
        <v/>
      </c>
      <c r="C134" s="469">
        <f>IF(D93="","-",+C133+1)</f>
        <v>2041</v>
      </c>
      <c r="D134" s="344">
        <f>IF(F133+SUM(E$99:E133)=D$92,F133,D$92-SUM(E$99:E133))</f>
        <v>10704</v>
      </c>
      <c r="E134" s="483">
        <f>IF(+J96&lt;F133,J96,D134)</f>
        <v>1477</v>
      </c>
      <c r="F134" s="482">
        <f t="shared" si="70"/>
        <v>9227</v>
      </c>
      <c r="G134" s="482">
        <f t="shared" si="71"/>
        <v>9965.5</v>
      </c>
      <c r="H134" s="483">
        <f t="shared" si="68"/>
        <v>2815.5531020870594</v>
      </c>
      <c r="I134" s="539">
        <f t="shared" si="69"/>
        <v>2815.5531020870594</v>
      </c>
      <c r="J134" s="475">
        <f t="shared" si="72"/>
        <v>0</v>
      </c>
      <c r="K134" s="475"/>
      <c r="L134" s="484"/>
      <c r="M134" s="475">
        <f t="shared" si="73"/>
        <v>0</v>
      </c>
      <c r="N134" s="484"/>
      <c r="O134" s="475">
        <f t="shared" si="74"/>
        <v>0</v>
      </c>
      <c r="P134" s="475">
        <f t="shared" si="75"/>
        <v>0</v>
      </c>
    </row>
    <row r="135" spans="2:16" ht="12.5">
      <c r="B135" s="160" t="str">
        <f t="shared" si="40"/>
        <v/>
      </c>
      <c r="C135" s="469">
        <f>IF(D93="","-",+C134+1)</f>
        <v>2042</v>
      </c>
      <c r="D135" s="344">
        <f>IF(F134+SUM(E$99:E134)=D$92,F134,D$92-SUM(E$99:E134))</f>
        <v>9227</v>
      </c>
      <c r="E135" s="483">
        <f>IF(+J96&lt;F134,J96,D135)</f>
        <v>1477</v>
      </c>
      <c r="F135" s="482">
        <f t="shared" si="70"/>
        <v>7750</v>
      </c>
      <c r="G135" s="482">
        <f t="shared" si="71"/>
        <v>8488.5</v>
      </c>
      <c r="H135" s="483">
        <f t="shared" si="68"/>
        <v>2617.1643677754255</v>
      </c>
      <c r="I135" s="539">
        <f t="shared" si="69"/>
        <v>2617.1643677754255</v>
      </c>
      <c r="J135" s="475">
        <f t="shared" si="72"/>
        <v>0</v>
      </c>
      <c r="K135" s="475"/>
      <c r="L135" s="484"/>
      <c r="M135" s="475">
        <f t="shared" si="73"/>
        <v>0</v>
      </c>
      <c r="N135" s="484"/>
      <c r="O135" s="475">
        <f t="shared" si="74"/>
        <v>0</v>
      </c>
      <c r="P135" s="475">
        <f t="shared" si="75"/>
        <v>0</v>
      </c>
    </row>
    <row r="136" spans="2:16" ht="12.5">
      <c r="B136" s="160" t="str">
        <f t="shared" si="40"/>
        <v/>
      </c>
      <c r="C136" s="469">
        <f>IF(D93="","-",+C135+1)</f>
        <v>2043</v>
      </c>
      <c r="D136" s="344">
        <f>IF(F135+SUM(E$99:E135)=D$92,F135,D$92-SUM(E$99:E135))</f>
        <v>7750</v>
      </c>
      <c r="E136" s="483">
        <f>IF(+J96&lt;F135,J96,D136)</f>
        <v>1477</v>
      </c>
      <c r="F136" s="482">
        <f t="shared" si="70"/>
        <v>6273</v>
      </c>
      <c r="G136" s="482">
        <f t="shared" si="71"/>
        <v>7011.5</v>
      </c>
      <c r="H136" s="483">
        <f t="shared" si="68"/>
        <v>2418.7756334637916</v>
      </c>
      <c r="I136" s="539">
        <f t="shared" si="69"/>
        <v>2418.7756334637916</v>
      </c>
      <c r="J136" s="475">
        <f t="shared" si="72"/>
        <v>0</v>
      </c>
      <c r="K136" s="475"/>
      <c r="L136" s="484"/>
      <c r="M136" s="475">
        <f t="shared" si="73"/>
        <v>0</v>
      </c>
      <c r="N136" s="484"/>
      <c r="O136" s="475">
        <f t="shared" si="74"/>
        <v>0</v>
      </c>
      <c r="P136" s="475">
        <f t="shared" si="75"/>
        <v>0</v>
      </c>
    </row>
    <row r="137" spans="2:16" ht="12.5">
      <c r="B137" s="160" t="str">
        <f t="shared" si="40"/>
        <v/>
      </c>
      <c r="C137" s="469">
        <f>IF(D93="","-",+C136+1)</f>
        <v>2044</v>
      </c>
      <c r="D137" s="344">
        <f>IF(F136+SUM(E$99:E136)=D$92,F136,D$92-SUM(E$99:E136))</f>
        <v>6273</v>
      </c>
      <c r="E137" s="483">
        <f>IF(+J96&lt;F136,J96,D137)</f>
        <v>1477</v>
      </c>
      <c r="F137" s="482">
        <f t="shared" si="70"/>
        <v>4796</v>
      </c>
      <c r="G137" s="482">
        <f t="shared" si="71"/>
        <v>5534.5</v>
      </c>
      <c r="H137" s="483">
        <f t="shared" si="68"/>
        <v>2220.3868991521576</v>
      </c>
      <c r="I137" s="539">
        <f t="shared" si="69"/>
        <v>2220.3868991521576</v>
      </c>
      <c r="J137" s="475">
        <f t="shared" si="72"/>
        <v>0</v>
      </c>
      <c r="K137" s="475"/>
      <c r="L137" s="484"/>
      <c r="M137" s="475">
        <f t="shared" si="73"/>
        <v>0</v>
      </c>
      <c r="N137" s="484"/>
      <c r="O137" s="475">
        <f t="shared" si="74"/>
        <v>0</v>
      </c>
      <c r="P137" s="475">
        <f t="shared" si="75"/>
        <v>0</v>
      </c>
    </row>
    <row r="138" spans="2:16" ht="12.5">
      <c r="B138" s="160" t="str">
        <f t="shared" si="40"/>
        <v/>
      </c>
      <c r="C138" s="469">
        <f>IF(D93="","-",+C137+1)</f>
        <v>2045</v>
      </c>
      <c r="D138" s="344">
        <f>IF(F137+SUM(E$99:E137)=D$92,F137,D$92-SUM(E$99:E137))</f>
        <v>4796</v>
      </c>
      <c r="E138" s="483">
        <f>IF(+J96&lt;F137,J96,D138)</f>
        <v>1477</v>
      </c>
      <c r="F138" s="482">
        <f t="shared" si="70"/>
        <v>3319</v>
      </c>
      <c r="G138" s="482">
        <f t="shared" si="71"/>
        <v>4057.5</v>
      </c>
      <c r="H138" s="483">
        <f t="shared" si="68"/>
        <v>2021.9981648405242</v>
      </c>
      <c r="I138" s="539">
        <f t="shared" si="69"/>
        <v>2021.9981648405242</v>
      </c>
      <c r="J138" s="475">
        <f t="shared" si="72"/>
        <v>0</v>
      </c>
      <c r="K138" s="475"/>
      <c r="L138" s="484"/>
      <c r="M138" s="475">
        <f t="shared" si="73"/>
        <v>0</v>
      </c>
      <c r="N138" s="484"/>
      <c r="O138" s="475">
        <f t="shared" si="74"/>
        <v>0</v>
      </c>
      <c r="P138" s="475">
        <f t="shared" si="75"/>
        <v>0</v>
      </c>
    </row>
    <row r="139" spans="2:16" ht="12.5">
      <c r="B139" s="160" t="str">
        <f t="shared" si="40"/>
        <v/>
      </c>
      <c r="C139" s="469">
        <f>IF(D93="","-",+C138+1)</f>
        <v>2046</v>
      </c>
      <c r="D139" s="344">
        <f>IF(F138+SUM(E$99:E138)=D$92,F138,D$92-SUM(E$99:E138))</f>
        <v>3319</v>
      </c>
      <c r="E139" s="483">
        <f>IF(+J96&lt;F138,J96,D139)</f>
        <v>1477</v>
      </c>
      <c r="F139" s="482">
        <f t="shared" si="70"/>
        <v>1842</v>
      </c>
      <c r="G139" s="482">
        <f t="shared" si="71"/>
        <v>2580.5</v>
      </c>
      <c r="H139" s="483">
        <f t="shared" si="68"/>
        <v>1823.6094305288902</v>
      </c>
      <c r="I139" s="539">
        <f t="shared" si="69"/>
        <v>1823.6094305288902</v>
      </c>
      <c r="J139" s="475">
        <f t="shared" si="72"/>
        <v>0</v>
      </c>
      <c r="K139" s="475"/>
      <c r="L139" s="484"/>
      <c r="M139" s="475">
        <f t="shared" si="73"/>
        <v>0</v>
      </c>
      <c r="N139" s="484"/>
      <c r="O139" s="475">
        <f t="shared" si="74"/>
        <v>0</v>
      </c>
      <c r="P139" s="475">
        <f t="shared" si="75"/>
        <v>0</v>
      </c>
    </row>
    <row r="140" spans="2:16" ht="12.5">
      <c r="B140" s="160" t="str">
        <f t="shared" si="40"/>
        <v/>
      </c>
      <c r="C140" s="469">
        <f>IF(D93="","-",+C139+1)</f>
        <v>2047</v>
      </c>
      <c r="D140" s="344">
        <f>IF(F139+SUM(E$99:E139)=D$92,F139,D$92-SUM(E$99:E139))</f>
        <v>1842</v>
      </c>
      <c r="E140" s="483">
        <f>IF(+J96&lt;F139,J96,D140)</f>
        <v>1477</v>
      </c>
      <c r="F140" s="482">
        <f t="shared" si="70"/>
        <v>365</v>
      </c>
      <c r="G140" s="482">
        <f t="shared" si="71"/>
        <v>1103.5</v>
      </c>
      <c r="H140" s="483">
        <f t="shared" si="68"/>
        <v>1625.2206962172565</v>
      </c>
      <c r="I140" s="539">
        <f t="shared" si="69"/>
        <v>1625.2206962172565</v>
      </c>
      <c r="J140" s="475">
        <f t="shared" si="72"/>
        <v>0</v>
      </c>
      <c r="K140" s="475"/>
      <c r="L140" s="484"/>
      <c r="M140" s="475">
        <f t="shared" si="73"/>
        <v>0</v>
      </c>
      <c r="N140" s="484"/>
      <c r="O140" s="475">
        <f t="shared" si="74"/>
        <v>0</v>
      </c>
      <c r="P140" s="475">
        <f t="shared" si="75"/>
        <v>0</v>
      </c>
    </row>
    <row r="141" spans="2:16" ht="12.5">
      <c r="B141" s="160" t="str">
        <f t="shared" si="40"/>
        <v/>
      </c>
      <c r="C141" s="469">
        <f>IF(D93="","-",+C140+1)</f>
        <v>2048</v>
      </c>
      <c r="D141" s="344">
        <f>IF(F140+SUM(E$99:E140)=D$92,F140,D$92-SUM(E$99:E140))</f>
        <v>365</v>
      </c>
      <c r="E141" s="483">
        <f>IF(+J96&lt;F140,J96,D141)</f>
        <v>365</v>
      </c>
      <c r="F141" s="482">
        <f t="shared" si="70"/>
        <v>0</v>
      </c>
      <c r="G141" s="482">
        <f t="shared" si="71"/>
        <v>182.5</v>
      </c>
      <c r="H141" s="483">
        <f t="shared" si="68"/>
        <v>389.51316453071979</v>
      </c>
      <c r="I141" s="539">
        <f t="shared" si="69"/>
        <v>389.51316453071979</v>
      </c>
      <c r="J141" s="475">
        <f t="shared" si="72"/>
        <v>0</v>
      </c>
      <c r="K141" s="475"/>
      <c r="L141" s="484"/>
      <c r="M141" s="475">
        <f t="shared" si="73"/>
        <v>0</v>
      </c>
      <c r="N141" s="484"/>
      <c r="O141" s="475">
        <f t="shared" si="74"/>
        <v>0</v>
      </c>
      <c r="P141" s="475">
        <f t="shared" si="75"/>
        <v>0</v>
      </c>
    </row>
    <row r="142" spans="2:16" ht="12.5">
      <c r="B142" s="160" t="str">
        <f t="shared" si="40"/>
        <v/>
      </c>
      <c r="C142" s="469">
        <f>IF(D93="","-",+C141+1)</f>
        <v>2049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70"/>
        <v>0</v>
      </c>
      <c r="G142" s="482">
        <f t="shared" si="71"/>
        <v>0</v>
      </c>
      <c r="H142" s="483">
        <f t="shared" si="68"/>
        <v>0</v>
      </c>
      <c r="I142" s="539">
        <f t="shared" si="69"/>
        <v>0</v>
      </c>
      <c r="J142" s="475">
        <f t="shared" si="72"/>
        <v>0</v>
      </c>
      <c r="K142" s="475"/>
      <c r="L142" s="484"/>
      <c r="M142" s="475">
        <f t="shared" si="73"/>
        <v>0</v>
      </c>
      <c r="N142" s="484"/>
      <c r="O142" s="475">
        <f t="shared" si="74"/>
        <v>0</v>
      </c>
      <c r="P142" s="475">
        <f t="shared" si="75"/>
        <v>0</v>
      </c>
    </row>
    <row r="143" spans="2:16" ht="12.5">
      <c r="B143" s="160" t="str">
        <f t="shared" si="40"/>
        <v/>
      </c>
      <c r="C143" s="469">
        <f>IF(D93="","-",+C142+1)</f>
        <v>2050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70"/>
        <v>0</v>
      </c>
      <c r="G143" s="482">
        <f t="shared" si="71"/>
        <v>0</v>
      </c>
      <c r="H143" s="483">
        <f t="shared" si="68"/>
        <v>0</v>
      </c>
      <c r="I143" s="539">
        <f t="shared" si="69"/>
        <v>0</v>
      </c>
      <c r="J143" s="475">
        <f t="shared" si="72"/>
        <v>0</v>
      </c>
      <c r="K143" s="475"/>
      <c r="L143" s="484"/>
      <c r="M143" s="475">
        <f t="shared" si="73"/>
        <v>0</v>
      </c>
      <c r="N143" s="484"/>
      <c r="O143" s="475">
        <f t="shared" si="74"/>
        <v>0</v>
      </c>
      <c r="P143" s="475">
        <f t="shared" si="75"/>
        <v>0</v>
      </c>
    </row>
    <row r="144" spans="2:16" ht="12.5">
      <c r="B144" s="160" t="str">
        <f t="shared" si="40"/>
        <v/>
      </c>
      <c r="C144" s="469">
        <f>IF(D93="","-",+C143+1)</f>
        <v>2051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70"/>
        <v>0</v>
      </c>
      <c r="G144" s="482">
        <f t="shared" si="71"/>
        <v>0</v>
      </c>
      <c r="H144" s="483">
        <f t="shared" si="68"/>
        <v>0</v>
      </c>
      <c r="I144" s="539">
        <f t="shared" si="69"/>
        <v>0</v>
      </c>
      <c r="J144" s="475">
        <f t="shared" si="72"/>
        <v>0</v>
      </c>
      <c r="K144" s="475"/>
      <c r="L144" s="484"/>
      <c r="M144" s="475">
        <f t="shared" si="73"/>
        <v>0</v>
      </c>
      <c r="N144" s="484"/>
      <c r="O144" s="475">
        <f t="shared" si="74"/>
        <v>0</v>
      </c>
      <c r="P144" s="475">
        <f t="shared" si="75"/>
        <v>0</v>
      </c>
    </row>
    <row r="145" spans="2:16" ht="12.5">
      <c r="B145" s="160" t="str">
        <f t="shared" si="40"/>
        <v/>
      </c>
      <c r="C145" s="469">
        <f>IF(D93="","-",+C144+1)</f>
        <v>2052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70"/>
        <v>0</v>
      </c>
      <c r="G145" s="482">
        <f t="shared" si="71"/>
        <v>0</v>
      </c>
      <c r="H145" s="483">
        <f t="shared" si="68"/>
        <v>0</v>
      </c>
      <c r="I145" s="539">
        <f t="shared" si="69"/>
        <v>0</v>
      </c>
      <c r="J145" s="475">
        <f t="shared" si="72"/>
        <v>0</v>
      </c>
      <c r="K145" s="475"/>
      <c r="L145" s="484"/>
      <c r="M145" s="475">
        <f t="shared" si="73"/>
        <v>0</v>
      </c>
      <c r="N145" s="484"/>
      <c r="O145" s="475">
        <f t="shared" si="74"/>
        <v>0</v>
      </c>
      <c r="P145" s="475">
        <f t="shared" si="75"/>
        <v>0</v>
      </c>
    </row>
    <row r="146" spans="2:16" ht="12.5">
      <c r="B146" s="160" t="str">
        <f t="shared" si="40"/>
        <v/>
      </c>
      <c r="C146" s="469">
        <f>IF(D93="","-",+C145+1)</f>
        <v>2053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70"/>
        <v>0</v>
      </c>
      <c r="G146" s="482">
        <f t="shared" si="71"/>
        <v>0</v>
      </c>
      <c r="H146" s="483">
        <f t="shared" si="68"/>
        <v>0</v>
      </c>
      <c r="I146" s="539">
        <f t="shared" si="69"/>
        <v>0</v>
      </c>
      <c r="J146" s="475">
        <f t="shared" si="72"/>
        <v>0</v>
      </c>
      <c r="K146" s="475"/>
      <c r="L146" s="484"/>
      <c r="M146" s="475">
        <f t="shared" si="73"/>
        <v>0</v>
      </c>
      <c r="N146" s="484"/>
      <c r="O146" s="475">
        <f t="shared" si="74"/>
        <v>0</v>
      </c>
      <c r="P146" s="475">
        <f t="shared" si="75"/>
        <v>0</v>
      </c>
    </row>
    <row r="147" spans="2:16" ht="12.5">
      <c r="B147" s="160" t="str">
        <f t="shared" si="40"/>
        <v/>
      </c>
      <c r="C147" s="469">
        <f>IF(D93="","-",+C146+1)</f>
        <v>2054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70"/>
        <v>0</v>
      </c>
      <c r="G147" s="482">
        <f t="shared" si="71"/>
        <v>0</v>
      </c>
      <c r="H147" s="483">
        <f t="shared" si="68"/>
        <v>0</v>
      </c>
      <c r="I147" s="539">
        <f t="shared" si="69"/>
        <v>0</v>
      </c>
      <c r="J147" s="475">
        <f t="shared" si="72"/>
        <v>0</v>
      </c>
      <c r="K147" s="475"/>
      <c r="L147" s="484"/>
      <c r="M147" s="475">
        <f t="shared" si="73"/>
        <v>0</v>
      </c>
      <c r="N147" s="484"/>
      <c r="O147" s="475">
        <f t="shared" si="74"/>
        <v>0</v>
      </c>
      <c r="P147" s="475">
        <f t="shared" si="75"/>
        <v>0</v>
      </c>
    </row>
    <row r="148" spans="2:16" ht="12.5">
      <c r="B148" s="160" t="str">
        <f t="shared" si="40"/>
        <v/>
      </c>
      <c r="C148" s="469">
        <f>IF(D93="","-",+C147+1)</f>
        <v>2055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70"/>
        <v>0</v>
      </c>
      <c r="G148" s="482">
        <f t="shared" si="71"/>
        <v>0</v>
      </c>
      <c r="H148" s="483">
        <f t="shared" si="68"/>
        <v>0</v>
      </c>
      <c r="I148" s="539">
        <f t="shared" si="69"/>
        <v>0</v>
      </c>
      <c r="J148" s="475">
        <f t="shared" si="72"/>
        <v>0</v>
      </c>
      <c r="K148" s="475"/>
      <c r="L148" s="484"/>
      <c r="M148" s="475">
        <f t="shared" si="73"/>
        <v>0</v>
      </c>
      <c r="N148" s="484"/>
      <c r="O148" s="475">
        <f t="shared" si="74"/>
        <v>0</v>
      </c>
      <c r="P148" s="475">
        <f t="shared" si="75"/>
        <v>0</v>
      </c>
    </row>
    <row r="149" spans="2:16" ht="12.5">
      <c r="B149" s="160" t="str">
        <f t="shared" si="40"/>
        <v/>
      </c>
      <c r="C149" s="469">
        <f>IF(D93="","-",+C148+1)</f>
        <v>2056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70"/>
        <v>0</v>
      </c>
      <c r="G149" s="482">
        <f t="shared" si="71"/>
        <v>0</v>
      </c>
      <c r="H149" s="483">
        <f t="shared" si="68"/>
        <v>0</v>
      </c>
      <c r="I149" s="539">
        <f t="shared" si="69"/>
        <v>0</v>
      </c>
      <c r="J149" s="475">
        <f t="shared" si="72"/>
        <v>0</v>
      </c>
      <c r="K149" s="475"/>
      <c r="L149" s="484"/>
      <c r="M149" s="475">
        <f t="shared" si="73"/>
        <v>0</v>
      </c>
      <c r="N149" s="484"/>
      <c r="O149" s="475">
        <f t="shared" si="74"/>
        <v>0</v>
      </c>
      <c r="P149" s="475">
        <f t="shared" si="75"/>
        <v>0</v>
      </c>
    </row>
    <row r="150" spans="2:16" ht="12.5">
      <c r="B150" s="160" t="str">
        <f t="shared" si="40"/>
        <v/>
      </c>
      <c r="C150" s="469">
        <f>IF(D93="","-",+C149+1)</f>
        <v>2057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70"/>
        <v>0</v>
      </c>
      <c r="G150" s="482">
        <f t="shared" si="71"/>
        <v>0</v>
      </c>
      <c r="H150" s="483">
        <f t="shared" si="68"/>
        <v>0</v>
      </c>
      <c r="I150" s="539">
        <f t="shared" si="69"/>
        <v>0</v>
      </c>
      <c r="J150" s="475">
        <f t="shared" si="72"/>
        <v>0</v>
      </c>
      <c r="K150" s="475"/>
      <c r="L150" s="484"/>
      <c r="M150" s="475">
        <f t="shared" si="73"/>
        <v>0</v>
      </c>
      <c r="N150" s="484"/>
      <c r="O150" s="475">
        <f t="shared" si="74"/>
        <v>0</v>
      </c>
      <c r="P150" s="475">
        <f t="shared" si="75"/>
        <v>0</v>
      </c>
    </row>
    <row r="151" spans="2:16" ht="12.5">
      <c r="B151" s="160" t="str">
        <f t="shared" si="40"/>
        <v/>
      </c>
      <c r="C151" s="469">
        <f>IF(D93="","-",+C150+1)</f>
        <v>2058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70"/>
        <v>0</v>
      </c>
      <c r="G151" s="482">
        <f t="shared" si="71"/>
        <v>0</v>
      </c>
      <c r="H151" s="483">
        <f t="shared" si="68"/>
        <v>0</v>
      </c>
      <c r="I151" s="539">
        <f t="shared" si="69"/>
        <v>0</v>
      </c>
      <c r="J151" s="475">
        <f t="shared" si="72"/>
        <v>0</v>
      </c>
      <c r="K151" s="475"/>
      <c r="L151" s="484"/>
      <c r="M151" s="475">
        <f t="shared" si="73"/>
        <v>0</v>
      </c>
      <c r="N151" s="484"/>
      <c r="O151" s="475">
        <f t="shared" si="74"/>
        <v>0</v>
      </c>
      <c r="P151" s="475">
        <f t="shared" si="75"/>
        <v>0</v>
      </c>
    </row>
    <row r="152" spans="2:16" ht="12.5">
      <c r="B152" s="160" t="str">
        <f t="shared" si="40"/>
        <v/>
      </c>
      <c r="C152" s="469">
        <f>IF(D93="","-",+C151+1)</f>
        <v>2059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70"/>
        <v>0</v>
      </c>
      <c r="G152" s="482">
        <f t="shared" si="71"/>
        <v>0</v>
      </c>
      <c r="H152" s="483">
        <f t="shared" si="68"/>
        <v>0</v>
      </c>
      <c r="I152" s="539">
        <f t="shared" si="69"/>
        <v>0</v>
      </c>
      <c r="J152" s="475">
        <f t="shared" si="72"/>
        <v>0</v>
      </c>
      <c r="K152" s="475"/>
      <c r="L152" s="484"/>
      <c r="M152" s="475">
        <f t="shared" si="73"/>
        <v>0</v>
      </c>
      <c r="N152" s="484"/>
      <c r="O152" s="475">
        <f t="shared" si="74"/>
        <v>0</v>
      </c>
      <c r="P152" s="475">
        <f t="shared" si="75"/>
        <v>0</v>
      </c>
    </row>
    <row r="153" spans="2:16" ht="12.5">
      <c r="B153" s="160" t="str">
        <f t="shared" si="40"/>
        <v/>
      </c>
      <c r="C153" s="469">
        <f>IF(D93="","-",+C152+1)</f>
        <v>2060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70"/>
        <v>0</v>
      </c>
      <c r="G153" s="482">
        <f t="shared" si="71"/>
        <v>0</v>
      </c>
      <c r="H153" s="483">
        <f t="shared" si="68"/>
        <v>0</v>
      </c>
      <c r="I153" s="539">
        <f t="shared" si="69"/>
        <v>0</v>
      </c>
      <c r="J153" s="475">
        <f t="shared" si="72"/>
        <v>0</v>
      </c>
      <c r="K153" s="475"/>
      <c r="L153" s="484"/>
      <c r="M153" s="475">
        <f t="shared" si="73"/>
        <v>0</v>
      </c>
      <c r="N153" s="484"/>
      <c r="O153" s="475">
        <f t="shared" si="74"/>
        <v>0</v>
      </c>
      <c r="P153" s="475">
        <f t="shared" si="75"/>
        <v>0</v>
      </c>
    </row>
    <row r="154" spans="2:16" ht="13" thickBot="1">
      <c r="B154" s="160" t="str">
        <f t="shared" si="40"/>
        <v/>
      </c>
      <c r="C154" s="486">
        <f>IF(D93="","-",+C153+1)</f>
        <v>2061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70"/>
        <v>0</v>
      </c>
      <c r="G154" s="487">
        <f t="shared" si="71"/>
        <v>0</v>
      </c>
      <c r="H154" s="489">
        <f t="shared" ref="H154" si="76">+J$94*G154+E154</f>
        <v>0</v>
      </c>
      <c r="I154" s="542">
        <f t="shared" ref="I154" si="77">+J$95*G154+E154</f>
        <v>0</v>
      </c>
      <c r="J154" s="492">
        <f t="shared" si="72"/>
        <v>0</v>
      </c>
      <c r="K154" s="475"/>
      <c r="L154" s="491"/>
      <c r="M154" s="492">
        <f t="shared" si="73"/>
        <v>0</v>
      </c>
      <c r="N154" s="491"/>
      <c r="O154" s="492">
        <f t="shared" si="74"/>
        <v>0</v>
      </c>
      <c r="P154" s="492">
        <f t="shared" si="75"/>
        <v>0</v>
      </c>
    </row>
    <row r="155" spans="2:16" ht="12.5">
      <c r="C155" s="344" t="s">
        <v>77</v>
      </c>
      <c r="D155" s="345"/>
      <c r="E155" s="345">
        <f>SUM(E99:E154)</f>
        <v>56133</v>
      </c>
      <c r="F155" s="345"/>
      <c r="G155" s="345"/>
      <c r="H155" s="345">
        <f>SUM(H99:H154)</f>
        <v>210960.06801610466</v>
      </c>
      <c r="I155" s="345">
        <f>SUM(I99:I154)</f>
        <v>210960.06801610466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57" priority="1" stopIfTrue="1" operator="equal">
      <formula>$I$10</formula>
    </cfRule>
  </conditionalFormatting>
  <conditionalFormatting sqref="C99:C154">
    <cfRule type="cellIs" dxfId="5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7">
    <tabColor rgb="FFC00000"/>
  </sheetPr>
  <dimension ref="A1:P162"/>
  <sheetViews>
    <sheetView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9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7406.4544802847468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7406.4544802847468</v>
      </c>
      <c r="O6" s="231"/>
      <c r="P6" s="231"/>
    </row>
    <row r="7" spans="1:16" ht="13.5" thickBot="1">
      <c r="C7" s="428" t="s">
        <v>46</v>
      </c>
      <c r="D7" s="429" t="s">
        <v>216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>DOES NOT MEET SPP $100,000 MINIMUM INVESTMENT FOR REGIONAL BPU SHARING.</v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88</v>
      </c>
      <c r="E9" s="519" t="s">
        <v>374</v>
      </c>
      <c r="F9" s="719">
        <v>46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72551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2007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4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1909.2368421052631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2007</v>
      </c>
      <c r="D17" s="470">
        <v>72551</v>
      </c>
      <c r="E17" s="471">
        <v>863.70238095238085</v>
      </c>
      <c r="F17" s="470">
        <v>71687.297619047618</v>
      </c>
      <c r="G17" s="471">
        <v>11207.929543529199</v>
      </c>
      <c r="H17" s="478">
        <v>11207.929543529199</v>
      </c>
      <c r="I17" s="472">
        <f t="shared" ref="I17:I48" si="0">H17-G17</f>
        <v>0</v>
      </c>
      <c r="J17" s="472"/>
      <c r="K17" s="551">
        <v>0</v>
      </c>
      <c r="L17" s="474">
        <f t="shared" ref="L17:L48" si="1">IF(K17&lt;&gt;0,+G17-K17,0)</f>
        <v>0</v>
      </c>
      <c r="M17" s="551">
        <v>0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2008</v>
      </c>
      <c r="D18" s="476">
        <v>71687.297619047618</v>
      </c>
      <c r="E18" s="477">
        <v>1295.5535714285713</v>
      </c>
      <c r="F18" s="476">
        <v>70391.744047619053</v>
      </c>
      <c r="G18" s="477">
        <v>11452.836869621469</v>
      </c>
      <c r="H18" s="478">
        <v>11452.836869621469</v>
      </c>
      <c r="I18" s="472">
        <f t="shared" si="0"/>
        <v>0</v>
      </c>
      <c r="J18" s="472"/>
      <c r="K18" s="473">
        <v>0</v>
      </c>
      <c r="L18" s="475">
        <f t="shared" si="1"/>
        <v>0</v>
      </c>
      <c r="M18" s="473">
        <v>0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/>
      </c>
      <c r="C19" s="469">
        <f>IF(D11="","-",+C18+1)</f>
        <v>2009</v>
      </c>
      <c r="D19" s="476">
        <v>70391.744047619053</v>
      </c>
      <c r="E19" s="477">
        <v>1295.5535714285713</v>
      </c>
      <c r="F19" s="476">
        <v>69096.190476190488</v>
      </c>
      <c r="G19" s="477">
        <v>11265.893005237553</v>
      </c>
      <c r="H19" s="478">
        <v>11265.893005237553</v>
      </c>
      <c r="I19" s="472">
        <f t="shared" si="0"/>
        <v>0</v>
      </c>
      <c r="J19" s="472"/>
      <c r="K19" s="473">
        <v>0</v>
      </c>
      <c r="L19" s="475">
        <f t="shared" si="1"/>
        <v>0</v>
      </c>
      <c r="M19" s="473">
        <v>0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4">IF(D20=F19,"","IU")</f>
        <v/>
      </c>
      <c r="C20" s="469">
        <f>IF(D11="","-",+C19+1)</f>
        <v>2010</v>
      </c>
      <c r="D20" s="476">
        <v>69096.190476190488</v>
      </c>
      <c r="E20" s="477">
        <v>1295.5535714285713</v>
      </c>
      <c r="F20" s="476">
        <v>67800.636904761923</v>
      </c>
      <c r="G20" s="477">
        <v>11078.949140853634</v>
      </c>
      <c r="H20" s="478">
        <v>11078.949140853634</v>
      </c>
      <c r="I20" s="472">
        <f t="shared" si="0"/>
        <v>0</v>
      </c>
      <c r="J20" s="472"/>
      <c r="K20" s="537">
        <f t="shared" ref="K20:K25" si="5">G20</f>
        <v>11078.949140853634</v>
      </c>
      <c r="L20" s="538">
        <f t="shared" si="1"/>
        <v>0</v>
      </c>
      <c r="M20" s="537">
        <f t="shared" ref="M20:M25" si="6">H20</f>
        <v>11078.949140853634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4"/>
        <v/>
      </c>
      <c r="C21" s="469">
        <f>IF(D11="","-",+C20+1)</f>
        <v>2011</v>
      </c>
      <c r="D21" s="476">
        <v>67800.636904761923</v>
      </c>
      <c r="E21" s="477">
        <v>1422.5686274509803</v>
      </c>
      <c r="F21" s="476">
        <v>66378.068277310944</v>
      </c>
      <c r="G21" s="477">
        <v>11813.613268851301</v>
      </c>
      <c r="H21" s="478">
        <v>11813.613268851301</v>
      </c>
      <c r="I21" s="472">
        <f t="shared" si="0"/>
        <v>0</v>
      </c>
      <c r="J21" s="472"/>
      <c r="K21" s="473">
        <f t="shared" si="5"/>
        <v>11813.613268851301</v>
      </c>
      <c r="L21" s="547">
        <f t="shared" si="1"/>
        <v>0</v>
      </c>
      <c r="M21" s="473">
        <f t="shared" si="6"/>
        <v>11813.613268851301</v>
      </c>
      <c r="N21" s="475">
        <f t="shared" si="2"/>
        <v>0</v>
      </c>
      <c r="O21" s="475">
        <f t="shared" si="3"/>
        <v>0</v>
      </c>
      <c r="P21" s="241"/>
    </row>
    <row r="22" spans="2:16" ht="12.5">
      <c r="B22" s="160" t="str">
        <f t="shared" si="4"/>
        <v/>
      </c>
      <c r="C22" s="469">
        <f>IF(D11="","-",+C21+1)</f>
        <v>2012</v>
      </c>
      <c r="D22" s="476">
        <v>66378.068277310944</v>
      </c>
      <c r="E22" s="477">
        <v>1395.2115384615386</v>
      </c>
      <c r="F22" s="476">
        <v>64982.856738849405</v>
      </c>
      <c r="G22" s="477">
        <v>10441.262785463339</v>
      </c>
      <c r="H22" s="478">
        <v>10441.262785463339</v>
      </c>
      <c r="I22" s="472">
        <f t="shared" si="0"/>
        <v>0</v>
      </c>
      <c r="J22" s="472"/>
      <c r="K22" s="473">
        <f t="shared" si="5"/>
        <v>10441.262785463339</v>
      </c>
      <c r="L22" s="547">
        <f t="shared" si="1"/>
        <v>0</v>
      </c>
      <c r="M22" s="473">
        <f t="shared" si="6"/>
        <v>10441.262785463339</v>
      </c>
      <c r="N22" s="475">
        <f t="shared" si="2"/>
        <v>0</v>
      </c>
      <c r="O22" s="475">
        <f t="shared" si="3"/>
        <v>0</v>
      </c>
      <c r="P22" s="241"/>
    </row>
    <row r="23" spans="2:16" ht="12.5">
      <c r="B23" s="160" t="str">
        <f t="shared" si="4"/>
        <v/>
      </c>
      <c r="C23" s="469">
        <f>IF(D11="","-",+C22+1)</f>
        <v>2013</v>
      </c>
      <c r="D23" s="476">
        <v>64982.856738849405</v>
      </c>
      <c r="E23" s="477">
        <v>1395.2115384615386</v>
      </c>
      <c r="F23" s="476">
        <v>63587.645200387866</v>
      </c>
      <c r="G23" s="477">
        <v>10475.957148527981</v>
      </c>
      <c r="H23" s="478">
        <v>10475.957148527981</v>
      </c>
      <c r="I23" s="472">
        <v>0</v>
      </c>
      <c r="J23" s="472"/>
      <c r="K23" s="473">
        <f t="shared" si="5"/>
        <v>10475.957148527981</v>
      </c>
      <c r="L23" s="547">
        <f t="shared" ref="L23:L28" si="7">IF(K23&lt;&gt;0,+G23-K23,0)</f>
        <v>0</v>
      </c>
      <c r="M23" s="473">
        <f t="shared" si="6"/>
        <v>10475.957148527981</v>
      </c>
      <c r="N23" s="475">
        <f t="shared" ref="N23:N28" si="8">IF(M23&lt;&gt;0,+H23-M23,0)</f>
        <v>0</v>
      </c>
      <c r="O23" s="475">
        <f t="shared" ref="O23:O28" si="9">+N23-L23</f>
        <v>0</v>
      </c>
      <c r="P23" s="241"/>
    </row>
    <row r="24" spans="2:16" ht="12.5">
      <c r="B24" s="160" t="str">
        <f t="shared" si="4"/>
        <v/>
      </c>
      <c r="C24" s="469">
        <f>IF(D11="","-",+C23+1)</f>
        <v>2014</v>
      </c>
      <c r="D24" s="476">
        <v>63587.645200387866</v>
      </c>
      <c r="E24" s="477">
        <v>1395.2115384615386</v>
      </c>
      <c r="F24" s="476">
        <v>62192.433661926327</v>
      </c>
      <c r="G24" s="477">
        <v>9956.5453160541092</v>
      </c>
      <c r="H24" s="478">
        <v>9956.5453160541092</v>
      </c>
      <c r="I24" s="472">
        <v>0</v>
      </c>
      <c r="J24" s="472"/>
      <c r="K24" s="473">
        <f t="shared" si="5"/>
        <v>9956.5453160541092</v>
      </c>
      <c r="L24" s="547">
        <f t="shared" si="7"/>
        <v>0</v>
      </c>
      <c r="M24" s="473">
        <f t="shared" si="6"/>
        <v>9956.5453160541092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4"/>
        <v/>
      </c>
      <c r="C25" s="469">
        <f>IF(D11="","-",+C24+1)</f>
        <v>2015</v>
      </c>
      <c r="D25" s="476">
        <v>62192.433661926327</v>
      </c>
      <c r="E25" s="477">
        <v>1395.2115384615386</v>
      </c>
      <c r="F25" s="476">
        <v>60797.222123464788</v>
      </c>
      <c r="G25" s="477">
        <v>9777.4252794187214</v>
      </c>
      <c r="H25" s="478">
        <v>9777.4252794187214</v>
      </c>
      <c r="I25" s="472">
        <v>0</v>
      </c>
      <c r="J25" s="472"/>
      <c r="K25" s="473">
        <f t="shared" si="5"/>
        <v>9777.4252794187214</v>
      </c>
      <c r="L25" s="547">
        <f t="shared" si="7"/>
        <v>0</v>
      </c>
      <c r="M25" s="473">
        <f t="shared" si="6"/>
        <v>9777.4252794187214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4"/>
        <v/>
      </c>
      <c r="C26" s="469">
        <f>IF(D11="","-",+C25+1)</f>
        <v>2016</v>
      </c>
      <c r="D26" s="476">
        <v>60797.222123464788</v>
      </c>
      <c r="E26" s="477">
        <v>1395.2115384615386</v>
      </c>
      <c r="F26" s="476">
        <v>59402.010585003249</v>
      </c>
      <c r="G26" s="477">
        <v>9186.357507240491</v>
      </c>
      <c r="H26" s="478">
        <v>9186.357507240491</v>
      </c>
      <c r="I26" s="472">
        <f t="shared" si="0"/>
        <v>0</v>
      </c>
      <c r="J26" s="472"/>
      <c r="K26" s="473">
        <f t="shared" ref="K26:K31" si="10">G26</f>
        <v>9186.357507240491</v>
      </c>
      <c r="L26" s="547">
        <f t="shared" si="7"/>
        <v>0</v>
      </c>
      <c r="M26" s="473">
        <f t="shared" ref="M26:M31" si="11">H26</f>
        <v>9186.357507240491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4"/>
        <v/>
      </c>
      <c r="C27" s="469">
        <f>IF(D11="","-",+C26+1)</f>
        <v>2017</v>
      </c>
      <c r="D27" s="476">
        <v>59402.010585003249</v>
      </c>
      <c r="E27" s="477">
        <v>1577.195652173913</v>
      </c>
      <c r="F27" s="476">
        <v>57824.814932829337</v>
      </c>
      <c r="G27" s="477">
        <v>8936.0194589414823</v>
      </c>
      <c r="H27" s="478">
        <v>8936.0194589414823</v>
      </c>
      <c r="I27" s="472">
        <f t="shared" si="0"/>
        <v>0</v>
      </c>
      <c r="J27" s="472"/>
      <c r="K27" s="473">
        <f t="shared" si="10"/>
        <v>8936.0194589414823</v>
      </c>
      <c r="L27" s="547">
        <f t="shared" si="7"/>
        <v>0</v>
      </c>
      <c r="M27" s="473">
        <f t="shared" si="11"/>
        <v>8936.0194589414823</v>
      </c>
      <c r="N27" s="475">
        <f t="shared" si="8"/>
        <v>0</v>
      </c>
      <c r="O27" s="475">
        <f t="shared" si="9"/>
        <v>0</v>
      </c>
      <c r="P27" s="241"/>
    </row>
    <row r="28" spans="2:16" ht="12.5">
      <c r="B28" s="160" t="str">
        <f t="shared" si="4"/>
        <v/>
      </c>
      <c r="C28" s="469">
        <f>IF(D11="","-",+C27+1)</f>
        <v>2018</v>
      </c>
      <c r="D28" s="476">
        <v>57824.814932829337</v>
      </c>
      <c r="E28" s="477">
        <v>1612.2444444444445</v>
      </c>
      <c r="F28" s="476">
        <v>56212.570488384896</v>
      </c>
      <c r="G28" s="477">
        <v>8440.7426840086373</v>
      </c>
      <c r="H28" s="478">
        <v>8440.7426840086373</v>
      </c>
      <c r="I28" s="472">
        <f t="shared" si="0"/>
        <v>0</v>
      </c>
      <c r="J28" s="472"/>
      <c r="K28" s="473">
        <f t="shared" si="10"/>
        <v>8440.7426840086373</v>
      </c>
      <c r="L28" s="547">
        <f t="shared" si="7"/>
        <v>0</v>
      </c>
      <c r="M28" s="473">
        <f t="shared" si="11"/>
        <v>8440.7426840086373</v>
      </c>
      <c r="N28" s="475">
        <f t="shared" si="8"/>
        <v>0</v>
      </c>
      <c r="O28" s="475">
        <f t="shared" si="9"/>
        <v>0</v>
      </c>
      <c r="P28" s="241"/>
    </row>
    <row r="29" spans="2:16" ht="12.5">
      <c r="B29" s="160" t="str">
        <f t="shared" si="4"/>
        <v/>
      </c>
      <c r="C29" s="469">
        <f>IF(D11="","-",+C28+1)</f>
        <v>2019</v>
      </c>
      <c r="D29" s="476">
        <v>56212.570488384896</v>
      </c>
      <c r="E29" s="477">
        <v>1813.7750000000001</v>
      </c>
      <c r="F29" s="476">
        <v>54398.795488384894</v>
      </c>
      <c r="G29" s="477">
        <v>7989.0212540933571</v>
      </c>
      <c r="H29" s="478">
        <v>7989.0212540933571</v>
      </c>
      <c r="I29" s="472">
        <f t="shared" si="0"/>
        <v>0</v>
      </c>
      <c r="J29" s="472"/>
      <c r="K29" s="473">
        <f t="shared" si="10"/>
        <v>7989.0212540933571</v>
      </c>
      <c r="L29" s="547">
        <f t="shared" ref="L29" si="12">IF(K29&lt;&gt;0,+G29-K29,0)</f>
        <v>0</v>
      </c>
      <c r="M29" s="473">
        <f t="shared" si="11"/>
        <v>7989.0212540933571</v>
      </c>
      <c r="N29" s="475">
        <f t="shared" ref="N29" si="13">IF(M29&lt;&gt;0,+H29-M29,0)</f>
        <v>0</v>
      </c>
      <c r="O29" s="475">
        <f t="shared" si="3"/>
        <v>0</v>
      </c>
      <c r="P29" s="241"/>
    </row>
    <row r="30" spans="2:16" ht="12.5">
      <c r="B30" s="160" t="str">
        <f t="shared" si="4"/>
        <v>IU</v>
      </c>
      <c r="C30" s="469">
        <f>IF(D11="","-",+C29+1)</f>
        <v>2020</v>
      </c>
      <c r="D30" s="476">
        <v>54600.326043940455</v>
      </c>
      <c r="E30" s="477">
        <v>1727.4047619047619</v>
      </c>
      <c r="F30" s="476">
        <v>52872.921282035692</v>
      </c>
      <c r="G30" s="477">
        <v>7531.2168125199005</v>
      </c>
      <c r="H30" s="478">
        <v>7531.2168125199005</v>
      </c>
      <c r="I30" s="472">
        <f t="shared" si="0"/>
        <v>0</v>
      </c>
      <c r="J30" s="472"/>
      <c r="K30" s="473">
        <f t="shared" si="10"/>
        <v>7531.2168125199005</v>
      </c>
      <c r="L30" s="547">
        <f t="shared" ref="L30" si="14">IF(K30&lt;&gt;0,+G30-K30,0)</f>
        <v>0</v>
      </c>
      <c r="M30" s="473">
        <f t="shared" si="11"/>
        <v>7531.2168125199005</v>
      </c>
      <c r="N30" s="475">
        <f t="shared" si="2"/>
        <v>0</v>
      </c>
      <c r="O30" s="475">
        <f t="shared" si="3"/>
        <v>0</v>
      </c>
      <c r="P30" s="241"/>
    </row>
    <row r="31" spans="2:16" ht="12.5">
      <c r="B31" s="160" t="str">
        <f t="shared" si="4"/>
        <v>IU</v>
      </c>
      <c r="C31" s="469">
        <f>IF(D11="","-",+C30+1)</f>
        <v>2021</v>
      </c>
      <c r="D31" s="476">
        <v>52671.390726480109</v>
      </c>
      <c r="E31" s="477">
        <v>1687.2325581395348</v>
      </c>
      <c r="F31" s="476">
        <v>50984.158168340575</v>
      </c>
      <c r="G31" s="477">
        <v>7184.4287124898146</v>
      </c>
      <c r="H31" s="478">
        <v>7184.4287124898146</v>
      </c>
      <c r="I31" s="472">
        <f t="shared" si="0"/>
        <v>0</v>
      </c>
      <c r="J31" s="472"/>
      <c r="K31" s="473">
        <f t="shared" si="10"/>
        <v>7184.4287124898146</v>
      </c>
      <c r="L31" s="547">
        <f t="shared" ref="L31" si="15">IF(K31&lt;&gt;0,+G31-K31,0)</f>
        <v>0</v>
      </c>
      <c r="M31" s="473">
        <f t="shared" si="11"/>
        <v>7184.4287124898146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4"/>
        <v/>
      </c>
      <c r="C32" s="469">
        <f>IF(D11="","-",+C31+1)</f>
        <v>2022</v>
      </c>
      <c r="D32" s="476">
        <v>50984.158168340575</v>
      </c>
      <c r="E32" s="477">
        <v>1727.4047619047619</v>
      </c>
      <c r="F32" s="476">
        <v>49256.753406435811</v>
      </c>
      <c r="G32" s="477">
        <v>7037.8367110732015</v>
      </c>
      <c r="H32" s="478">
        <v>7037.8367110732015</v>
      </c>
      <c r="I32" s="472">
        <f t="shared" si="0"/>
        <v>0</v>
      </c>
      <c r="J32" s="472"/>
      <c r="K32" s="473">
        <f t="shared" ref="K32" si="16">G32</f>
        <v>7037.8367110732015</v>
      </c>
      <c r="L32" s="547">
        <f t="shared" ref="L32" si="17">IF(K32&lt;&gt;0,+G32-K32,0)</f>
        <v>0</v>
      </c>
      <c r="M32" s="473">
        <f t="shared" ref="M32" si="18">H32</f>
        <v>7037.8367110732015</v>
      </c>
      <c r="N32" s="475">
        <f t="shared" si="2"/>
        <v>0</v>
      </c>
      <c r="O32" s="475">
        <f t="shared" si="3"/>
        <v>0</v>
      </c>
      <c r="P32" s="241"/>
    </row>
    <row r="33" spans="2:16" ht="12.5">
      <c r="B33" s="160" t="str">
        <f t="shared" si="4"/>
        <v/>
      </c>
      <c r="C33" s="469">
        <f>IF(D11="","-",+C32+1)</f>
        <v>2023</v>
      </c>
      <c r="D33" s="476">
        <v>49256.753406435811</v>
      </c>
      <c r="E33" s="477">
        <v>1860.2820512820513</v>
      </c>
      <c r="F33" s="476">
        <v>47396.471355153757</v>
      </c>
      <c r="G33" s="477">
        <v>7517.475137068097</v>
      </c>
      <c r="H33" s="478">
        <v>7517.475137068097</v>
      </c>
      <c r="I33" s="472">
        <f t="shared" si="0"/>
        <v>0</v>
      </c>
      <c r="J33" s="472"/>
      <c r="K33" s="473">
        <f t="shared" ref="K33" si="19">G33</f>
        <v>7517.475137068097</v>
      </c>
      <c r="L33" s="547">
        <f t="shared" ref="L33" si="20">IF(K33&lt;&gt;0,+G33-K33,0)</f>
        <v>0</v>
      </c>
      <c r="M33" s="473">
        <f t="shared" ref="M33" si="21">H33</f>
        <v>7517.475137068097</v>
      </c>
      <c r="N33" s="475">
        <f t="shared" si="2"/>
        <v>0</v>
      </c>
      <c r="O33" s="475">
        <f t="shared" si="3"/>
        <v>0</v>
      </c>
      <c r="P33" s="241"/>
    </row>
    <row r="34" spans="2:16" ht="12.5">
      <c r="B34" s="160" t="str">
        <f t="shared" si="4"/>
        <v/>
      </c>
      <c r="C34" s="469">
        <f>IF(D11="","-",+C33+1)</f>
        <v>2024</v>
      </c>
      <c r="D34" s="476">
        <v>47396.471355153757</v>
      </c>
      <c r="E34" s="477">
        <v>1860.2820512820513</v>
      </c>
      <c r="F34" s="476">
        <v>45536.189303871703</v>
      </c>
      <c r="G34" s="477">
        <v>7406.4544802847468</v>
      </c>
      <c r="H34" s="478">
        <v>7406.4544802847468</v>
      </c>
      <c r="I34" s="472">
        <f t="shared" si="0"/>
        <v>0</v>
      </c>
      <c r="J34" s="472"/>
      <c r="K34" s="473">
        <f t="shared" ref="K34" si="22">G34</f>
        <v>7406.4544802847468</v>
      </c>
      <c r="L34" s="547">
        <f t="shared" ref="L34" si="23">IF(K34&lt;&gt;0,+G34-K34,0)</f>
        <v>0</v>
      </c>
      <c r="M34" s="473">
        <f t="shared" ref="M34" si="24">H34</f>
        <v>7406.4544802847468</v>
      </c>
      <c r="N34" s="475">
        <f t="shared" ref="N34" si="25">IF(M34&lt;&gt;0,+H34-M34,0)</f>
        <v>0</v>
      </c>
      <c r="O34" s="475">
        <f t="shared" ref="O34" si="26">+N34-L34</f>
        <v>0</v>
      </c>
      <c r="P34" s="241"/>
    </row>
    <row r="35" spans="2:16" ht="12.5">
      <c r="B35" s="160" t="str">
        <f t="shared" si="4"/>
        <v/>
      </c>
      <c r="C35" s="469">
        <f>IF(D11="","-",+C34+1)</f>
        <v>2025</v>
      </c>
      <c r="D35" s="482">
        <f>IF(F34+SUM(E$17:E34)=D$10,F34,D$10-SUM(E$17:E34))</f>
        <v>45536.189303871703</v>
      </c>
      <c r="E35" s="481">
        <f>IF(+I14&lt;F34,I14,D35)</f>
        <v>1909.2368421052631</v>
      </c>
      <c r="F35" s="482">
        <f t="shared" ref="F35:F48" si="27">+D35-E35</f>
        <v>43626.952461766443</v>
      </c>
      <c r="G35" s="483">
        <f t="shared" ref="G35:G72" si="28">(D35+F35)/2*I$12+E35</f>
        <v>6979.9530769098474</v>
      </c>
      <c r="H35" s="452">
        <f t="shared" ref="H35:H72" si="29">+(D35+F35)/2*I$13+E35</f>
        <v>6979.9530769098474</v>
      </c>
      <c r="I35" s="472">
        <f t="shared" si="0"/>
        <v>0</v>
      </c>
      <c r="J35" s="472"/>
      <c r="K35" s="484"/>
      <c r="L35" s="475">
        <f t="shared" si="1"/>
        <v>0</v>
      </c>
      <c r="M35" s="484"/>
      <c r="N35" s="475">
        <f t="shared" si="2"/>
        <v>0</v>
      </c>
      <c r="O35" s="475">
        <f t="shared" si="3"/>
        <v>0</v>
      </c>
      <c r="P35" s="241"/>
    </row>
    <row r="36" spans="2:16" ht="12.5">
      <c r="B36" s="160" t="str">
        <f t="shared" si="4"/>
        <v/>
      </c>
      <c r="C36" s="469">
        <f>IF(D11="","-",+C35+1)</f>
        <v>2026</v>
      </c>
      <c r="D36" s="482">
        <f>IF(F35+SUM(E$17:E35)=D$10,F35,D$10-SUM(E$17:E35))</f>
        <v>43626.952461766443</v>
      </c>
      <c r="E36" s="481">
        <f>IF(+I14&lt;F35,I14,D36)</f>
        <v>1909.2368421052631</v>
      </c>
      <c r="F36" s="482">
        <f t="shared" si="27"/>
        <v>41717.715619661183</v>
      </c>
      <c r="G36" s="483">
        <f t="shared" si="28"/>
        <v>6762.7961203549339</v>
      </c>
      <c r="H36" s="452">
        <f t="shared" si="29"/>
        <v>6762.7961203549339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4"/>
        <v/>
      </c>
      <c r="C37" s="469">
        <f>IF(D11="","-",+C36+1)</f>
        <v>2027</v>
      </c>
      <c r="D37" s="482">
        <f>IF(F36+SUM(E$17:E36)=D$10,F36,D$10-SUM(E$17:E36))</f>
        <v>41717.715619661183</v>
      </c>
      <c r="E37" s="481">
        <f>IF(+I14&lt;F36,I14,D37)</f>
        <v>1909.2368421052631</v>
      </c>
      <c r="F37" s="482">
        <f t="shared" si="27"/>
        <v>39808.478777555923</v>
      </c>
      <c r="G37" s="483">
        <f t="shared" si="28"/>
        <v>6545.6391638000187</v>
      </c>
      <c r="H37" s="452">
        <f t="shared" si="29"/>
        <v>6545.6391638000187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4"/>
        <v/>
      </c>
      <c r="C38" s="469">
        <f>IF(D11="","-",+C37+1)</f>
        <v>2028</v>
      </c>
      <c r="D38" s="482">
        <f>IF(F37+SUM(E$17:E37)=D$10,F37,D$10-SUM(E$17:E37))</f>
        <v>39808.478777555923</v>
      </c>
      <c r="E38" s="481">
        <f>IF(+I14&lt;F37,I14,D38)</f>
        <v>1909.2368421052631</v>
      </c>
      <c r="F38" s="482">
        <f t="shared" si="27"/>
        <v>37899.241935450664</v>
      </c>
      <c r="G38" s="483">
        <f t="shared" si="28"/>
        <v>6328.4822072451052</v>
      </c>
      <c r="H38" s="452">
        <f t="shared" si="29"/>
        <v>6328.4822072451052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4"/>
        <v/>
      </c>
      <c r="C39" s="469">
        <f>IF(D11="","-",+C38+1)</f>
        <v>2029</v>
      </c>
      <c r="D39" s="482">
        <f>IF(F38+SUM(E$17:E38)=D$10,F38,D$10-SUM(E$17:E38))</f>
        <v>37899.241935450664</v>
      </c>
      <c r="E39" s="481">
        <f>IF(+I14&lt;F38,I14,D39)</f>
        <v>1909.2368421052631</v>
      </c>
      <c r="F39" s="482">
        <f t="shared" si="27"/>
        <v>35990.005093345404</v>
      </c>
      <c r="G39" s="483">
        <f t="shared" si="28"/>
        <v>6111.3252506901899</v>
      </c>
      <c r="H39" s="452">
        <f t="shared" si="29"/>
        <v>6111.3252506901899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4"/>
        <v/>
      </c>
      <c r="C40" s="469">
        <f>IF(D11="","-",+C39+1)</f>
        <v>2030</v>
      </c>
      <c r="D40" s="482">
        <f>IF(F39+SUM(E$17:E39)=D$10,F39,D$10-SUM(E$17:E39))</f>
        <v>35990.005093345404</v>
      </c>
      <c r="E40" s="481">
        <f>IF(+I14&lt;F39,I14,D40)</f>
        <v>1909.2368421052631</v>
      </c>
      <c r="F40" s="482">
        <f t="shared" si="27"/>
        <v>34080.768251240144</v>
      </c>
      <c r="G40" s="483">
        <f t="shared" si="28"/>
        <v>5894.1682941352765</v>
      </c>
      <c r="H40" s="452">
        <f t="shared" si="29"/>
        <v>5894.1682941352765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4"/>
        <v/>
      </c>
      <c r="C41" s="469">
        <f>IF(D11="","-",+C40+1)</f>
        <v>2031</v>
      </c>
      <c r="D41" s="482">
        <f>IF(F40+SUM(E$17:E40)=D$10,F40,D$10-SUM(E$17:E40))</f>
        <v>34080.768251240144</v>
      </c>
      <c r="E41" s="481">
        <f>IF(+I14&lt;F40,I14,D41)</f>
        <v>1909.2368421052631</v>
      </c>
      <c r="F41" s="482">
        <f t="shared" si="27"/>
        <v>32171.531409134881</v>
      </c>
      <c r="G41" s="483">
        <f t="shared" si="28"/>
        <v>5677.0113375803612</v>
      </c>
      <c r="H41" s="452">
        <f t="shared" si="29"/>
        <v>5677.0113375803612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4"/>
        <v/>
      </c>
      <c r="C42" s="469">
        <f>IF(D11="","-",+C41+1)</f>
        <v>2032</v>
      </c>
      <c r="D42" s="482">
        <f>IF(F41+SUM(E$17:E41)=D$10,F41,D$10-SUM(E$17:E41))</f>
        <v>32171.531409134881</v>
      </c>
      <c r="E42" s="481">
        <f>IF(+I14&lt;F41,I14,D42)</f>
        <v>1909.2368421052631</v>
      </c>
      <c r="F42" s="482">
        <f t="shared" si="27"/>
        <v>30262.294567029618</v>
      </c>
      <c r="G42" s="483">
        <f t="shared" si="28"/>
        <v>5459.8543810254469</v>
      </c>
      <c r="H42" s="452">
        <f t="shared" si="29"/>
        <v>5459.8543810254469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4"/>
        <v/>
      </c>
      <c r="C43" s="469">
        <f>IF(D11="","-",+C42+1)</f>
        <v>2033</v>
      </c>
      <c r="D43" s="482">
        <f>IF(F42+SUM(E$17:E42)=D$10,F42,D$10-SUM(E$17:E42))</f>
        <v>30262.294567029618</v>
      </c>
      <c r="E43" s="481">
        <f>IF(+I14&lt;F42,I14,D43)</f>
        <v>1909.2368421052631</v>
      </c>
      <c r="F43" s="482">
        <f t="shared" si="27"/>
        <v>28353.057724924354</v>
      </c>
      <c r="G43" s="483">
        <f t="shared" si="28"/>
        <v>5242.6974244705316</v>
      </c>
      <c r="H43" s="452">
        <f t="shared" si="29"/>
        <v>5242.6974244705316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4"/>
        <v/>
      </c>
      <c r="C44" s="469">
        <f>IF(D11="","-",+C43+1)</f>
        <v>2034</v>
      </c>
      <c r="D44" s="482">
        <f>IF(F43+SUM(E$17:E43)=D$10,F43,D$10-SUM(E$17:E43))</f>
        <v>28353.057724924354</v>
      </c>
      <c r="E44" s="481">
        <f>IF(+I14&lt;F43,I14,D44)</f>
        <v>1909.2368421052631</v>
      </c>
      <c r="F44" s="482">
        <f t="shared" si="27"/>
        <v>26443.820882819091</v>
      </c>
      <c r="G44" s="483">
        <f t="shared" si="28"/>
        <v>5025.5404679156172</v>
      </c>
      <c r="H44" s="452">
        <f t="shared" si="29"/>
        <v>5025.5404679156172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4"/>
        <v/>
      </c>
      <c r="C45" s="469">
        <f>IF(D11="","-",+C44+1)</f>
        <v>2035</v>
      </c>
      <c r="D45" s="482">
        <f>IF(F44+SUM(E$17:E44)=D$10,F44,D$10-SUM(E$17:E44))</f>
        <v>26443.820882819091</v>
      </c>
      <c r="E45" s="481">
        <f>IF(+I14&lt;F44,I14,D45)</f>
        <v>1909.2368421052631</v>
      </c>
      <c r="F45" s="482">
        <f t="shared" si="27"/>
        <v>24534.584040713828</v>
      </c>
      <c r="G45" s="483">
        <f t="shared" si="28"/>
        <v>4808.383511360702</v>
      </c>
      <c r="H45" s="452">
        <f t="shared" si="29"/>
        <v>4808.383511360702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4"/>
        <v/>
      </c>
      <c r="C46" s="469">
        <f>IF(D11="","-",+C45+1)</f>
        <v>2036</v>
      </c>
      <c r="D46" s="482">
        <f>IF(F45+SUM(E$17:E45)=D$10,F45,D$10-SUM(E$17:E45))</f>
        <v>24534.584040713828</v>
      </c>
      <c r="E46" s="481">
        <f>IF(+I14&lt;F45,I14,D46)</f>
        <v>1909.2368421052631</v>
      </c>
      <c r="F46" s="482">
        <f t="shared" si="27"/>
        <v>22625.347198608564</v>
      </c>
      <c r="G46" s="483">
        <f t="shared" si="28"/>
        <v>4591.2265548057876</v>
      </c>
      <c r="H46" s="452">
        <f t="shared" si="29"/>
        <v>4591.2265548057876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4"/>
        <v/>
      </c>
      <c r="C47" s="469">
        <f>IF(D11="","-",+C46+1)</f>
        <v>2037</v>
      </c>
      <c r="D47" s="482">
        <f>IF(F46+SUM(E$17:E46)=D$10,F46,D$10-SUM(E$17:E46))</f>
        <v>22625.347198608564</v>
      </c>
      <c r="E47" s="481">
        <f>IF(+I14&lt;F46,I14,D47)</f>
        <v>1909.2368421052631</v>
      </c>
      <c r="F47" s="482">
        <f t="shared" si="27"/>
        <v>20716.110356503301</v>
      </c>
      <c r="G47" s="483">
        <f t="shared" si="28"/>
        <v>4374.0695982508723</v>
      </c>
      <c r="H47" s="452">
        <f t="shared" si="29"/>
        <v>4374.0695982508723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4"/>
        <v/>
      </c>
      <c r="C48" s="469">
        <f>IF(D11="","-",+C47+1)</f>
        <v>2038</v>
      </c>
      <c r="D48" s="482">
        <f>IF(F47+SUM(E$17:E47)=D$10,F47,D$10-SUM(E$17:E47))</f>
        <v>20716.110356503301</v>
      </c>
      <c r="E48" s="481">
        <f>IF(+I14&lt;F47,I14,D48)</f>
        <v>1909.2368421052631</v>
      </c>
      <c r="F48" s="482">
        <f t="shared" si="27"/>
        <v>18806.873514398038</v>
      </c>
      <c r="G48" s="483">
        <f t="shared" si="28"/>
        <v>4156.912641695958</v>
      </c>
      <c r="H48" s="452">
        <f t="shared" si="29"/>
        <v>4156.912641695958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4"/>
        <v/>
      </c>
      <c r="C49" s="469">
        <f>IF(D11="","-",+C48+1)</f>
        <v>2039</v>
      </c>
      <c r="D49" s="482">
        <f>IF(F48+SUM(E$17:E48)=D$10,F48,D$10-SUM(E$17:E48))</f>
        <v>18806.873514398038</v>
      </c>
      <c r="E49" s="481">
        <f>IF(+I14&lt;F48,I14,D49)</f>
        <v>1909.2368421052631</v>
      </c>
      <c r="F49" s="482">
        <f t="shared" ref="F49:F72" si="30">+D49-E49</f>
        <v>16897.636672292774</v>
      </c>
      <c r="G49" s="483">
        <f t="shared" si="28"/>
        <v>3939.7556851410427</v>
      </c>
      <c r="H49" s="452">
        <f t="shared" si="29"/>
        <v>3939.7556851410427</v>
      </c>
      <c r="I49" s="472">
        <f t="shared" ref="I49:I72" si="31">H49-G49</f>
        <v>0</v>
      </c>
      <c r="J49" s="472"/>
      <c r="K49" s="484"/>
      <c r="L49" s="475">
        <f t="shared" ref="L49:L72" si="32">IF(K49&lt;&gt;0,+G49-K49,0)</f>
        <v>0</v>
      </c>
      <c r="M49" s="484"/>
      <c r="N49" s="475">
        <f t="shared" ref="N49:N72" si="33">IF(M49&lt;&gt;0,+H49-M49,0)</f>
        <v>0</v>
      </c>
      <c r="O49" s="475">
        <f t="shared" ref="O49:O72" si="34">+N49-L49</f>
        <v>0</v>
      </c>
      <c r="P49" s="241"/>
    </row>
    <row r="50" spans="2:16" ht="12.5">
      <c r="B50" s="160" t="str">
        <f t="shared" si="4"/>
        <v/>
      </c>
      <c r="C50" s="469">
        <f>IF(D11="","-",+C49+1)</f>
        <v>2040</v>
      </c>
      <c r="D50" s="482">
        <f>IF(F49+SUM(E$17:E49)=D$10,F49,D$10-SUM(E$17:E49))</f>
        <v>16897.636672292774</v>
      </c>
      <c r="E50" s="481">
        <f>IF(+I14&lt;F49,I14,D50)</f>
        <v>1909.2368421052631</v>
      </c>
      <c r="F50" s="482">
        <f t="shared" si="30"/>
        <v>14988.399830187511</v>
      </c>
      <c r="G50" s="483">
        <f t="shared" si="28"/>
        <v>3722.5987285861283</v>
      </c>
      <c r="H50" s="452">
        <f t="shared" si="29"/>
        <v>3722.5987285861283</v>
      </c>
      <c r="I50" s="472">
        <f t="shared" si="31"/>
        <v>0</v>
      </c>
      <c r="J50" s="472"/>
      <c r="K50" s="484"/>
      <c r="L50" s="475">
        <f t="shared" si="32"/>
        <v>0</v>
      </c>
      <c r="M50" s="484"/>
      <c r="N50" s="475">
        <f t="shared" si="33"/>
        <v>0</v>
      </c>
      <c r="O50" s="475">
        <f t="shared" si="34"/>
        <v>0</v>
      </c>
      <c r="P50" s="241"/>
    </row>
    <row r="51" spans="2:16" ht="12.5">
      <c r="B51" s="160" t="str">
        <f t="shared" si="4"/>
        <v/>
      </c>
      <c r="C51" s="469">
        <f>IF(D11="","-",+C50+1)</f>
        <v>2041</v>
      </c>
      <c r="D51" s="482">
        <f>IF(F50+SUM(E$17:E50)=D$10,F50,D$10-SUM(E$17:E50))</f>
        <v>14988.399830187511</v>
      </c>
      <c r="E51" s="481">
        <f>IF(+I14&lt;F50,I14,D51)</f>
        <v>1909.2368421052631</v>
      </c>
      <c r="F51" s="482">
        <f t="shared" si="30"/>
        <v>13079.162988082247</v>
      </c>
      <c r="G51" s="483">
        <f t="shared" si="28"/>
        <v>3505.4417720312131</v>
      </c>
      <c r="H51" s="452">
        <f t="shared" si="29"/>
        <v>3505.4417720312131</v>
      </c>
      <c r="I51" s="472">
        <f t="shared" si="31"/>
        <v>0</v>
      </c>
      <c r="J51" s="472"/>
      <c r="K51" s="484"/>
      <c r="L51" s="475">
        <f t="shared" si="32"/>
        <v>0</v>
      </c>
      <c r="M51" s="484"/>
      <c r="N51" s="475">
        <f t="shared" si="33"/>
        <v>0</v>
      </c>
      <c r="O51" s="475">
        <f t="shared" si="34"/>
        <v>0</v>
      </c>
      <c r="P51" s="241"/>
    </row>
    <row r="52" spans="2:16" ht="12.5">
      <c r="B52" s="160" t="str">
        <f t="shared" si="4"/>
        <v/>
      </c>
      <c r="C52" s="469">
        <f>IF(D11="","-",+C51+1)</f>
        <v>2042</v>
      </c>
      <c r="D52" s="482">
        <f>IF(F51+SUM(E$17:E51)=D$10,F51,D$10-SUM(E$17:E51))</f>
        <v>13079.162988082247</v>
      </c>
      <c r="E52" s="481">
        <f>IF(+I14&lt;F51,I14,D52)</f>
        <v>1909.2368421052631</v>
      </c>
      <c r="F52" s="482">
        <f t="shared" si="30"/>
        <v>11169.926145976984</v>
      </c>
      <c r="G52" s="483">
        <f t="shared" si="28"/>
        <v>3288.2848154762987</v>
      </c>
      <c r="H52" s="452">
        <f t="shared" si="29"/>
        <v>3288.2848154762987</v>
      </c>
      <c r="I52" s="472">
        <f t="shared" si="31"/>
        <v>0</v>
      </c>
      <c r="J52" s="472"/>
      <c r="K52" s="484"/>
      <c r="L52" s="475">
        <f t="shared" si="32"/>
        <v>0</v>
      </c>
      <c r="M52" s="484"/>
      <c r="N52" s="475">
        <f t="shared" si="33"/>
        <v>0</v>
      </c>
      <c r="O52" s="475">
        <f t="shared" si="34"/>
        <v>0</v>
      </c>
      <c r="P52" s="241"/>
    </row>
    <row r="53" spans="2:16" ht="12.5">
      <c r="B53" s="160" t="str">
        <f t="shared" si="4"/>
        <v/>
      </c>
      <c r="C53" s="469">
        <f>IF(D11="","-",+C52+1)</f>
        <v>2043</v>
      </c>
      <c r="D53" s="482">
        <f>IF(F52+SUM(E$17:E52)=D$10,F52,D$10-SUM(E$17:E52))</f>
        <v>11169.926145976984</v>
      </c>
      <c r="E53" s="481">
        <f>IF(+I14&lt;F52,I14,D53)</f>
        <v>1909.2368421052631</v>
      </c>
      <c r="F53" s="482">
        <f t="shared" si="30"/>
        <v>9260.6893038717208</v>
      </c>
      <c r="G53" s="483">
        <f t="shared" si="28"/>
        <v>3071.1278589213834</v>
      </c>
      <c r="H53" s="452">
        <f t="shared" si="29"/>
        <v>3071.1278589213834</v>
      </c>
      <c r="I53" s="472">
        <f t="shared" si="31"/>
        <v>0</v>
      </c>
      <c r="J53" s="472"/>
      <c r="K53" s="484"/>
      <c r="L53" s="475">
        <f t="shared" si="32"/>
        <v>0</v>
      </c>
      <c r="M53" s="484"/>
      <c r="N53" s="475">
        <f t="shared" si="33"/>
        <v>0</v>
      </c>
      <c r="O53" s="475">
        <f t="shared" si="34"/>
        <v>0</v>
      </c>
      <c r="P53" s="241"/>
    </row>
    <row r="54" spans="2:16" ht="12.5">
      <c r="B54" s="160" t="str">
        <f t="shared" si="4"/>
        <v/>
      </c>
      <c r="C54" s="469">
        <f>IF(D11="","-",+C53+1)</f>
        <v>2044</v>
      </c>
      <c r="D54" s="482">
        <f>IF(F53+SUM(E$17:E53)=D$10,F53,D$10-SUM(E$17:E53))</f>
        <v>9260.6893038717208</v>
      </c>
      <c r="E54" s="481">
        <f>IF(+I14&lt;F53,I14,D54)</f>
        <v>1909.2368421052631</v>
      </c>
      <c r="F54" s="482">
        <f t="shared" si="30"/>
        <v>7351.4524617664574</v>
      </c>
      <c r="G54" s="483">
        <f t="shared" si="28"/>
        <v>2853.9709023664686</v>
      </c>
      <c r="H54" s="452">
        <f t="shared" si="29"/>
        <v>2853.9709023664686</v>
      </c>
      <c r="I54" s="472">
        <f t="shared" si="31"/>
        <v>0</v>
      </c>
      <c r="J54" s="472"/>
      <c r="K54" s="484"/>
      <c r="L54" s="475">
        <f t="shared" si="32"/>
        <v>0</v>
      </c>
      <c r="M54" s="484"/>
      <c r="N54" s="475">
        <f t="shared" si="33"/>
        <v>0</v>
      </c>
      <c r="O54" s="475">
        <f t="shared" si="34"/>
        <v>0</v>
      </c>
      <c r="P54" s="241"/>
    </row>
    <row r="55" spans="2:16" ht="12.5">
      <c r="B55" s="160" t="str">
        <f t="shared" si="4"/>
        <v/>
      </c>
      <c r="C55" s="469">
        <f>IF(D11="","-",+C54+1)</f>
        <v>2045</v>
      </c>
      <c r="D55" s="482">
        <f>IF(F54+SUM(E$17:E54)=D$10,F54,D$10-SUM(E$17:E54))</f>
        <v>7351.4524617664574</v>
      </c>
      <c r="E55" s="481">
        <f>IF(+I14&lt;F54,I14,D55)</f>
        <v>1909.2368421052631</v>
      </c>
      <c r="F55" s="482">
        <f t="shared" si="30"/>
        <v>5442.2156196611941</v>
      </c>
      <c r="G55" s="483">
        <f t="shared" si="28"/>
        <v>2636.8139458115538</v>
      </c>
      <c r="H55" s="452">
        <f t="shared" si="29"/>
        <v>2636.8139458115538</v>
      </c>
      <c r="I55" s="472">
        <f t="shared" si="31"/>
        <v>0</v>
      </c>
      <c r="J55" s="472"/>
      <c r="K55" s="484"/>
      <c r="L55" s="475">
        <f t="shared" si="32"/>
        <v>0</v>
      </c>
      <c r="M55" s="484"/>
      <c r="N55" s="475">
        <f t="shared" si="33"/>
        <v>0</v>
      </c>
      <c r="O55" s="475">
        <f t="shared" si="34"/>
        <v>0</v>
      </c>
      <c r="P55" s="241"/>
    </row>
    <row r="56" spans="2:16" ht="12.5">
      <c r="B56" s="160" t="str">
        <f t="shared" si="4"/>
        <v/>
      </c>
      <c r="C56" s="469">
        <f>IF(D11="","-",+C55+1)</f>
        <v>2046</v>
      </c>
      <c r="D56" s="482">
        <f>IF(F55+SUM(E$17:E55)=D$10,F55,D$10-SUM(E$17:E55))</f>
        <v>5442.2156196611941</v>
      </c>
      <c r="E56" s="481">
        <f>IF(+I14&lt;F55,I14,D56)</f>
        <v>1909.2368421052631</v>
      </c>
      <c r="F56" s="482">
        <f t="shared" si="30"/>
        <v>3532.9787775559307</v>
      </c>
      <c r="G56" s="483">
        <f t="shared" si="28"/>
        <v>2419.656989256639</v>
      </c>
      <c r="H56" s="452">
        <f t="shared" si="29"/>
        <v>2419.656989256639</v>
      </c>
      <c r="I56" s="472">
        <f t="shared" si="31"/>
        <v>0</v>
      </c>
      <c r="J56" s="472"/>
      <c r="K56" s="484"/>
      <c r="L56" s="475">
        <f t="shared" si="32"/>
        <v>0</v>
      </c>
      <c r="M56" s="484"/>
      <c r="N56" s="475">
        <f t="shared" si="33"/>
        <v>0</v>
      </c>
      <c r="O56" s="475">
        <f t="shared" si="34"/>
        <v>0</v>
      </c>
      <c r="P56" s="241"/>
    </row>
    <row r="57" spans="2:16" ht="12.5">
      <c r="B57" s="160" t="str">
        <f t="shared" si="4"/>
        <v/>
      </c>
      <c r="C57" s="469">
        <f>IF(D11="","-",+C56+1)</f>
        <v>2047</v>
      </c>
      <c r="D57" s="482">
        <f>IF(F56+SUM(E$17:E56)=D$10,F56,D$10-SUM(E$17:E56))</f>
        <v>3532.9787775559307</v>
      </c>
      <c r="E57" s="481">
        <f>IF(+I14&lt;F56,I14,D57)</f>
        <v>1909.2368421052631</v>
      </c>
      <c r="F57" s="482">
        <f t="shared" si="30"/>
        <v>1623.7419354506676</v>
      </c>
      <c r="G57" s="483">
        <f t="shared" si="28"/>
        <v>2202.5000327017242</v>
      </c>
      <c r="H57" s="452">
        <f t="shared" si="29"/>
        <v>2202.5000327017242</v>
      </c>
      <c r="I57" s="472">
        <f t="shared" si="31"/>
        <v>0</v>
      </c>
      <c r="J57" s="472"/>
      <c r="K57" s="484"/>
      <c r="L57" s="475">
        <f t="shared" si="32"/>
        <v>0</v>
      </c>
      <c r="M57" s="484"/>
      <c r="N57" s="475">
        <f t="shared" si="33"/>
        <v>0</v>
      </c>
      <c r="O57" s="475">
        <f t="shared" si="34"/>
        <v>0</v>
      </c>
      <c r="P57" s="241"/>
    </row>
    <row r="58" spans="2:16" ht="12.5">
      <c r="B58" s="160" t="str">
        <f t="shared" si="4"/>
        <v/>
      </c>
      <c r="C58" s="469">
        <f>IF(D11="","-",+C57+1)</f>
        <v>2048</v>
      </c>
      <c r="D58" s="482">
        <f>IF(F57+SUM(E$17:E57)=D$10,F57,D$10-SUM(E$17:E57))</f>
        <v>1623.7419354506676</v>
      </c>
      <c r="E58" s="481">
        <f>IF(+I14&lt;F57,I14,D58)</f>
        <v>1623.7419354506676</v>
      </c>
      <c r="F58" s="482">
        <f t="shared" si="30"/>
        <v>0</v>
      </c>
      <c r="G58" s="483">
        <f t="shared" si="28"/>
        <v>1716.0842916101694</v>
      </c>
      <c r="H58" s="452">
        <f t="shared" si="29"/>
        <v>1716.0842916101694</v>
      </c>
      <c r="I58" s="472">
        <f t="shared" si="31"/>
        <v>0</v>
      </c>
      <c r="J58" s="472"/>
      <c r="K58" s="484"/>
      <c r="L58" s="475">
        <f t="shared" si="32"/>
        <v>0</v>
      </c>
      <c r="M58" s="484"/>
      <c r="N58" s="475">
        <f t="shared" si="33"/>
        <v>0</v>
      </c>
      <c r="O58" s="475">
        <f t="shared" si="34"/>
        <v>0</v>
      </c>
      <c r="P58" s="241"/>
    </row>
    <row r="59" spans="2:16" ht="12.5">
      <c r="B59" s="160" t="str">
        <f t="shared" si="4"/>
        <v/>
      </c>
      <c r="C59" s="469">
        <f>IF(D11="","-",+C58+1)</f>
        <v>2049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30"/>
        <v>0</v>
      </c>
      <c r="G59" s="483">
        <f t="shared" si="28"/>
        <v>0</v>
      </c>
      <c r="H59" s="452">
        <f t="shared" si="29"/>
        <v>0</v>
      </c>
      <c r="I59" s="472">
        <f t="shared" si="31"/>
        <v>0</v>
      </c>
      <c r="J59" s="472"/>
      <c r="K59" s="484"/>
      <c r="L59" s="475">
        <f t="shared" si="32"/>
        <v>0</v>
      </c>
      <c r="M59" s="484"/>
      <c r="N59" s="475">
        <f t="shared" si="33"/>
        <v>0</v>
      </c>
      <c r="O59" s="475">
        <f t="shared" si="34"/>
        <v>0</v>
      </c>
      <c r="P59" s="241"/>
    </row>
    <row r="60" spans="2:16" ht="12.5">
      <c r="B60" s="160" t="str">
        <f t="shared" si="4"/>
        <v/>
      </c>
      <c r="C60" s="469">
        <f>IF(D11="","-",+C59+1)</f>
        <v>2050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0"/>
        <v>0</v>
      </c>
      <c r="G60" s="483">
        <f t="shared" si="28"/>
        <v>0</v>
      </c>
      <c r="H60" s="452">
        <f t="shared" si="29"/>
        <v>0</v>
      </c>
      <c r="I60" s="472">
        <f t="shared" si="31"/>
        <v>0</v>
      </c>
      <c r="J60" s="472"/>
      <c r="K60" s="484"/>
      <c r="L60" s="475">
        <f t="shared" si="32"/>
        <v>0</v>
      </c>
      <c r="M60" s="484"/>
      <c r="N60" s="475">
        <f t="shared" si="33"/>
        <v>0</v>
      </c>
      <c r="O60" s="475">
        <f t="shared" si="34"/>
        <v>0</v>
      </c>
      <c r="P60" s="241"/>
    </row>
    <row r="61" spans="2:16" ht="12.5">
      <c r="B61" s="160" t="str">
        <f t="shared" si="4"/>
        <v/>
      </c>
      <c r="C61" s="469">
        <f>IF(D11="","-",+C60+1)</f>
        <v>2051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0"/>
        <v>0</v>
      </c>
      <c r="G61" s="483">
        <f t="shared" si="28"/>
        <v>0</v>
      </c>
      <c r="H61" s="452">
        <f t="shared" si="29"/>
        <v>0</v>
      </c>
      <c r="I61" s="472">
        <f t="shared" si="31"/>
        <v>0</v>
      </c>
      <c r="J61" s="472"/>
      <c r="K61" s="484"/>
      <c r="L61" s="475">
        <f t="shared" si="32"/>
        <v>0</v>
      </c>
      <c r="M61" s="484"/>
      <c r="N61" s="475">
        <f t="shared" si="33"/>
        <v>0</v>
      </c>
      <c r="O61" s="475">
        <f t="shared" si="34"/>
        <v>0</v>
      </c>
      <c r="P61" s="241"/>
    </row>
    <row r="62" spans="2:16" ht="12.5">
      <c r="B62" s="160" t="str">
        <f t="shared" si="4"/>
        <v/>
      </c>
      <c r="C62" s="469">
        <f>IF(D11="","-",+C61+1)</f>
        <v>2052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0"/>
        <v>0</v>
      </c>
      <c r="G62" s="483">
        <f t="shared" si="28"/>
        <v>0</v>
      </c>
      <c r="H62" s="452">
        <f t="shared" si="29"/>
        <v>0</v>
      </c>
      <c r="I62" s="472">
        <f t="shared" si="31"/>
        <v>0</v>
      </c>
      <c r="J62" s="472"/>
      <c r="K62" s="484"/>
      <c r="L62" s="475">
        <f t="shared" si="32"/>
        <v>0</v>
      </c>
      <c r="M62" s="484"/>
      <c r="N62" s="475">
        <f t="shared" si="33"/>
        <v>0</v>
      </c>
      <c r="O62" s="475">
        <f t="shared" si="34"/>
        <v>0</v>
      </c>
      <c r="P62" s="241"/>
    </row>
    <row r="63" spans="2:16" ht="12.5">
      <c r="B63" s="160" t="str">
        <f t="shared" si="4"/>
        <v/>
      </c>
      <c r="C63" s="469">
        <f>IF(D11="","-",+C62+1)</f>
        <v>2053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0"/>
        <v>0</v>
      </c>
      <c r="G63" s="483">
        <f t="shared" si="28"/>
        <v>0</v>
      </c>
      <c r="H63" s="452">
        <f t="shared" si="29"/>
        <v>0</v>
      </c>
      <c r="I63" s="472">
        <f t="shared" si="31"/>
        <v>0</v>
      </c>
      <c r="J63" s="472"/>
      <c r="K63" s="484"/>
      <c r="L63" s="475">
        <f t="shared" si="32"/>
        <v>0</v>
      </c>
      <c r="M63" s="484"/>
      <c r="N63" s="475">
        <f t="shared" si="33"/>
        <v>0</v>
      </c>
      <c r="O63" s="475">
        <f t="shared" si="34"/>
        <v>0</v>
      </c>
      <c r="P63" s="241"/>
    </row>
    <row r="64" spans="2:16" ht="12.5">
      <c r="B64" s="160" t="str">
        <f t="shared" si="4"/>
        <v/>
      </c>
      <c r="C64" s="469">
        <f>IF(D11="","-",+C63+1)</f>
        <v>2054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0"/>
        <v>0</v>
      </c>
      <c r="G64" s="483">
        <f t="shared" si="28"/>
        <v>0</v>
      </c>
      <c r="H64" s="452">
        <f t="shared" si="29"/>
        <v>0</v>
      </c>
      <c r="I64" s="472">
        <f t="shared" si="31"/>
        <v>0</v>
      </c>
      <c r="J64" s="472"/>
      <c r="K64" s="484"/>
      <c r="L64" s="475">
        <f t="shared" si="32"/>
        <v>0</v>
      </c>
      <c r="M64" s="484"/>
      <c r="N64" s="475">
        <f t="shared" si="33"/>
        <v>0</v>
      </c>
      <c r="O64" s="475">
        <f t="shared" si="34"/>
        <v>0</v>
      </c>
      <c r="P64" s="241"/>
    </row>
    <row r="65" spans="2:16" ht="12.5">
      <c r="B65" s="160" t="str">
        <f t="shared" si="4"/>
        <v/>
      </c>
      <c r="C65" s="469">
        <f>IF(D11="","-",+C64+1)</f>
        <v>2055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0"/>
        <v>0</v>
      </c>
      <c r="G65" s="483">
        <f t="shared" si="28"/>
        <v>0</v>
      </c>
      <c r="H65" s="452">
        <f t="shared" si="29"/>
        <v>0</v>
      </c>
      <c r="I65" s="472">
        <f t="shared" si="31"/>
        <v>0</v>
      </c>
      <c r="J65" s="472"/>
      <c r="K65" s="484"/>
      <c r="L65" s="475">
        <f t="shared" si="32"/>
        <v>0</v>
      </c>
      <c r="M65" s="484"/>
      <c r="N65" s="475">
        <f t="shared" si="33"/>
        <v>0</v>
      </c>
      <c r="O65" s="475">
        <f t="shared" si="34"/>
        <v>0</v>
      </c>
      <c r="P65" s="241"/>
    </row>
    <row r="66" spans="2:16" ht="12.5">
      <c r="B66" s="160" t="str">
        <f t="shared" si="4"/>
        <v/>
      </c>
      <c r="C66" s="469">
        <f>IF(D11="","-",+C65+1)</f>
        <v>2056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0"/>
        <v>0</v>
      </c>
      <c r="G66" s="483">
        <f t="shared" si="28"/>
        <v>0</v>
      </c>
      <c r="H66" s="452">
        <f t="shared" si="29"/>
        <v>0</v>
      </c>
      <c r="I66" s="472">
        <f t="shared" si="31"/>
        <v>0</v>
      </c>
      <c r="J66" s="472"/>
      <c r="K66" s="484"/>
      <c r="L66" s="475">
        <f t="shared" si="32"/>
        <v>0</v>
      </c>
      <c r="M66" s="484"/>
      <c r="N66" s="475">
        <f t="shared" si="33"/>
        <v>0</v>
      </c>
      <c r="O66" s="475">
        <f t="shared" si="34"/>
        <v>0</v>
      </c>
      <c r="P66" s="241"/>
    </row>
    <row r="67" spans="2:16" ht="12.5">
      <c r="B67" s="160" t="str">
        <f t="shared" si="4"/>
        <v/>
      </c>
      <c r="C67" s="469">
        <f>IF(D11="","-",+C66+1)</f>
        <v>2057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0"/>
        <v>0</v>
      </c>
      <c r="G67" s="483">
        <f t="shared" si="28"/>
        <v>0</v>
      </c>
      <c r="H67" s="452">
        <f t="shared" si="29"/>
        <v>0</v>
      </c>
      <c r="I67" s="472">
        <f t="shared" si="31"/>
        <v>0</v>
      </c>
      <c r="J67" s="472"/>
      <c r="K67" s="484"/>
      <c r="L67" s="475">
        <f t="shared" si="32"/>
        <v>0</v>
      </c>
      <c r="M67" s="484"/>
      <c r="N67" s="475">
        <f t="shared" si="33"/>
        <v>0</v>
      </c>
      <c r="O67" s="475">
        <f t="shared" si="34"/>
        <v>0</v>
      </c>
      <c r="P67" s="241"/>
    </row>
    <row r="68" spans="2:16" ht="12.5">
      <c r="B68" s="160" t="str">
        <f t="shared" si="4"/>
        <v/>
      </c>
      <c r="C68" s="469">
        <f>IF(D11="","-",+C67+1)</f>
        <v>2058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0"/>
        <v>0</v>
      </c>
      <c r="G68" s="483">
        <f t="shared" si="28"/>
        <v>0</v>
      </c>
      <c r="H68" s="452">
        <f t="shared" si="29"/>
        <v>0</v>
      </c>
      <c r="I68" s="472">
        <f t="shared" si="31"/>
        <v>0</v>
      </c>
      <c r="J68" s="472"/>
      <c r="K68" s="484"/>
      <c r="L68" s="475">
        <f t="shared" si="32"/>
        <v>0</v>
      </c>
      <c r="M68" s="484"/>
      <c r="N68" s="475">
        <f t="shared" si="33"/>
        <v>0</v>
      </c>
      <c r="O68" s="475">
        <f t="shared" si="34"/>
        <v>0</v>
      </c>
      <c r="P68" s="241"/>
    </row>
    <row r="69" spans="2:16" ht="12.5">
      <c r="B69" s="160" t="str">
        <f t="shared" si="4"/>
        <v/>
      </c>
      <c r="C69" s="469">
        <f>IF(D11="","-",+C68+1)</f>
        <v>2059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0"/>
        <v>0</v>
      </c>
      <c r="G69" s="483">
        <f t="shared" si="28"/>
        <v>0</v>
      </c>
      <c r="H69" s="452">
        <f t="shared" si="29"/>
        <v>0</v>
      </c>
      <c r="I69" s="472">
        <f t="shared" si="31"/>
        <v>0</v>
      </c>
      <c r="J69" s="472"/>
      <c r="K69" s="484"/>
      <c r="L69" s="475">
        <f t="shared" si="32"/>
        <v>0</v>
      </c>
      <c r="M69" s="484"/>
      <c r="N69" s="475">
        <f t="shared" si="33"/>
        <v>0</v>
      </c>
      <c r="O69" s="475">
        <f t="shared" si="34"/>
        <v>0</v>
      </c>
      <c r="P69" s="241"/>
    </row>
    <row r="70" spans="2:16" ht="12.5">
      <c r="B70" s="160" t="str">
        <f t="shared" si="4"/>
        <v/>
      </c>
      <c r="C70" s="469">
        <f>IF(D11="","-",+C69+1)</f>
        <v>2060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0"/>
        <v>0</v>
      </c>
      <c r="G70" s="483">
        <f t="shared" si="28"/>
        <v>0</v>
      </c>
      <c r="H70" s="452">
        <f t="shared" si="29"/>
        <v>0</v>
      </c>
      <c r="I70" s="472">
        <f t="shared" si="31"/>
        <v>0</v>
      </c>
      <c r="J70" s="472"/>
      <c r="K70" s="484"/>
      <c r="L70" s="475">
        <f t="shared" si="32"/>
        <v>0</v>
      </c>
      <c r="M70" s="484"/>
      <c r="N70" s="475">
        <f t="shared" si="33"/>
        <v>0</v>
      </c>
      <c r="O70" s="475">
        <f t="shared" si="34"/>
        <v>0</v>
      </c>
      <c r="P70" s="241"/>
    </row>
    <row r="71" spans="2:16" ht="12.5">
      <c r="B71" s="160" t="str">
        <f t="shared" si="4"/>
        <v/>
      </c>
      <c r="C71" s="469">
        <f>IF(D11="","-",+C70+1)</f>
        <v>2061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0"/>
        <v>0</v>
      </c>
      <c r="G71" s="483">
        <f t="shared" si="28"/>
        <v>0</v>
      </c>
      <c r="H71" s="452">
        <f t="shared" si="29"/>
        <v>0</v>
      </c>
      <c r="I71" s="472">
        <f t="shared" si="31"/>
        <v>0</v>
      </c>
      <c r="J71" s="472"/>
      <c r="K71" s="484"/>
      <c r="L71" s="475">
        <f t="shared" si="32"/>
        <v>0</v>
      </c>
      <c r="M71" s="484"/>
      <c r="N71" s="475">
        <f t="shared" si="33"/>
        <v>0</v>
      </c>
      <c r="O71" s="475">
        <f t="shared" si="34"/>
        <v>0</v>
      </c>
      <c r="P71" s="241"/>
    </row>
    <row r="72" spans="2:16" ht="13" thickBot="1">
      <c r="B72" s="160" t="str">
        <f t="shared" si="4"/>
        <v/>
      </c>
      <c r="C72" s="486">
        <f>IF(D11="","-",+C71+1)</f>
        <v>2062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0"/>
        <v>0</v>
      </c>
      <c r="G72" s="487">
        <f t="shared" si="28"/>
        <v>0</v>
      </c>
      <c r="H72" s="487">
        <f t="shared" si="29"/>
        <v>0</v>
      </c>
      <c r="I72" s="490">
        <f t="shared" si="31"/>
        <v>0</v>
      </c>
      <c r="J72" s="472"/>
      <c r="K72" s="491"/>
      <c r="L72" s="492">
        <f t="shared" si="32"/>
        <v>0</v>
      </c>
      <c r="M72" s="491"/>
      <c r="N72" s="492">
        <f t="shared" si="33"/>
        <v>0</v>
      </c>
      <c r="O72" s="492">
        <f t="shared" si="34"/>
        <v>0</v>
      </c>
      <c r="P72" s="241"/>
    </row>
    <row r="73" spans="2:16" ht="12.5">
      <c r="C73" s="344" t="s">
        <v>77</v>
      </c>
      <c r="D73" s="345"/>
      <c r="E73" s="345">
        <f>SUM(E17:E72)</f>
        <v>72550.999999999971</v>
      </c>
      <c r="F73" s="345"/>
      <c r="G73" s="345">
        <f>SUM(G17:G72)</f>
        <v>276014.26016742032</v>
      </c>
      <c r="H73" s="345">
        <f>SUM(H17:H72)</f>
        <v>276014.26016742032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9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7406.4544802847468</v>
      </c>
      <c r="N87" s="505">
        <f>IF(J92&lt;D11,0,VLOOKUP(J92,C17:O72,11))</f>
        <v>7406.4544802847468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8181.2136301849741</v>
      </c>
      <c r="N88" s="509">
        <f>IF(J92&lt;D11,0,VLOOKUP(J92,C99:P154,7))</f>
        <v>8181.2136301849741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Tulsa Southeast Upgrade (repl switches)*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774.75914990022738</v>
      </c>
      <c r="N89" s="514">
        <f>+N88-N87</f>
        <v>774.75914990022738</v>
      </c>
      <c r="O89" s="515">
        <f>+O88-O87</f>
        <v>0</v>
      </c>
      <c r="P89" s="231"/>
    </row>
    <row r="90" spans="1:16" ht="13.5" thickBot="1">
      <c r="C90" s="493"/>
      <c r="D90" s="516" t="str">
        <f>D8</f>
        <v>DOES NOT MEET SPP $100,000 MINIMUM INVESTMENT FOR REGIONAL BPU SHARING.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TP2004033</v>
      </c>
      <c r="E91" s="519" t="str">
        <f>E9</f>
        <v>SPP Project ID =</v>
      </c>
      <c r="F91" s="718">
        <f>F9</f>
        <v>46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72551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2007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4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1909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2007</v>
      </c>
      <c r="D99" s="470">
        <v>0</v>
      </c>
      <c r="E99" s="477">
        <v>0</v>
      </c>
      <c r="F99" s="476">
        <v>72551</v>
      </c>
      <c r="G99" s="534">
        <v>36276</v>
      </c>
      <c r="H99" s="535">
        <v>5762</v>
      </c>
      <c r="I99" s="536">
        <v>5762</v>
      </c>
      <c r="J99" s="475">
        <f t="shared" ref="J99:J130" si="35">+I99-H99</f>
        <v>0</v>
      </c>
      <c r="K99" s="475"/>
      <c r="L99" s="551">
        <v>0</v>
      </c>
      <c r="M99" s="474">
        <f t="shared" ref="M99:M130" si="36">IF(L99&lt;&gt;0,+H99-L99,0)</f>
        <v>0</v>
      </c>
      <c r="N99" s="551">
        <v>0</v>
      </c>
      <c r="O99" s="474">
        <f t="shared" ref="O99:O130" si="37">IF(N99&lt;&gt;0,+I99-N99,0)</f>
        <v>0</v>
      </c>
      <c r="P99" s="474">
        <f t="shared" ref="P99:P130" si="38">+O99-M99</f>
        <v>0</v>
      </c>
    </row>
    <row r="100" spans="1:16" ht="12.5">
      <c r="B100" s="160" t="str">
        <f>IF(D100=F99,"","IU")</f>
        <v/>
      </c>
      <c r="C100" s="469">
        <f>IF(D93="","-",+C99+1)</f>
        <v>2008</v>
      </c>
      <c r="D100" s="470">
        <v>72551</v>
      </c>
      <c r="E100" s="558">
        <v>1369</v>
      </c>
      <c r="F100" s="476">
        <v>71182</v>
      </c>
      <c r="G100" s="476">
        <v>71867</v>
      </c>
      <c r="H100" s="477">
        <v>12785</v>
      </c>
      <c r="I100" s="478">
        <v>12785</v>
      </c>
      <c r="J100" s="475">
        <f t="shared" si="35"/>
        <v>0</v>
      </c>
      <c r="K100" s="475"/>
      <c r="L100" s="473">
        <v>12785</v>
      </c>
      <c r="M100" s="475">
        <f t="shared" si="36"/>
        <v>0</v>
      </c>
      <c r="N100" s="473">
        <v>12785</v>
      </c>
      <c r="O100" s="475">
        <f t="shared" si="37"/>
        <v>0</v>
      </c>
      <c r="P100" s="475">
        <f t="shared" si="38"/>
        <v>0</v>
      </c>
    </row>
    <row r="101" spans="1:16" ht="12.5">
      <c r="B101" s="160" t="str">
        <f t="shared" ref="B101:B154" si="39">IF(D101=F100,"","IU")</f>
        <v/>
      </c>
      <c r="C101" s="469">
        <f>IF(D93="","-",+C100+1)</f>
        <v>2009</v>
      </c>
      <c r="D101" s="470">
        <v>71182</v>
      </c>
      <c r="E101" s="477">
        <v>1296</v>
      </c>
      <c r="F101" s="476">
        <v>69886</v>
      </c>
      <c r="G101" s="476">
        <v>70534</v>
      </c>
      <c r="H101" s="477">
        <v>11608.65494705257</v>
      </c>
      <c r="I101" s="478">
        <v>11608.65494705257</v>
      </c>
      <c r="J101" s="475">
        <f t="shared" si="35"/>
        <v>0</v>
      </c>
      <c r="K101" s="475"/>
      <c r="L101" s="537">
        <f t="shared" ref="L101:L106" si="40">H101</f>
        <v>11608.65494705257</v>
      </c>
      <c r="M101" s="538">
        <f t="shared" si="36"/>
        <v>0</v>
      </c>
      <c r="N101" s="537">
        <f t="shared" ref="N101:N106" si="41">I101</f>
        <v>11608.65494705257</v>
      </c>
      <c r="O101" s="475">
        <f t="shared" si="37"/>
        <v>0</v>
      </c>
      <c r="P101" s="475">
        <f t="shared" si="38"/>
        <v>0</v>
      </c>
    </row>
    <row r="102" spans="1:16" ht="12.5">
      <c r="B102" s="160" t="str">
        <f t="shared" si="39"/>
        <v/>
      </c>
      <c r="C102" s="469">
        <f>IF(D93="","-",+C101+1)</f>
        <v>2010</v>
      </c>
      <c r="D102" s="470">
        <v>69886</v>
      </c>
      <c r="E102" s="477">
        <v>1423</v>
      </c>
      <c r="F102" s="476">
        <v>68463</v>
      </c>
      <c r="G102" s="476">
        <v>69174.5</v>
      </c>
      <c r="H102" s="477">
        <v>12547.312556925655</v>
      </c>
      <c r="I102" s="478">
        <v>12547.312556925655</v>
      </c>
      <c r="J102" s="475">
        <f t="shared" si="35"/>
        <v>0</v>
      </c>
      <c r="K102" s="475"/>
      <c r="L102" s="537">
        <f t="shared" si="40"/>
        <v>12547.312556925655</v>
      </c>
      <c r="M102" s="538">
        <f t="shared" si="36"/>
        <v>0</v>
      </c>
      <c r="N102" s="537">
        <f t="shared" si="41"/>
        <v>12547.312556925655</v>
      </c>
      <c r="O102" s="475">
        <f t="shared" si="37"/>
        <v>0</v>
      </c>
      <c r="P102" s="475">
        <f t="shared" si="38"/>
        <v>0</v>
      </c>
    </row>
    <row r="103" spans="1:16" ht="12.5">
      <c r="B103" s="160" t="str">
        <f t="shared" si="39"/>
        <v/>
      </c>
      <c r="C103" s="469">
        <f>IF(D93="","-",+C102+1)</f>
        <v>2011</v>
      </c>
      <c r="D103" s="470">
        <v>68463</v>
      </c>
      <c r="E103" s="477">
        <v>1395</v>
      </c>
      <c r="F103" s="476">
        <v>67068</v>
      </c>
      <c r="G103" s="476">
        <v>67765.5</v>
      </c>
      <c r="H103" s="477">
        <v>10869.52752826227</v>
      </c>
      <c r="I103" s="478">
        <v>10869.52752826227</v>
      </c>
      <c r="J103" s="475">
        <f t="shared" si="35"/>
        <v>0</v>
      </c>
      <c r="K103" s="475"/>
      <c r="L103" s="537">
        <f t="shared" si="40"/>
        <v>10869.52752826227</v>
      </c>
      <c r="M103" s="538">
        <f t="shared" si="36"/>
        <v>0</v>
      </c>
      <c r="N103" s="537">
        <f t="shared" si="41"/>
        <v>10869.52752826227</v>
      </c>
      <c r="O103" s="475">
        <f t="shared" si="37"/>
        <v>0</v>
      </c>
      <c r="P103" s="475">
        <f t="shared" si="38"/>
        <v>0</v>
      </c>
    </row>
    <row r="104" spans="1:16" ht="12.5">
      <c r="B104" s="160" t="str">
        <f t="shared" si="39"/>
        <v/>
      </c>
      <c r="C104" s="469">
        <f>IF(D93="","-",+C103+1)</f>
        <v>2012</v>
      </c>
      <c r="D104" s="470">
        <v>67068</v>
      </c>
      <c r="E104" s="477">
        <v>1395</v>
      </c>
      <c r="F104" s="476">
        <v>65673</v>
      </c>
      <c r="G104" s="476">
        <v>66370.5</v>
      </c>
      <c r="H104" s="477">
        <v>10942.760254640152</v>
      </c>
      <c r="I104" s="478">
        <v>10942.760254640152</v>
      </c>
      <c r="J104" s="475">
        <v>0</v>
      </c>
      <c r="K104" s="475"/>
      <c r="L104" s="537">
        <f t="shared" si="40"/>
        <v>10942.760254640152</v>
      </c>
      <c r="M104" s="538">
        <f t="shared" ref="M104:M109" si="42">IF(L104&lt;&gt;0,+H104-L104,0)</f>
        <v>0</v>
      </c>
      <c r="N104" s="537">
        <f t="shared" si="41"/>
        <v>10942.760254640152</v>
      </c>
      <c r="O104" s="475">
        <f t="shared" ref="O104:O109" si="43">IF(N104&lt;&gt;0,+I104-N104,0)</f>
        <v>0</v>
      </c>
      <c r="P104" s="475">
        <f t="shared" ref="P104:P109" si="44">+O104-M104</f>
        <v>0</v>
      </c>
    </row>
    <row r="105" spans="1:16" ht="12.5">
      <c r="B105" s="160" t="str">
        <f t="shared" si="39"/>
        <v/>
      </c>
      <c r="C105" s="469">
        <f>IF(D93="","-",+C104+1)</f>
        <v>2013</v>
      </c>
      <c r="D105" s="470">
        <v>65673</v>
      </c>
      <c r="E105" s="477">
        <v>1395</v>
      </c>
      <c r="F105" s="476">
        <v>64278</v>
      </c>
      <c r="G105" s="476">
        <v>64975.5</v>
      </c>
      <c r="H105" s="477">
        <v>10747.547086020993</v>
      </c>
      <c r="I105" s="478">
        <v>10747.547086020993</v>
      </c>
      <c r="J105" s="475">
        <v>0</v>
      </c>
      <c r="K105" s="475"/>
      <c r="L105" s="537">
        <f t="shared" si="40"/>
        <v>10747.547086020993</v>
      </c>
      <c r="M105" s="538">
        <f t="shared" si="42"/>
        <v>0</v>
      </c>
      <c r="N105" s="537">
        <f t="shared" si="41"/>
        <v>10747.547086020993</v>
      </c>
      <c r="O105" s="475">
        <f t="shared" si="43"/>
        <v>0</v>
      </c>
      <c r="P105" s="475">
        <f t="shared" si="44"/>
        <v>0</v>
      </c>
    </row>
    <row r="106" spans="1:16" ht="12.5">
      <c r="B106" s="160" t="str">
        <f t="shared" si="39"/>
        <v/>
      </c>
      <c r="C106" s="469">
        <f>IF(D93="","-",+C105+1)</f>
        <v>2014</v>
      </c>
      <c r="D106" s="470">
        <v>64278</v>
      </c>
      <c r="E106" s="477">
        <v>1395</v>
      </c>
      <c r="F106" s="476">
        <v>62883</v>
      </c>
      <c r="G106" s="476">
        <v>63580.5</v>
      </c>
      <c r="H106" s="477">
        <v>10334.158398344916</v>
      </c>
      <c r="I106" s="478">
        <v>10334.158398344916</v>
      </c>
      <c r="J106" s="475">
        <v>0</v>
      </c>
      <c r="K106" s="475"/>
      <c r="L106" s="537">
        <f t="shared" si="40"/>
        <v>10334.158398344916</v>
      </c>
      <c r="M106" s="538">
        <f t="shared" si="42"/>
        <v>0</v>
      </c>
      <c r="N106" s="537">
        <f t="shared" si="41"/>
        <v>10334.158398344916</v>
      </c>
      <c r="O106" s="475">
        <f t="shared" si="43"/>
        <v>0</v>
      </c>
      <c r="P106" s="475">
        <f t="shared" si="44"/>
        <v>0</v>
      </c>
    </row>
    <row r="107" spans="1:16" ht="12.5">
      <c r="B107" s="160" t="str">
        <f t="shared" si="39"/>
        <v/>
      </c>
      <c r="C107" s="469">
        <f>IF(D93="","-",+C106+1)</f>
        <v>2015</v>
      </c>
      <c r="D107" s="470">
        <v>62883</v>
      </c>
      <c r="E107" s="477">
        <v>1395</v>
      </c>
      <c r="F107" s="476">
        <v>61488</v>
      </c>
      <c r="G107" s="476">
        <v>62185.5</v>
      </c>
      <c r="H107" s="477">
        <v>9879.7114789405332</v>
      </c>
      <c r="I107" s="478">
        <v>9879.7114789405332</v>
      </c>
      <c r="J107" s="475">
        <f t="shared" si="35"/>
        <v>0</v>
      </c>
      <c r="K107" s="475"/>
      <c r="L107" s="537">
        <f t="shared" ref="L107:L112" si="45">H107</f>
        <v>9879.7114789405332</v>
      </c>
      <c r="M107" s="538">
        <f t="shared" si="42"/>
        <v>0</v>
      </c>
      <c r="N107" s="537">
        <f t="shared" ref="N107:N112" si="46">I107</f>
        <v>9879.7114789405332</v>
      </c>
      <c r="O107" s="475">
        <f t="shared" si="43"/>
        <v>0</v>
      </c>
      <c r="P107" s="475">
        <f t="shared" si="44"/>
        <v>0</v>
      </c>
    </row>
    <row r="108" spans="1:16" ht="12.5">
      <c r="B108" s="160" t="str">
        <f t="shared" si="39"/>
        <v/>
      </c>
      <c r="C108" s="469">
        <f>IF(D93="","-",+C107+1)</f>
        <v>2016</v>
      </c>
      <c r="D108" s="470">
        <v>61488</v>
      </c>
      <c r="E108" s="477">
        <v>1577</v>
      </c>
      <c r="F108" s="476">
        <v>59911</v>
      </c>
      <c r="G108" s="476">
        <v>60699.5</v>
      </c>
      <c r="H108" s="477">
        <v>9402.1214987986186</v>
      </c>
      <c r="I108" s="478">
        <v>9402.1214987986186</v>
      </c>
      <c r="J108" s="475">
        <f t="shared" si="35"/>
        <v>0</v>
      </c>
      <c r="K108" s="475"/>
      <c r="L108" s="537">
        <f t="shared" si="45"/>
        <v>9402.1214987986186</v>
      </c>
      <c r="M108" s="538">
        <f t="shared" si="42"/>
        <v>0</v>
      </c>
      <c r="N108" s="537">
        <f t="shared" si="46"/>
        <v>9402.1214987986186</v>
      </c>
      <c r="O108" s="475">
        <f t="shared" si="43"/>
        <v>0</v>
      </c>
      <c r="P108" s="475">
        <f t="shared" si="44"/>
        <v>0</v>
      </c>
    </row>
    <row r="109" spans="1:16" ht="12.5">
      <c r="B109" s="160" t="str">
        <f t="shared" si="39"/>
        <v/>
      </c>
      <c r="C109" s="469">
        <f>IF(D93="","-",+C108+1)</f>
        <v>2017</v>
      </c>
      <c r="D109" s="470">
        <v>59911</v>
      </c>
      <c r="E109" s="477">
        <v>1577</v>
      </c>
      <c r="F109" s="476">
        <v>58334</v>
      </c>
      <c r="G109" s="476">
        <v>59122.5</v>
      </c>
      <c r="H109" s="477">
        <v>9076.8382024367129</v>
      </c>
      <c r="I109" s="478">
        <v>9076.8382024367129</v>
      </c>
      <c r="J109" s="475">
        <f t="shared" si="35"/>
        <v>0</v>
      </c>
      <c r="K109" s="475"/>
      <c r="L109" s="537">
        <f t="shared" si="45"/>
        <v>9076.8382024367129</v>
      </c>
      <c r="M109" s="538">
        <f t="shared" si="42"/>
        <v>0</v>
      </c>
      <c r="N109" s="537">
        <f t="shared" si="46"/>
        <v>9076.8382024367129</v>
      </c>
      <c r="O109" s="475">
        <f t="shared" si="43"/>
        <v>0</v>
      </c>
      <c r="P109" s="475">
        <f t="shared" si="44"/>
        <v>0</v>
      </c>
    </row>
    <row r="110" spans="1:16" ht="12.5">
      <c r="B110" s="160" t="str">
        <f t="shared" si="39"/>
        <v/>
      </c>
      <c r="C110" s="469">
        <f>IF(D93="","-",+C109+1)</f>
        <v>2018</v>
      </c>
      <c r="D110" s="470">
        <v>58334</v>
      </c>
      <c r="E110" s="477">
        <v>1687</v>
      </c>
      <c r="F110" s="476">
        <v>56647</v>
      </c>
      <c r="G110" s="476">
        <v>57490.5</v>
      </c>
      <c r="H110" s="477">
        <v>7593.3191046629281</v>
      </c>
      <c r="I110" s="478">
        <v>7593.3191046629281</v>
      </c>
      <c r="J110" s="475">
        <f t="shared" si="35"/>
        <v>0</v>
      </c>
      <c r="K110" s="475"/>
      <c r="L110" s="537">
        <f t="shared" si="45"/>
        <v>7593.3191046629281</v>
      </c>
      <c r="M110" s="538">
        <f t="shared" ref="M110" si="47">IF(L110&lt;&gt;0,+H110-L110,0)</f>
        <v>0</v>
      </c>
      <c r="N110" s="537">
        <f t="shared" si="46"/>
        <v>7593.3191046629281</v>
      </c>
      <c r="O110" s="475">
        <f t="shared" ref="O110" si="48">IF(N110&lt;&gt;0,+I110-N110,0)</f>
        <v>0</v>
      </c>
      <c r="P110" s="475">
        <f t="shared" ref="P110" si="49">+O110-M110</f>
        <v>0</v>
      </c>
    </row>
    <row r="111" spans="1:16" ht="12.5">
      <c r="B111" s="160" t="str">
        <f t="shared" si="39"/>
        <v/>
      </c>
      <c r="C111" s="469">
        <f>IF(D93="","-",+C110+1)</f>
        <v>2019</v>
      </c>
      <c r="D111" s="470">
        <v>56647</v>
      </c>
      <c r="E111" s="477">
        <v>1770</v>
      </c>
      <c r="F111" s="476">
        <v>54877</v>
      </c>
      <c r="G111" s="476">
        <v>55762</v>
      </c>
      <c r="H111" s="477">
        <v>7519.8443223081076</v>
      </c>
      <c r="I111" s="478">
        <v>7519.8443223081076</v>
      </c>
      <c r="J111" s="475">
        <f t="shared" si="35"/>
        <v>0</v>
      </c>
      <c r="K111" s="475"/>
      <c r="L111" s="537">
        <f t="shared" si="45"/>
        <v>7519.8443223081076</v>
      </c>
      <c r="M111" s="538">
        <f t="shared" ref="M111" si="50">IF(L111&lt;&gt;0,+H111-L111,0)</f>
        <v>0</v>
      </c>
      <c r="N111" s="537">
        <f t="shared" si="46"/>
        <v>7519.8443223081076</v>
      </c>
      <c r="O111" s="475">
        <f t="shared" si="37"/>
        <v>0</v>
      </c>
      <c r="P111" s="475">
        <f t="shared" si="38"/>
        <v>0</v>
      </c>
    </row>
    <row r="112" spans="1:16" ht="12.5">
      <c r="B112" s="160" t="str">
        <f t="shared" si="39"/>
        <v/>
      </c>
      <c r="C112" s="469">
        <f>IF(D93="","-",+C111+1)</f>
        <v>2020</v>
      </c>
      <c r="D112" s="470">
        <v>54877</v>
      </c>
      <c r="E112" s="477">
        <v>1687</v>
      </c>
      <c r="F112" s="476">
        <v>53190</v>
      </c>
      <c r="G112" s="476">
        <v>54033.5</v>
      </c>
      <c r="H112" s="477">
        <v>7916.9139971406776</v>
      </c>
      <c r="I112" s="478">
        <v>7916.9139971406776</v>
      </c>
      <c r="J112" s="475">
        <f t="shared" si="35"/>
        <v>0</v>
      </c>
      <c r="K112" s="475"/>
      <c r="L112" s="537">
        <f t="shared" si="45"/>
        <v>7916.9139971406776</v>
      </c>
      <c r="M112" s="538">
        <f t="shared" ref="M112" si="51">IF(L112&lt;&gt;0,+H112-L112,0)</f>
        <v>0</v>
      </c>
      <c r="N112" s="537">
        <f t="shared" si="46"/>
        <v>7916.9139971406776</v>
      </c>
      <c r="O112" s="475">
        <f t="shared" si="37"/>
        <v>0</v>
      </c>
      <c r="P112" s="475">
        <f t="shared" si="38"/>
        <v>0</v>
      </c>
    </row>
    <row r="113" spans="2:16" ht="12.5">
      <c r="B113" s="160" t="str">
        <f t="shared" si="39"/>
        <v/>
      </c>
      <c r="C113" s="469">
        <f>IF(D93="","-",+C112+1)</f>
        <v>2021</v>
      </c>
      <c r="D113" s="470">
        <v>53190</v>
      </c>
      <c r="E113" s="477">
        <v>1770</v>
      </c>
      <c r="F113" s="476">
        <v>51420</v>
      </c>
      <c r="G113" s="476">
        <v>52305</v>
      </c>
      <c r="H113" s="477">
        <v>7721.9320395107143</v>
      </c>
      <c r="I113" s="478">
        <v>7721.9320395107143</v>
      </c>
      <c r="J113" s="475">
        <f t="shared" si="35"/>
        <v>0</v>
      </c>
      <c r="K113" s="475"/>
      <c r="L113" s="537">
        <f t="shared" ref="L113" si="52">H113</f>
        <v>7721.9320395107143</v>
      </c>
      <c r="M113" s="538">
        <f t="shared" ref="M113" si="53">IF(L113&lt;&gt;0,+H113-L113,0)</f>
        <v>0</v>
      </c>
      <c r="N113" s="537">
        <f t="shared" ref="N113" si="54">I113</f>
        <v>7721.9320395107143</v>
      </c>
      <c r="O113" s="475">
        <f t="shared" si="37"/>
        <v>0</v>
      </c>
      <c r="P113" s="475">
        <f t="shared" si="38"/>
        <v>0</v>
      </c>
    </row>
    <row r="114" spans="2:16" ht="12.5">
      <c r="B114" s="160" t="str">
        <f t="shared" si="39"/>
        <v/>
      </c>
      <c r="C114" s="469">
        <f>IF(D93="","-",+C113+1)</f>
        <v>2022</v>
      </c>
      <c r="D114" s="470">
        <v>51420</v>
      </c>
      <c r="E114" s="477">
        <v>1860</v>
      </c>
      <c r="F114" s="476">
        <v>49560</v>
      </c>
      <c r="G114" s="476">
        <v>50490</v>
      </c>
      <c r="H114" s="477">
        <v>7423.1221436915575</v>
      </c>
      <c r="I114" s="478">
        <v>7423.1221436915575</v>
      </c>
      <c r="J114" s="475">
        <f t="shared" si="35"/>
        <v>0</v>
      </c>
      <c r="K114" s="475"/>
      <c r="L114" s="537">
        <f t="shared" ref="L114" si="55">H114</f>
        <v>7423.1221436915575</v>
      </c>
      <c r="M114" s="538">
        <f t="shared" ref="M114" si="56">IF(L114&lt;&gt;0,+H114-L114,0)</f>
        <v>0</v>
      </c>
      <c r="N114" s="537">
        <f t="shared" ref="N114" si="57">I114</f>
        <v>7423.1221436915575</v>
      </c>
      <c r="O114" s="475">
        <f t="shared" ref="O114" si="58">IF(N114&lt;&gt;0,+I114-N114,0)</f>
        <v>0</v>
      </c>
      <c r="P114" s="475">
        <f t="shared" ref="P114" si="59">+O114-M114</f>
        <v>0</v>
      </c>
    </row>
    <row r="115" spans="2:16" ht="12.5">
      <c r="B115" s="160" t="str">
        <f t="shared" si="39"/>
        <v/>
      </c>
      <c r="C115" s="469">
        <f>IF(D93="","-",+C114+1)</f>
        <v>2023</v>
      </c>
      <c r="D115" s="470">
        <v>49560</v>
      </c>
      <c r="E115" s="477">
        <v>1909</v>
      </c>
      <c r="F115" s="476">
        <v>47651</v>
      </c>
      <c r="G115" s="476">
        <v>48605.5</v>
      </c>
      <c r="H115" s="477">
        <v>7461.0630272870476</v>
      </c>
      <c r="I115" s="478">
        <v>7461.0630272870476</v>
      </c>
      <c r="J115" s="475">
        <f t="shared" si="35"/>
        <v>0</v>
      </c>
      <c r="K115" s="475"/>
      <c r="L115" s="537">
        <f t="shared" ref="L115" si="60">H115</f>
        <v>7461.0630272870476</v>
      </c>
      <c r="M115" s="538">
        <f t="shared" ref="M115" si="61">IF(L115&lt;&gt;0,+H115-L115,0)</f>
        <v>0</v>
      </c>
      <c r="N115" s="537">
        <f t="shared" ref="N115" si="62">I115</f>
        <v>7461.0630272870476</v>
      </c>
      <c r="O115" s="475">
        <f t="shared" ref="O115" si="63">IF(N115&lt;&gt;0,+I115-N115,0)</f>
        <v>0</v>
      </c>
      <c r="P115" s="475">
        <f t="shared" ref="P115" si="64">+O115-M115</f>
        <v>0</v>
      </c>
    </row>
    <row r="116" spans="2:16" ht="12.5">
      <c r="B116" s="160" t="str">
        <f t="shared" si="39"/>
        <v/>
      </c>
      <c r="C116" s="469">
        <f>IF(D93="","-",+C115+1)</f>
        <v>2024</v>
      </c>
      <c r="D116" s="344">
        <f>IF(F115+SUM(E$99:E115)=D$92,F115,D$92-SUM(E$99:E115))</f>
        <v>47651</v>
      </c>
      <c r="E116" s="483">
        <f>IF(+J96&lt;F115,J96,D116)</f>
        <v>1909</v>
      </c>
      <c r="F116" s="482">
        <f t="shared" ref="F116:F154" si="65">+D116-E116</f>
        <v>45742</v>
      </c>
      <c r="G116" s="482">
        <f t="shared" ref="G116:G154" si="66">+(F116+D116)/2</f>
        <v>46696.5</v>
      </c>
      <c r="H116" s="483">
        <f t="shared" ref="H116:H153" si="67">(D116+F116)/2*J$94+E116</f>
        <v>8181.2136301849741</v>
      </c>
      <c r="I116" s="539">
        <f t="shared" ref="I116:I153" si="68">+J$95*G116+E116</f>
        <v>8181.2136301849741</v>
      </c>
      <c r="J116" s="475">
        <f t="shared" si="35"/>
        <v>0</v>
      </c>
      <c r="K116" s="475"/>
      <c r="L116" s="484"/>
      <c r="M116" s="475">
        <f t="shared" si="36"/>
        <v>0</v>
      </c>
      <c r="N116" s="484"/>
      <c r="O116" s="475">
        <f t="shared" si="37"/>
        <v>0</v>
      </c>
      <c r="P116" s="475">
        <f t="shared" si="38"/>
        <v>0</v>
      </c>
    </row>
    <row r="117" spans="2:16" ht="12.5">
      <c r="B117" s="160" t="str">
        <f t="shared" si="39"/>
        <v/>
      </c>
      <c r="C117" s="469">
        <f>IF(D93="","-",+C116+1)</f>
        <v>2025</v>
      </c>
      <c r="D117" s="344">
        <f>IF(F116+SUM(E$99:E116)=D$92,F116,D$92-SUM(E$99:E116))</f>
        <v>45742</v>
      </c>
      <c r="E117" s="483">
        <f>IF(+J96&lt;F116,J96,D117)</f>
        <v>1909</v>
      </c>
      <c r="F117" s="482">
        <f t="shared" si="65"/>
        <v>43833</v>
      </c>
      <c r="G117" s="482">
        <f t="shared" si="66"/>
        <v>44787.5</v>
      </c>
      <c r="H117" s="483">
        <f t="shared" si="67"/>
        <v>7924.7992132581567</v>
      </c>
      <c r="I117" s="539">
        <f t="shared" si="68"/>
        <v>7924.7992132581567</v>
      </c>
      <c r="J117" s="475">
        <f t="shared" si="35"/>
        <v>0</v>
      </c>
      <c r="K117" s="475"/>
      <c r="L117" s="484"/>
      <c r="M117" s="475">
        <f t="shared" si="36"/>
        <v>0</v>
      </c>
      <c r="N117" s="484"/>
      <c r="O117" s="475">
        <f t="shared" si="37"/>
        <v>0</v>
      </c>
      <c r="P117" s="475">
        <f t="shared" si="38"/>
        <v>0</v>
      </c>
    </row>
    <row r="118" spans="2:16" ht="12.5">
      <c r="B118" s="160" t="str">
        <f t="shared" si="39"/>
        <v/>
      </c>
      <c r="C118" s="469">
        <f>IF(D93="","-",+C117+1)</f>
        <v>2026</v>
      </c>
      <c r="D118" s="344">
        <f>IF(F117+SUM(E$99:E117)=D$92,F117,D$92-SUM(E$99:E117))</f>
        <v>43833</v>
      </c>
      <c r="E118" s="483">
        <f>IF(+J96&lt;F117,J96,D118)</f>
        <v>1909</v>
      </c>
      <c r="F118" s="482">
        <f t="shared" si="65"/>
        <v>41924</v>
      </c>
      <c r="G118" s="482">
        <f t="shared" si="66"/>
        <v>42878.5</v>
      </c>
      <c r="H118" s="483">
        <f t="shared" si="67"/>
        <v>7668.3847963313401</v>
      </c>
      <c r="I118" s="539">
        <f t="shared" si="68"/>
        <v>7668.3847963313401</v>
      </c>
      <c r="J118" s="475">
        <f t="shared" si="35"/>
        <v>0</v>
      </c>
      <c r="K118" s="475"/>
      <c r="L118" s="484"/>
      <c r="M118" s="475">
        <f t="shared" si="36"/>
        <v>0</v>
      </c>
      <c r="N118" s="484"/>
      <c r="O118" s="475">
        <f t="shared" si="37"/>
        <v>0</v>
      </c>
      <c r="P118" s="475">
        <f t="shared" si="38"/>
        <v>0</v>
      </c>
    </row>
    <row r="119" spans="2:16" ht="12.5">
      <c r="B119" s="160" t="str">
        <f t="shared" si="39"/>
        <v/>
      </c>
      <c r="C119" s="469">
        <f>IF(D93="","-",+C118+1)</f>
        <v>2027</v>
      </c>
      <c r="D119" s="344">
        <f>IF(F118+SUM(E$99:E118)=D$92,F118,D$92-SUM(E$99:E118))</f>
        <v>41924</v>
      </c>
      <c r="E119" s="483">
        <f>IF(+J96&lt;F118,J96,D119)</f>
        <v>1909</v>
      </c>
      <c r="F119" s="482">
        <f t="shared" si="65"/>
        <v>40015</v>
      </c>
      <c r="G119" s="482">
        <f t="shared" si="66"/>
        <v>40969.5</v>
      </c>
      <c r="H119" s="483">
        <f t="shared" si="67"/>
        <v>7411.9703794045226</v>
      </c>
      <c r="I119" s="539">
        <f t="shared" si="68"/>
        <v>7411.9703794045226</v>
      </c>
      <c r="J119" s="475">
        <f t="shared" si="35"/>
        <v>0</v>
      </c>
      <c r="K119" s="475"/>
      <c r="L119" s="484"/>
      <c r="M119" s="475">
        <f t="shared" si="36"/>
        <v>0</v>
      </c>
      <c r="N119" s="484"/>
      <c r="O119" s="475">
        <f t="shared" si="37"/>
        <v>0</v>
      </c>
      <c r="P119" s="475">
        <f t="shared" si="38"/>
        <v>0</v>
      </c>
    </row>
    <row r="120" spans="2:16" ht="12.5">
      <c r="B120" s="160" t="str">
        <f t="shared" si="39"/>
        <v/>
      </c>
      <c r="C120" s="469">
        <f>IF(D93="","-",+C119+1)</f>
        <v>2028</v>
      </c>
      <c r="D120" s="344">
        <f>IF(F119+SUM(E$99:E119)=D$92,F119,D$92-SUM(E$99:E119))</f>
        <v>40015</v>
      </c>
      <c r="E120" s="483">
        <f>IF(+J96&lt;F119,J96,D120)</f>
        <v>1909</v>
      </c>
      <c r="F120" s="482">
        <f t="shared" si="65"/>
        <v>38106</v>
      </c>
      <c r="G120" s="482">
        <f t="shared" si="66"/>
        <v>39060.5</v>
      </c>
      <c r="H120" s="483">
        <f t="shared" si="67"/>
        <v>7155.5559624777061</v>
      </c>
      <c r="I120" s="539">
        <f t="shared" si="68"/>
        <v>7155.5559624777061</v>
      </c>
      <c r="J120" s="475">
        <f t="shared" si="35"/>
        <v>0</v>
      </c>
      <c r="K120" s="475"/>
      <c r="L120" s="484"/>
      <c r="M120" s="475">
        <f t="shared" si="36"/>
        <v>0</v>
      </c>
      <c r="N120" s="484"/>
      <c r="O120" s="475">
        <f t="shared" si="37"/>
        <v>0</v>
      </c>
      <c r="P120" s="475">
        <f t="shared" si="38"/>
        <v>0</v>
      </c>
    </row>
    <row r="121" spans="2:16" ht="12.5">
      <c r="B121" s="160" t="str">
        <f t="shared" si="39"/>
        <v/>
      </c>
      <c r="C121" s="469">
        <f>IF(D93="","-",+C120+1)</f>
        <v>2029</v>
      </c>
      <c r="D121" s="344">
        <f>IF(F120+SUM(E$99:E120)=D$92,F120,D$92-SUM(E$99:E120))</f>
        <v>38106</v>
      </c>
      <c r="E121" s="483">
        <f>IF(+J96&lt;F120,J96,D121)</f>
        <v>1909</v>
      </c>
      <c r="F121" s="482">
        <f t="shared" si="65"/>
        <v>36197</v>
      </c>
      <c r="G121" s="482">
        <f t="shared" si="66"/>
        <v>37151.5</v>
      </c>
      <c r="H121" s="483">
        <f t="shared" si="67"/>
        <v>6899.1415455508886</v>
      </c>
      <c r="I121" s="539">
        <f t="shared" si="68"/>
        <v>6899.1415455508886</v>
      </c>
      <c r="J121" s="475">
        <f t="shared" si="35"/>
        <v>0</v>
      </c>
      <c r="K121" s="475"/>
      <c r="L121" s="484"/>
      <c r="M121" s="475">
        <f t="shared" si="36"/>
        <v>0</v>
      </c>
      <c r="N121" s="484"/>
      <c r="O121" s="475">
        <f t="shared" si="37"/>
        <v>0</v>
      </c>
      <c r="P121" s="475">
        <f t="shared" si="38"/>
        <v>0</v>
      </c>
    </row>
    <row r="122" spans="2:16" ht="12.5">
      <c r="B122" s="160" t="str">
        <f t="shared" si="39"/>
        <v/>
      </c>
      <c r="C122" s="469">
        <f>IF(D93="","-",+C121+1)</f>
        <v>2030</v>
      </c>
      <c r="D122" s="344">
        <f>IF(F121+SUM(E$99:E121)=D$92,F121,D$92-SUM(E$99:E121))</f>
        <v>36197</v>
      </c>
      <c r="E122" s="483">
        <f>IF(+J96&lt;F121,J96,D122)</f>
        <v>1909</v>
      </c>
      <c r="F122" s="482">
        <f t="shared" si="65"/>
        <v>34288</v>
      </c>
      <c r="G122" s="482">
        <f t="shared" si="66"/>
        <v>35242.5</v>
      </c>
      <c r="H122" s="483">
        <f t="shared" si="67"/>
        <v>6642.7271286240712</v>
      </c>
      <c r="I122" s="539">
        <f t="shared" si="68"/>
        <v>6642.7271286240712</v>
      </c>
      <c r="J122" s="475">
        <f t="shared" si="35"/>
        <v>0</v>
      </c>
      <c r="K122" s="475"/>
      <c r="L122" s="484"/>
      <c r="M122" s="475">
        <f t="shared" si="36"/>
        <v>0</v>
      </c>
      <c r="N122" s="484"/>
      <c r="O122" s="475">
        <f t="shared" si="37"/>
        <v>0</v>
      </c>
      <c r="P122" s="475">
        <f t="shared" si="38"/>
        <v>0</v>
      </c>
    </row>
    <row r="123" spans="2:16" ht="12.5">
      <c r="B123" s="160" t="str">
        <f t="shared" si="39"/>
        <v/>
      </c>
      <c r="C123" s="469">
        <f>IF(D93="","-",+C122+1)</f>
        <v>2031</v>
      </c>
      <c r="D123" s="344">
        <f>IF(F122+SUM(E$99:E122)=D$92,F122,D$92-SUM(E$99:E122))</f>
        <v>34288</v>
      </c>
      <c r="E123" s="483">
        <f>IF(+J96&lt;F122,J96,D123)</f>
        <v>1909</v>
      </c>
      <c r="F123" s="482">
        <f t="shared" si="65"/>
        <v>32379</v>
      </c>
      <c r="G123" s="482">
        <f t="shared" si="66"/>
        <v>33333.5</v>
      </c>
      <c r="H123" s="483">
        <f t="shared" si="67"/>
        <v>6386.3127116972546</v>
      </c>
      <c r="I123" s="539">
        <f t="shared" si="68"/>
        <v>6386.3127116972546</v>
      </c>
      <c r="J123" s="475">
        <f t="shared" si="35"/>
        <v>0</v>
      </c>
      <c r="K123" s="475"/>
      <c r="L123" s="484"/>
      <c r="M123" s="475">
        <f t="shared" si="36"/>
        <v>0</v>
      </c>
      <c r="N123" s="484"/>
      <c r="O123" s="475">
        <f t="shared" si="37"/>
        <v>0</v>
      </c>
      <c r="P123" s="475">
        <f t="shared" si="38"/>
        <v>0</v>
      </c>
    </row>
    <row r="124" spans="2:16" ht="12.5">
      <c r="B124" s="160" t="str">
        <f t="shared" si="39"/>
        <v/>
      </c>
      <c r="C124" s="469">
        <f>IF(D93="","-",+C123+1)</f>
        <v>2032</v>
      </c>
      <c r="D124" s="344">
        <f>IF(F123+SUM(E$99:E123)=D$92,F123,D$92-SUM(E$99:E123))</f>
        <v>32379</v>
      </c>
      <c r="E124" s="483">
        <f>IF(+J96&lt;F123,J96,D124)</f>
        <v>1909</v>
      </c>
      <c r="F124" s="482">
        <f t="shared" si="65"/>
        <v>30470</v>
      </c>
      <c r="G124" s="482">
        <f t="shared" si="66"/>
        <v>31424.5</v>
      </c>
      <c r="H124" s="483">
        <f t="shared" si="67"/>
        <v>6129.8982947704371</v>
      </c>
      <c r="I124" s="539">
        <f t="shared" si="68"/>
        <v>6129.8982947704371</v>
      </c>
      <c r="J124" s="475">
        <f t="shared" si="35"/>
        <v>0</v>
      </c>
      <c r="K124" s="475"/>
      <c r="L124" s="484"/>
      <c r="M124" s="475">
        <f t="shared" si="36"/>
        <v>0</v>
      </c>
      <c r="N124" s="484"/>
      <c r="O124" s="475">
        <f t="shared" si="37"/>
        <v>0</v>
      </c>
      <c r="P124" s="475">
        <f t="shared" si="38"/>
        <v>0</v>
      </c>
    </row>
    <row r="125" spans="2:16" ht="12.5">
      <c r="B125" s="160" t="str">
        <f t="shared" si="39"/>
        <v/>
      </c>
      <c r="C125" s="469">
        <f>IF(D93="","-",+C124+1)</f>
        <v>2033</v>
      </c>
      <c r="D125" s="344">
        <f>IF(F124+SUM(E$99:E124)=D$92,F124,D$92-SUM(E$99:E124))</f>
        <v>30470</v>
      </c>
      <c r="E125" s="483">
        <f>IF(+J96&lt;F124,J96,D125)</f>
        <v>1909</v>
      </c>
      <c r="F125" s="482">
        <f t="shared" si="65"/>
        <v>28561</v>
      </c>
      <c r="G125" s="482">
        <f t="shared" si="66"/>
        <v>29515.5</v>
      </c>
      <c r="H125" s="483">
        <f t="shared" si="67"/>
        <v>5873.4838778436206</v>
      </c>
      <c r="I125" s="539">
        <f t="shared" si="68"/>
        <v>5873.4838778436206</v>
      </c>
      <c r="J125" s="475">
        <f t="shared" si="35"/>
        <v>0</v>
      </c>
      <c r="K125" s="475"/>
      <c r="L125" s="484"/>
      <c r="M125" s="475">
        <f t="shared" si="36"/>
        <v>0</v>
      </c>
      <c r="N125" s="484"/>
      <c r="O125" s="475">
        <f t="shared" si="37"/>
        <v>0</v>
      </c>
      <c r="P125" s="475">
        <f t="shared" si="38"/>
        <v>0</v>
      </c>
    </row>
    <row r="126" spans="2:16" ht="12.5">
      <c r="B126" s="160" t="str">
        <f t="shared" si="39"/>
        <v/>
      </c>
      <c r="C126" s="469">
        <f>IF(D93="","-",+C125+1)</f>
        <v>2034</v>
      </c>
      <c r="D126" s="344">
        <f>IF(F125+SUM(E$99:E125)=D$92,F125,D$92-SUM(E$99:E125))</f>
        <v>28561</v>
      </c>
      <c r="E126" s="483">
        <f>IF(+J96&lt;F125,J96,D126)</f>
        <v>1909</v>
      </c>
      <c r="F126" s="482">
        <f t="shared" si="65"/>
        <v>26652</v>
      </c>
      <c r="G126" s="482">
        <f t="shared" si="66"/>
        <v>27606.5</v>
      </c>
      <c r="H126" s="483">
        <f t="shared" si="67"/>
        <v>5617.0694609168031</v>
      </c>
      <c r="I126" s="539">
        <f t="shared" si="68"/>
        <v>5617.0694609168031</v>
      </c>
      <c r="J126" s="475">
        <f t="shared" si="35"/>
        <v>0</v>
      </c>
      <c r="K126" s="475"/>
      <c r="L126" s="484"/>
      <c r="M126" s="475">
        <f t="shared" si="36"/>
        <v>0</v>
      </c>
      <c r="N126" s="484"/>
      <c r="O126" s="475">
        <f t="shared" si="37"/>
        <v>0</v>
      </c>
      <c r="P126" s="475">
        <f t="shared" si="38"/>
        <v>0</v>
      </c>
    </row>
    <row r="127" spans="2:16" ht="12.5">
      <c r="B127" s="160" t="str">
        <f t="shared" si="39"/>
        <v/>
      </c>
      <c r="C127" s="469">
        <f>IF(D93="","-",+C126+1)</f>
        <v>2035</v>
      </c>
      <c r="D127" s="344">
        <f>IF(F126+SUM(E$99:E126)=D$92,F126,D$92-SUM(E$99:E126))</f>
        <v>26652</v>
      </c>
      <c r="E127" s="483">
        <f>IF(+J96&lt;F126,J96,D127)</f>
        <v>1909</v>
      </c>
      <c r="F127" s="482">
        <f t="shared" si="65"/>
        <v>24743</v>
      </c>
      <c r="G127" s="482">
        <f t="shared" si="66"/>
        <v>25697.5</v>
      </c>
      <c r="H127" s="483">
        <f t="shared" si="67"/>
        <v>5360.6550439899856</v>
      </c>
      <c r="I127" s="539">
        <f t="shared" si="68"/>
        <v>5360.6550439899856</v>
      </c>
      <c r="J127" s="475">
        <f t="shared" si="35"/>
        <v>0</v>
      </c>
      <c r="K127" s="475"/>
      <c r="L127" s="484"/>
      <c r="M127" s="475">
        <f t="shared" si="36"/>
        <v>0</v>
      </c>
      <c r="N127" s="484"/>
      <c r="O127" s="475">
        <f t="shared" si="37"/>
        <v>0</v>
      </c>
      <c r="P127" s="475">
        <f t="shared" si="38"/>
        <v>0</v>
      </c>
    </row>
    <row r="128" spans="2:16" ht="12.5">
      <c r="B128" s="160" t="str">
        <f t="shared" si="39"/>
        <v/>
      </c>
      <c r="C128" s="469">
        <f>IF(D93="","-",+C127+1)</f>
        <v>2036</v>
      </c>
      <c r="D128" s="344">
        <f>IF(F127+SUM(E$99:E127)=D$92,F127,D$92-SUM(E$99:E127))</f>
        <v>24743</v>
      </c>
      <c r="E128" s="483">
        <f>IF(+J96&lt;F127,J96,D128)</f>
        <v>1909</v>
      </c>
      <c r="F128" s="482">
        <f t="shared" si="65"/>
        <v>22834</v>
      </c>
      <c r="G128" s="482">
        <f t="shared" si="66"/>
        <v>23788.5</v>
      </c>
      <c r="H128" s="483">
        <f t="shared" si="67"/>
        <v>5104.2406270631691</v>
      </c>
      <c r="I128" s="539">
        <f t="shared" si="68"/>
        <v>5104.2406270631691</v>
      </c>
      <c r="J128" s="475">
        <f t="shared" si="35"/>
        <v>0</v>
      </c>
      <c r="K128" s="475"/>
      <c r="L128" s="484"/>
      <c r="M128" s="475">
        <f t="shared" si="36"/>
        <v>0</v>
      </c>
      <c r="N128" s="484"/>
      <c r="O128" s="475">
        <f t="shared" si="37"/>
        <v>0</v>
      </c>
      <c r="P128" s="475">
        <f t="shared" si="38"/>
        <v>0</v>
      </c>
    </row>
    <row r="129" spans="2:16" ht="12.5">
      <c r="B129" s="160" t="str">
        <f t="shared" si="39"/>
        <v/>
      </c>
      <c r="C129" s="469">
        <f>IF(D93="","-",+C128+1)</f>
        <v>2037</v>
      </c>
      <c r="D129" s="344">
        <f>IF(F128+SUM(E$99:E128)=D$92,F128,D$92-SUM(E$99:E128))</f>
        <v>22834</v>
      </c>
      <c r="E129" s="483">
        <f>IF(+J96&lt;F128,J96,D129)</f>
        <v>1909</v>
      </c>
      <c r="F129" s="482">
        <f t="shared" si="65"/>
        <v>20925</v>
      </c>
      <c r="G129" s="482">
        <f t="shared" si="66"/>
        <v>21879.5</v>
      </c>
      <c r="H129" s="483">
        <f t="shared" si="67"/>
        <v>4847.8262101363516</v>
      </c>
      <c r="I129" s="539">
        <f t="shared" si="68"/>
        <v>4847.8262101363516</v>
      </c>
      <c r="J129" s="475">
        <f t="shared" si="35"/>
        <v>0</v>
      </c>
      <c r="K129" s="475"/>
      <c r="L129" s="484"/>
      <c r="M129" s="475">
        <f t="shared" si="36"/>
        <v>0</v>
      </c>
      <c r="N129" s="484"/>
      <c r="O129" s="475">
        <f t="shared" si="37"/>
        <v>0</v>
      </c>
      <c r="P129" s="475">
        <f t="shared" si="38"/>
        <v>0</v>
      </c>
    </row>
    <row r="130" spans="2:16" ht="12.5">
      <c r="B130" s="160" t="str">
        <f t="shared" si="39"/>
        <v/>
      </c>
      <c r="C130" s="469">
        <f>IF(D93="","-",+C129+1)</f>
        <v>2038</v>
      </c>
      <c r="D130" s="344">
        <f>IF(F129+SUM(E$99:E129)=D$92,F129,D$92-SUM(E$99:E129))</f>
        <v>20925</v>
      </c>
      <c r="E130" s="483">
        <f>IF(+J96&lt;F129,J96,D130)</f>
        <v>1909</v>
      </c>
      <c r="F130" s="482">
        <f t="shared" si="65"/>
        <v>19016</v>
      </c>
      <c r="G130" s="482">
        <f t="shared" si="66"/>
        <v>19970.5</v>
      </c>
      <c r="H130" s="483">
        <f t="shared" si="67"/>
        <v>4591.4117932095342</v>
      </c>
      <c r="I130" s="539">
        <f t="shared" si="68"/>
        <v>4591.4117932095342</v>
      </c>
      <c r="J130" s="475">
        <f t="shared" si="35"/>
        <v>0</v>
      </c>
      <c r="K130" s="475"/>
      <c r="L130" s="484"/>
      <c r="M130" s="475">
        <f t="shared" si="36"/>
        <v>0</v>
      </c>
      <c r="N130" s="484"/>
      <c r="O130" s="475">
        <f t="shared" si="37"/>
        <v>0</v>
      </c>
      <c r="P130" s="475">
        <f t="shared" si="38"/>
        <v>0</v>
      </c>
    </row>
    <row r="131" spans="2:16" ht="12.5">
      <c r="B131" s="160" t="str">
        <f t="shared" si="39"/>
        <v/>
      </c>
      <c r="C131" s="469">
        <f>IF(D93="","-",+C130+1)</f>
        <v>2039</v>
      </c>
      <c r="D131" s="344">
        <f>IF(F130+SUM(E$99:E130)=D$92,F130,D$92-SUM(E$99:E130))</f>
        <v>19016</v>
      </c>
      <c r="E131" s="483">
        <f>IF(+J96&lt;F130,J96,D131)</f>
        <v>1909</v>
      </c>
      <c r="F131" s="482">
        <f t="shared" si="65"/>
        <v>17107</v>
      </c>
      <c r="G131" s="482">
        <f t="shared" si="66"/>
        <v>18061.5</v>
      </c>
      <c r="H131" s="483">
        <f t="shared" si="67"/>
        <v>4334.9973762827176</v>
      </c>
      <c r="I131" s="539">
        <f t="shared" si="68"/>
        <v>4334.9973762827176</v>
      </c>
      <c r="J131" s="475">
        <f t="shared" ref="J131:J154" si="69">+I541-H541</f>
        <v>0</v>
      </c>
      <c r="K131" s="475"/>
      <c r="L131" s="484"/>
      <c r="M131" s="475">
        <f t="shared" ref="M131:M154" si="70">IF(L541&lt;&gt;0,+H541-L541,0)</f>
        <v>0</v>
      </c>
      <c r="N131" s="484"/>
      <c r="O131" s="475">
        <f t="shared" ref="O131:O154" si="71">IF(N541&lt;&gt;0,+I541-N541,0)</f>
        <v>0</v>
      </c>
      <c r="P131" s="475">
        <f t="shared" ref="P131:P154" si="72">+O541-M541</f>
        <v>0</v>
      </c>
    </row>
    <row r="132" spans="2:16" ht="12.5">
      <c r="B132" s="160" t="str">
        <f t="shared" si="39"/>
        <v/>
      </c>
      <c r="C132" s="469">
        <f>IF(D93="","-",+C131+1)</f>
        <v>2040</v>
      </c>
      <c r="D132" s="344">
        <f>IF(F131+SUM(E$99:E131)=D$92,F131,D$92-SUM(E$99:E131))</f>
        <v>17107</v>
      </c>
      <c r="E132" s="483">
        <f>IF(+J96&lt;F131,J96,D132)</f>
        <v>1909</v>
      </c>
      <c r="F132" s="482">
        <f t="shared" si="65"/>
        <v>15198</v>
      </c>
      <c r="G132" s="482">
        <f t="shared" si="66"/>
        <v>16152.5</v>
      </c>
      <c r="H132" s="483">
        <f t="shared" si="67"/>
        <v>4078.5829593559001</v>
      </c>
      <c r="I132" s="539">
        <f t="shared" si="68"/>
        <v>4078.5829593559001</v>
      </c>
      <c r="J132" s="475">
        <f t="shared" si="69"/>
        <v>0</v>
      </c>
      <c r="K132" s="475"/>
      <c r="L132" s="484"/>
      <c r="M132" s="475">
        <f t="shared" si="70"/>
        <v>0</v>
      </c>
      <c r="N132" s="484"/>
      <c r="O132" s="475">
        <f t="shared" si="71"/>
        <v>0</v>
      </c>
      <c r="P132" s="475">
        <f t="shared" si="72"/>
        <v>0</v>
      </c>
    </row>
    <row r="133" spans="2:16" ht="12.5">
      <c r="B133" s="160" t="str">
        <f t="shared" si="39"/>
        <v/>
      </c>
      <c r="C133" s="469">
        <f>IF(D93="","-",+C132+1)</f>
        <v>2041</v>
      </c>
      <c r="D133" s="344">
        <f>IF(F132+SUM(E$99:E132)=D$92,F132,D$92-SUM(E$99:E132))</f>
        <v>15198</v>
      </c>
      <c r="E133" s="483">
        <f>IF(+J96&lt;F132,J96,D133)</f>
        <v>1909</v>
      </c>
      <c r="F133" s="482">
        <f t="shared" si="65"/>
        <v>13289</v>
      </c>
      <c r="G133" s="482">
        <f t="shared" si="66"/>
        <v>14243.5</v>
      </c>
      <c r="H133" s="483">
        <f t="shared" si="67"/>
        <v>3822.1685424290831</v>
      </c>
      <c r="I133" s="539">
        <f t="shared" si="68"/>
        <v>3822.1685424290831</v>
      </c>
      <c r="J133" s="475">
        <f t="shared" si="69"/>
        <v>0</v>
      </c>
      <c r="K133" s="475"/>
      <c r="L133" s="484"/>
      <c r="M133" s="475">
        <f t="shared" si="70"/>
        <v>0</v>
      </c>
      <c r="N133" s="484"/>
      <c r="O133" s="475">
        <f t="shared" si="71"/>
        <v>0</v>
      </c>
      <c r="P133" s="475">
        <f t="shared" si="72"/>
        <v>0</v>
      </c>
    </row>
    <row r="134" spans="2:16" ht="12.5">
      <c r="B134" s="160" t="str">
        <f t="shared" si="39"/>
        <v/>
      </c>
      <c r="C134" s="469">
        <f>IF(D93="","-",+C133+1)</f>
        <v>2042</v>
      </c>
      <c r="D134" s="344">
        <f>IF(F133+SUM(E$99:E133)=D$92,F133,D$92-SUM(E$99:E133))</f>
        <v>13289</v>
      </c>
      <c r="E134" s="483">
        <f>IF(+J96&lt;F133,J96,D134)</f>
        <v>1909</v>
      </c>
      <c r="F134" s="482">
        <f t="shared" si="65"/>
        <v>11380</v>
      </c>
      <c r="G134" s="482">
        <f t="shared" si="66"/>
        <v>12334.5</v>
      </c>
      <c r="H134" s="483">
        <f t="shared" si="67"/>
        <v>3565.7541255022661</v>
      </c>
      <c r="I134" s="539">
        <f t="shared" si="68"/>
        <v>3565.7541255022661</v>
      </c>
      <c r="J134" s="475">
        <f t="shared" si="69"/>
        <v>0</v>
      </c>
      <c r="K134" s="475"/>
      <c r="L134" s="484"/>
      <c r="M134" s="475">
        <f t="shared" si="70"/>
        <v>0</v>
      </c>
      <c r="N134" s="484"/>
      <c r="O134" s="475">
        <f t="shared" si="71"/>
        <v>0</v>
      </c>
      <c r="P134" s="475">
        <f t="shared" si="72"/>
        <v>0</v>
      </c>
    </row>
    <row r="135" spans="2:16" ht="12.5">
      <c r="B135" s="160" t="str">
        <f t="shared" si="39"/>
        <v/>
      </c>
      <c r="C135" s="469">
        <f>IF(D93="","-",+C134+1)</f>
        <v>2043</v>
      </c>
      <c r="D135" s="344">
        <f>IF(F134+SUM(E$99:E134)=D$92,F134,D$92-SUM(E$99:E134))</f>
        <v>11380</v>
      </c>
      <c r="E135" s="483">
        <f>IF(+J96&lt;F134,J96,D135)</f>
        <v>1909</v>
      </c>
      <c r="F135" s="482">
        <f t="shared" si="65"/>
        <v>9471</v>
      </c>
      <c r="G135" s="482">
        <f t="shared" si="66"/>
        <v>10425.5</v>
      </c>
      <c r="H135" s="483">
        <f t="shared" si="67"/>
        <v>3309.3397085754486</v>
      </c>
      <c r="I135" s="539">
        <f t="shared" si="68"/>
        <v>3309.3397085754486</v>
      </c>
      <c r="J135" s="475">
        <f t="shared" si="69"/>
        <v>0</v>
      </c>
      <c r="K135" s="475"/>
      <c r="L135" s="484"/>
      <c r="M135" s="475">
        <f t="shared" si="70"/>
        <v>0</v>
      </c>
      <c r="N135" s="484"/>
      <c r="O135" s="475">
        <f t="shared" si="71"/>
        <v>0</v>
      </c>
      <c r="P135" s="475">
        <f t="shared" si="72"/>
        <v>0</v>
      </c>
    </row>
    <row r="136" spans="2:16" ht="12.5">
      <c r="B136" s="160" t="str">
        <f t="shared" si="39"/>
        <v/>
      </c>
      <c r="C136" s="469">
        <f>IF(D93="","-",+C135+1)</f>
        <v>2044</v>
      </c>
      <c r="D136" s="344">
        <f>IF(F135+SUM(E$99:E135)=D$92,F135,D$92-SUM(E$99:E135))</f>
        <v>9471</v>
      </c>
      <c r="E136" s="483">
        <f>IF(+J96&lt;F135,J96,D136)</f>
        <v>1909</v>
      </c>
      <c r="F136" s="482">
        <f t="shared" si="65"/>
        <v>7562</v>
      </c>
      <c r="G136" s="482">
        <f t="shared" si="66"/>
        <v>8516.5</v>
      </c>
      <c r="H136" s="483">
        <f t="shared" si="67"/>
        <v>3052.9252916486321</v>
      </c>
      <c r="I136" s="539">
        <f t="shared" si="68"/>
        <v>3052.9252916486321</v>
      </c>
      <c r="J136" s="475">
        <f t="shared" si="69"/>
        <v>0</v>
      </c>
      <c r="K136" s="475"/>
      <c r="L136" s="484"/>
      <c r="M136" s="475">
        <f t="shared" si="70"/>
        <v>0</v>
      </c>
      <c r="N136" s="484"/>
      <c r="O136" s="475">
        <f t="shared" si="71"/>
        <v>0</v>
      </c>
      <c r="P136" s="475">
        <f t="shared" si="72"/>
        <v>0</v>
      </c>
    </row>
    <row r="137" spans="2:16" ht="12.5">
      <c r="B137" s="160" t="str">
        <f t="shared" si="39"/>
        <v/>
      </c>
      <c r="C137" s="469">
        <f>IF(D93="","-",+C136+1)</f>
        <v>2045</v>
      </c>
      <c r="D137" s="344">
        <f>IF(F136+SUM(E$99:E136)=D$92,F136,D$92-SUM(E$99:E136))</f>
        <v>7562</v>
      </c>
      <c r="E137" s="483">
        <f>IF(+J96&lt;F136,J96,D137)</f>
        <v>1909</v>
      </c>
      <c r="F137" s="482">
        <f t="shared" si="65"/>
        <v>5653</v>
      </c>
      <c r="G137" s="482">
        <f t="shared" si="66"/>
        <v>6607.5</v>
      </c>
      <c r="H137" s="483">
        <f t="shared" si="67"/>
        <v>2796.5108747218146</v>
      </c>
      <c r="I137" s="539">
        <f t="shared" si="68"/>
        <v>2796.5108747218146</v>
      </c>
      <c r="J137" s="475">
        <f t="shared" si="69"/>
        <v>0</v>
      </c>
      <c r="K137" s="475"/>
      <c r="L137" s="484"/>
      <c r="M137" s="475">
        <f t="shared" si="70"/>
        <v>0</v>
      </c>
      <c r="N137" s="484"/>
      <c r="O137" s="475">
        <f t="shared" si="71"/>
        <v>0</v>
      </c>
      <c r="P137" s="475">
        <f t="shared" si="72"/>
        <v>0</v>
      </c>
    </row>
    <row r="138" spans="2:16" ht="12.5">
      <c r="B138" s="160" t="str">
        <f t="shared" si="39"/>
        <v/>
      </c>
      <c r="C138" s="469">
        <f>IF(D93="","-",+C137+1)</f>
        <v>2046</v>
      </c>
      <c r="D138" s="344">
        <f>IF(F137+SUM(E$99:E137)=D$92,F137,D$92-SUM(E$99:E137))</f>
        <v>5653</v>
      </c>
      <c r="E138" s="483">
        <f>IF(+J96&lt;F137,J96,D138)</f>
        <v>1909</v>
      </c>
      <c r="F138" s="482">
        <f t="shared" si="65"/>
        <v>3744</v>
      </c>
      <c r="G138" s="482">
        <f t="shared" si="66"/>
        <v>4698.5</v>
      </c>
      <c r="H138" s="483">
        <f t="shared" si="67"/>
        <v>2540.0964577949976</v>
      </c>
      <c r="I138" s="539">
        <f t="shared" si="68"/>
        <v>2540.0964577949976</v>
      </c>
      <c r="J138" s="475">
        <f t="shared" si="69"/>
        <v>0</v>
      </c>
      <c r="K138" s="475"/>
      <c r="L138" s="484"/>
      <c r="M138" s="475">
        <f t="shared" si="70"/>
        <v>0</v>
      </c>
      <c r="N138" s="484"/>
      <c r="O138" s="475">
        <f t="shared" si="71"/>
        <v>0</v>
      </c>
      <c r="P138" s="475">
        <f t="shared" si="72"/>
        <v>0</v>
      </c>
    </row>
    <row r="139" spans="2:16" ht="12.5">
      <c r="B139" s="160" t="str">
        <f t="shared" si="39"/>
        <v/>
      </c>
      <c r="C139" s="469">
        <f>IF(D93="","-",+C138+1)</f>
        <v>2047</v>
      </c>
      <c r="D139" s="344">
        <f>IF(F138+SUM(E$99:E138)=D$92,F138,D$92-SUM(E$99:E138))</f>
        <v>3744</v>
      </c>
      <c r="E139" s="483">
        <f>IF(+J96&lt;F138,J96,D139)</f>
        <v>1909</v>
      </c>
      <c r="F139" s="482">
        <f t="shared" si="65"/>
        <v>1835</v>
      </c>
      <c r="G139" s="482">
        <f t="shared" si="66"/>
        <v>2789.5</v>
      </c>
      <c r="H139" s="483">
        <f t="shared" si="67"/>
        <v>2283.6820408681806</v>
      </c>
      <c r="I139" s="539">
        <f t="shared" si="68"/>
        <v>2283.6820408681806</v>
      </c>
      <c r="J139" s="475">
        <f t="shared" si="69"/>
        <v>0</v>
      </c>
      <c r="K139" s="475"/>
      <c r="L139" s="484"/>
      <c r="M139" s="475">
        <f t="shared" si="70"/>
        <v>0</v>
      </c>
      <c r="N139" s="484"/>
      <c r="O139" s="475">
        <f t="shared" si="71"/>
        <v>0</v>
      </c>
      <c r="P139" s="475">
        <f t="shared" si="72"/>
        <v>0</v>
      </c>
    </row>
    <row r="140" spans="2:16" ht="12.5">
      <c r="B140" s="160" t="str">
        <f t="shared" si="39"/>
        <v/>
      </c>
      <c r="C140" s="469">
        <f>IF(D93="","-",+C139+1)</f>
        <v>2048</v>
      </c>
      <c r="D140" s="344">
        <f>IF(F139+SUM(E$99:E139)=D$92,F139,D$92-SUM(E$99:E139))</f>
        <v>1835</v>
      </c>
      <c r="E140" s="483">
        <f>IF(+J96&lt;F139,J96,D140)</f>
        <v>1835</v>
      </c>
      <c r="F140" s="482">
        <f t="shared" si="65"/>
        <v>0</v>
      </c>
      <c r="G140" s="482">
        <f t="shared" si="66"/>
        <v>917.5</v>
      </c>
      <c r="H140" s="483">
        <f t="shared" si="67"/>
        <v>1958.2374162023859</v>
      </c>
      <c r="I140" s="539">
        <f t="shared" si="68"/>
        <v>1958.2374162023859</v>
      </c>
      <c r="J140" s="475">
        <f t="shared" si="69"/>
        <v>0</v>
      </c>
      <c r="K140" s="475"/>
      <c r="L140" s="484"/>
      <c r="M140" s="475">
        <f t="shared" si="70"/>
        <v>0</v>
      </c>
      <c r="N140" s="484"/>
      <c r="O140" s="475">
        <f t="shared" si="71"/>
        <v>0</v>
      </c>
      <c r="P140" s="475">
        <f t="shared" si="72"/>
        <v>0</v>
      </c>
    </row>
    <row r="141" spans="2:16" ht="12.5">
      <c r="B141" s="160" t="str">
        <f t="shared" si="39"/>
        <v/>
      </c>
      <c r="C141" s="469">
        <f>IF(D93="","-",+C140+1)</f>
        <v>2049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65"/>
        <v>0</v>
      </c>
      <c r="G141" s="482">
        <f t="shared" si="66"/>
        <v>0</v>
      </c>
      <c r="H141" s="483">
        <f t="shared" si="67"/>
        <v>0</v>
      </c>
      <c r="I141" s="539">
        <f t="shared" si="68"/>
        <v>0</v>
      </c>
      <c r="J141" s="475">
        <f t="shared" si="69"/>
        <v>0</v>
      </c>
      <c r="K141" s="475"/>
      <c r="L141" s="484"/>
      <c r="M141" s="475">
        <f t="shared" si="70"/>
        <v>0</v>
      </c>
      <c r="N141" s="484"/>
      <c r="O141" s="475">
        <f t="shared" si="71"/>
        <v>0</v>
      </c>
      <c r="P141" s="475">
        <f t="shared" si="72"/>
        <v>0</v>
      </c>
    </row>
    <row r="142" spans="2:16" ht="12.5">
      <c r="B142" s="160" t="str">
        <f t="shared" si="39"/>
        <v/>
      </c>
      <c r="C142" s="469">
        <f>IF(D93="","-",+C141+1)</f>
        <v>2050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65"/>
        <v>0</v>
      </c>
      <c r="G142" s="482">
        <f t="shared" si="66"/>
        <v>0</v>
      </c>
      <c r="H142" s="483">
        <f t="shared" si="67"/>
        <v>0</v>
      </c>
      <c r="I142" s="539">
        <f t="shared" si="68"/>
        <v>0</v>
      </c>
      <c r="J142" s="475">
        <f t="shared" si="69"/>
        <v>0</v>
      </c>
      <c r="K142" s="475"/>
      <c r="L142" s="484"/>
      <c r="M142" s="475">
        <f t="shared" si="70"/>
        <v>0</v>
      </c>
      <c r="N142" s="484"/>
      <c r="O142" s="475">
        <f t="shared" si="71"/>
        <v>0</v>
      </c>
      <c r="P142" s="475">
        <f t="shared" si="72"/>
        <v>0</v>
      </c>
    </row>
    <row r="143" spans="2:16" ht="12.5">
      <c r="B143" s="160" t="str">
        <f t="shared" si="39"/>
        <v/>
      </c>
      <c r="C143" s="469">
        <f>IF(D93="","-",+C142+1)</f>
        <v>2051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65"/>
        <v>0</v>
      </c>
      <c r="G143" s="482">
        <f t="shared" si="66"/>
        <v>0</v>
      </c>
      <c r="H143" s="483">
        <f t="shared" si="67"/>
        <v>0</v>
      </c>
      <c r="I143" s="539">
        <f t="shared" si="68"/>
        <v>0</v>
      </c>
      <c r="J143" s="475">
        <f t="shared" si="69"/>
        <v>0</v>
      </c>
      <c r="K143" s="475"/>
      <c r="L143" s="484"/>
      <c r="M143" s="475">
        <f t="shared" si="70"/>
        <v>0</v>
      </c>
      <c r="N143" s="484"/>
      <c r="O143" s="475">
        <f t="shared" si="71"/>
        <v>0</v>
      </c>
      <c r="P143" s="475">
        <f t="shared" si="72"/>
        <v>0</v>
      </c>
    </row>
    <row r="144" spans="2:16" ht="12.5">
      <c r="B144" s="160" t="str">
        <f t="shared" si="39"/>
        <v/>
      </c>
      <c r="C144" s="469">
        <f>IF(D93="","-",+C143+1)</f>
        <v>2052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65"/>
        <v>0</v>
      </c>
      <c r="G144" s="482">
        <f t="shared" si="66"/>
        <v>0</v>
      </c>
      <c r="H144" s="483">
        <f t="shared" si="67"/>
        <v>0</v>
      </c>
      <c r="I144" s="539">
        <f t="shared" si="68"/>
        <v>0</v>
      </c>
      <c r="J144" s="475">
        <f t="shared" si="69"/>
        <v>0</v>
      </c>
      <c r="K144" s="475"/>
      <c r="L144" s="484"/>
      <c r="M144" s="475">
        <f t="shared" si="70"/>
        <v>0</v>
      </c>
      <c r="N144" s="484"/>
      <c r="O144" s="475">
        <f t="shared" si="71"/>
        <v>0</v>
      </c>
      <c r="P144" s="475">
        <f t="shared" si="72"/>
        <v>0</v>
      </c>
    </row>
    <row r="145" spans="2:16" ht="12.5">
      <c r="B145" s="160" t="str">
        <f t="shared" si="39"/>
        <v/>
      </c>
      <c r="C145" s="469">
        <f>IF(D93="","-",+C144+1)</f>
        <v>2053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65"/>
        <v>0</v>
      </c>
      <c r="G145" s="482">
        <f t="shared" si="66"/>
        <v>0</v>
      </c>
      <c r="H145" s="483">
        <f t="shared" si="67"/>
        <v>0</v>
      </c>
      <c r="I145" s="539">
        <f t="shared" si="68"/>
        <v>0</v>
      </c>
      <c r="J145" s="475">
        <f t="shared" si="69"/>
        <v>0</v>
      </c>
      <c r="K145" s="475"/>
      <c r="L145" s="484"/>
      <c r="M145" s="475">
        <f t="shared" si="70"/>
        <v>0</v>
      </c>
      <c r="N145" s="484"/>
      <c r="O145" s="475">
        <f t="shared" si="71"/>
        <v>0</v>
      </c>
      <c r="P145" s="475">
        <f t="shared" si="72"/>
        <v>0</v>
      </c>
    </row>
    <row r="146" spans="2:16" ht="12.5">
      <c r="B146" s="160" t="str">
        <f t="shared" si="39"/>
        <v/>
      </c>
      <c r="C146" s="469">
        <f>IF(D93="","-",+C145+1)</f>
        <v>2054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65"/>
        <v>0</v>
      </c>
      <c r="G146" s="482">
        <f t="shared" si="66"/>
        <v>0</v>
      </c>
      <c r="H146" s="483">
        <f t="shared" si="67"/>
        <v>0</v>
      </c>
      <c r="I146" s="539">
        <f t="shared" si="68"/>
        <v>0</v>
      </c>
      <c r="J146" s="475">
        <f t="shared" si="69"/>
        <v>0</v>
      </c>
      <c r="K146" s="475"/>
      <c r="L146" s="484"/>
      <c r="M146" s="475">
        <f t="shared" si="70"/>
        <v>0</v>
      </c>
      <c r="N146" s="484"/>
      <c r="O146" s="475">
        <f t="shared" si="71"/>
        <v>0</v>
      </c>
      <c r="P146" s="475">
        <f t="shared" si="72"/>
        <v>0</v>
      </c>
    </row>
    <row r="147" spans="2:16" ht="12.5">
      <c r="B147" s="160" t="str">
        <f t="shared" si="39"/>
        <v/>
      </c>
      <c r="C147" s="469">
        <f>IF(D93="","-",+C146+1)</f>
        <v>2055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65"/>
        <v>0</v>
      </c>
      <c r="G147" s="482">
        <f t="shared" si="66"/>
        <v>0</v>
      </c>
      <c r="H147" s="483">
        <f t="shared" si="67"/>
        <v>0</v>
      </c>
      <c r="I147" s="539">
        <f t="shared" si="68"/>
        <v>0</v>
      </c>
      <c r="J147" s="475">
        <f t="shared" si="69"/>
        <v>0</v>
      </c>
      <c r="K147" s="475"/>
      <c r="L147" s="484"/>
      <c r="M147" s="475">
        <f t="shared" si="70"/>
        <v>0</v>
      </c>
      <c r="N147" s="484"/>
      <c r="O147" s="475">
        <f t="shared" si="71"/>
        <v>0</v>
      </c>
      <c r="P147" s="475">
        <f t="shared" si="72"/>
        <v>0</v>
      </c>
    </row>
    <row r="148" spans="2:16" ht="12.5">
      <c r="B148" s="160" t="str">
        <f t="shared" si="39"/>
        <v/>
      </c>
      <c r="C148" s="469">
        <f>IF(D93="","-",+C147+1)</f>
        <v>2056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65"/>
        <v>0</v>
      </c>
      <c r="G148" s="482">
        <f t="shared" si="66"/>
        <v>0</v>
      </c>
      <c r="H148" s="483">
        <f t="shared" si="67"/>
        <v>0</v>
      </c>
      <c r="I148" s="539">
        <f t="shared" si="68"/>
        <v>0</v>
      </c>
      <c r="J148" s="475">
        <f t="shared" si="69"/>
        <v>0</v>
      </c>
      <c r="K148" s="475"/>
      <c r="L148" s="484"/>
      <c r="M148" s="475">
        <f t="shared" si="70"/>
        <v>0</v>
      </c>
      <c r="N148" s="484"/>
      <c r="O148" s="475">
        <f t="shared" si="71"/>
        <v>0</v>
      </c>
      <c r="P148" s="475">
        <f t="shared" si="72"/>
        <v>0</v>
      </c>
    </row>
    <row r="149" spans="2:16" ht="12.5">
      <c r="B149" s="160" t="str">
        <f t="shared" si="39"/>
        <v/>
      </c>
      <c r="C149" s="469">
        <f>IF(D93="","-",+C148+1)</f>
        <v>2057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65"/>
        <v>0</v>
      </c>
      <c r="G149" s="482">
        <f t="shared" si="66"/>
        <v>0</v>
      </c>
      <c r="H149" s="483">
        <f t="shared" si="67"/>
        <v>0</v>
      </c>
      <c r="I149" s="539">
        <f t="shared" si="68"/>
        <v>0</v>
      </c>
      <c r="J149" s="475">
        <f t="shared" si="69"/>
        <v>0</v>
      </c>
      <c r="K149" s="475"/>
      <c r="L149" s="484"/>
      <c r="M149" s="475">
        <f t="shared" si="70"/>
        <v>0</v>
      </c>
      <c r="N149" s="484"/>
      <c r="O149" s="475">
        <f t="shared" si="71"/>
        <v>0</v>
      </c>
      <c r="P149" s="475">
        <f t="shared" si="72"/>
        <v>0</v>
      </c>
    </row>
    <row r="150" spans="2:16" ht="12.5">
      <c r="B150" s="160" t="str">
        <f t="shared" si="39"/>
        <v/>
      </c>
      <c r="C150" s="469">
        <f>IF(D93="","-",+C149+1)</f>
        <v>2058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65"/>
        <v>0</v>
      </c>
      <c r="G150" s="482">
        <f t="shared" si="66"/>
        <v>0</v>
      </c>
      <c r="H150" s="483">
        <f t="shared" si="67"/>
        <v>0</v>
      </c>
      <c r="I150" s="539">
        <f t="shared" si="68"/>
        <v>0</v>
      </c>
      <c r="J150" s="475">
        <f t="shared" si="69"/>
        <v>0</v>
      </c>
      <c r="K150" s="475"/>
      <c r="L150" s="484"/>
      <c r="M150" s="475">
        <f t="shared" si="70"/>
        <v>0</v>
      </c>
      <c r="N150" s="484"/>
      <c r="O150" s="475">
        <f t="shared" si="71"/>
        <v>0</v>
      </c>
      <c r="P150" s="475">
        <f t="shared" si="72"/>
        <v>0</v>
      </c>
    </row>
    <row r="151" spans="2:16" ht="12.5">
      <c r="B151" s="160" t="str">
        <f t="shared" si="39"/>
        <v/>
      </c>
      <c r="C151" s="469">
        <f>IF(D93="","-",+C150+1)</f>
        <v>2059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65"/>
        <v>0</v>
      </c>
      <c r="G151" s="482">
        <f t="shared" si="66"/>
        <v>0</v>
      </c>
      <c r="H151" s="483">
        <f t="shared" si="67"/>
        <v>0</v>
      </c>
      <c r="I151" s="539">
        <f t="shared" si="68"/>
        <v>0</v>
      </c>
      <c r="J151" s="475">
        <f t="shared" si="69"/>
        <v>0</v>
      </c>
      <c r="K151" s="475"/>
      <c r="L151" s="484"/>
      <c r="M151" s="475">
        <f t="shared" si="70"/>
        <v>0</v>
      </c>
      <c r="N151" s="484"/>
      <c r="O151" s="475">
        <f t="shared" si="71"/>
        <v>0</v>
      </c>
      <c r="P151" s="475">
        <f t="shared" si="72"/>
        <v>0</v>
      </c>
    </row>
    <row r="152" spans="2:16" ht="12.5">
      <c r="B152" s="160" t="str">
        <f t="shared" si="39"/>
        <v/>
      </c>
      <c r="C152" s="469">
        <f>IF(D93="","-",+C151+1)</f>
        <v>2060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65"/>
        <v>0</v>
      </c>
      <c r="G152" s="482">
        <f t="shared" si="66"/>
        <v>0</v>
      </c>
      <c r="H152" s="483">
        <f t="shared" si="67"/>
        <v>0</v>
      </c>
      <c r="I152" s="539">
        <f t="shared" si="68"/>
        <v>0</v>
      </c>
      <c r="J152" s="475">
        <f t="shared" si="69"/>
        <v>0</v>
      </c>
      <c r="K152" s="475"/>
      <c r="L152" s="484"/>
      <c r="M152" s="475">
        <f t="shared" si="70"/>
        <v>0</v>
      </c>
      <c r="N152" s="484"/>
      <c r="O152" s="475">
        <f t="shared" si="71"/>
        <v>0</v>
      </c>
      <c r="P152" s="475">
        <f t="shared" si="72"/>
        <v>0</v>
      </c>
    </row>
    <row r="153" spans="2:16" ht="12.5">
      <c r="B153" s="160" t="str">
        <f t="shared" si="39"/>
        <v/>
      </c>
      <c r="C153" s="469">
        <f>IF(D93="","-",+C152+1)</f>
        <v>2061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65"/>
        <v>0</v>
      </c>
      <c r="G153" s="482">
        <f t="shared" si="66"/>
        <v>0</v>
      </c>
      <c r="H153" s="483">
        <f t="shared" si="67"/>
        <v>0</v>
      </c>
      <c r="I153" s="539">
        <f t="shared" si="68"/>
        <v>0</v>
      </c>
      <c r="J153" s="475">
        <f t="shared" si="69"/>
        <v>0</v>
      </c>
      <c r="K153" s="475"/>
      <c r="L153" s="484"/>
      <c r="M153" s="475">
        <f t="shared" si="70"/>
        <v>0</v>
      </c>
      <c r="N153" s="484"/>
      <c r="O153" s="475">
        <f t="shared" si="71"/>
        <v>0</v>
      </c>
      <c r="P153" s="475">
        <f t="shared" si="72"/>
        <v>0</v>
      </c>
    </row>
    <row r="154" spans="2:16" ht="13" thickBot="1">
      <c r="B154" s="160" t="str">
        <f t="shared" si="39"/>
        <v/>
      </c>
      <c r="C154" s="486">
        <f>IF(D93="","-",+C153+1)</f>
        <v>2062</v>
      </c>
      <c r="D154" s="487">
        <f>IF(F153+SUM(E$99:E153)=D$92,F153,D$92-SUM(E$99:E153))</f>
        <v>0</v>
      </c>
      <c r="E154" s="541">
        <f>IF(+J96&lt;F153,J96,D154)</f>
        <v>0</v>
      </c>
      <c r="F154" s="487">
        <f t="shared" si="65"/>
        <v>0</v>
      </c>
      <c r="G154" s="487">
        <f t="shared" si="66"/>
        <v>0</v>
      </c>
      <c r="H154" s="489">
        <f t="shared" ref="H154" si="73">+J$94*G154+E154</f>
        <v>0</v>
      </c>
      <c r="I154" s="542">
        <f t="shared" ref="I154" si="74">+J$95*G154+E154</f>
        <v>0</v>
      </c>
      <c r="J154" s="492">
        <f t="shared" si="69"/>
        <v>0</v>
      </c>
      <c r="K154" s="475"/>
      <c r="L154" s="491"/>
      <c r="M154" s="492">
        <f t="shared" si="70"/>
        <v>0</v>
      </c>
      <c r="N154" s="491"/>
      <c r="O154" s="492">
        <f t="shared" si="71"/>
        <v>0</v>
      </c>
      <c r="P154" s="492">
        <f t="shared" si="72"/>
        <v>0</v>
      </c>
    </row>
    <row r="155" spans="2:16" ht="12.5">
      <c r="C155" s="344" t="s">
        <v>77</v>
      </c>
      <c r="D155" s="345"/>
      <c r="E155" s="345">
        <f>SUM(E99:E154)</f>
        <v>72551</v>
      </c>
      <c r="F155" s="345"/>
      <c r="G155" s="345"/>
      <c r="H155" s="345">
        <f>SUM(H99:H154)</f>
        <v>287128.81205486367</v>
      </c>
      <c r="I155" s="345">
        <f>SUM(I99:I154)</f>
        <v>287128.81205486367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55" priority="1" stopIfTrue="1" operator="equal">
      <formula>$I$10</formula>
    </cfRule>
  </conditionalFormatting>
  <conditionalFormatting sqref="C99:C154">
    <cfRule type="cellIs" dxfId="5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0">
    <tabColor rgb="FFC00000"/>
  </sheetPr>
  <dimension ref="A1:P162"/>
  <sheetViews>
    <sheetView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10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10468.428780405688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10468.428780405688</v>
      </c>
      <c r="O6" s="231"/>
      <c r="P6" s="231"/>
    </row>
    <row r="7" spans="1:16" ht="13.5" thickBot="1">
      <c r="C7" s="428" t="s">
        <v>46</v>
      </c>
      <c r="D7" s="561" t="s">
        <v>255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>DOES NOT MEET SPP $100,000 MINIMUM INVESTMENT FOR REGIONAL BPU SHARING.</v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221</v>
      </c>
      <c r="E9" s="519" t="s">
        <v>374</v>
      </c>
      <c r="F9" s="719">
        <v>289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96566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2010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6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2541.2105263157896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2010</v>
      </c>
      <c r="D17" s="470">
        <v>135400</v>
      </c>
      <c r="E17" s="471">
        <v>1209</v>
      </c>
      <c r="F17" s="470">
        <v>134191</v>
      </c>
      <c r="G17" s="471">
        <v>20572</v>
      </c>
      <c r="H17" s="478">
        <v>20572</v>
      </c>
      <c r="I17" s="472">
        <f t="shared" ref="I17:I48" si="0">H17-G17</f>
        <v>0</v>
      </c>
      <c r="J17" s="472"/>
      <c r="K17" s="551">
        <f t="shared" ref="K17:K22" si="1">G17</f>
        <v>20572</v>
      </c>
      <c r="L17" s="474">
        <f t="shared" ref="L17:L48" si="2">IF(K17&lt;&gt;0,+G17-K17,0)</f>
        <v>0</v>
      </c>
      <c r="M17" s="551">
        <f t="shared" ref="M17:M22" si="3">H17</f>
        <v>20572</v>
      </c>
      <c r="N17" s="474">
        <f t="shared" ref="N17:N48" si="4">IF(M17&lt;&gt;0,+H17-M17,0)</f>
        <v>0</v>
      </c>
      <c r="O17" s="475">
        <f t="shared" ref="O17:O48" si="5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2011</v>
      </c>
      <c r="D18" s="476">
        <v>95357</v>
      </c>
      <c r="E18" s="477">
        <v>1893.4509803921569</v>
      </c>
      <c r="F18" s="476">
        <v>93463.549019607846</v>
      </c>
      <c r="G18" s="477">
        <v>16524.450980392157</v>
      </c>
      <c r="H18" s="478">
        <v>16524.450980392157</v>
      </c>
      <c r="I18" s="472">
        <f t="shared" si="0"/>
        <v>0</v>
      </c>
      <c r="J18" s="472"/>
      <c r="K18" s="473">
        <f t="shared" si="1"/>
        <v>16524.450980392157</v>
      </c>
      <c r="L18" s="547">
        <f t="shared" si="2"/>
        <v>0</v>
      </c>
      <c r="M18" s="473">
        <f t="shared" si="3"/>
        <v>16524.450980392157</v>
      </c>
      <c r="N18" s="475">
        <f t="shared" si="4"/>
        <v>0</v>
      </c>
      <c r="O18" s="475">
        <f t="shared" si="5"/>
        <v>0</v>
      </c>
      <c r="P18" s="241"/>
    </row>
    <row r="19" spans="2:16" ht="12.5">
      <c r="B19" s="160" t="str">
        <f>IF(D19=F18,"","IU")</f>
        <v/>
      </c>
      <c r="C19" s="469">
        <f>IF(D11="","-",+C18+1)</f>
        <v>2012</v>
      </c>
      <c r="D19" s="476">
        <v>93463.549019607846</v>
      </c>
      <c r="E19" s="477">
        <v>1857.0384615384614</v>
      </c>
      <c r="F19" s="476">
        <v>91606.510558069378</v>
      </c>
      <c r="G19" s="477">
        <v>14609.038461538461</v>
      </c>
      <c r="H19" s="478">
        <v>14609.038461538461</v>
      </c>
      <c r="I19" s="472">
        <f t="shared" si="0"/>
        <v>0</v>
      </c>
      <c r="J19" s="472"/>
      <c r="K19" s="473">
        <f t="shared" si="1"/>
        <v>14609.038461538461</v>
      </c>
      <c r="L19" s="547">
        <f t="shared" si="2"/>
        <v>0</v>
      </c>
      <c r="M19" s="473">
        <f t="shared" si="3"/>
        <v>14609.038461538461</v>
      </c>
      <c r="N19" s="475">
        <f t="shared" si="4"/>
        <v>0</v>
      </c>
      <c r="O19" s="475">
        <f t="shared" si="5"/>
        <v>0</v>
      </c>
      <c r="P19" s="241"/>
    </row>
    <row r="20" spans="2:16" ht="12.5">
      <c r="B20" s="160" t="str">
        <f t="shared" ref="B20:B72" si="6">IF(D20=F19,"","IU")</f>
        <v/>
      </c>
      <c r="C20" s="469">
        <f>IF(D11="","-",+C19+1)</f>
        <v>2013</v>
      </c>
      <c r="D20" s="476">
        <v>91606.510558069378</v>
      </c>
      <c r="E20" s="477">
        <v>1857.0384615384614</v>
      </c>
      <c r="F20" s="476">
        <v>89749.47209653091</v>
      </c>
      <c r="G20" s="477">
        <v>14674.038461538461</v>
      </c>
      <c r="H20" s="478">
        <v>14674.038461538461</v>
      </c>
      <c r="I20" s="472">
        <v>0</v>
      </c>
      <c r="J20" s="472"/>
      <c r="K20" s="473">
        <f t="shared" si="1"/>
        <v>14674.038461538461</v>
      </c>
      <c r="L20" s="547">
        <f t="shared" ref="L20:L25" si="7">IF(K20&lt;&gt;0,+G20-K20,0)</f>
        <v>0</v>
      </c>
      <c r="M20" s="473">
        <f t="shared" si="3"/>
        <v>14674.038461538461</v>
      </c>
      <c r="N20" s="475">
        <f t="shared" ref="N20:N25" si="8">IF(M20&lt;&gt;0,+H20-M20,0)</f>
        <v>0</v>
      </c>
      <c r="O20" s="475">
        <f t="shared" ref="O20:O25" si="9">+N20-L20</f>
        <v>0</v>
      </c>
      <c r="P20" s="241"/>
    </row>
    <row r="21" spans="2:16" ht="12.5">
      <c r="B21" s="160" t="str">
        <f t="shared" si="6"/>
        <v/>
      </c>
      <c r="C21" s="469">
        <f>IF(D11="","-",+C20+1)</f>
        <v>2014</v>
      </c>
      <c r="D21" s="476">
        <v>89749.47209653091</v>
      </c>
      <c r="E21" s="477">
        <v>1857.0384615384614</v>
      </c>
      <c r="F21" s="476">
        <v>87892.433634992442</v>
      </c>
      <c r="G21" s="477">
        <v>13956.038461538461</v>
      </c>
      <c r="H21" s="478">
        <v>13956.038461538461</v>
      </c>
      <c r="I21" s="472">
        <v>0</v>
      </c>
      <c r="J21" s="472"/>
      <c r="K21" s="473">
        <f t="shared" si="1"/>
        <v>13956.038461538461</v>
      </c>
      <c r="L21" s="547">
        <f t="shared" si="7"/>
        <v>0</v>
      </c>
      <c r="M21" s="473">
        <f t="shared" si="3"/>
        <v>13956.038461538461</v>
      </c>
      <c r="N21" s="475">
        <f t="shared" si="8"/>
        <v>0</v>
      </c>
      <c r="O21" s="475">
        <f t="shared" si="9"/>
        <v>0</v>
      </c>
      <c r="P21" s="241"/>
    </row>
    <row r="22" spans="2:16" ht="12.5">
      <c r="B22" s="160" t="str">
        <f t="shared" si="6"/>
        <v/>
      </c>
      <c r="C22" s="469">
        <f>IF(D11="","-",+C21+1)</f>
        <v>2015</v>
      </c>
      <c r="D22" s="476">
        <v>87892.433634992442</v>
      </c>
      <c r="E22" s="477">
        <v>1857.0384615384614</v>
      </c>
      <c r="F22" s="476">
        <v>86035.395173453973</v>
      </c>
      <c r="G22" s="477">
        <v>13719.038461538461</v>
      </c>
      <c r="H22" s="478">
        <v>13719.038461538461</v>
      </c>
      <c r="I22" s="472">
        <v>0</v>
      </c>
      <c r="J22" s="472"/>
      <c r="K22" s="473">
        <f t="shared" si="1"/>
        <v>13719.038461538461</v>
      </c>
      <c r="L22" s="547">
        <f t="shared" si="7"/>
        <v>0</v>
      </c>
      <c r="M22" s="473">
        <f t="shared" si="3"/>
        <v>13719.038461538461</v>
      </c>
      <c r="N22" s="475">
        <f t="shared" si="8"/>
        <v>0</v>
      </c>
      <c r="O22" s="475">
        <f t="shared" si="9"/>
        <v>0</v>
      </c>
      <c r="P22" s="241"/>
    </row>
    <row r="23" spans="2:16" ht="12.5">
      <c r="B23" s="160" t="str">
        <f t="shared" si="6"/>
        <v/>
      </c>
      <c r="C23" s="469">
        <f>IF(D11="","-",+C22+1)</f>
        <v>2016</v>
      </c>
      <c r="D23" s="476">
        <v>86035.395173453973</v>
      </c>
      <c r="E23" s="477">
        <v>1857.0384615384614</v>
      </c>
      <c r="F23" s="476">
        <v>84178.356711915505</v>
      </c>
      <c r="G23" s="477">
        <v>12898.038461538461</v>
      </c>
      <c r="H23" s="478">
        <v>12898.038461538461</v>
      </c>
      <c r="I23" s="472">
        <f t="shared" si="0"/>
        <v>0</v>
      </c>
      <c r="J23" s="472"/>
      <c r="K23" s="473">
        <f t="shared" ref="K23:K28" si="10">G23</f>
        <v>12898.038461538461</v>
      </c>
      <c r="L23" s="547">
        <f t="shared" si="7"/>
        <v>0</v>
      </c>
      <c r="M23" s="473">
        <f t="shared" ref="M23:M28" si="11">H23</f>
        <v>12898.038461538461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2017</v>
      </c>
      <c r="D24" s="476">
        <v>84178.356711915505</v>
      </c>
      <c r="E24" s="477">
        <v>2099.2608695652175</v>
      </c>
      <c r="F24" s="476">
        <v>82079.095842350289</v>
      </c>
      <c r="G24" s="477">
        <v>12544.260869565218</v>
      </c>
      <c r="H24" s="478">
        <v>12544.260869565218</v>
      </c>
      <c r="I24" s="472">
        <f t="shared" si="0"/>
        <v>0</v>
      </c>
      <c r="J24" s="472"/>
      <c r="K24" s="473">
        <f t="shared" si="10"/>
        <v>12544.260869565218</v>
      </c>
      <c r="L24" s="547">
        <f t="shared" si="7"/>
        <v>0</v>
      </c>
      <c r="M24" s="473">
        <f t="shared" si="11"/>
        <v>12544.260869565218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6"/>
        <v/>
      </c>
      <c r="C25" s="469">
        <f>IF(D11="","-",+C24+1)</f>
        <v>2018</v>
      </c>
      <c r="D25" s="476">
        <v>82079.095842350289</v>
      </c>
      <c r="E25" s="477">
        <v>2145.911111111111</v>
      </c>
      <c r="F25" s="476">
        <v>79933.184731239176</v>
      </c>
      <c r="G25" s="477">
        <v>11847.120662682713</v>
      </c>
      <c r="H25" s="478">
        <v>11847.120662682713</v>
      </c>
      <c r="I25" s="472">
        <f t="shared" si="0"/>
        <v>0</v>
      </c>
      <c r="J25" s="472"/>
      <c r="K25" s="473">
        <f t="shared" si="10"/>
        <v>11847.120662682713</v>
      </c>
      <c r="L25" s="547">
        <f t="shared" si="7"/>
        <v>0</v>
      </c>
      <c r="M25" s="473">
        <f t="shared" si="11"/>
        <v>11847.120662682713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2019</v>
      </c>
      <c r="D26" s="476">
        <v>79933.184731239176</v>
      </c>
      <c r="E26" s="477">
        <v>2414.15</v>
      </c>
      <c r="F26" s="476">
        <v>77519.034731239182</v>
      </c>
      <c r="G26" s="477">
        <v>11204.44220775155</v>
      </c>
      <c r="H26" s="478">
        <v>11204.44220775155</v>
      </c>
      <c r="I26" s="472">
        <f t="shared" si="0"/>
        <v>0</v>
      </c>
      <c r="J26" s="472"/>
      <c r="K26" s="473">
        <f t="shared" si="10"/>
        <v>11204.44220775155</v>
      </c>
      <c r="L26" s="547">
        <f t="shared" ref="L26" si="12">IF(K26&lt;&gt;0,+G26-K26,0)</f>
        <v>0</v>
      </c>
      <c r="M26" s="473">
        <f t="shared" si="11"/>
        <v>11204.44220775155</v>
      </c>
      <c r="N26" s="475">
        <f t="shared" ref="N26" si="13">IF(M26&lt;&gt;0,+H26-M26,0)</f>
        <v>0</v>
      </c>
      <c r="O26" s="475">
        <f t="shared" ref="O26" si="14">+N26-L26</f>
        <v>0</v>
      </c>
      <c r="P26" s="241"/>
    </row>
    <row r="27" spans="2:16" ht="12.5">
      <c r="B27" s="563" t="str">
        <f t="shared" si="6"/>
        <v>IU</v>
      </c>
      <c r="C27" s="469">
        <f>IF(D11="","-",+C26+1)</f>
        <v>2020</v>
      </c>
      <c r="D27" s="476">
        <v>77787.273620128064</v>
      </c>
      <c r="E27" s="477">
        <v>2299.1904761904761</v>
      </c>
      <c r="F27" s="476">
        <v>75488.083143937591</v>
      </c>
      <c r="G27" s="477">
        <v>10576.425832738674</v>
      </c>
      <c r="H27" s="478">
        <v>10576.425832738674</v>
      </c>
      <c r="I27" s="472">
        <f t="shared" si="0"/>
        <v>0</v>
      </c>
      <c r="J27" s="472"/>
      <c r="K27" s="473">
        <f t="shared" si="10"/>
        <v>10576.425832738674</v>
      </c>
      <c r="L27" s="547">
        <f t="shared" ref="L27" si="15">IF(K27&lt;&gt;0,+G27-K27,0)</f>
        <v>0</v>
      </c>
      <c r="M27" s="473">
        <f t="shared" si="11"/>
        <v>10576.425832738674</v>
      </c>
      <c r="N27" s="475">
        <f t="shared" si="4"/>
        <v>0</v>
      </c>
      <c r="O27" s="475">
        <f t="shared" si="5"/>
        <v>0</v>
      </c>
      <c r="P27" s="241"/>
    </row>
    <row r="28" spans="2:16" ht="12.5">
      <c r="B28" s="160" t="str">
        <f t="shared" si="6"/>
        <v>IU</v>
      </c>
      <c r="C28" s="469">
        <f>IF(D11="","-",+C27+1)</f>
        <v>2021</v>
      </c>
      <c r="D28" s="476">
        <v>75219.844255048723</v>
      </c>
      <c r="E28" s="477">
        <v>2245.7209302325582</v>
      </c>
      <c r="F28" s="476">
        <v>72974.123324816159</v>
      </c>
      <c r="G28" s="477">
        <v>10113.720930232557</v>
      </c>
      <c r="H28" s="478">
        <v>10113.720930232557</v>
      </c>
      <c r="I28" s="472">
        <f t="shared" si="0"/>
        <v>0</v>
      </c>
      <c r="J28" s="472"/>
      <c r="K28" s="473">
        <f t="shared" si="10"/>
        <v>10113.720930232557</v>
      </c>
      <c r="L28" s="547">
        <f t="shared" ref="L28" si="16">IF(K28&lt;&gt;0,+G28-K28,0)</f>
        <v>0</v>
      </c>
      <c r="M28" s="473">
        <f t="shared" si="11"/>
        <v>10113.720930232557</v>
      </c>
      <c r="N28" s="475">
        <f t="shared" si="4"/>
        <v>0</v>
      </c>
      <c r="O28" s="475">
        <f t="shared" si="5"/>
        <v>0</v>
      </c>
      <c r="P28" s="241"/>
    </row>
    <row r="29" spans="2:16" ht="12.5">
      <c r="B29" s="160" t="str">
        <f t="shared" si="6"/>
        <v/>
      </c>
      <c r="C29" s="469">
        <f>IF(D11="","-",+C28+1)</f>
        <v>2022</v>
      </c>
      <c r="D29" s="476">
        <v>72974.123324816159</v>
      </c>
      <c r="E29" s="477">
        <v>2299.1904761904761</v>
      </c>
      <c r="F29" s="476">
        <v>70674.932848625685</v>
      </c>
      <c r="G29" s="477">
        <v>9919.1904761904771</v>
      </c>
      <c r="H29" s="478">
        <v>9919.1904761904771</v>
      </c>
      <c r="I29" s="472">
        <f t="shared" si="0"/>
        <v>0</v>
      </c>
      <c r="J29" s="472"/>
      <c r="K29" s="473">
        <f t="shared" ref="K29" si="17">G29</f>
        <v>9919.1904761904771</v>
      </c>
      <c r="L29" s="547">
        <f t="shared" ref="L29" si="18">IF(K29&lt;&gt;0,+G29-K29,0)</f>
        <v>0</v>
      </c>
      <c r="M29" s="473">
        <f t="shared" ref="M29" si="19">H29</f>
        <v>9919.1904761904771</v>
      </c>
      <c r="N29" s="475">
        <f t="shared" si="4"/>
        <v>0</v>
      </c>
      <c r="O29" s="475">
        <f t="shared" si="5"/>
        <v>0</v>
      </c>
      <c r="P29" s="241"/>
    </row>
    <row r="30" spans="2:16" ht="12.5">
      <c r="B30" s="160" t="str">
        <f t="shared" si="6"/>
        <v/>
      </c>
      <c r="C30" s="469">
        <f>IF(D11="","-",+C29+1)</f>
        <v>2023</v>
      </c>
      <c r="D30" s="476">
        <v>70674.932848625685</v>
      </c>
      <c r="E30" s="477">
        <v>2476.0512820512822</v>
      </c>
      <c r="F30" s="476">
        <v>68198.881566574404</v>
      </c>
      <c r="G30" s="477">
        <v>10616.051282051281</v>
      </c>
      <c r="H30" s="478">
        <v>10616.051282051281</v>
      </c>
      <c r="I30" s="472">
        <f t="shared" si="0"/>
        <v>0</v>
      </c>
      <c r="J30" s="472"/>
      <c r="K30" s="473">
        <f t="shared" ref="K30" si="20">G30</f>
        <v>10616.051282051281</v>
      </c>
      <c r="L30" s="547">
        <f t="shared" ref="L30" si="21">IF(K30&lt;&gt;0,+G30-K30,0)</f>
        <v>0</v>
      </c>
      <c r="M30" s="473">
        <f t="shared" ref="M30" si="22">H30</f>
        <v>10616.051282051281</v>
      </c>
      <c r="N30" s="475">
        <f t="shared" si="4"/>
        <v>0</v>
      </c>
      <c r="O30" s="475">
        <f t="shared" si="5"/>
        <v>0</v>
      </c>
      <c r="P30" s="241"/>
    </row>
    <row r="31" spans="2:16" ht="12.5">
      <c r="B31" s="160" t="str">
        <f t="shared" si="6"/>
        <v/>
      </c>
      <c r="C31" s="469">
        <f>IF(D11="","-",+C30+1)</f>
        <v>2024</v>
      </c>
      <c r="D31" s="476">
        <v>68198.881566574404</v>
      </c>
      <c r="E31" s="477">
        <v>2476.0512820512822</v>
      </c>
      <c r="F31" s="476">
        <v>65722.830284523123</v>
      </c>
      <c r="G31" s="477">
        <v>10468.428780405688</v>
      </c>
      <c r="H31" s="478">
        <v>10468.428780405688</v>
      </c>
      <c r="I31" s="472">
        <f t="shared" si="0"/>
        <v>0</v>
      </c>
      <c r="J31" s="472"/>
      <c r="K31" s="473">
        <f t="shared" ref="K31" si="23">G31</f>
        <v>10468.428780405688</v>
      </c>
      <c r="L31" s="547">
        <f t="shared" ref="L31" si="24">IF(K31&lt;&gt;0,+G31-K31,0)</f>
        <v>0</v>
      </c>
      <c r="M31" s="473">
        <f t="shared" ref="M31" si="25">H31</f>
        <v>10468.428780405688</v>
      </c>
      <c r="N31" s="475">
        <f t="shared" ref="N31" si="26">IF(M31&lt;&gt;0,+H31-M31,0)</f>
        <v>0</v>
      </c>
      <c r="O31" s="475">
        <f t="shared" ref="O31" si="27">+N31-L31</f>
        <v>0</v>
      </c>
      <c r="P31" s="241"/>
    </row>
    <row r="32" spans="2:16" ht="12.5">
      <c r="B32" s="160" t="str">
        <f t="shared" si="6"/>
        <v/>
      </c>
      <c r="C32" s="469">
        <f>IF(D11="","-",+C31+1)</f>
        <v>2025</v>
      </c>
      <c r="D32" s="482">
        <f>IF(F31+SUM(E$17:E31)=D$10,F31,D$10-SUM(E$17:E31))</f>
        <v>65722.830284523123</v>
      </c>
      <c r="E32" s="481">
        <f>IF(+I14&lt;F31,I14,D32)</f>
        <v>2541.2105263157896</v>
      </c>
      <c r="F32" s="482">
        <f t="shared" ref="F32:F48" si="28">+D32-E32</f>
        <v>63181.619758207336</v>
      </c>
      <c r="G32" s="483">
        <f t="shared" ref="G32:G72" si="29">(D32+F32)/2*I$12+E32</f>
        <v>9872.0186901677516</v>
      </c>
      <c r="H32" s="452">
        <f t="shared" ref="H32:H72" si="30">+(D32+F32)/2*I$13+E32</f>
        <v>9872.0186901677516</v>
      </c>
      <c r="I32" s="472">
        <f t="shared" si="0"/>
        <v>0</v>
      </c>
      <c r="J32" s="472"/>
      <c r="K32" s="484"/>
      <c r="L32" s="475">
        <f t="shared" si="2"/>
        <v>0</v>
      </c>
      <c r="M32" s="484"/>
      <c r="N32" s="475">
        <f t="shared" si="4"/>
        <v>0</v>
      </c>
      <c r="O32" s="475">
        <f t="shared" si="5"/>
        <v>0</v>
      </c>
      <c r="P32" s="241"/>
    </row>
    <row r="33" spans="2:16" ht="12.5">
      <c r="B33" s="160" t="str">
        <f t="shared" si="6"/>
        <v/>
      </c>
      <c r="C33" s="469">
        <f>IF(D11="","-",+C32+1)</f>
        <v>2026</v>
      </c>
      <c r="D33" s="482">
        <f>IF(F32+SUM(E$17:E32)=D$10,F32,D$10-SUM(E$17:E32))</f>
        <v>63181.619758207336</v>
      </c>
      <c r="E33" s="481">
        <f>IF(+I14&lt;F32,I14,D33)</f>
        <v>2541.2105263157896</v>
      </c>
      <c r="F33" s="482">
        <f t="shared" si="28"/>
        <v>60640.40923189155</v>
      </c>
      <c r="G33" s="483">
        <f t="shared" si="29"/>
        <v>9582.9809282253682</v>
      </c>
      <c r="H33" s="452">
        <f t="shared" si="30"/>
        <v>9582.9809282253682</v>
      </c>
      <c r="I33" s="472">
        <f t="shared" si="0"/>
        <v>0</v>
      </c>
      <c r="J33" s="472"/>
      <c r="K33" s="484"/>
      <c r="L33" s="475">
        <f t="shared" si="2"/>
        <v>0</v>
      </c>
      <c r="M33" s="484"/>
      <c r="N33" s="475">
        <f t="shared" si="4"/>
        <v>0</v>
      </c>
      <c r="O33" s="475">
        <f t="shared" si="5"/>
        <v>0</v>
      </c>
      <c r="P33" s="241"/>
    </row>
    <row r="34" spans="2:16" ht="12.5">
      <c r="B34" s="160" t="str">
        <f t="shared" si="6"/>
        <v/>
      </c>
      <c r="C34" s="469">
        <f>IF(D11="","-",+C33+1)</f>
        <v>2027</v>
      </c>
      <c r="D34" s="482">
        <f>IF(F33+SUM(E$17:E33)=D$10,F33,D$10-SUM(E$17:E33))</f>
        <v>60640.40923189155</v>
      </c>
      <c r="E34" s="481">
        <f>IF(+I14&lt;F33,I14,D34)</f>
        <v>2541.2105263157896</v>
      </c>
      <c r="F34" s="482">
        <f t="shared" si="28"/>
        <v>58099.198705575764</v>
      </c>
      <c r="G34" s="483">
        <f t="shared" si="29"/>
        <v>9293.9431662829829</v>
      </c>
      <c r="H34" s="452">
        <f t="shared" si="30"/>
        <v>9293.9431662829829</v>
      </c>
      <c r="I34" s="472">
        <f t="shared" si="0"/>
        <v>0</v>
      </c>
      <c r="J34" s="472"/>
      <c r="K34" s="484"/>
      <c r="L34" s="475">
        <f t="shared" si="2"/>
        <v>0</v>
      </c>
      <c r="M34" s="484"/>
      <c r="N34" s="475">
        <f t="shared" si="4"/>
        <v>0</v>
      </c>
      <c r="O34" s="475">
        <f t="shared" si="5"/>
        <v>0</v>
      </c>
      <c r="P34" s="241"/>
    </row>
    <row r="35" spans="2:16" ht="12.5">
      <c r="B35" s="160" t="str">
        <f t="shared" si="6"/>
        <v/>
      </c>
      <c r="C35" s="469">
        <f>IF(D11="","-",+C34+1)</f>
        <v>2028</v>
      </c>
      <c r="D35" s="482">
        <f>IF(F34+SUM(E$17:E34)=D$10,F34,D$10-SUM(E$17:E34))</f>
        <v>58099.198705575764</v>
      </c>
      <c r="E35" s="481">
        <f>IF(+I14&lt;F34,I14,D35)</f>
        <v>2541.2105263157896</v>
      </c>
      <c r="F35" s="482">
        <f t="shared" si="28"/>
        <v>55557.988179259977</v>
      </c>
      <c r="G35" s="483">
        <f t="shared" si="29"/>
        <v>9004.9054043405995</v>
      </c>
      <c r="H35" s="452">
        <f t="shared" si="30"/>
        <v>9004.9054043405995</v>
      </c>
      <c r="I35" s="472">
        <f t="shared" si="0"/>
        <v>0</v>
      </c>
      <c r="J35" s="472"/>
      <c r="K35" s="484"/>
      <c r="L35" s="475">
        <f t="shared" si="2"/>
        <v>0</v>
      </c>
      <c r="M35" s="484"/>
      <c r="N35" s="475">
        <f t="shared" si="4"/>
        <v>0</v>
      </c>
      <c r="O35" s="475">
        <f t="shared" si="5"/>
        <v>0</v>
      </c>
      <c r="P35" s="241"/>
    </row>
    <row r="36" spans="2:16" ht="12.5">
      <c r="B36" s="160" t="str">
        <f t="shared" si="6"/>
        <v/>
      </c>
      <c r="C36" s="469">
        <f>IF(D11="","-",+C35+1)</f>
        <v>2029</v>
      </c>
      <c r="D36" s="482">
        <f>IF(F35+SUM(E$17:E35)=D$10,F35,D$10-SUM(E$17:E35))</f>
        <v>55557.988179259977</v>
      </c>
      <c r="E36" s="481">
        <f>IF(+I14&lt;F35,I14,D36)</f>
        <v>2541.2105263157896</v>
      </c>
      <c r="F36" s="482">
        <f t="shared" si="28"/>
        <v>53016.777652944191</v>
      </c>
      <c r="G36" s="483">
        <f t="shared" si="29"/>
        <v>8715.867642398216</v>
      </c>
      <c r="H36" s="452">
        <f t="shared" si="30"/>
        <v>8715.867642398216</v>
      </c>
      <c r="I36" s="472">
        <f t="shared" si="0"/>
        <v>0</v>
      </c>
      <c r="J36" s="472"/>
      <c r="K36" s="484"/>
      <c r="L36" s="475">
        <f t="shared" si="2"/>
        <v>0</v>
      </c>
      <c r="M36" s="484"/>
      <c r="N36" s="475">
        <f t="shared" si="4"/>
        <v>0</v>
      </c>
      <c r="O36" s="475">
        <f t="shared" si="5"/>
        <v>0</v>
      </c>
      <c r="P36" s="241"/>
    </row>
    <row r="37" spans="2:16" ht="12.5">
      <c r="B37" s="160" t="str">
        <f t="shared" si="6"/>
        <v/>
      </c>
      <c r="C37" s="469">
        <f>IF(D11="","-",+C36+1)</f>
        <v>2030</v>
      </c>
      <c r="D37" s="482">
        <f>IF(F36+SUM(E$17:E36)=D$10,F36,D$10-SUM(E$17:E36))</f>
        <v>53016.777652944191</v>
      </c>
      <c r="E37" s="481">
        <f>IF(+I14&lt;F36,I14,D37)</f>
        <v>2541.2105263157896</v>
      </c>
      <c r="F37" s="482">
        <f t="shared" si="28"/>
        <v>50475.567126628404</v>
      </c>
      <c r="G37" s="483">
        <f t="shared" si="29"/>
        <v>8426.8298804558326</v>
      </c>
      <c r="H37" s="452">
        <f t="shared" si="30"/>
        <v>8426.8298804558326</v>
      </c>
      <c r="I37" s="472">
        <f t="shared" si="0"/>
        <v>0</v>
      </c>
      <c r="J37" s="472"/>
      <c r="K37" s="484"/>
      <c r="L37" s="475">
        <f t="shared" si="2"/>
        <v>0</v>
      </c>
      <c r="M37" s="484"/>
      <c r="N37" s="475">
        <f t="shared" si="4"/>
        <v>0</v>
      </c>
      <c r="O37" s="475">
        <f t="shared" si="5"/>
        <v>0</v>
      </c>
      <c r="P37" s="241"/>
    </row>
    <row r="38" spans="2:16" ht="12.5">
      <c r="B38" s="160" t="str">
        <f t="shared" si="6"/>
        <v/>
      </c>
      <c r="C38" s="469">
        <f>IF(D11="","-",+C37+1)</f>
        <v>2031</v>
      </c>
      <c r="D38" s="482">
        <f>IF(F37+SUM(E$17:E37)=D$10,F37,D$10-SUM(E$17:E37))</f>
        <v>50475.567126628404</v>
      </c>
      <c r="E38" s="481">
        <f>IF(+I14&lt;F37,I14,D38)</f>
        <v>2541.2105263157896</v>
      </c>
      <c r="F38" s="482">
        <f t="shared" si="28"/>
        <v>47934.356600312618</v>
      </c>
      <c r="G38" s="483">
        <f t="shared" si="29"/>
        <v>8137.7921185134492</v>
      </c>
      <c r="H38" s="452">
        <f t="shared" si="30"/>
        <v>8137.7921185134492</v>
      </c>
      <c r="I38" s="472">
        <f t="shared" si="0"/>
        <v>0</v>
      </c>
      <c r="J38" s="472"/>
      <c r="K38" s="484"/>
      <c r="L38" s="475">
        <f t="shared" si="2"/>
        <v>0</v>
      </c>
      <c r="M38" s="484"/>
      <c r="N38" s="475">
        <f t="shared" si="4"/>
        <v>0</v>
      </c>
      <c r="O38" s="475">
        <f t="shared" si="5"/>
        <v>0</v>
      </c>
      <c r="P38" s="241"/>
    </row>
    <row r="39" spans="2:16" ht="12.5">
      <c r="B39" s="160" t="str">
        <f t="shared" si="6"/>
        <v/>
      </c>
      <c r="C39" s="469">
        <f>IF(D11="","-",+C38+1)</f>
        <v>2032</v>
      </c>
      <c r="D39" s="482">
        <f>IF(F38+SUM(E$17:E38)=D$10,F38,D$10-SUM(E$17:E38))</f>
        <v>47934.356600312618</v>
      </c>
      <c r="E39" s="481">
        <f>IF(+I14&lt;F38,I14,D39)</f>
        <v>2541.2105263157896</v>
      </c>
      <c r="F39" s="482">
        <f t="shared" si="28"/>
        <v>45393.146073996832</v>
      </c>
      <c r="G39" s="483">
        <f t="shared" si="29"/>
        <v>7848.7543565710657</v>
      </c>
      <c r="H39" s="452">
        <f t="shared" si="30"/>
        <v>7848.7543565710657</v>
      </c>
      <c r="I39" s="472">
        <f t="shared" si="0"/>
        <v>0</v>
      </c>
      <c r="J39" s="472"/>
      <c r="K39" s="484"/>
      <c r="L39" s="475">
        <f t="shared" si="2"/>
        <v>0</v>
      </c>
      <c r="M39" s="484"/>
      <c r="N39" s="475">
        <f t="shared" si="4"/>
        <v>0</v>
      </c>
      <c r="O39" s="475">
        <f t="shared" si="5"/>
        <v>0</v>
      </c>
      <c r="P39" s="241"/>
    </row>
    <row r="40" spans="2:16" ht="12.5">
      <c r="B40" s="160" t="str">
        <f t="shared" si="6"/>
        <v/>
      </c>
      <c r="C40" s="469">
        <f>IF(D11="","-",+C39+1)</f>
        <v>2033</v>
      </c>
      <c r="D40" s="482">
        <f>IF(F39+SUM(E$17:E39)=D$10,F39,D$10-SUM(E$17:E39))</f>
        <v>45393.146073996832</v>
      </c>
      <c r="E40" s="481">
        <f>IF(+I14&lt;F39,I14,D40)</f>
        <v>2541.2105263157896</v>
      </c>
      <c r="F40" s="482">
        <f t="shared" si="28"/>
        <v>42851.935547681045</v>
      </c>
      <c r="G40" s="483">
        <f t="shared" si="29"/>
        <v>7559.7165946286823</v>
      </c>
      <c r="H40" s="452">
        <f t="shared" si="30"/>
        <v>7559.7165946286823</v>
      </c>
      <c r="I40" s="472">
        <f t="shared" si="0"/>
        <v>0</v>
      </c>
      <c r="J40" s="472"/>
      <c r="K40" s="484"/>
      <c r="L40" s="475">
        <f t="shared" si="2"/>
        <v>0</v>
      </c>
      <c r="M40" s="484"/>
      <c r="N40" s="475">
        <f t="shared" si="4"/>
        <v>0</v>
      </c>
      <c r="O40" s="475">
        <f t="shared" si="5"/>
        <v>0</v>
      </c>
      <c r="P40" s="241"/>
    </row>
    <row r="41" spans="2:16" ht="12.5">
      <c r="B41" s="160" t="str">
        <f t="shared" si="6"/>
        <v/>
      </c>
      <c r="C41" s="469">
        <f>IF(D11="","-",+C40+1)</f>
        <v>2034</v>
      </c>
      <c r="D41" s="482">
        <f>IF(F40+SUM(E$17:E40)=D$10,F40,D$10-SUM(E$17:E40))</f>
        <v>42851.935547681045</v>
      </c>
      <c r="E41" s="481">
        <f>IF(+I14&lt;F40,I14,D41)</f>
        <v>2541.2105263157896</v>
      </c>
      <c r="F41" s="482">
        <f t="shared" si="28"/>
        <v>40310.725021365259</v>
      </c>
      <c r="G41" s="483">
        <f t="shared" si="29"/>
        <v>7270.6788326862988</v>
      </c>
      <c r="H41" s="452">
        <f t="shared" si="30"/>
        <v>7270.6788326862988</v>
      </c>
      <c r="I41" s="472">
        <f t="shared" si="0"/>
        <v>0</v>
      </c>
      <c r="J41" s="472"/>
      <c r="K41" s="484"/>
      <c r="L41" s="475">
        <f t="shared" si="2"/>
        <v>0</v>
      </c>
      <c r="M41" s="484"/>
      <c r="N41" s="475">
        <f t="shared" si="4"/>
        <v>0</v>
      </c>
      <c r="O41" s="475">
        <f t="shared" si="5"/>
        <v>0</v>
      </c>
      <c r="P41" s="241"/>
    </row>
    <row r="42" spans="2:16" ht="12.5">
      <c r="B42" s="160" t="str">
        <f t="shared" si="6"/>
        <v/>
      </c>
      <c r="C42" s="469">
        <f>IF(D11="","-",+C41+1)</f>
        <v>2035</v>
      </c>
      <c r="D42" s="482">
        <f>IF(F41+SUM(E$17:E41)=D$10,F41,D$10-SUM(E$17:E41))</f>
        <v>40310.725021365259</v>
      </c>
      <c r="E42" s="481">
        <f>IF(+I14&lt;F41,I14,D42)</f>
        <v>2541.2105263157896</v>
      </c>
      <c r="F42" s="482">
        <f t="shared" si="28"/>
        <v>37769.514495049472</v>
      </c>
      <c r="G42" s="483">
        <f t="shared" si="29"/>
        <v>6981.6410707439136</v>
      </c>
      <c r="H42" s="452">
        <f t="shared" si="30"/>
        <v>6981.6410707439136</v>
      </c>
      <c r="I42" s="472">
        <f t="shared" si="0"/>
        <v>0</v>
      </c>
      <c r="J42" s="472"/>
      <c r="K42" s="484"/>
      <c r="L42" s="475">
        <f t="shared" si="2"/>
        <v>0</v>
      </c>
      <c r="M42" s="484"/>
      <c r="N42" s="475">
        <f t="shared" si="4"/>
        <v>0</v>
      </c>
      <c r="O42" s="475">
        <f t="shared" si="5"/>
        <v>0</v>
      </c>
      <c r="P42" s="241"/>
    </row>
    <row r="43" spans="2:16" ht="12.5">
      <c r="B43" s="160" t="str">
        <f t="shared" si="6"/>
        <v/>
      </c>
      <c r="C43" s="469">
        <f>IF(D11="","-",+C42+1)</f>
        <v>2036</v>
      </c>
      <c r="D43" s="482">
        <f>IF(F42+SUM(E$17:E42)=D$10,F42,D$10-SUM(E$17:E42))</f>
        <v>37769.514495049472</v>
      </c>
      <c r="E43" s="481">
        <f>IF(+I14&lt;F42,I14,D43)</f>
        <v>2541.2105263157896</v>
      </c>
      <c r="F43" s="482">
        <f t="shared" si="28"/>
        <v>35228.303968733686</v>
      </c>
      <c r="G43" s="483">
        <f t="shared" si="29"/>
        <v>6692.6033088015301</v>
      </c>
      <c r="H43" s="452">
        <f t="shared" si="30"/>
        <v>6692.6033088015301</v>
      </c>
      <c r="I43" s="472">
        <f t="shared" si="0"/>
        <v>0</v>
      </c>
      <c r="J43" s="472"/>
      <c r="K43" s="484"/>
      <c r="L43" s="475">
        <f t="shared" si="2"/>
        <v>0</v>
      </c>
      <c r="M43" s="484"/>
      <c r="N43" s="475">
        <f t="shared" si="4"/>
        <v>0</v>
      </c>
      <c r="O43" s="475">
        <f t="shared" si="5"/>
        <v>0</v>
      </c>
      <c r="P43" s="241"/>
    </row>
    <row r="44" spans="2:16" ht="12.5">
      <c r="B44" s="160" t="str">
        <f t="shared" si="6"/>
        <v/>
      </c>
      <c r="C44" s="469">
        <f>IF(D11="","-",+C43+1)</f>
        <v>2037</v>
      </c>
      <c r="D44" s="482">
        <f>IF(F43+SUM(E$17:E43)=D$10,F43,D$10-SUM(E$17:E43))</f>
        <v>35228.303968733686</v>
      </c>
      <c r="E44" s="481">
        <f>IF(+I14&lt;F43,I14,D44)</f>
        <v>2541.2105263157896</v>
      </c>
      <c r="F44" s="482">
        <f t="shared" si="28"/>
        <v>32687.093442417896</v>
      </c>
      <c r="G44" s="483">
        <f t="shared" si="29"/>
        <v>6403.5655468591467</v>
      </c>
      <c r="H44" s="452">
        <f t="shared" si="30"/>
        <v>6403.5655468591467</v>
      </c>
      <c r="I44" s="472">
        <f t="shared" si="0"/>
        <v>0</v>
      </c>
      <c r="J44" s="472"/>
      <c r="K44" s="484"/>
      <c r="L44" s="475">
        <f t="shared" si="2"/>
        <v>0</v>
      </c>
      <c r="M44" s="484"/>
      <c r="N44" s="475">
        <f t="shared" si="4"/>
        <v>0</v>
      </c>
      <c r="O44" s="475">
        <f t="shared" si="5"/>
        <v>0</v>
      </c>
      <c r="P44" s="241"/>
    </row>
    <row r="45" spans="2:16" ht="12.5">
      <c r="B45" s="160" t="str">
        <f t="shared" si="6"/>
        <v/>
      </c>
      <c r="C45" s="469">
        <f>IF(D11="","-",+C44+1)</f>
        <v>2038</v>
      </c>
      <c r="D45" s="482">
        <f>IF(F44+SUM(E$17:E44)=D$10,F44,D$10-SUM(E$17:E44))</f>
        <v>32687.093442417896</v>
      </c>
      <c r="E45" s="481">
        <f>IF(+I14&lt;F44,I14,D45)</f>
        <v>2541.2105263157896</v>
      </c>
      <c r="F45" s="482">
        <f t="shared" si="28"/>
        <v>30145.882916102106</v>
      </c>
      <c r="G45" s="483">
        <f t="shared" si="29"/>
        <v>6114.5277849167633</v>
      </c>
      <c r="H45" s="452">
        <f t="shared" si="30"/>
        <v>6114.5277849167633</v>
      </c>
      <c r="I45" s="472">
        <f t="shared" si="0"/>
        <v>0</v>
      </c>
      <c r="J45" s="472"/>
      <c r="K45" s="484"/>
      <c r="L45" s="475">
        <f t="shared" si="2"/>
        <v>0</v>
      </c>
      <c r="M45" s="484"/>
      <c r="N45" s="475">
        <f t="shared" si="4"/>
        <v>0</v>
      </c>
      <c r="O45" s="475">
        <f t="shared" si="5"/>
        <v>0</v>
      </c>
      <c r="P45" s="241"/>
    </row>
    <row r="46" spans="2:16" ht="12.5">
      <c r="B46" s="160" t="str">
        <f t="shared" si="6"/>
        <v/>
      </c>
      <c r="C46" s="469">
        <f>IF(D11="","-",+C45+1)</f>
        <v>2039</v>
      </c>
      <c r="D46" s="482">
        <f>IF(F45+SUM(E$17:E45)=D$10,F45,D$10-SUM(E$17:E45))</f>
        <v>30145.882916102106</v>
      </c>
      <c r="E46" s="481">
        <f>IF(+I14&lt;F45,I14,D46)</f>
        <v>2541.2105263157896</v>
      </c>
      <c r="F46" s="482">
        <f t="shared" si="28"/>
        <v>27604.672389786316</v>
      </c>
      <c r="G46" s="483">
        <f t="shared" si="29"/>
        <v>5825.4900229743789</v>
      </c>
      <c r="H46" s="452">
        <f t="shared" si="30"/>
        <v>5825.4900229743789</v>
      </c>
      <c r="I46" s="472">
        <f t="shared" si="0"/>
        <v>0</v>
      </c>
      <c r="J46" s="472"/>
      <c r="K46" s="484"/>
      <c r="L46" s="475">
        <f t="shared" si="2"/>
        <v>0</v>
      </c>
      <c r="M46" s="484"/>
      <c r="N46" s="475">
        <f t="shared" si="4"/>
        <v>0</v>
      </c>
      <c r="O46" s="475">
        <f t="shared" si="5"/>
        <v>0</v>
      </c>
      <c r="P46" s="241"/>
    </row>
    <row r="47" spans="2:16" ht="12.5">
      <c r="B47" s="160" t="str">
        <f t="shared" si="6"/>
        <v/>
      </c>
      <c r="C47" s="469">
        <f>IF(D11="","-",+C46+1)</f>
        <v>2040</v>
      </c>
      <c r="D47" s="482">
        <f>IF(F46+SUM(E$17:E46)=D$10,F46,D$10-SUM(E$17:E46))</f>
        <v>27604.672389786316</v>
      </c>
      <c r="E47" s="481">
        <f>IF(+I14&lt;F46,I14,D47)</f>
        <v>2541.2105263157896</v>
      </c>
      <c r="F47" s="482">
        <f t="shared" si="28"/>
        <v>25063.461863470526</v>
      </c>
      <c r="G47" s="483">
        <f t="shared" si="29"/>
        <v>5536.4522610319946</v>
      </c>
      <c r="H47" s="452">
        <f t="shared" si="30"/>
        <v>5536.4522610319946</v>
      </c>
      <c r="I47" s="472">
        <f t="shared" si="0"/>
        <v>0</v>
      </c>
      <c r="J47" s="472"/>
      <c r="K47" s="484"/>
      <c r="L47" s="475">
        <f t="shared" si="2"/>
        <v>0</v>
      </c>
      <c r="M47" s="484"/>
      <c r="N47" s="475">
        <f t="shared" si="4"/>
        <v>0</v>
      </c>
      <c r="O47" s="475">
        <f t="shared" si="5"/>
        <v>0</v>
      </c>
      <c r="P47" s="241"/>
    </row>
    <row r="48" spans="2:16" ht="12.5">
      <c r="B48" s="160" t="str">
        <f t="shared" si="6"/>
        <v/>
      </c>
      <c r="C48" s="469">
        <f>IF(D11="","-",+C47+1)</f>
        <v>2041</v>
      </c>
      <c r="D48" s="482">
        <f>IF(F47+SUM(E$17:E47)=D$10,F47,D$10-SUM(E$17:E47))</f>
        <v>25063.461863470526</v>
      </c>
      <c r="E48" s="481">
        <f>IF(+I14&lt;F47,I14,D48)</f>
        <v>2541.2105263157896</v>
      </c>
      <c r="F48" s="482">
        <f t="shared" si="28"/>
        <v>22522.251337154736</v>
      </c>
      <c r="G48" s="483">
        <f t="shared" si="29"/>
        <v>5247.4144990896111</v>
      </c>
      <c r="H48" s="452">
        <f t="shared" si="30"/>
        <v>5247.4144990896111</v>
      </c>
      <c r="I48" s="472">
        <f t="shared" si="0"/>
        <v>0</v>
      </c>
      <c r="J48" s="472"/>
      <c r="K48" s="484"/>
      <c r="L48" s="475">
        <f t="shared" si="2"/>
        <v>0</v>
      </c>
      <c r="M48" s="484"/>
      <c r="N48" s="475">
        <f t="shared" si="4"/>
        <v>0</v>
      </c>
      <c r="O48" s="475">
        <f t="shared" si="5"/>
        <v>0</v>
      </c>
      <c r="P48" s="241"/>
    </row>
    <row r="49" spans="2:16" ht="12.5">
      <c r="B49" s="160" t="str">
        <f t="shared" si="6"/>
        <v/>
      </c>
      <c r="C49" s="469">
        <f>IF(D11="","-",+C48+1)</f>
        <v>2042</v>
      </c>
      <c r="D49" s="482">
        <f>IF(F48+SUM(E$17:E48)=D$10,F48,D$10-SUM(E$17:E48))</f>
        <v>22522.251337154736</v>
      </c>
      <c r="E49" s="481">
        <f>IF(+I14&lt;F48,I14,D49)</f>
        <v>2541.2105263157896</v>
      </c>
      <c r="F49" s="482">
        <f t="shared" ref="F49:F72" si="31">+D49-E49</f>
        <v>19981.040810838946</v>
      </c>
      <c r="G49" s="483">
        <f t="shared" si="29"/>
        <v>4958.3767371472259</v>
      </c>
      <c r="H49" s="452">
        <f t="shared" si="30"/>
        <v>4958.3767371472259</v>
      </c>
      <c r="I49" s="472">
        <f t="shared" ref="I49:I72" si="32">H49-G49</f>
        <v>0</v>
      </c>
      <c r="J49" s="472"/>
      <c r="K49" s="484"/>
      <c r="L49" s="475">
        <f t="shared" ref="L49:L72" si="33">IF(K49&lt;&gt;0,+G49-K49,0)</f>
        <v>0</v>
      </c>
      <c r="M49" s="484"/>
      <c r="N49" s="475">
        <f t="shared" ref="N49:N72" si="34">IF(M49&lt;&gt;0,+H49-M49,0)</f>
        <v>0</v>
      </c>
      <c r="O49" s="475">
        <f t="shared" ref="O49:O72" si="35">+N49-L49</f>
        <v>0</v>
      </c>
      <c r="P49" s="241"/>
    </row>
    <row r="50" spans="2:16" ht="12.5">
      <c r="B50" s="160" t="str">
        <f t="shared" si="6"/>
        <v/>
      </c>
      <c r="C50" s="469">
        <f>IF(D11="","-",+C49+1)</f>
        <v>2043</v>
      </c>
      <c r="D50" s="482">
        <f>IF(F49+SUM(E$17:E49)=D$10,F49,D$10-SUM(E$17:E49))</f>
        <v>19981.040810838946</v>
      </c>
      <c r="E50" s="481">
        <f>IF(+I14&lt;F49,I14,D50)</f>
        <v>2541.2105263157896</v>
      </c>
      <c r="F50" s="482">
        <f t="shared" si="31"/>
        <v>17439.830284523156</v>
      </c>
      <c r="G50" s="483">
        <f t="shared" si="29"/>
        <v>4669.3389752048424</v>
      </c>
      <c r="H50" s="452">
        <f t="shared" si="30"/>
        <v>4669.3389752048424</v>
      </c>
      <c r="I50" s="472">
        <f t="shared" si="32"/>
        <v>0</v>
      </c>
      <c r="J50" s="472"/>
      <c r="K50" s="484"/>
      <c r="L50" s="475">
        <f t="shared" si="33"/>
        <v>0</v>
      </c>
      <c r="M50" s="484"/>
      <c r="N50" s="475">
        <f t="shared" si="34"/>
        <v>0</v>
      </c>
      <c r="O50" s="475">
        <f t="shared" si="35"/>
        <v>0</v>
      </c>
      <c r="P50" s="241"/>
    </row>
    <row r="51" spans="2:16" ht="12.5">
      <c r="B51" s="160" t="str">
        <f t="shared" si="6"/>
        <v/>
      </c>
      <c r="C51" s="469">
        <f>IF(D11="","-",+C50+1)</f>
        <v>2044</v>
      </c>
      <c r="D51" s="482">
        <f>IF(F50+SUM(E$17:E50)=D$10,F50,D$10-SUM(E$17:E50))</f>
        <v>17439.830284523156</v>
      </c>
      <c r="E51" s="481">
        <f>IF(+I14&lt;F50,I14,D51)</f>
        <v>2541.2105263157896</v>
      </c>
      <c r="F51" s="482">
        <f t="shared" si="31"/>
        <v>14898.619758207366</v>
      </c>
      <c r="G51" s="483">
        <f t="shared" si="29"/>
        <v>4380.3012132624581</v>
      </c>
      <c r="H51" s="452">
        <f t="shared" si="30"/>
        <v>4380.3012132624581</v>
      </c>
      <c r="I51" s="472">
        <f t="shared" si="32"/>
        <v>0</v>
      </c>
      <c r="J51" s="472"/>
      <c r="K51" s="484"/>
      <c r="L51" s="475">
        <f t="shared" si="33"/>
        <v>0</v>
      </c>
      <c r="M51" s="484"/>
      <c r="N51" s="475">
        <f t="shared" si="34"/>
        <v>0</v>
      </c>
      <c r="O51" s="475">
        <f t="shared" si="35"/>
        <v>0</v>
      </c>
      <c r="P51" s="241"/>
    </row>
    <row r="52" spans="2:16" ht="12.5">
      <c r="B52" s="160" t="str">
        <f t="shared" si="6"/>
        <v/>
      </c>
      <c r="C52" s="469">
        <f>IF(D11="","-",+C51+1)</f>
        <v>2045</v>
      </c>
      <c r="D52" s="482">
        <f>IF(F51+SUM(E$17:E51)=D$10,F51,D$10-SUM(E$17:E51))</f>
        <v>14898.619758207366</v>
      </c>
      <c r="E52" s="481">
        <f>IF(+I14&lt;F51,I14,D52)</f>
        <v>2541.2105263157896</v>
      </c>
      <c r="F52" s="482">
        <f t="shared" si="31"/>
        <v>12357.409231891575</v>
      </c>
      <c r="G52" s="483">
        <f t="shared" si="29"/>
        <v>4091.2634513200746</v>
      </c>
      <c r="H52" s="452">
        <f t="shared" si="30"/>
        <v>4091.2634513200746</v>
      </c>
      <c r="I52" s="472">
        <f t="shared" si="32"/>
        <v>0</v>
      </c>
      <c r="J52" s="472"/>
      <c r="K52" s="484"/>
      <c r="L52" s="475">
        <f t="shared" si="33"/>
        <v>0</v>
      </c>
      <c r="M52" s="484"/>
      <c r="N52" s="475">
        <f t="shared" si="34"/>
        <v>0</v>
      </c>
      <c r="O52" s="475">
        <f t="shared" si="35"/>
        <v>0</v>
      </c>
      <c r="P52" s="241"/>
    </row>
    <row r="53" spans="2:16" ht="12.5">
      <c r="B53" s="160" t="str">
        <f t="shared" si="6"/>
        <v/>
      </c>
      <c r="C53" s="469">
        <f>IF(D11="","-",+C52+1)</f>
        <v>2046</v>
      </c>
      <c r="D53" s="482">
        <f>IF(F52+SUM(E$17:E52)=D$10,F52,D$10-SUM(E$17:E52))</f>
        <v>12357.409231891575</v>
      </c>
      <c r="E53" s="481">
        <f>IF(+I14&lt;F52,I14,D53)</f>
        <v>2541.2105263157896</v>
      </c>
      <c r="F53" s="482">
        <f t="shared" si="31"/>
        <v>9816.1987055757854</v>
      </c>
      <c r="G53" s="483">
        <f t="shared" si="29"/>
        <v>3802.2256893776903</v>
      </c>
      <c r="H53" s="452">
        <f t="shared" si="30"/>
        <v>3802.2256893776903</v>
      </c>
      <c r="I53" s="472">
        <f t="shared" si="32"/>
        <v>0</v>
      </c>
      <c r="J53" s="472"/>
      <c r="K53" s="484"/>
      <c r="L53" s="475">
        <f t="shared" si="33"/>
        <v>0</v>
      </c>
      <c r="M53" s="484"/>
      <c r="N53" s="475">
        <f t="shared" si="34"/>
        <v>0</v>
      </c>
      <c r="O53" s="475">
        <f t="shared" si="35"/>
        <v>0</v>
      </c>
      <c r="P53" s="241"/>
    </row>
    <row r="54" spans="2:16" ht="12.5">
      <c r="B54" s="160" t="str">
        <f t="shared" si="6"/>
        <v/>
      </c>
      <c r="C54" s="469">
        <f>IF(D11="","-",+C53+1)</f>
        <v>2047</v>
      </c>
      <c r="D54" s="482">
        <f>IF(F53+SUM(E$17:E53)=D$10,F53,D$10-SUM(E$17:E53))</f>
        <v>9816.1987055757854</v>
      </c>
      <c r="E54" s="481">
        <f>IF(+I14&lt;F53,I14,D54)</f>
        <v>2541.2105263157896</v>
      </c>
      <c r="F54" s="482">
        <f t="shared" si="31"/>
        <v>7274.9881792599954</v>
      </c>
      <c r="G54" s="483">
        <f t="shared" si="29"/>
        <v>3513.1879274353059</v>
      </c>
      <c r="H54" s="452">
        <f t="shared" si="30"/>
        <v>3513.1879274353059</v>
      </c>
      <c r="I54" s="472">
        <f t="shared" si="32"/>
        <v>0</v>
      </c>
      <c r="J54" s="472"/>
      <c r="K54" s="484"/>
      <c r="L54" s="475">
        <f t="shared" si="33"/>
        <v>0</v>
      </c>
      <c r="M54" s="484"/>
      <c r="N54" s="475">
        <f t="shared" si="34"/>
        <v>0</v>
      </c>
      <c r="O54" s="475">
        <f t="shared" si="35"/>
        <v>0</v>
      </c>
      <c r="P54" s="241"/>
    </row>
    <row r="55" spans="2:16" ht="12.5">
      <c r="B55" s="160" t="str">
        <f t="shared" si="6"/>
        <v/>
      </c>
      <c r="C55" s="469">
        <f>IF(D11="","-",+C54+1)</f>
        <v>2048</v>
      </c>
      <c r="D55" s="482">
        <f>IF(F54+SUM(E$17:E54)=D$10,F54,D$10-SUM(E$17:E54))</f>
        <v>7274.9881792599954</v>
      </c>
      <c r="E55" s="481">
        <f>IF(+I14&lt;F54,I14,D55)</f>
        <v>2541.2105263157896</v>
      </c>
      <c r="F55" s="482">
        <f t="shared" si="31"/>
        <v>4733.7776529442053</v>
      </c>
      <c r="G55" s="483">
        <f t="shared" si="29"/>
        <v>3224.150165492922</v>
      </c>
      <c r="H55" s="452">
        <f t="shared" si="30"/>
        <v>3224.150165492922</v>
      </c>
      <c r="I55" s="472">
        <f t="shared" si="32"/>
        <v>0</v>
      </c>
      <c r="J55" s="472"/>
      <c r="K55" s="484"/>
      <c r="L55" s="475">
        <f t="shared" si="33"/>
        <v>0</v>
      </c>
      <c r="M55" s="484"/>
      <c r="N55" s="475">
        <f t="shared" si="34"/>
        <v>0</v>
      </c>
      <c r="O55" s="475">
        <f t="shared" si="35"/>
        <v>0</v>
      </c>
      <c r="P55" s="241"/>
    </row>
    <row r="56" spans="2:16" ht="12.5">
      <c r="B56" s="160" t="str">
        <f t="shared" si="6"/>
        <v/>
      </c>
      <c r="C56" s="469">
        <f>IF(D11="","-",+C55+1)</f>
        <v>2049</v>
      </c>
      <c r="D56" s="482">
        <f>IF(F55+SUM(E$17:E55)=D$10,F55,D$10-SUM(E$17:E55))</f>
        <v>4733.7776529442053</v>
      </c>
      <c r="E56" s="481">
        <f>IF(+I14&lt;F55,I14,D56)</f>
        <v>2541.2105263157896</v>
      </c>
      <c r="F56" s="482">
        <f t="shared" si="31"/>
        <v>2192.5671266284157</v>
      </c>
      <c r="G56" s="483">
        <f t="shared" si="29"/>
        <v>2935.1124035505381</v>
      </c>
      <c r="H56" s="452">
        <f t="shared" si="30"/>
        <v>2935.1124035505381</v>
      </c>
      <c r="I56" s="472">
        <f t="shared" si="32"/>
        <v>0</v>
      </c>
      <c r="J56" s="472"/>
      <c r="K56" s="484"/>
      <c r="L56" s="475">
        <f t="shared" si="33"/>
        <v>0</v>
      </c>
      <c r="M56" s="484"/>
      <c r="N56" s="475">
        <f t="shared" si="34"/>
        <v>0</v>
      </c>
      <c r="O56" s="475">
        <f t="shared" si="35"/>
        <v>0</v>
      </c>
      <c r="P56" s="241"/>
    </row>
    <row r="57" spans="2:16" ht="12.5">
      <c r="B57" s="160" t="str">
        <f t="shared" si="6"/>
        <v/>
      </c>
      <c r="C57" s="469">
        <f>IF(D11="","-",+C56+1)</f>
        <v>2050</v>
      </c>
      <c r="D57" s="482">
        <f>IF(F56+SUM(E$17:E56)=D$10,F56,D$10-SUM(E$17:E56))</f>
        <v>2192.5671266284157</v>
      </c>
      <c r="E57" s="481">
        <f>IF(+I14&lt;F56,I14,D57)</f>
        <v>2192.5671266284157</v>
      </c>
      <c r="F57" s="482">
        <f t="shared" si="31"/>
        <v>0</v>
      </c>
      <c r="G57" s="483">
        <f t="shared" si="29"/>
        <v>2317.2586247601939</v>
      </c>
      <c r="H57" s="452">
        <f t="shared" si="30"/>
        <v>2317.2586247601939</v>
      </c>
      <c r="I57" s="472">
        <f t="shared" si="32"/>
        <v>0</v>
      </c>
      <c r="J57" s="472"/>
      <c r="K57" s="484"/>
      <c r="L57" s="475">
        <f t="shared" si="33"/>
        <v>0</v>
      </c>
      <c r="M57" s="484"/>
      <c r="N57" s="475">
        <f t="shared" si="34"/>
        <v>0</v>
      </c>
      <c r="O57" s="475">
        <f t="shared" si="35"/>
        <v>0</v>
      </c>
      <c r="P57" s="241"/>
    </row>
    <row r="58" spans="2:16" ht="12.5">
      <c r="B58" s="160" t="str">
        <f t="shared" si="6"/>
        <v/>
      </c>
      <c r="C58" s="469">
        <f>IF(D11="","-",+C57+1)</f>
        <v>2051</v>
      </c>
      <c r="D58" s="482">
        <f>IF(F57+SUM(E$17:E57)=D$10,F57,D$10-SUM(E$17:E57))</f>
        <v>0</v>
      </c>
      <c r="E58" s="481">
        <f>IF(+I14&lt;F57,I14,D58)</f>
        <v>0</v>
      </c>
      <c r="F58" s="482">
        <f t="shared" si="31"/>
        <v>0</v>
      </c>
      <c r="G58" s="483">
        <f t="shared" si="29"/>
        <v>0</v>
      </c>
      <c r="H58" s="452">
        <f t="shared" si="30"/>
        <v>0</v>
      </c>
      <c r="I58" s="472">
        <f t="shared" si="32"/>
        <v>0</v>
      </c>
      <c r="J58" s="472"/>
      <c r="K58" s="484"/>
      <c r="L58" s="475">
        <f t="shared" si="33"/>
        <v>0</v>
      </c>
      <c r="M58" s="484"/>
      <c r="N58" s="475">
        <f t="shared" si="34"/>
        <v>0</v>
      </c>
      <c r="O58" s="475">
        <f t="shared" si="35"/>
        <v>0</v>
      </c>
      <c r="P58" s="241"/>
    </row>
    <row r="59" spans="2:16" ht="12.5">
      <c r="B59" s="160" t="str">
        <f t="shared" si="6"/>
        <v/>
      </c>
      <c r="C59" s="469">
        <f>IF(D11="","-",+C58+1)</f>
        <v>2052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31"/>
        <v>0</v>
      </c>
      <c r="G59" s="483">
        <f t="shared" si="29"/>
        <v>0</v>
      </c>
      <c r="H59" s="452">
        <f t="shared" si="30"/>
        <v>0</v>
      </c>
      <c r="I59" s="472">
        <f t="shared" si="32"/>
        <v>0</v>
      </c>
      <c r="J59" s="472"/>
      <c r="K59" s="484"/>
      <c r="L59" s="475">
        <f t="shared" si="33"/>
        <v>0</v>
      </c>
      <c r="M59" s="484"/>
      <c r="N59" s="475">
        <f t="shared" si="34"/>
        <v>0</v>
      </c>
      <c r="O59" s="475">
        <f t="shared" si="35"/>
        <v>0</v>
      </c>
      <c r="P59" s="241"/>
    </row>
    <row r="60" spans="2:16" ht="12.5">
      <c r="B60" s="160" t="str">
        <f t="shared" si="6"/>
        <v/>
      </c>
      <c r="C60" s="469">
        <f>IF(D11="","-",+C59+1)</f>
        <v>2053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1"/>
        <v>0</v>
      </c>
      <c r="G60" s="483">
        <f t="shared" si="29"/>
        <v>0</v>
      </c>
      <c r="H60" s="452">
        <f t="shared" si="30"/>
        <v>0</v>
      </c>
      <c r="I60" s="472">
        <f t="shared" si="32"/>
        <v>0</v>
      </c>
      <c r="J60" s="472"/>
      <c r="K60" s="484"/>
      <c r="L60" s="475">
        <f t="shared" si="33"/>
        <v>0</v>
      </c>
      <c r="M60" s="484"/>
      <c r="N60" s="475">
        <f t="shared" si="34"/>
        <v>0</v>
      </c>
      <c r="O60" s="475">
        <f t="shared" si="35"/>
        <v>0</v>
      </c>
      <c r="P60" s="241"/>
    </row>
    <row r="61" spans="2:16" ht="12.5">
      <c r="B61" s="160" t="str">
        <f t="shared" si="6"/>
        <v/>
      </c>
      <c r="C61" s="469">
        <f>IF(D11="","-",+C60+1)</f>
        <v>2054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1"/>
        <v>0</v>
      </c>
      <c r="G61" s="483">
        <f t="shared" si="29"/>
        <v>0</v>
      </c>
      <c r="H61" s="452">
        <f t="shared" si="30"/>
        <v>0</v>
      </c>
      <c r="I61" s="472">
        <f t="shared" si="32"/>
        <v>0</v>
      </c>
      <c r="J61" s="472"/>
      <c r="K61" s="484"/>
      <c r="L61" s="475">
        <f t="shared" si="33"/>
        <v>0</v>
      </c>
      <c r="M61" s="484"/>
      <c r="N61" s="475">
        <f t="shared" si="34"/>
        <v>0</v>
      </c>
      <c r="O61" s="475">
        <f t="shared" si="35"/>
        <v>0</v>
      </c>
      <c r="P61" s="241"/>
    </row>
    <row r="62" spans="2:16" ht="12.5">
      <c r="B62" s="160" t="str">
        <f t="shared" si="6"/>
        <v/>
      </c>
      <c r="C62" s="469">
        <f>IF(D11="","-",+C61+1)</f>
        <v>2055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1"/>
        <v>0</v>
      </c>
      <c r="G62" s="483">
        <f t="shared" si="29"/>
        <v>0</v>
      </c>
      <c r="H62" s="452">
        <f t="shared" si="30"/>
        <v>0</v>
      </c>
      <c r="I62" s="472">
        <f t="shared" si="32"/>
        <v>0</v>
      </c>
      <c r="J62" s="472"/>
      <c r="K62" s="484"/>
      <c r="L62" s="475">
        <f t="shared" si="33"/>
        <v>0</v>
      </c>
      <c r="M62" s="484"/>
      <c r="N62" s="475">
        <f t="shared" si="34"/>
        <v>0</v>
      </c>
      <c r="O62" s="475">
        <f t="shared" si="35"/>
        <v>0</v>
      </c>
      <c r="P62" s="241"/>
    </row>
    <row r="63" spans="2:16" ht="12.5">
      <c r="B63" s="160" t="str">
        <f t="shared" si="6"/>
        <v/>
      </c>
      <c r="C63" s="469">
        <f>IF(D11="","-",+C62+1)</f>
        <v>2056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1"/>
        <v>0</v>
      </c>
      <c r="G63" s="483">
        <f t="shared" si="29"/>
        <v>0</v>
      </c>
      <c r="H63" s="452">
        <f t="shared" si="30"/>
        <v>0</v>
      </c>
      <c r="I63" s="472">
        <f t="shared" si="32"/>
        <v>0</v>
      </c>
      <c r="J63" s="472"/>
      <c r="K63" s="484"/>
      <c r="L63" s="475">
        <f t="shared" si="33"/>
        <v>0</v>
      </c>
      <c r="M63" s="484"/>
      <c r="N63" s="475">
        <f t="shared" si="34"/>
        <v>0</v>
      </c>
      <c r="O63" s="475">
        <f t="shared" si="35"/>
        <v>0</v>
      </c>
      <c r="P63" s="241"/>
    </row>
    <row r="64" spans="2:16" ht="12.5">
      <c r="B64" s="160" t="str">
        <f t="shared" si="6"/>
        <v/>
      </c>
      <c r="C64" s="469">
        <f>IF(D11="","-",+C63+1)</f>
        <v>2057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1"/>
        <v>0</v>
      </c>
      <c r="G64" s="483">
        <f t="shared" si="29"/>
        <v>0</v>
      </c>
      <c r="H64" s="452">
        <f t="shared" si="30"/>
        <v>0</v>
      </c>
      <c r="I64" s="472">
        <f t="shared" si="32"/>
        <v>0</v>
      </c>
      <c r="J64" s="472"/>
      <c r="K64" s="484"/>
      <c r="L64" s="475">
        <f t="shared" si="33"/>
        <v>0</v>
      </c>
      <c r="M64" s="484"/>
      <c r="N64" s="475">
        <f t="shared" si="34"/>
        <v>0</v>
      </c>
      <c r="O64" s="475">
        <f t="shared" si="35"/>
        <v>0</v>
      </c>
      <c r="P64" s="241"/>
    </row>
    <row r="65" spans="2:16" ht="12.5">
      <c r="B65" s="562" t="str">
        <f t="shared" si="6"/>
        <v/>
      </c>
      <c r="C65" s="469">
        <f>IF(D11="","-",+C64+1)</f>
        <v>2058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1"/>
        <v>0</v>
      </c>
      <c r="G65" s="483">
        <f t="shared" si="29"/>
        <v>0</v>
      </c>
      <c r="H65" s="452">
        <f t="shared" si="30"/>
        <v>0</v>
      </c>
      <c r="I65" s="472">
        <f t="shared" si="32"/>
        <v>0</v>
      </c>
      <c r="J65" s="472"/>
      <c r="K65" s="484"/>
      <c r="L65" s="475">
        <f t="shared" si="33"/>
        <v>0</v>
      </c>
      <c r="M65" s="484"/>
      <c r="N65" s="475">
        <f t="shared" si="34"/>
        <v>0</v>
      </c>
      <c r="O65" s="475">
        <f t="shared" si="35"/>
        <v>0</v>
      </c>
      <c r="P65" s="241"/>
    </row>
    <row r="66" spans="2:16" ht="12.5">
      <c r="B66" s="160" t="str">
        <f t="shared" si="6"/>
        <v/>
      </c>
      <c r="C66" s="469">
        <f>IF(D11="","-",+C65+1)</f>
        <v>2059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1"/>
        <v>0</v>
      </c>
      <c r="G66" s="483">
        <f t="shared" si="29"/>
        <v>0</v>
      </c>
      <c r="H66" s="452">
        <f t="shared" si="30"/>
        <v>0</v>
      </c>
      <c r="I66" s="472">
        <f t="shared" si="32"/>
        <v>0</v>
      </c>
      <c r="J66" s="472"/>
      <c r="K66" s="484"/>
      <c r="L66" s="475">
        <f t="shared" si="33"/>
        <v>0</v>
      </c>
      <c r="M66" s="484"/>
      <c r="N66" s="475">
        <f t="shared" si="34"/>
        <v>0</v>
      </c>
      <c r="O66" s="475">
        <f t="shared" si="35"/>
        <v>0</v>
      </c>
      <c r="P66" s="241"/>
    </row>
    <row r="67" spans="2:16" ht="12.5">
      <c r="B67" s="160" t="str">
        <f t="shared" si="6"/>
        <v/>
      </c>
      <c r="C67" s="469">
        <f>IF(D11="","-",+C66+1)</f>
        <v>2060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1"/>
        <v>0</v>
      </c>
      <c r="G67" s="483">
        <f t="shared" si="29"/>
        <v>0</v>
      </c>
      <c r="H67" s="452">
        <f t="shared" si="30"/>
        <v>0</v>
      </c>
      <c r="I67" s="472">
        <f t="shared" si="32"/>
        <v>0</v>
      </c>
      <c r="J67" s="472"/>
      <c r="K67" s="484"/>
      <c r="L67" s="475">
        <f t="shared" si="33"/>
        <v>0</v>
      </c>
      <c r="M67" s="484"/>
      <c r="N67" s="475">
        <f t="shared" si="34"/>
        <v>0</v>
      </c>
      <c r="O67" s="475">
        <f t="shared" si="35"/>
        <v>0</v>
      </c>
      <c r="P67" s="241"/>
    </row>
    <row r="68" spans="2:16" ht="12.5">
      <c r="B68" s="160" t="str">
        <f t="shared" si="6"/>
        <v/>
      </c>
      <c r="C68" s="469">
        <f>IF(D11="","-",+C67+1)</f>
        <v>2061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1"/>
        <v>0</v>
      </c>
      <c r="G68" s="483">
        <f t="shared" si="29"/>
        <v>0</v>
      </c>
      <c r="H68" s="452">
        <f t="shared" si="30"/>
        <v>0</v>
      </c>
      <c r="I68" s="472">
        <f t="shared" si="32"/>
        <v>0</v>
      </c>
      <c r="J68" s="472"/>
      <c r="K68" s="484"/>
      <c r="L68" s="475">
        <f t="shared" si="33"/>
        <v>0</v>
      </c>
      <c r="M68" s="484"/>
      <c r="N68" s="475">
        <f t="shared" si="34"/>
        <v>0</v>
      </c>
      <c r="O68" s="475">
        <f t="shared" si="35"/>
        <v>0</v>
      </c>
      <c r="P68" s="241"/>
    </row>
    <row r="69" spans="2:16" ht="12.5">
      <c r="B69" s="160" t="str">
        <f t="shared" si="6"/>
        <v/>
      </c>
      <c r="C69" s="469">
        <f>IF(D11="","-",+C68+1)</f>
        <v>2062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1"/>
        <v>0</v>
      </c>
      <c r="G69" s="483">
        <f t="shared" si="29"/>
        <v>0</v>
      </c>
      <c r="H69" s="452">
        <f t="shared" si="30"/>
        <v>0</v>
      </c>
      <c r="I69" s="472">
        <f t="shared" si="32"/>
        <v>0</v>
      </c>
      <c r="J69" s="472"/>
      <c r="K69" s="484"/>
      <c r="L69" s="475">
        <f t="shared" si="33"/>
        <v>0</v>
      </c>
      <c r="M69" s="484"/>
      <c r="N69" s="475">
        <f t="shared" si="34"/>
        <v>0</v>
      </c>
      <c r="O69" s="475">
        <f t="shared" si="35"/>
        <v>0</v>
      </c>
      <c r="P69" s="241"/>
    </row>
    <row r="70" spans="2:16" ht="12.5">
      <c r="B70" s="160" t="str">
        <f t="shared" si="6"/>
        <v/>
      </c>
      <c r="C70" s="469">
        <f>IF(D11="","-",+C69+1)</f>
        <v>2063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1"/>
        <v>0</v>
      </c>
      <c r="G70" s="483">
        <f t="shared" si="29"/>
        <v>0</v>
      </c>
      <c r="H70" s="452">
        <f t="shared" si="30"/>
        <v>0</v>
      </c>
      <c r="I70" s="472">
        <f t="shared" si="32"/>
        <v>0</v>
      </c>
      <c r="J70" s="472"/>
      <c r="K70" s="484"/>
      <c r="L70" s="475">
        <f t="shared" si="33"/>
        <v>0</v>
      </c>
      <c r="M70" s="484"/>
      <c r="N70" s="475">
        <f t="shared" si="34"/>
        <v>0</v>
      </c>
      <c r="O70" s="475">
        <f t="shared" si="35"/>
        <v>0</v>
      </c>
      <c r="P70" s="241"/>
    </row>
    <row r="71" spans="2:16" ht="12.5">
      <c r="B71" s="160" t="str">
        <f t="shared" si="6"/>
        <v/>
      </c>
      <c r="C71" s="469">
        <f>IF(D11="","-",+C70+1)</f>
        <v>2064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1"/>
        <v>0</v>
      </c>
      <c r="G71" s="483">
        <f t="shared" si="29"/>
        <v>0</v>
      </c>
      <c r="H71" s="452">
        <f t="shared" si="30"/>
        <v>0</v>
      </c>
      <c r="I71" s="472">
        <f t="shared" si="32"/>
        <v>0</v>
      </c>
      <c r="J71" s="472"/>
      <c r="K71" s="484"/>
      <c r="L71" s="475">
        <f t="shared" si="33"/>
        <v>0</v>
      </c>
      <c r="M71" s="484"/>
      <c r="N71" s="475">
        <f t="shared" si="34"/>
        <v>0</v>
      </c>
      <c r="O71" s="475">
        <f t="shared" si="35"/>
        <v>0</v>
      </c>
      <c r="P71" s="241"/>
    </row>
    <row r="72" spans="2:16" ht="13" thickBot="1">
      <c r="B72" s="160" t="str">
        <f t="shared" si="6"/>
        <v/>
      </c>
      <c r="C72" s="486">
        <f>IF(D11="","-",+C71+1)</f>
        <v>2065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1"/>
        <v>0</v>
      </c>
      <c r="G72" s="487">
        <f t="shared" si="29"/>
        <v>0</v>
      </c>
      <c r="H72" s="487">
        <f t="shared" si="30"/>
        <v>0</v>
      </c>
      <c r="I72" s="490">
        <f t="shared" si="32"/>
        <v>0</v>
      </c>
      <c r="J72" s="472"/>
      <c r="K72" s="491"/>
      <c r="L72" s="492">
        <f t="shared" si="33"/>
        <v>0</v>
      </c>
      <c r="M72" s="491"/>
      <c r="N72" s="492">
        <f t="shared" si="34"/>
        <v>0</v>
      </c>
      <c r="O72" s="492">
        <f t="shared" si="35"/>
        <v>0</v>
      </c>
      <c r="P72" s="241"/>
    </row>
    <row r="73" spans="2:16" ht="12.5">
      <c r="C73" s="344" t="s">
        <v>77</v>
      </c>
      <c r="D73" s="345"/>
      <c r="E73" s="345">
        <f>SUM(E17:E72)</f>
        <v>96565.999999999956</v>
      </c>
      <c r="F73" s="345"/>
      <c r="G73" s="345">
        <f>SUM(G17:G72)</f>
        <v>356648.68162594148</v>
      </c>
      <c r="H73" s="345">
        <f>SUM(H17:H72)</f>
        <v>356648.68162594148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10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10468.428780405688</v>
      </c>
      <c r="N87" s="505">
        <f>IF(J92&lt;D11,0,VLOOKUP(J92,C17:O72,11))</f>
        <v>10468.428780405688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11492.939049199362</v>
      </c>
      <c r="N88" s="509">
        <f>IF(J92&lt;D11,0,VLOOKUP(J92,C99:P154,7))</f>
        <v>11492.939049199362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Wavetrap Clinton City-Foss Tap 69kV Ckt 1*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1024.5102687936742</v>
      </c>
      <c r="N89" s="514">
        <f>+N88-N87</f>
        <v>1024.5102687936742</v>
      </c>
      <c r="O89" s="515">
        <f>+O88-O87</f>
        <v>0</v>
      </c>
      <c r="P89" s="231"/>
    </row>
    <row r="90" spans="1:16" ht="13.5" thickBot="1">
      <c r="C90" s="493"/>
      <c r="D90" s="516" t="str">
        <f>D8</f>
        <v>DOES NOT MEET SPP $100,000 MINIMUM INVESTMENT FOR REGIONAL BPU SHARING.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TP2009011</v>
      </c>
      <c r="E91" s="519" t="str">
        <f>E9</f>
        <v>SPP Project ID =</v>
      </c>
      <c r="F91" s="519">
        <f>F9</f>
        <v>289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96566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2010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6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2541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2010</v>
      </c>
      <c r="D99" s="470">
        <v>0</v>
      </c>
      <c r="E99" s="477">
        <v>946.5</v>
      </c>
      <c r="F99" s="476">
        <v>95619.5</v>
      </c>
      <c r="G99" s="534">
        <v>47809.75</v>
      </c>
      <c r="H99" s="535">
        <v>8635.0355480484341</v>
      </c>
      <c r="I99" s="536">
        <v>8635.0355480484341</v>
      </c>
      <c r="J99" s="475">
        <f t="shared" ref="J99:J130" si="36">+I99-H99</f>
        <v>0</v>
      </c>
      <c r="K99" s="475"/>
      <c r="L99" s="564">
        <f t="shared" ref="L99:L104" si="37">H99</f>
        <v>8635.0355480484341</v>
      </c>
      <c r="M99" s="565">
        <f t="shared" ref="M99:M130" si="38">IF(L99&lt;&gt;0,+H99-L99,0)</f>
        <v>0</v>
      </c>
      <c r="N99" s="564">
        <f t="shared" ref="N99:N104" si="39">I99</f>
        <v>8635.0355480484341</v>
      </c>
      <c r="O99" s="474">
        <f t="shared" ref="O99:O130" si="40">IF(N99&lt;&gt;0,+I99-N99,0)</f>
        <v>0</v>
      </c>
      <c r="P99" s="474">
        <f t="shared" ref="P99:P130" si="41">+O99-M99</f>
        <v>0</v>
      </c>
    </row>
    <row r="100" spans="1:16" ht="12.5">
      <c r="B100" s="160" t="str">
        <f>IF(D100=F99,"","IU")</f>
        <v/>
      </c>
      <c r="C100" s="469">
        <f>IF(D93="","-",+C99+1)</f>
        <v>2011</v>
      </c>
      <c r="D100" s="470">
        <v>95619.5</v>
      </c>
      <c r="E100" s="477">
        <v>1857</v>
      </c>
      <c r="F100" s="476">
        <v>93762.5</v>
      </c>
      <c r="G100" s="476">
        <v>94691</v>
      </c>
      <c r="H100" s="477">
        <v>15096.07425133265</v>
      </c>
      <c r="I100" s="478">
        <v>15096.07425133265</v>
      </c>
      <c r="J100" s="475">
        <f t="shared" si="36"/>
        <v>0</v>
      </c>
      <c r="K100" s="475"/>
      <c r="L100" s="537">
        <f t="shared" si="37"/>
        <v>15096.07425133265</v>
      </c>
      <c r="M100" s="538">
        <f t="shared" si="38"/>
        <v>0</v>
      </c>
      <c r="N100" s="537">
        <f t="shared" si="39"/>
        <v>15096.07425133265</v>
      </c>
      <c r="O100" s="475">
        <f t="shared" si="40"/>
        <v>0</v>
      </c>
      <c r="P100" s="475">
        <f t="shared" si="41"/>
        <v>0</v>
      </c>
    </row>
    <row r="101" spans="1:16" ht="12.5">
      <c r="B101" s="160" t="str">
        <f t="shared" ref="B101:B154" si="42">IF(D101=F100,"","IU")</f>
        <v/>
      </c>
      <c r="C101" s="469">
        <f>IF(D93="","-",+C100+1)</f>
        <v>2012</v>
      </c>
      <c r="D101" s="470">
        <v>93762.5</v>
      </c>
      <c r="E101" s="477">
        <v>1857</v>
      </c>
      <c r="F101" s="476">
        <v>91905.5</v>
      </c>
      <c r="G101" s="476">
        <v>92834</v>
      </c>
      <c r="H101" s="477">
        <v>15211.679797187964</v>
      </c>
      <c r="I101" s="478">
        <v>15211.679797187964</v>
      </c>
      <c r="J101" s="475">
        <v>0</v>
      </c>
      <c r="K101" s="475"/>
      <c r="L101" s="537">
        <f t="shared" si="37"/>
        <v>15211.679797187964</v>
      </c>
      <c r="M101" s="538">
        <f t="shared" ref="M101:M106" si="43">IF(L101&lt;&gt;0,+H101-L101,0)</f>
        <v>0</v>
      </c>
      <c r="N101" s="537">
        <f t="shared" si="39"/>
        <v>15211.679797187964</v>
      </c>
      <c r="O101" s="475">
        <f t="shared" ref="O101:O106" si="44">IF(N101&lt;&gt;0,+I101-N101,0)</f>
        <v>0</v>
      </c>
      <c r="P101" s="475">
        <f t="shared" ref="P101:P106" si="45">+O101-M101</f>
        <v>0</v>
      </c>
    </row>
    <row r="102" spans="1:16" ht="12.5">
      <c r="B102" s="160" t="str">
        <f t="shared" si="42"/>
        <v/>
      </c>
      <c r="C102" s="469">
        <f>IF(D93="","-",+C101+1)</f>
        <v>2013</v>
      </c>
      <c r="D102" s="470">
        <v>91905.5</v>
      </c>
      <c r="E102" s="477">
        <v>1857</v>
      </c>
      <c r="F102" s="476">
        <v>90048.5</v>
      </c>
      <c r="G102" s="476">
        <v>90977</v>
      </c>
      <c r="H102" s="477">
        <v>14952.192437840908</v>
      </c>
      <c r="I102" s="478">
        <v>14952.192437840908</v>
      </c>
      <c r="J102" s="475">
        <v>0</v>
      </c>
      <c r="K102" s="475"/>
      <c r="L102" s="537">
        <f t="shared" si="37"/>
        <v>14952.192437840908</v>
      </c>
      <c r="M102" s="538">
        <f t="shared" si="43"/>
        <v>0</v>
      </c>
      <c r="N102" s="537">
        <f t="shared" si="39"/>
        <v>14952.192437840908</v>
      </c>
      <c r="O102" s="475">
        <f t="shared" si="44"/>
        <v>0</v>
      </c>
      <c r="P102" s="475">
        <f t="shared" si="45"/>
        <v>0</v>
      </c>
    </row>
    <row r="103" spans="1:16" ht="12.5">
      <c r="B103" s="160" t="str">
        <f t="shared" si="42"/>
        <v/>
      </c>
      <c r="C103" s="469">
        <f>IF(D93="","-",+C102+1)</f>
        <v>2014</v>
      </c>
      <c r="D103" s="470">
        <v>90048.5</v>
      </c>
      <c r="E103" s="477">
        <v>1857</v>
      </c>
      <c r="F103" s="476">
        <v>88191.5</v>
      </c>
      <c r="G103" s="476">
        <v>89120</v>
      </c>
      <c r="H103" s="477">
        <v>14386.907699066522</v>
      </c>
      <c r="I103" s="478">
        <v>14386.907699066522</v>
      </c>
      <c r="J103" s="475">
        <v>0</v>
      </c>
      <c r="K103" s="475"/>
      <c r="L103" s="537">
        <f t="shared" si="37"/>
        <v>14386.907699066522</v>
      </c>
      <c r="M103" s="538">
        <f t="shared" si="43"/>
        <v>0</v>
      </c>
      <c r="N103" s="537">
        <f t="shared" si="39"/>
        <v>14386.907699066522</v>
      </c>
      <c r="O103" s="475">
        <f t="shared" si="44"/>
        <v>0</v>
      </c>
      <c r="P103" s="475">
        <f t="shared" si="45"/>
        <v>0</v>
      </c>
    </row>
    <row r="104" spans="1:16" ht="12.5">
      <c r="B104" s="160" t="str">
        <f t="shared" si="42"/>
        <v/>
      </c>
      <c r="C104" s="469">
        <f>IF(D93="","-",+C103+1)</f>
        <v>2015</v>
      </c>
      <c r="D104" s="470">
        <v>88191.5</v>
      </c>
      <c r="E104" s="477">
        <v>1857</v>
      </c>
      <c r="F104" s="476">
        <v>86334.5</v>
      </c>
      <c r="G104" s="476">
        <v>87263</v>
      </c>
      <c r="H104" s="477">
        <v>13763.334720904193</v>
      </c>
      <c r="I104" s="478">
        <v>13763.334720904193</v>
      </c>
      <c r="J104" s="475">
        <f t="shared" si="36"/>
        <v>0</v>
      </c>
      <c r="K104" s="475"/>
      <c r="L104" s="537">
        <f t="shared" si="37"/>
        <v>13763.334720904193</v>
      </c>
      <c r="M104" s="538">
        <f t="shared" si="43"/>
        <v>0</v>
      </c>
      <c r="N104" s="537">
        <f t="shared" si="39"/>
        <v>13763.334720904193</v>
      </c>
      <c r="O104" s="475">
        <f t="shared" si="44"/>
        <v>0</v>
      </c>
      <c r="P104" s="475">
        <f t="shared" si="45"/>
        <v>0</v>
      </c>
    </row>
    <row r="105" spans="1:16" ht="12.5">
      <c r="B105" s="160" t="str">
        <f t="shared" si="42"/>
        <v/>
      </c>
      <c r="C105" s="469">
        <f>IF(D93="","-",+C104+1)</f>
        <v>2016</v>
      </c>
      <c r="D105" s="470">
        <v>86334.5</v>
      </c>
      <c r="E105" s="477">
        <v>2099</v>
      </c>
      <c r="F105" s="476">
        <v>84235.5</v>
      </c>
      <c r="G105" s="476">
        <v>85285</v>
      </c>
      <c r="H105" s="477">
        <v>13093.579642748955</v>
      </c>
      <c r="I105" s="478">
        <v>13093.579642748955</v>
      </c>
      <c r="J105" s="475">
        <f t="shared" si="36"/>
        <v>0</v>
      </c>
      <c r="K105" s="475"/>
      <c r="L105" s="537">
        <f t="shared" ref="L105:L110" si="46">H105</f>
        <v>13093.579642748955</v>
      </c>
      <c r="M105" s="538">
        <f t="shared" si="43"/>
        <v>0</v>
      </c>
      <c r="N105" s="537">
        <f t="shared" ref="N105:N110" si="47">I105</f>
        <v>13093.579642748955</v>
      </c>
      <c r="O105" s="475">
        <f t="shared" si="44"/>
        <v>0</v>
      </c>
      <c r="P105" s="475">
        <f t="shared" si="45"/>
        <v>0</v>
      </c>
    </row>
    <row r="106" spans="1:16" ht="12.5">
      <c r="B106" s="160" t="str">
        <f t="shared" si="42"/>
        <v/>
      </c>
      <c r="C106" s="469">
        <f>IF(D93="","-",+C105+1)</f>
        <v>2017</v>
      </c>
      <c r="D106" s="470">
        <v>84235.5</v>
      </c>
      <c r="E106" s="477">
        <v>2099</v>
      </c>
      <c r="F106" s="476">
        <v>82136.5</v>
      </c>
      <c r="G106" s="476">
        <v>83186</v>
      </c>
      <c r="H106" s="477">
        <v>12651.353853573521</v>
      </c>
      <c r="I106" s="478">
        <v>12651.353853573521</v>
      </c>
      <c r="J106" s="475">
        <f t="shared" si="36"/>
        <v>0</v>
      </c>
      <c r="K106" s="475"/>
      <c r="L106" s="537">
        <f t="shared" si="46"/>
        <v>12651.353853573521</v>
      </c>
      <c r="M106" s="538">
        <f t="shared" si="43"/>
        <v>0</v>
      </c>
      <c r="N106" s="537">
        <f t="shared" si="47"/>
        <v>12651.353853573521</v>
      </c>
      <c r="O106" s="475">
        <f t="shared" si="44"/>
        <v>0</v>
      </c>
      <c r="P106" s="475">
        <f t="shared" si="45"/>
        <v>0</v>
      </c>
    </row>
    <row r="107" spans="1:16" ht="12.5">
      <c r="B107" s="160" t="str">
        <f t="shared" si="42"/>
        <v/>
      </c>
      <c r="C107" s="469">
        <f>IF(D93="","-",+C106+1)</f>
        <v>2018</v>
      </c>
      <c r="D107" s="470">
        <v>82136.5</v>
      </c>
      <c r="E107" s="477">
        <v>2246</v>
      </c>
      <c r="F107" s="476">
        <v>79890.5</v>
      </c>
      <c r="G107" s="476">
        <v>81013.5</v>
      </c>
      <c r="H107" s="477">
        <v>10568.967843132519</v>
      </c>
      <c r="I107" s="478">
        <v>10568.967843132519</v>
      </c>
      <c r="J107" s="475">
        <f t="shared" si="36"/>
        <v>0</v>
      </c>
      <c r="K107" s="475"/>
      <c r="L107" s="537">
        <f t="shared" si="46"/>
        <v>10568.967843132519</v>
      </c>
      <c r="M107" s="538">
        <f t="shared" ref="M107" si="48">IF(L107&lt;&gt;0,+H107-L107,0)</f>
        <v>0</v>
      </c>
      <c r="N107" s="537">
        <f t="shared" si="47"/>
        <v>10568.967843132519</v>
      </c>
      <c r="O107" s="475">
        <f t="shared" ref="O107" si="49">IF(N107&lt;&gt;0,+I107-N107,0)</f>
        <v>0</v>
      </c>
      <c r="P107" s="475">
        <f t="shared" ref="P107" si="50">+O107-M107</f>
        <v>0</v>
      </c>
    </row>
    <row r="108" spans="1:16" ht="12.5">
      <c r="B108" s="160" t="str">
        <f t="shared" si="42"/>
        <v/>
      </c>
      <c r="C108" s="469">
        <f>IF(D93="","-",+C107+1)</f>
        <v>2019</v>
      </c>
      <c r="D108" s="470">
        <v>79890.5</v>
      </c>
      <c r="E108" s="477">
        <v>2355</v>
      </c>
      <c r="F108" s="476">
        <v>77535.5</v>
      </c>
      <c r="G108" s="476">
        <v>78713</v>
      </c>
      <c r="H108" s="477">
        <v>10471.414334884656</v>
      </c>
      <c r="I108" s="478">
        <v>10471.414334884656</v>
      </c>
      <c r="J108" s="475">
        <f t="shared" si="36"/>
        <v>0</v>
      </c>
      <c r="K108" s="475"/>
      <c r="L108" s="537">
        <f t="shared" si="46"/>
        <v>10471.414334884656</v>
      </c>
      <c r="M108" s="538">
        <f t="shared" ref="M108" si="51">IF(L108&lt;&gt;0,+H108-L108,0)</f>
        <v>0</v>
      </c>
      <c r="N108" s="537">
        <f t="shared" si="47"/>
        <v>10471.414334884656</v>
      </c>
      <c r="O108" s="475">
        <f t="shared" si="40"/>
        <v>0</v>
      </c>
      <c r="P108" s="475">
        <f t="shared" si="41"/>
        <v>0</v>
      </c>
    </row>
    <row r="109" spans="1:16" ht="12.5">
      <c r="B109" s="160" t="str">
        <f t="shared" si="42"/>
        <v/>
      </c>
      <c r="C109" s="469">
        <f>IF(D93="","-",+C108+1)</f>
        <v>2020</v>
      </c>
      <c r="D109" s="470">
        <v>77535.5</v>
      </c>
      <c r="E109" s="477">
        <v>2246</v>
      </c>
      <c r="F109" s="476">
        <v>75289.5</v>
      </c>
      <c r="G109" s="476">
        <v>76412.5</v>
      </c>
      <c r="H109" s="477">
        <v>11056.151171153304</v>
      </c>
      <c r="I109" s="478">
        <v>11056.151171153304</v>
      </c>
      <c r="J109" s="475">
        <f t="shared" si="36"/>
        <v>0</v>
      </c>
      <c r="K109" s="475"/>
      <c r="L109" s="537">
        <f t="shared" si="46"/>
        <v>11056.151171153304</v>
      </c>
      <c r="M109" s="538">
        <f t="shared" ref="M109" si="52">IF(L109&lt;&gt;0,+H109-L109,0)</f>
        <v>0</v>
      </c>
      <c r="N109" s="537">
        <f t="shared" si="47"/>
        <v>11056.151171153304</v>
      </c>
      <c r="O109" s="475">
        <f t="shared" si="40"/>
        <v>0</v>
      </c>
      <c r="P109" s="475">
        <f t="shared" si="41"/>
        <v>0</v>
      </c>
    </row>
    <row r="110" spans="1:16" ht="12.5">
      <c r="B110" s="160" t="str">
        <f t="shared" si="42"/>
        <v/>
      </c>
      <c r="C110" s="469">
        <f>IF(D93="","-",+C109+1)</f>
        <v>2021</v>
      </c>
      <c r="D110" s="470">
        <v>75289.5</v>
      </c>
      <c r="E110" s="477">
        <v>2355</v>
      </c>
      <c r="F110" s="476">
        <v>72934.5</v>
      </c>
      <c r="G110" s="476">
        <v>74112</v>
      </c>
      <c r="H110" s="477">
        <v>10788.411477147845</v>
      </c>
      <c r="I110" s="478">
        <v>10788.411477147845</v>
      </c>
      <c r="J110" s="475">
        <f t="shared" si="36"/>
        <v>0</v>
      </c>
      <c r="K110" s="475"/>
      <c r="L110" s="537">
        <f t="shared" si="46"/>
        <v>10788.411477147845</v>
      </c>
      <c r="M110" s="538">
        <f t="shared" ref="M110" si="53">IF(L110&lt;&gt;0,+H110-L110,0)</f>
        <v>0</v>
      </c>
      <c r="N110" s="537">
        <f t="shared" si="47"/>
        <v>10788.411477147845</v>
      </c>
      <c r="O110" s="475">
        <f t="shared" si="40"/>
        <v>0</v>
      </c>
      <c r="P110" s="475">
        <f t="shared" si="41"/>
        <v>0</v>
      </c>
    </row>
    <row r="111" spans="1:16" ht="12.5">
      <c r="B111" s="160" t="str">
        <f t="shared" si="42"/>
        <v/>
      </c>
      <c r="C111" s="469">
        <f>IF(D93="","-",+C110+1)</f>
        <v>2022</v>
      </c>
      <c r="D111" s="470">
        <v>72934.5</v>
      </c>
      <c r="E111" s="477">
        <v>2476</v>
      </c>
      <c r="F111" s="476">
        <v>70458.5</v>
      </c>
      <c r="G111" s="476">
        <v>71696.5</v>
      </c>
      <c r="H111" s="477">
        <v>10375.710571899024</v>
      </c>
      <c r="I111" s="478">
        <v>10375.710571899024</v>
      </c>
      <c r="J111" s="475">
        <f t="shared" si="36"/>
        <v>0</v>
      </c>
      <c r="K111" s="475"/>
      <c r="L111" s="537">
        <f t="shared" ref="L111" si="54">H111</f>
        <v>10375.710571899024</v>
      </c>
      <c r="M111" s="538">
        <f t="shared" ref="M111" si="55">IF(L111&lt;&gt;0,+H111-L111,0)</f>
        <v>0</v>
      </c>
      <c r="N111" s="537">
        <f t="shared" ref="N111" si="56">I111</f>
        <v>10375.710571899024</v>
      </c>
      <c r="O111" s="475">
        <f t="shared" ref="O111" si="57">IF(N111&lt;&gt;0,+I111-N111,0)</f>
        <v>0</v>
      </c>
      <c r="P111" s="475">
        <f t="shared" ref="P111" si="58">+O111-M111</f>
        <v>0</v>
      </c>
    </row>
    <row r="112" spans="1:16" ht="12.5">
      <c r="B112" s="160" t="str">
        <f t="shared" si="42"/>
        <v/>
      </c>
      <c r="C112" s="469">
        <f>IF(D93="","-",+C111+1)</f>
        <v>2023</v>
      </c>
      <c r="D112" s="470">
        <v>70458.5</v>
      </c>
      <c r="E112" s="477">
        <v>2541</v>
      </c>
      <c r="F112" s="476">
        <v>67917.5</v>
      </c>
      <c r="G112" s="476">
        <v>69188</v>
      </c>
      <c r="H112" s="477">
        <v>10444.141346801007</v>
      </c>
      <c r="I112" s="478">
        <v>10444.141346801007</v>
      </c>
      <c r="J112" s="475">
        <f t="shared" si="36"/>
        <v>0</v>
      </c>
      <c r="K112" s="475"/>
      <c r="L112" s="537">
        <f t="shared" ref="L112" si="59">H112</f>
        <v>10444.141346801007</v>
      </c>
      <c r="M112" s="538">
        <f t="shared" ref="M112" si="60">IF(L112&lt;&gt;0,+H112-L112,0)</f>
        <v>0</v>
      </c>
      <c r="N112" s="537">
        <f t="shared" ref="N112" si="61">I112</f>
        <v>10444.141346801007</v>
      </c>
      <c r="O112" s="475">
        <f t="shared" ref="O112" si="62">IF(N112&lt;&gt;0,+I112-N112,0)</f>
        <v>0</v>
      </c>
      <c r="P112" s="475">
        <f t="shared" ref="P112" si="63">+O112-M112</f>
        <v>0</v>
      </c>
    </row>
    <row r="113" spans="2:16" ht="12.5">
      <c r="B113" s="160" t="str">
        <f t="shared" si="42"/>
        <v/>
      </c>
      <c r="C113" s="469">
        <f>IF(D93="","-",+C112+1)</f>
        <v>2024</v>
      </c>
      <c r="D113" s="344">
        <f>IF(F112+SUM(E$99:E112)=D$92,F112,D$92-SUM(E$99:E112))</f>
        <v>67917.5</v>
      </c>
      <c r="E113" s="483">
        <f>IF(+J96&lt;F112,J96,D113)</f>
        <v>2541</v>
      </c>
      <c r="F113" s="482">
        <f t="shared" ref="F113:F129" si="64">+D113-E113</f>
        <v>65376.5</v>
      </c>
      <c r="G113" s="482">
        <f t="shared" ref="G113:G129" si="65">+(F113+D113)/2</f>
        <v>66647</v>
      </c>
      <c r="H113" s="483">
        <f t="shared" ref="H113:H153" si="66">(D113+F113)/2*J$94+E113</f>
        <v>11492.939049199362</v>
      </c>
      <c r="I113" s="539">
        <f t="shared" ref="I113:I153" si="67">+J$95*G113+E113</f>
        <v>11492.939049199362</v>
      </c>
      <c r="J113" s="475">
        <f t="shared" si="36"/>
        <v>0</v>
      </c>
      <c r="K113" s="475"/>
      <c r="L113" s="484"/>
      <c r="M113" s="475">
        <f t="shared" si="38"/>
        <v>0</v>
      </c>
      <c r="N113" s="484"/>
      <c r="O113" s="475">
        <f t="shared" si="40"/>
        <v>0</v>
      </c>
      <c r="P113" s="475">
        <f t="shared" si="41"/>
        <v>0</v>
      </c>
    </row>
    <row r="114" spans="2:16" ht="12.5">
      <c r="B114" s="160" t="str">
        <f t="shared" si="42"/>
        <v/>
      </c>
      <c r="C114" s="469">
        <f>IF(D93="","-",+C113+1)</f>
        <v>2025</v>
      </c>
      <c r="D114" s="344">
        <f>IF(F113+SUM(E$99:E113)=D$92,F113,D$92-SUM(E$99:E113))</f>
        <v>65376.5</v>
      </c>
      <c r="E114" s="483">
        <f>IF(+J96&lt;F113,J96,D114)</f>
        <v>2541</v>
      </c>
      <c r="F114" s="482">
        <f t="shared" si="64"/>
        <v>62835.5</v>
      </c>
      <c r="G114" s="482">
        <f t="shared" si="65"/>
        <v>64106</v>
      </c>
      <c r="H114" s="483">
        <f t="shared" si="66"/>
        <v>11151.635207705887</v>
      </c>
      <c r="I114" s="539">
        <f t="shared" si="67"/>
        <v>11151.635207705887</v>
      </c>
      <c r="J114" s="475">
        <f t="shared" si="36"/>
        <v>0</v>
      </c>
      <c r="K114" s="475"/>
      <c r="L114" s="484"/>
      <c r="M114" s="475">
        <f t="shared" si="38"/>
        <v>0</v>
      </c>
      <c r="N114" s="484"/>
      <c r="O114" s="475">
        <f t="shared" si="40"/>
        <v>0</v>
      </c>
      <c r="P114" s="475">
        <f t="shared" si="41"/>
        <v>0</v>
      </c>
    </row>
    <row r="115" spans="2:16" ht="12.5">
      <c r="B115" s="160" t="str">
        <f t="shared" si="42"/>
        <v/>
      </c>
      <c r="C115" s="469">
        <f>IF(D93="","-",+C114+1)</f>
        <v>2026</v>
      </c>
      <c r="D115" s="344">
        <f>IF(F114+SUM(E$99:E114)=D$92,F114,D$92-SUM(E$99:E114))</f>
        <v>62835.5</v>
      </c>
      <c r="E115" s="483">
        <f>IF(+J96&lt;F114,J96,D115)</f>
        <v>2541</v>
      </c>
      <c r="F115" s="482">
        <f t="shared" si="64"/>
        <v>60294.5</v>
      </c>
      <c r="G115" s="482">
        <f t="shared" si="65"/>
        <v>61565</v>
      </c>
      <c r="H115" s="483">
        <f t="shared" si="66"/>
        <v>10810.331366212413</v>
      </c>
      <c r="I115" s="539">
        <f t="shared" si="67"/>
        <v>10810.331366212413</v>
      </c>
      <c r="J115" s="475">
        <f t="shared" si="36"/>
        <v>0</v>
      </c>
      <c r="K115" s="475"/>
      <c r="L115" s="484"/>
      <c r="M115" s="475">
        <f t="shared" si="38"/>
        <v>0</v>
      </c>
      <c r="N115" s="484"/>
      <c r="O115" s="475">
        <f t="shared" si="40"/>
        <v>0</v>
      </c>
      <c r="P115" s="475">
        <f t="shared" si="41"/>
        <v>0</v>
      </c>
    </row>
    <row r="116" spans="2:16" ht="12.5">
      <c r="B116" s="160" t="str">
        <f t="shared" si="42"/>
        <v/>
      </c>
      <c r="C116" s="469">
        <f>IF(D93="","-",+C115+1)</f>
        <v>2027</v>
      </c>
      <c r="D116" s="344">
        <f>IF(F115+SUM(E$99:E115)=D$92,F115,D$92-SUM(E$99:E115))</f>
        <v>60294.5</v>
      </c>
      <c r="E116" s="483">
        <f>IF(+J96&lt;F115,J96,D116)</f>
        <v>2541</v>
      </c>
      <c r="F116" s="482">
        <f t="shared" si="64"/>
        <v>57753.5</v>
      </c>
      <c r="G116" s="482">
        <f t="shared" si="65"/>
        <v>59024</v>
      </c>
      <c r="H116" s="483">
        <f t="shared" si="66"/>
        <v>10469.027524718938</v>
      </c>
      <c r="I116" s="539">
        <f t="shared" si="67"/>
        <v>10469.027524718938</v>
      </c>
      <c r="J116" s="475">
        <f t="shared" si="36"/>
        <v>0</v>
      </c>
      <c r="K116" s="475"/>
      <c r="L116" s="484"/>
      <c r="M116" s="475">
        <f t="shared" si="38"/>
        <v>0</v>
      </c>
      <c r="N116" s="484"/>
      <c r="O116" s="475">
        <f t="shared" si="40"/>
        <v>0</v>
      </c>
      <c r="P116" s="475">
        <f t="shared" si="41"/>
        <v>0</v>
      </c>
    </row>
    <row r="117" spans="2:16" ht="12.5">
      <c r="B117" s="160" t="str">
        <f t="shared" si="42"/>
        <v/>
      </c>
      <c r="C117" s="469">
        <f>IF(D93="","-",+C116+1)</f>
        <v>2028</v>
      </c>
      <c r="D117" s="344">
        <f>IF(F116+SUM(E$99:E116)=D$92,F116,D$92-SUM(E$99:E116))</f>
        <v>57753.5</v>
      </c>
      <c r="E117" s="483">
        <f>IF(+J96&lt;F116,J96,D117)</f>
        <v>2541</v>
      </c>
      <c r="F117" s="482">
        <f t="shared" si="64"/>
        <v>55212.5</v>
      </c>
      <c r="G117" s="482">
        <f t="shared" si="65"/>
        <v>56483</v>
      </c>
      <c r="H117" s="483">
        <f t="shared" si="66"/>
        <v>10127.723683225464</v>
      </c>
      <c r="I117" s="539">
        <f t="shared" si="67"/>
        <v>10127.723683225464</v>
      </c>
      <c r="J117" s="475">
        <f t="shared" si="36"/>
        <v>0</v>
      </c>
      <c r="K117" s="475"/>
      <c r="L117" s="484"/>
      <c r="M117" s="475">
        <f t="shared" si="38"/>
        <v>0</v>
      </c>
      <c r="N117" s="484"/>
      <c r="O117" s="475">
        <f t="shared" si="40"/>
        <v>0</v>
      </c>
      <c r="P117" s="475">
        <f t="shared" si="41"/>
        <v>0</v>
      </c>
    </row>
    <row r="118" spans="2:16" ht="12.5">
      <c r="B118" s="160" t="str">
        <f t="shared" si="42"/>
        <v/>
      </c>
      <c r="C118" s="469">
        <f>IF(D93="","-",+C117+1)</f>
        <v>2029</v>
      </c>
      <c r="D118" s="344">
        <f>IF(F117+SUM(E$99:E117)=D$92,F117,D$92-SUM(E$99:E117))</f>
        <v>55212.5</v>
      </c>
      <c r="E118" s="483">
        <f>IF(+J96&lt;F117,J96,D118)</f>
        <v>2541</v>
      </c>
      <c r="F118" s="482">
        <f t="shared" si="64"/>
        <v>52671.5</v>
      </c>
      <c r="G118" s="482">
        <f t="shared" si="65"/>
        <v>53942</v>
      </c>
      <c r="H118" s="483">
        <f t="shared" si="66"/>
        <v>9786.4198417319894</v>
      </c>
      <c r="I118" s="539">
        <f t="shared" si="67"/>
        <v>9786.4198417319894</v>
      </c>
      <c r="J118" s="475">
        <f t="shared" si="36"/>
        <v>0</v>
      </c>
      <c r="K118" s="475"/>
      <c r="L118" s="484"/>
      <c r="M118" s="475">
        <f t="shared" si="38"/>
        <v>0</v>
      </c>
      <c r="N118" s="484"/>
      <c r="O118" s="475">
        <f t="shared" si="40"/>
        <v>0</v>
      </c>
      <c r="P118" s="475">
        <f t="shared" si="41"/>
        <v>0</v>
      </c>
    </row>
    <row r="119" spans="2:16" ht="12.5">
      <c r="B119" s="160" t="str">
        <f t="shared" si="42"/>
        <v/>
      </c>
      <c r="C119" s="469">
        <f>IF(D93="","-",+C118+1)</f>
        <v>2030</v>
      </c>
      <c r="D119" s="344">
        <f>IF(F118+SUM(E$99:E118)=D$92,F118,D$92-SUM(E$99:E118))</f>
        <v>52671.5</v>
      </c>
      <c r="E119" s="483">
        <f>IF(+J96&lt;F118,J96,D119)</f>
        <v>2541</v>
      </c>
      <c r="F119" s="482">
        <f t="shared" si="64"/>
        <v>50130.5</v>
      </c>
      <c r="G119" s="482">
        <f t="shared" si="65"/>
        <v>51401</v>
      </c>
      <c r="H119" s="483">
        <f t="shared" si="66"/>
        <v>9445.116000238515</v>
      </c>
      <c r="I119" s="539">
        <f t="shared" si="67"/>
        <v>9445.116000238515</v>
      </c>
      <c r="J119" s="475">
        <f t="shared" si="36"/>
        <v>0</v>
      </c>
      <c r="K119" s="475"/>
      <c r="L119" s="484"/>
      <c r="M119" s="475">
        <f t="shared" si="38"/>
        <v>0</v>
      </c>
      <c r="N119" s="484"/>
      <c r="O119" s="475">
        <f t="shared" si="40"/>
        <v>0</v>
      </c>
      <c r="P119" s="475">
        <f t="shared" si="41"/>
        <v>0</v>
      </c>
    </row>
    <row r="120" spans="2:16" ht="12.5">
      <c r="B120" s="160" t="str">
        <f t="shared" si="42"/>
        <v/>
      </c>
      <c r="C120" s="469">
        <f>IF(D93="","-",+C119+1)</f>
        <v>2031</v>
      </c>
      <c r="D120" s="344">
        <f>IF(F119+SUM(E$99:E119)=D$92,F119,D$92-SUM(E$99:E119))</f>
        <v>50130.5</v>
      </c>
      <c r="E120" s="483">
        <f>IF(+J96&lt;F119,J96,D120)</f>
        <v>2541</v>
      </c>
      <c r="F120" s="482">
        <f t="shared" si="64"/>
        <v>47589.5</v>
      </c>
      <c r="G120" s="482">
        <f t="shared" si="65"/>
        <v>48860</v>
      </c>
      <c r="H120" s="483">
        <f t="shared" si="66"/>
        <v>9103.8121587450405</v>
      </c>
      <c r="I120" s="539">
        <f t="shared" si="67"/>
        <v>9103.8121587450405</v>
      </c>
      <c r="J120" s="475">
        <f t="shared" si="36"/>
        <v>0</v>
      </c>
      <c r="K120" s="475"/>
      <c r="L120" s="484"/>
      <c r="M120" s="475">
        <f t="shared" si="38"/>
        <v>0</v>
      </c>
      <c r="N120" s="484"/>
      <c r="O120" s="475">
        <f t="shared" si="40"/>
        <v>0</v>
      </c>
      <c r="P120" s="475">
        <f t="shared" si="41"/>
        <v>0</v>
      </c>
    </row>
    <row r="121" spans="2:16" ht="12.5">
      <c r="B121" s="160" t="str">
        <f t="shared" si="42"/>
        <v/>
      </c>
      <c r="C121" s="469">
        <f>IF(D93="","-",+C120+1)</f>
        <v>2032</v>
      </c>
      <c r="D121" s="344">
        <f>IF(F120+SUM(E$99:E120)=D$92,F120,D$92-SUM(E$99:E120))</f>
        <v>47589.5</v>
      </c>
      <c r="E121" s="483">
        <f>IF(+J96&lt;F120,J96,D121)</f>
        <v>2541</v>
      </c>
      <c r="F121" s="482">
        <f t="shared" si="64"/>
        <v>45048.5</v>
      </c>
      <c r="G121" s="482">
        <f t="shared" si="65"/>
        <v>46319</v>
      </c>
      <c r="H121" s="483">
        <f t="shared" si="66"/>
        <v>8762.5083172515679</v>
      </c>
      <c r="I121" s="539">
        <f t="shared" si="67"/>
        <v>8762.5083172515679</v>
      </c>
      <c r="J121" s="475">
        <f t="shared" si="36"/>
        <v>0</v>
      </c>
      <c r="K121" s="475"/>
      <c r="L121" s="484"/>
      <c r="M121" s="475">
        <f t="shared" si="38"/>
        <v>0</v>
      </c>
      <c r="N121" s="484"/>
      <c r="O121" s="475">
        <f t="shared" si="40"/>
        <v>0</v>
      </c>
      <c r="P121" s="475">
        <f t="shared" si="41"/>
        <v>0</v>
      </c>
    </row>
    <row r="122" spans="2:16" ht="12.5">
      <c r="B122" s="160" t="str">
        <f t="shared" si="42"/>
        <v/>
      </c>
      <c r="C122" s="469">
        <f>IF(D93="","-",+C121+1)</f>
        <v>2033</v>
      </c>
      <c r="D122" s="344">
        <f>IF(F121+SUM(E$99:E121)=D$92,F121,D$92-SUM(E$99:E121))</f>
        <v>45048.5</v>
      </c>
      <c r="E122" s="483">
        <f>IF(+J96&lt;F121,J96,D122)</f>
        <v>2541</v>
      </c>
      <c r="F122" s="482">
        <f t="shared" si="64"/>
        <v>42507.5</v>
      </c>
      <c r="G122" s="482">
        <f t="shared" si="65"/>
        <v>43778</v>
      </c>
      <c r="H122" s="483">
        <f t="shared" si="66"/>
        <v>8421.2044757580934</v>
      </c>
      <c r="I122" s="539">
        <f t="shared" si="67"/>
        <v>8421.2044757580934</v>
      </c>
      <c r="J122" s="475">
        <f t="shared" si="36"/>
        <v>0</v>
      </c>
      <c r="K122" s="475"/>
      <c r="L122" s="484"/>
      <c r="M122" s="475">
        <f t="shared" si="38"/>
        <v>0</v>
      </c>
      <c r="N122" s="484"/>
      <c r="O122" s="475">
        <f t="shared" si="40"/>
        <v>0</v>
      </c>
      <c r="P122" s="475">
        <f t="shared" si="41"/>
        <v>0</v>
      </c>
    </row>
    <row r="123" spans="2:16" ht="12.5">
      <c r="B123" s="160" t="str">
        <f t="shared" si="42"/>
        <v/>
      </c>
      <c r="C123" s="469">
        <f>IF(D93="","-",+C122+1)</f>
        <v>2034</v>
      </c>
      <c r="D123" s="344">
        <f>IF(F122+SUM(E$99:E122)=D$92,F122,D$92-SUM(E$99:E122))</f>
        <v>42507.5</v>
      </c>
      <c r="E123" s="483">
        <f>IF(+J96&lt;F122,J96,D123)</f>
        <v>2541</v>
      </c>
      <c r="F123" s="482">
        <f t="shared" si="64"/>
        <v>39966.5</v>
      </c>
      <c r="G123" s="482">
        <f t="shared" si="65"/>
        <v>41237</v>
      </c>
      <c r="H123" s="483">
        <f t="shared" si="66"/>
        <v>8079.9006342646189</v>
      </c>
      <c r="I123" s="539">
        <f t="shared" si="67"/>
        <v>8079.9006342646189</v>
      </c>
      <c r="J123" s="475">
        <f t="shared" si="36"/>
        <v>0</v>
      </c>
      <c r="K123" s="475"/>
      <c r="L123" s="484"/>
      <c r="M123" s="475">
        <f t="shared" si="38"/>
        <v>0</v>
      </c>
      <c r="N123" s="484"/>
      <c r="O123" s="475">
        <f t="shared" si="40"/>
        <v>0</v>
      </c>
      <c r="P123" s="475">
        <f t="shared" si="41"/>
        <v>0</v>
      </c>
    </row>
    <row r="124" spans="2:16" ht="12.5">
      <c r="B124" s="160" t="str">
        <f t="shared" si="42"/>
        <v/>
      </c>
      <c r="C124" s="469">
        <f>IF(D93="","-",+C123+1)</f>
        <v>2035</v>
      </c>
      <c r="D124" s="344">
        <f>IF(F123+SUM(E$99:E123)=D$92,F123,D$92-SUM(E$99:E123))</f>
        <v>39966.5</v>
      </c>
      <c r="E124" s="483">
        <f>IF(+J96&lt;F123,J96,D124)</f>
        <v>2541</v>
      </c>
      <c r="F124" s="482">
        <f t="shared" si="64"/>
        <v>37425.5</v>
      </c>
      <c r="G124" s="482">
        <f t="shared" si="65"/>
        <v>38696</v>
      </c>
      <c r="H124" s="483">
        <f t="shared" si="66"/>
        <v>7738.5967927711445</v>
      </c>
      <c r="I124" s="539">
        <f t="shared" si="67"/>
        <v>7738.5967927711445</v>
      </c>
      <c r="J124" s="475">
        <f t="shared" si="36"/>
        <v>0</v>
      </c>
      <c r="K124" s="475"/>
      <c r="L124" s="484"/>
      <c r="M124" s="475">
        <f t="shared" si="38"/>
        <v>0</v>
      </c>
      <c r="N124" s="484"/>
      <c r="O124" s="475">
        <f t="shared" si="40"/>
        <v>0</v>
      </c>
      <c r="P124" s="475">
        <f t="shared" si="41"/>
        <v>0</v>
      </c>
    </row>
    <row r="125" spans="2:16" ht="12.5">
      <c r="B125" s="160" t="str">
        <f t="shared" si="42"/>
        <v/>
      </c>
      <c r="C125" s="469">
        <f>IF(D93="","-",+C124+1)</f>
        <v>2036</v>
      </c>
      <c r="D125" s="344">
        <f>IF(F124+SUM(E$99:E124)=D$92,F124,D$92-SUM(E$99:E124))</f>
        <v>37425.5</v>
      </c>
      <c r="E125" s="483">
        <f>IF(+J96&lt;F124,J96,D125)</f>
        <v>2541</v>
      </c>
      <c r="F125" s="482">
        <f t="shared" si="64"/>
        <v>34884.5</v>
      </c>
      <c r="G125" s="482">
        <f t="shared" si="65"/>
        <v>36155</v>
      </c>
      <c r="H125" s="483">
        <f t="shared" si="66"/>
        <v>7397.2929512776709</v>
      </c>
      <c r="I125" s="539">
        <f t="shared" si="67"/>
        <v>7397.2929512776709</v>
      </c>
      <c r="J125" s="475">
        <f t="shared" si="36"/>
        <v>0</v>
      </c>
      <c r="K125" s="475"/>
      <c r="L125" s="484"/>
      <c r="M125" s="475">
        <f t="shared" si="38"/>
        <v>0</v>
      </c>
      <c r="N125" s="484"/>
      <c r="O125" s="475">
        <f t="shared" si="40"/>
        <v>0</v>
      </c>
      <c r="P125" s="475">
        <f t="shared" si="41"/>
        <v>0</v>
      </c>
    </row>
    <row r="126" spans="2:16" ht="12.5">
      <c r="B126" s="160" t="str">
        <f t="shared" si="42"/>
        <v/>
      </c>
      <c r="C126" s="469">
        <f>IF(D93="","-",+C125+1)</f>
        <v>2037</v>
      </c>
      <c r="D126" s="344">
        <f>IF(F125+SUM(E$99:E125)=D$92,F125,D$92-SUM(E$99:E125))</f>
        <v>34884.5</v>
      </c>
      <c r="E126" s="483">
        <f>IF(+J96&lt;F125,J96,D126)</f>
        <v>2541</v>
      </c>
      <c r="F126" s="482">
        <f t="shared" si="64"/>
        <v>32343.5</v>
      </c>
      <c r="G126" s="482">
        <f t="shared" si="65"/>
        <v>33614</v>
      </c>
      <c r="H126" s="483">
        <f t="shared" si="66"/>
        <v>7055.9891097841964</v>
      </c>
      <c r="I126" s="539">
        <f t="shared" si="67"/>
        <v>7055.9891097841964</v>
      </c>
      <c r="J126" s="475">
        <f t="shared" si="36"/>
        <v>0</v>
      </c>
      <c r="K126" s="475"/>
      <c r="L126" s="484"/>
      <c r="M126" s="475">
        <f t="shared" si="38"/>
        <v>0</v>
      </c>
      <c r="N126" s="484"/>
      <c r="O126" s="475">
        <f t="shared" si="40"/>
        <v>0</v>
      </c>
      <c r="P126" s="475">
        <f t="shared" si="41"/>
        <v>0</v>
      </c>
    </row>
    <row r="127" spans="2:16" ht="12.5">
      <c r="B127" s="160" t="str">
        <f t="shared" si="42"/>
        <v/>
      </c>
      <c r="C127" s="469">
        <f>IF(D93="","-",+C126+1)</f>
        <v>2038</v>
      </c>
      <c r="D127" s="344">
        <f>IF(F126+SUM(E$99:E126)=D$92,F126,D$92-SUM(E$99:E126))</f>
        <v>32343.5</v>
      </c>
      <c r="E127" s="483">
        <f>IF(+J96&lt;F126,J96,D127)</f>
        <v>2541</v>
      </c>
      <c r="F127" s="482">
        <f t="shared" si="64"/>
        <v>29802.5</v>
      </c>
      <c r="G127" s="482">
        <f t="shared" si="65"/>
        <v>31073</v>
      </c>
      <c r="H127" s="483">
        <f t="shared" si="66"/>
        <v>6714.685268290722</v>
      </c>
      <c r="I127" s="539">
        <f t="shared" si="67"/>
        <v>6714.685268290722</v>
      </c>
      <c r="J127" s="475">
        <f t="shared" si="36"/>
        <v>0</v>
      </c>
      <c r="K127" s="475"/>
      <c r="L127" s="484"/>
      <c r="M127" s="475">
        <f t="shared" si="38"/>
        <v>0</v>
      </c>
      <c r="N127" s="484"/>
      <c r="O127" s="475">
        <f t="shared" si="40"/>
        <v>0</v>
      </c>
      <c r="P127" s="475">
        <f t="shared" si="41"/>
        <v>0</v>
      </c>
    </row>
    <row r="128" spans="2:16" ht="12.5">
      <c r="B128" s="160" t="str">
        <f t="shared" si="42"/>
        <v/>
      </c>
      <c r="C128" s="469">
        <f>IF(D93="","-",+C127+1)</f>
        <v>2039</v>
      </c>
      <c r="D128" s="344">
        <f>IF(F127+SUM(E$99:E127)=D$92,F127,D$92-SUM(E$99:E127))</f>
        <v>29802.5</v>
      </c>
      <c r="E128" s="483">
        <f>IF(+J96&lt;F127,J96,D128)</f>
        <v>2541</v>
      </c>
      <c r="F128" s="482">
        <f t="shared" si="64"/>
        <v>27261.5</v>
      </c>
      <c r="G128" s="482">
        <f t="shared" si="65"/>
        <v>28532</v>
      </c>
      <c r="H128" s="483">
        <f t="shared" si="66"/>
        <v>6373.3814267972484</v>
      </c>
      <c r="I128" s="539">
        <f t="shared" si="67"/>
        <v>6373.3814267972484</v>
      </c>
      <c r="J128" s="475">
        <f t="shared" si="36"/>
        <v>0</v>
      </c>
      <c r="K128" s="475"/>
      <c r="L128" s="484"/>
      <c r="M128" s="475">
        <f t="shared" si="38"/>
        <v>0</v>
      </c>
      <c r="N128" s="484"/>
      <c r="O128" s="475">
        <f t="shared" si="40"/>
        <v>0</v>
      </c>
      <c r="P128" s="475">
        <f t="shared" si="41"/>
        <v>0</v>
      </c>
    </row>
    <row r="129" spans="2:16" ht="12.5">
      <c r="B129" s="160" t="str">
        <f t="shared" si="42"/>
        <v/>
      </c>
      <c r="C129" s="469">
        <f>IF(D93="","-",+C128+1)</f>
        <v>2040</v>
      </c>
      <c r="D129" s="344">
        <f>IF(F128+SUM(E$99:E128)=D$92,F128,D$92-SUM(E$99:E128))</f>
        <v>27261.5</v>
      </c>
      <c r="E129" s="483">
        <f>IF(+J96&lt;F128,J96,D129)</f>
        <v>2541</v>
      </c>
      <c r="F129" s="482">
        <f t="shared" si="64"/>
        <v>24720.5</v>
      </c>
      <c r="G129" s="482">
        <f t="shared" si="65"/>
        <v>25991</v>
      </c>
      <c r="H129" s="483">
        <f t="shared" si="66"/>
        <v>6032.077585303774</v>
      </c>
      <c r="I129" s="539">
        <f t="shared" si="67"/>
        <v>6032.077585303774</v>
      </c>
      <c r="J129" s="475">
        <f t="shared" si="36"/>
        <v>0</v>
      </c>
      <c r="K129" s="475"/>
      <c r="L129" s="484"/>
      <c r="M129" s="475">
        <f t="shared" si="38"/>
        <v>0</v>
      </c>
      <c r="N129" s="484"/>
      <c r="O129" s="475">
        <f t="shared" si="40"/>
        <v>0</v>
      </c>
      <c r="P129" s="475">
        <f t="shared" si="41"/>
        <v>0</v>
      </c>
    </row>
    <row r="130" spans="2:16" ht="12.5">
      <c r="B130" s="160" t="str">
        <f t="shared" si="42"/>
        <v/>
      </c>
      <c r="C130" s="469">
        <f>IF(D93="","-",+C129+1)</f>
        <v>2041</v>
      </c>
      <c r="D130" s="344">
        <f>IF(F129+SUM(E$99:E129)=D$92,F129,D$92-SUM(E$99:E129))</f>
        <v>24720.5</v>
      </c>
      <c r="E130" s="483">
        <f>IF(+J96&lt;F129,J96,D130)</f>
        <v>2541</v>
      </c>
      <c r="F130" s="482">
        <f t="shared" ref="F130:F145" si="68">+D130-E130</f>
        <v>22179.5</v>
      </c>
      <c r="G130" s="482">
        <f t="shared" ref="G130:G145" si="69">+(F130+D130)/2</f>
        <v>23450</v>
      </c>
      <c r="H130" s="483">
        <f t="shared" si="66"/>
        <v>5690.7737438102995</v>
      </c>
      <c r="I130" s="539">
        <f t="shared" si="67"/>
        <v>5690.7737438102995</v>
      </c>
      <c r="J130" s="475">
        <f t="shared" si="36"/>
        <v>0</v>
      </c>
      <c r="K130" s="475"/>
      <c r="L130" s="484"/>
      <c r="M130" s="475">
        <f t="shared" si="38"/>
        <v>0</v>
      </c>
      <c r="N130" s="484"/>
      <c r="O130" s="475">
        <f t="shared" si="40"/>
        <v>0</v>
      </c>
      <c r="P130" s="475">
        <f t="shared" si="41"/>
        <v>0</v>
      </c>
    </row>
    <row r="131" spans="2:16" ht="12.5">
      <c r="B131" s="160" t="str">
        <f t="shared" si="42"/>
        <v/>
      </c>
      <c r="C131" s="469">
        <f>IF(D93="","-",+C130+1)</f>
        <v>2042</v>
      </c>
      <c r="D131" s="344">
        <f>IF(F130+SUM(E$99:E130)=D$92,F130,D$92-SUM(E$99:E130))</f>
        <v>22179.5</v>
      </c>
      <c r="E131" s="483">
        <f>IF(+J96&lt;F130,J96,D131)</f>
        <v>2541</v>
      </c>
      <c r="F131" s="482">
        <f t="shared" si="68"/>
        <v>19638.5</v>
      </c>
      <c r="G131" s="482">
        <f t="shared" si="69"/>
        <v>20909</v>
      </c>
      <c r="H131" s="483">
        <f t="shared" si="66"/>
        <v>5349.469902316825</v>
      </c>
      <c r="I131" s="539">
        <f t="shared" si="67"/>
        <v>5349.469902316825</v>
      </c>
      <c r="J131" s="475">
        <f t="shared" ref="J131:J154" si="70">+I541-H541</f>
        <v>0</v>
      </c>
      <c r="K131" s="475"/>
      <c r="L131" s="484"/>
      <c r="M131" s="475">
        <f t="shared" ref="M131:M154" si="71">IF(L541&lt;&gt;0,+H541-L541,0)</f>
        <v>0</v>
      </c>
      <c r="N131" s="484"/>
      <c r="O131" s="475">
        <f t="shared" ref="O131:O154" si="72">IF(N541&lt;&gt;0,+I541-N541,0)</f>
        <v>0</v>
      </c>
      <c r="P131" s="475">
        <f t="shared" ref="P131:P154" si="73">+O541-M541</f>
        <v>0</v>
      </c>
    </row>
    <row r="132" spans="2:16" ht="12.5">
      <c r="B132" s="160" t="str">
        <f t="shared" si="42"/>
        <v/>
      </c>
      <c r="C132" s="469">
        <f>IF(D93="","-",+C131+1)</f>
        <v>2043</v>
      </c>
      <c r="D132" s="344">
        <f>IF(F131+SUM(E$99:E131)=D$92,F131,D$92-SUM(E$99:E131))</f>
        <v>19638.5</v>
      </c>
      <c r="E132" s="483">
        <f>IF(+J96&lt;F131,J96,D132)</f>
        <v>2541</v>
      </c>
      <c r="F132" s="482">
        <f t="shared" si="68"/>
        <v>17097.5</v>
      </c>
      <c r="G132" s="482">
        <f t="shared" si="69"/>
        <v>18368</v>
      </c>
      <c r="H132" s="483">
        <f t="shared" si="66"/>
        <v>5008.1660608233506</v>
      </c>
      <c r="I132" s="539">
        <f t="shared" si="67"/>
        <v>5008.1660608233506</v>
      </c>
      <c r="J132" s="475">
        <f t="shared" si="70"/>
        <v>0</v>
      </c>
      <c r="K132" s="475"/>
      <c r="L132" s="484"/>
      <c r="M132" s="475">
        <f t="shared" si="71"/>
        <v>0</v>
      </c>
      <c r="N132" s="484"/>
      <c r="O132" s="475">
        <f t="shared" si="72"/>
        <v>0</v>
      </c>
      <c r="P132" s="475">
        <f t="shared" si="73"/>
        <v>0</v>
      </c>
    </row>
    <row r="133" spans="2:16" ht="12.5">
      <c r="B133" s="160" t="str">
        <f t="shared" si="42"/>
        <v/>
      </c>
      <c r="C133" s="469">
        <f>IF(D93="","-",+C132+1)</f>
        <v>2044</v>
      </c>
      <c r="D133" s="344">
        <f>IF(F132+SUM(E$99:E132)=D$92,F132,D$92-SUM(E$99:E132))</f>
        <v>17097.5</v>
      </c>
      <c r="E133" s="483">
        <f>IF(+J96&lt;F132,J96,D133)</f>
        <v>2541</v>
      </c>
      <c r="F133" s="482">
        <f t="shared" si="68"/>
        <v>14556.5</v>
      </c>
      <c r="G133" s="482">
        <f t="shared" si="69"/>
        <v>15827</v>
      </c>
      <c r="H133" s="483">
        <f t="shared" si="66"/>
        <v>4666.8622193298761</v>
      </c>
      <c r="I133" s="539">
        <f t="shared" si="67"/>
        <v>4666.8622193298761</v>
      </c>
      <c r="J133" s="475">
        <f t="shared" si="70"/>
        <v>0</v>
      </c>
      <c r="K133" s="475"/>
      <c r="L133" s="484"/>
      <c r="M133" s="475">
        <f t="shared" si="71"/>
        <v>0</v>
      </c>
      <c r="N133" s="484"/>
      <c r="O133" s="475">
        <f t="shared" si="72"/>
        <v>0</v>
      </c>
      <c r="P133" s="475">
        <f t="shared" si="73"/>
        <v>0</v>
      </c>
    </row>
    <row r="134" spans="2:16" ht="12.5">
      <c r="B134" s="160" t="str">
        <f t="shared" si="42"/>
        <v/>
      </c>
      <c r="C134" s="469">
        <f>IF(D93="","-",+C133+1)</f>
        <v>2045</v>
      </c>
      <c r="D134" s="344">
        <f>IF(F133+SUM(E$99:E133)=D$92,F133,D$92-SUM(E$99:E133))</f>
        <v>14556.5</v>
      </c>
      <c r="E134" s="483">
        <f>IF(+J96&lt;F133,J96,D134)</f>
        <v>2541</v>
      </c>
      <c r="F134" s="482">
        <f t="shared" si="68"/>
        <v>12015.5</v>
      </c>
      <c r="G134" s="482">
        <f t="shared" si="69"/>
        <v>13286</v>
      </c>
      <c r="H134" s="483">
        <f t="shared" si="66"/>
        <v>4325.5583778364025</v>
      </c>
      <c r="I134" s="539">
        <f t="shared" si="67"/>
        <v>4325.5583778364025</v>
      </c>
      <c r="J134" s="475">
        <f t="shared" si="70"/>
        <v>0</v>
      </c>
      <c r="K134" s="475"/>
      <c r="L134" s="484"/>
      <c r="M134" s="475">
        <f t="shared" si="71"/>
        <v>0</v>
      </c>
      <c r="N134" s="484"/>
      <c r="O134" s="475">
        <f t="shared" si="72"/>
        <v>0</v>
      </c>
      <c r="P134" s="475">
        <f t="shared" si="73"/>
        <v>0</v>
      </c>
    </row>
    <row r="135" spans="2:16" ht="12.5">
      <c r="B135" s="160" t="str">
        <f t="shared" si="42"/>
        <v/>
      </c>
      <c r="C135" s="469">
        <f>IF(D93="","-",+C134+1)</f>
        <v>2046</v>
      </c>
      <c r="D135" s="344">
        <f>IF(F134+SUM(E$99:E134)=D$92,F134,D$92-SUM(E$99:E134))</f>
        <v>12015.5</v>
      </c>
      <c r="E135" s="483">
        <f>IF(+J96&lt;F134,J96,D135)</f>
        <v>2541</v>
      </c>
      <c r="F135" s="482">
        <f t="shared" si="68"/>
        <v>9474.5</v>
      </c>
      <c r="G135" s="482">
        <f t="shared" si="69"/>
        <v>10745</v>
      </c>
      <c r="H135" s="483">
        <f t="shared" si="66"/>
        <v>3984.2545363429281</v>
      </c>
      <c r="I135" s="539">
        <f t="shared" si="67"/>
        <v>3984.2545363429281</v>
      </c>
      <c r="J135" s="475">
        <f t="shared" si="70"/>
        <v>0</v>
      </c>
      <c r="K135" s="475"/>
      <c r="L135" s="484"/>
      <c r="M135" s="475">
        <f t="shared" si="71"/>
        <v>0</v>
      </c>
      <c r="N135" s="484"/>
      <c r="O135" s="475">
        <f t="shared" si="72"/>
        <v>0</v>
      </c>
      <c r="P135" s="475">
        <f t="shared" si="73"/>
        <v>0</v>
      </c>
    </row>
    <row r="136" spans="2:16" ht="12.5">
      <c r="B136" s="160" t="str">
        <f t="shared" si="42"/>
        <v/>
      </c>
      <c r="C136" s="469">
        <f>IF(D93="","-",+C135+1)</f>
        <v>2047</v>
      </c>
      <c r="D136" s="344">
        <f>IF(F135+SUM(E$99:E135)=D$92,F135,D$92-SUM(E$99:E135))</f>
        <v>9474.5</v>
      </c>
      <c r="E136" s="483">
        <f>IF(+J96&lt;F135,J96,D136)</f>
        <v>2541</v>
      </c>
      <c r="F136" s="482">
        <f t="shared" si="68"/>
        <v>6933.5</v>
      </c>
      <c r="G136" s="482">
        <f t="shared" si="69"/>
        <v>8204</v>
      </c>
      <c r="H136" s="483">
        <f t="shared" si="66"/>
        <v>3642.9506948494541</v>
      </c>
      <c r="I136" s="539">
        <f t="shared" si="67"/>
        <v>3642.9506948494541</v>
      </c>
      <c r="J136" s="475">
        <f t="shared" si="70"/>
        <v>0</v>
      </c>
      <c r="K136" s="475"/>
      <c r="L136" s="484"/>
      <c r="M136" s="475">
        <f t="shared" si="71"/>
        <v>0</v>
      </c>
      <c r="N136" s="484"/>
      <c r="O136" s="475">
        <f t="shared" si="72"/>
        <v>0</v>
      </c>
      <c r="P136" s="475">
        <f t="shared" si="73"/>
        <v>0</v>
      </c>
    </row>
    <row r="137" spans="2:16" ht="12.5">
      <c r="B137" s="160" t="str">
        <f t="shared" si="42"/>
        <v/>
      </c>
      <c r="C137" s="469">
        <f>IF(D93="","-",+C136+1)</f>
        <v>2048</v>
      </c>
      <c r="D137" s="344">
        <f>IF(F136+SUM(E$99:E136)=D$92,F136,D$92-SUM(E$99:E136))</f>
        <v>6933.5</v>
      </c>
      <c r="E137" s="483">
        <f>IF(+J96&lt;F136,J96,D137)</f>
        <v>2541</v>
      </c>
      <c r="F137" s="482">
        <f t="shared" si="68"/>
        <v>4392.5</v>
      </c>
      <c r="G137" s="482">
        <f t="shared" si="69"/>
        <v>5663</v>
      </c>
      <c r="H137" s="483">
        <f t="shared" si="66"/>
        <v>3301.6468533559796</v>
      </c>
      <c r="I137" s="539">
        <f t="shared" si="67"/>
        <v>3301.6468533559796</v>
      </c>
      <c r="J137" s="475">
        <f t="shared" si="70"/>
        <v>0</v>
      </c>
      <c r="K137" s="475"/>
      <c r="L137" s="484"/>
      <c r="M137" s="475">
        <f t="shared" si="71"/>
        <v>0</v>
      </c>
      <c r="N137" s="484"/>
      <c r="O137" s="475">
        <f t="shared" si="72"/>
        <v>0</v>
      </c>
      <c r="P137" s="475">
        <f t="shared" si="73"/>
        <v>0</v>
      </c>
    </row>
    <row r="138" spans="2:16" ht="12.5">
      <c r="B138" s="160" t="str">
        <f t="shared" si="42"/>
        <v/>
      </c>
      <c r="C138" s="469">
        <f>IF(D93="","-",+C137+1)</f>
        <v>2049</v>
      </c>
      <c r="D138" s="344">
        <f>IF(F137+SUM(E$99:E137)=D$92,F137,D$92-SUM(E$99:E137))</f>
        <v>4392.5</v>
      </c>
      <c r="E138" s="483">
        <f>IF(+J96&lt;F137,J96,D138)</f>
        <v>2541</v>
      </c>
      <c r="F138" s="482">
        <f t="shared" si="68"/>
        <v>1851.5</v>
      </c>
      <c r="G138" s="482">
        <f t="shared" si="69"/>
        <v>3122</v>
      </c>
      <c r="H138" s="483">
        <f t="shared" si="66"/>
        <v>2960.3430118625056</v>
      </c>
      <c r="I138" s="539">
        <f t="shared" si="67"/>
        <v>2960.3430118625056</v>
      </c>
      <c r="J138" s="475">
        <f t="shared" si="70"/>
        <v>0</v>
      </c>
      <c r="K138" s="475"/>
      <c r="L138" s="484"/>
      <c r="M138" s="475">
        <f t="shared" si="71"/>
        <v>0</v>
      </c>
      <c r="N138" s="484"/>
      <c r="O138" s="475">
        <f t="shared" si="72"/>
        <v>0</v>
      </c>
      <c r="P138" s="475">
        <f t="shared" si="73"/>
        <v>0</v>
      </c>
    </row>
    <row r="139" spans="2:16" ht="12.5">
      <c r="B139" s="160" t="str">
        <f t="shared" si="42"/>
        <v/>
      </c>
      <c r="C139" s="469">
        <f>IF(D93="","-",+C138+1)</f>
        <v>2050</v>
      </c>
      <c r="D139" s="344">
        <f>IF(F138+SUM(E$99:E138)=D$92,F138,D$92-SUM(E$99:E138))</f>
        <v>1851.5</v>
      </c>
      <c r="E139" s="483">
        <f>IF(+J96&lt;F138,J96,D139)</f>
        <v>1851.5</v>
      </c>
      <c r="F139" s="482">
        <f t="shared" si="68"/>
        <v>0</v>
      </c>
      <c r="G139" s="482">
        <f t="shared" si="69"/>
        <v>925.75</v>
      </c>
      <c r="H139" s="483">
        <f t="shared" si="66"/>
        <v>1975.8455455578842</v>
      </c>
      <c r="I139" s="539">
        <f t="shared" si="67"/>
        <v>1975.8455455578842</v>
      </c>
      <c r="J139" s="475">
        <f t="shared" si="70"/>
        <v>0</v>
      </c>
      <c r="K139" s="475"/>
      <c r="L139" s="484"/>
      <c r="M139" s="475">
        <f t="shared" si="71"/>
        <v>0</v>
      </c>
      <c r="N139" s="484"/>
      <c r="O139" s="475">
        <f t="shared" si="72"/>
        <v>0</v>
      </c>
      <c r="P139" s="475">
        <f t="shared" si="73"/>
        <v>0</v>
      </c>
    </row>
    <row r="140" spans="2:16" ht="12.5">
      <c r="B140" s="160" t="str">
        <f t="shared" si="42"/>
        <v/>
      </c>
      <c r="C140" s="469">
        <f>IF(D93="","-",+C139+1)</f>
        <v>2051</v>
      </c>
      <c r="D140" s="344">
        <f>IF(F139+SUM(E$99:E139)=D$92,F139,D$92-SUM(E$99:E139))</f>
        <v>0</v>
      </c>
      <c r="E140" s="483">
        <f>IF(+J96&lt;F139,J96,D140)</f>
        <v>0</v>
      </c>
      <c r="F140" s="482">
        <f t="shared" si="68"/>
        <v>0</v>
      </c>
      <c r="G140" s="482">
        <f t="shared" si="69"/>
        <v>0</v>
      </c>
      <c r="H140" s="483">
        <f t="shared" si="66"/>
        <v>0</v>
      </c>
      <c r="I140" s="539">
        <f t="shared" si="67"/>
        <v>0</v>
      </c>
      <c r="J140" s="475">
        <f t="shared" si="70"/>
        <v>0</v>
      </c>
      <c r="K140" s="475"/>
      <c r="L140" s="484"/>
      <c r="M140" s="475">
        <f t="shared" si="71"/>
        <v>0</v>
      </c>
      <c r="N140" s="484"/>
      <c r="O140" s="475">
        <f t="shared" si="72"/>
        <v>0</v>
      </c>
      <c r="P140" s="475">
        <f t="shared" si="73"/>
        <v>0</v>
      </c>
    </row>
    <row r="141" spans="2:16" ht="12.5">
      <c r="B141" s="160" t="str">
        <f t="shared" si="42"/>
        <v/>
      </c>
      <c r="C141" s="469">
        <f>IF(D93="","-",+C140+1)</f>
        <v>2052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68"/>
        <v>0</v>
      </c>
      <c r="G141" s="482">
        <f t="shared" si="69"/>
        <v>0</v>
      </c>
      <c r="H141" s="483">
        <f t="shared" si="66"/>
        <v>0</v>
      </c>
      <c r="I141" s="539">
        <f t="shared" si="67"/>
        <v>0</v>
      </c>
      <c r="J141" s="475">
        <f t="shared" si="70"/>
        <v>0</v>
      </c>
      <c r="K141" s="475"/>
      <c r="L141" s="484"/>
      <c r="M141" s="475">
        <f t="shared" si="71"/>
        <v>0</v>
      </c>
      <c r="N141" s="484"/>
      <c r="O141" s="475">
        <f t="shared" si="72"/>
        <v>0</v>
      </c>
      <c r="P141" s="475">
        <f t="shared" si="73"/>
        <v>0</v>
      </c>
    </row>
    <row r="142" spans="2:16" ht="12.5">
      <c r="B142" s="160" t="str">
        <f t="shared" si="42"/>
        <v/>
      </c>
      <c r="C142" s="469">
        <f>IF(D93="","-",+C141+1)</f>
        <v>2053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68"/>
        <v>0</v>
      </c>
      <c r="G142" s="482">
        <f t="shared" si="69"/>
        <v>0</v>
      </c>
      <c r="H142" s="483">
        <f t="shared" si="66"/>
        <v>0</v>
      </c>
      <c r="I142" s="539">
        <f t="shared" si="67"/>
        <v>0</v>
      </c>
      <c r="J142" s="475">
        <f t="shared" si="70"/>
        <v>0</v>
      </c>
      <c r="K142" s="475"/>
      <c r="L142" s="484"/>
      <c r="M142" s="475">
        <f t="shared" si="71"/>
        <v>0</v>
      </c>
      <c r="N142" s="484"/>
      <c r="O142" s="475">
        <f t="shared" si="72"/>
        <v>0</v>
      </c>
      <c r="P142" s="475">
        <f t="shared" si="73"/>
        <v>0</v>
      </c>
    </row>
    <row r="143" spans="2:16" ht="12.5">
      <c r="B143" s="160" t="str">
        <f t="shared" si="42"/>
        <v/>
      </c>
      <c r="C143" s="469">
        <f>IF(D93="","-",+C142+1)</f>
        <v>2054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68"/>
        <v>0</v>
      </c>
      <c r="G143" s="482">
        <f t="shared" si="69"/>
        <v>0</v>
      </c>
      <c r="H143" s="483">
        <f t="shared" si="66"/>
        <v>0</v>
      </c>
      <c r="I143" s="539">
        <f t="shared" si="67"/>
        <v>0</v>
      </c>
      <c r="J143" s="475">
        <f t="shared" si="70"/>
        <v>0</v>
      </c>
      <c r="K143" s="475"/>
      <c r="L143" s="484"/>
      <c r="M143" s="475">
        <f t="shared" si="71"/>
        <v>0</v>
      </c>
      <c r="N143" s="484"/>
      <c r="O143" s="475">
        <f t="shared" si="72"/>
        <v>0</v>
      </c>
      <c r="P143" s="475">
        <f t="shared" si="73"/>
        <v>0</v>
      </c>
    </row>
    <row r="144" spans="2:16" ht="12.5">
      <c r="B144" s="160" t="str">
        <f t="shared" si="42"/>
        <v/>
      </c>
      <c r="C144" s="469">
        <f>IF(D93="","-",+C143+1)</f>
        <v>2055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68"/>
        <v>0</v>
      </c>
      <c r="G144" s="482">
        <f t="shared" si="69"/>
        <v>0</v>
      </c>
      <c r="H144" s="483">
        <f t="shared" si="66"/>
        <v>0</v>
      </c>
      <c r="I144" s="539">
        <f t="shared" si="67"/>
        <v>0</v>
      </c>
      <c r="J144" s="475">
        <f t="shared" si="70"/>
        <v>0</v>
      </c>
      <c r="K144" s="475"/>
      <c r="L144" s="484"/>
      <c r="M144" s="475">
        <f t="shared" si="71"/>
        <v>0</v>
      </c>
      <c r="N144" s="484"/>
      <c r="O144" s="475">
        <f t="shared" si="72"/>
        <v>0</v>
      </c>
      <c r="P144" s="475">
        <f t="shared" si="73"/>
        <v>0</v>
      </c>
    </row>
    <row r="145" spans="2:16" ht="12.5">
      <c r="B145" s="160" t="str">
        <f t="shared" si="42"/>
        <v/>
      </c>
      <c r="C145" s="469">
        <f>IF(D93="","-",+C144+1)</f>
        <v>2056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68"/>
        <v>0</v>
      </c>
      <c r="G145" s="482">
        <f t="shared" si="69"/>
        <v>0</v>
      </c>
      <c r="H145" s="483">
        <f t="shared" si="66"/>
        <v>0</v>
      </c>
      <c r="I145" s="539">
        <f t="shared" si="67"/>
        <v>0</v>
      </c>
      <c r="J145" s="475">
        <f t="shared" si="70"/>
        <v>0</v>
      </c>
      <c r="K145" s="475"/>
      <c r="L145" s="484"/>
      <c r="M145" s="475">
        <f t="shared" si="71"/>
        <v>0</v>
      </c>
      <c r="N145" s="484"/>
      <c r="O145" s="475">
        <f t="shared" si="72"/>
        <v>0</v>
      </c>
      <c r="P145" s="475">
        <f t="shared" si="73"/>
        <v>0</v>
      </c>
    </row>
    <row r="146" spans="2:16" ht="12.5">
      <c r="B146" s="160" t="str">
        <f t="shared" si="42"/>
        <v/>
      </c>
      <c r="C146" s="469">
        <f>IF(D93="","-",+C145+1)</f>
        <v>2057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ref="F146:F154" si="74">+D146-E146</f>
        <v>0</v>
      </c>
      <c r="G146" s="482">
        <f t="shared" ref="G146:G154" si="75">+(F146+D146)/2</f>
        <v>0</v>
      </c>
      <c r="H146" s="483">
        <f t="shared" si="66"/>
        <v>0</v>
      </c>
      <c r="I146" s="539">
        <f t="shared" si="67"/>
        <v>0</v>
      </c>
      <c r="J146" s="475">
        <f t="shared" si="70"/>
        <v>0</v>
      </c>
      <c r="K146" s="475"/>
      <c r="L146" s="484"/>
      <c r="M146" s="475">
        <f t="shared" si="71"/>
        <v>0</v>
      </c>
      <c r="N146" s="484"/>
      <c r="O146" s="475">
        <f t="shared" si="72"/>
        <v>0</v>
      </c>
      <c r="P146" s="475">
        <f t="shared" si="73"/>
        <v>0</v>
      </c>
    </row>
    <row r="147" spans="2:16" ht="12.5">
      <c r="B147" s="160" t="str">
        <f t="shared" si="42"/>
        <v/>
      </c>
      <c r="C147" s="469">
        <f>IF(D93="","-",+C146+1)</f>
        <v>2058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74"/>
        <v>0</v>
      </c>
      <c r="G147" s="482">
        <f t="shared" si="75"/>
        <v>0</v>
      </c>
      <c r="H147" s="483">
        <f t="shared" si="66"/>
        <v>0</v>
      </c>
      <c r="I147" s="539">
        <f t="shared" si="67"/>
        <v>0</v>
      </c>
      <c r="J147" s="475">
        <f t="shared" si="70"/>
        <v>0</v>
      </c>
      <c r="K147" s="475"/>
      <c r="L147" s="484"/>
      <c r="M147" s="475">
        <f t="shared" si="71"/>
        <v>0</v>
      </c>
      <c r="N147" s="484"/>
      <c r="O147" s="475">
        <f t="shared" si="72"/>
        <v>0</v>
      </c>
      <c r="P147" s="475">
        <f t="shared" si="73"/>
        <v>0</v>
      </c>
    </row>
    <row r="148" spans="2:16" ht="12.5">
      <c r="B148" s="160" t="str">
        <f t="shared" si="42"/>
        <v/>
      </c>
      <c r="C148" s="469">
        <f>IF(D93="","-",+C147+1)</f>
        <v>2059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74"/>
        <v>0</v>
      </c>
      <c r="G148" s="482">
        <f t="shared" si="75"/>
        <v>0</v>
      </c>
      <c r="H148" s="483">
        <f t="shared" si="66"/>
        <v>0</v>
      </c>
      <c r="I148" s="539">
        <f t="shared" si="67"/>
        <v>0</v>
      </c>
      <c r="J148" s="475">
        <f t="shared" si="70"/>
        <v>0</v>
      </c>
      <c r="K148" s="475"/>
      <c r="L148" s="484"/>
      <c r="M148" s="475">
        <f t="shared" si="71"/>
        <v>0</v>
      </c>
      <c r="N148" s="484"/>
      <c r="O148" s="475">
        <f t="shared" si="72"/>
        <v>0</v>
      </c>
      <c r="P148" s="475">
        <f t="shared" si="73"/>
        <v>0</v>
      </c>
    </row>
    <row r="149" spans="2:16" ht="12.5">
      <c r="B149" s="160" t="str">
        <f t="shared" si="42"/>
        <v/>
      </c>
      <c r="C149" s="469">
        <f>IF(D93="","-",+C148+1)</f>
        <v>2060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74"/>
        <v>0</v>
      </c>
      <c r="G149" s="482">
        <f t="shared" si="75"/>
        <v>0</v>
      </c>
      <c r="H149" s="483">
        <f t="shared" si="66"/>
        <v>0</v>
      </c>
      <c r="I149" s="539">
        <f t="shared" si="67"/>
        <v>0</v>
      </c>
      <c r="J149" s="475">
        <f t="shared" si="70"/>
        <v>0</v>
      </c>
      <c r="K149" s="475"/>
      <c r="L149" s="484"/>
      <c r="M149" s="475">
        <f t="shared" si="71"/>
        <v>0</v>
      </c>
      <c r="N149" s="484"/>
      <c r="O149" s="475">
        <f t="shared" si="72"/>
        <v>0</v>
      </c>
      <c r="P149" s="475">
        <f t="shared" si="73"/>
        <v>0</v>
      </c>
    </row>
    <row r="150" spans="2:16" ht="12.5">
      <c r="B150" s="160" t="str">
        <f t="shared" si="42"/>
        <v/>
      </c>
      <c r="C150" s="469">
        <f>IF(D93="","-",+C149+1)</f>
        <v>2061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74"/>
        <v>0</v>
      </c>
      <c r="G150" s="482">
        <f t="shared" si="75"/>
        <v>0</v>
      </c>
      <c r="H150" s="483">
        <f t="shared" si="66"/>
        <v>0</v>
      </c>
      <c r="I150" s="539">
        <f t="shared" si="67"/>
        <v>0</v>
      </c>
      <c r="J150" s="475">
        <f t="shared" si="70"/>
        <v>0</v>
      </c>
      <c r="K150" s="475"/>
      <c r="L150" s="484"/>
      <c r="M150" s="475">
        <f t="shared" si="71"/>
        <v>0</v>
      </c>
      <c r="N150" s="484"/>
      <c r="O150" s="475">
        <f t="shared" si="72"/>
        <v>0</v>
      </c>
      <c r="P150" s="475">
        <f t="shared" si="73"/>
        <v>0</v>
      </c>
    </row>
    <row r="151" spans="2:16" ht="12.5">
      <c r="B151" s="160" t="str">
        <f t="shared" si="42"/>
        <v/>
      </c>
      <c r="C151" s="469">
        <f>IF(D93="","-",+C150+1)</f>
        <v>2062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74"/>
        <v>0</v>
      </c>
      <c r="G151" s="482">
        <f t="shared" si="75"/>
        <v>0</v>
      </c>
      <c r="H151" s="483">
        <f t="shared" si="66"/>
        <v>0</v>
      </c>
      <c r="I151" s="539">
        <f t="shared" si="67"/>
        <v>0</v>
      </c>
      <c r="J151" s="475">
        <f t="shared" si="70"/>
        <v>0</v>
      </c>
      <c r="K151" s="475"/>
      <c r="L151" s="484"/>
      <c r="M151" s="475">
        <f t="shared" si="71"/>
        <v>0</v>
      </c>
      <c r="N151" s="484"/>
      <c r="O151" s="475">
        <f t="shared" si="72"/>
        <v>0</v>
      </c>
      <c r="P151" s="475">
        <f t="shared" si="73"/>
        <v>0</v>
      </c>
    </row>
    <row r="152" spans="2:16" ht="12.5">
      <c r="B152" s="160" t="str">
        <f t="shared" si="42"/>
        <v/>
      </c>
      <c r="C152" s="469">
        <f>IF(D93="","-",+C151+1)</f>
        <v>2063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74"/>
        <v>0</v>
      </c>
      <c r="G152" s="482">
        <f t="shared" si="75"/>
        <v>0</v>
      </c>
      <c r="H152" s="483">
        <f t="shared" si="66"/>
        <v>0</v>
      </c>
      <c r="I152" s="539">
        <f t="shared" si="67"/>
        <v>0</v>
      </c>
      <c r="J152" s="475">
        <f t="shared" si="70"/>
        <v>0</v>
      </c>
      <c r="K152" s="475"/>
      <c r="L152" s="484"/>
      <c r="M152" s="475">
        <f t="shared" si="71"/>
        <v>0</v>
      </c>
      <c r="N152" s="484"/>
      <c r="O152" s="475">
        <f t="shared" si="72"/>
        <v>0</v>
      </c>
      <c r="P152" s="475">
        <f t="shared" si="73"/>
        <v>0</v>
      </c>
    </row>
    <row r="153" spans="2:16" ht="12.5">
      <c r="B153" s="160" t="str">
        <f t="shared" si="42"/>
        <v/>
      </c>
      <c r="C153" s="469">
        <f>IF(D93="","-",+C152+1)</f>
        <v>2064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74"/>
        <v>0</v>
      </c>
      <c r="G153" s="482">
        <f t="shared" si="75"/>
        <v>0</v>
      </c>
      <c r="H153" s="483">
        <f t="shared" si="66"/>
        <v>0</v>
      </c>
      <c r="I153" s="539">
        <f t="shared" si="67"/>
        <v>0</v>
      </c>
      <c r="J153" s="475">
        <f t="shared" si="70"/>
        <v>0</v>
      </c>
      <c r="K153" s="475"/>
      <c r="L153" s="484"/>
      <c r="M153" s="475">
        <f t="shared" si="71"/>
        <v>0</v>
      </c>
      <c r="N153" s="484"/>
      <c r="O153" s="475">
        <f t="shared" si="72"/>
        <v>0</v>
      </c>
      <c r="P153" s="475">
        <f t="shared" si="73"/>
        <v>0</v>
      </c>
    </row>
    <row r="154" spans="2:16" ht="13" thickBot="1">
      <c r="B154" s="160" t="str">
        <f t="shared" si="42"/>
        <v/>
      </c>
      <c r="C154" s="486">
        <f>IF(D93="","-",+C153+1)</f>
        <v>2065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74"/>
        <v>0</v>
      </c>
      <c r="G154" s="487">
        <f t="shared" si="75"/>
        <v>0</v>
      </c>
      <c r="H154" s="489">
        <f t="shared" ref="H154" si="76">+J$94*G154+E154</f>
        <v>0</v>
      </c>
      <c r="I154" s="542">
        <f t="shared" ref="I154" si="77">+J$95*G154+E154</f>
        <v>0</v>
      </c>
      <c r="J154" s="492">
        <f t="shared" si="70"/>
        <v>0</v>
      </c>
      <c r="K154" s="475"/>
      <c r="L154" s="491"/>
      <c r="M154" s="492">
        <f t="shared" si="71"/>
        <v>0</v>
      </c>
      <c r="N154" s="491"/>
      <c r="O154" s="492">
        <f t="shared" si="72"/>
        <v>0</v>
      </c>
      <c r="P154" s="492">
        <f t="shared" si="73"/>
        <v>0</v>
      </c>
    </row>
    <row r="155" spans="2:16" ht="12.5">
      <c r="C155" s="344" t="s">
        <v>77</v>
      </c>
      <c r="D155" s="345"/>
      <c r="E155" s="345">
        <f>SUM(E99:E154)</f>
        <v>96566</v>
      </c>
      <c r="F155" s="345"/>
      <c r="G155" s="345"/>
      <c r="H155" s="345">
        <f>SUM(H99:H154)</f>
        <v>361363.46703508362</v>
      </c>
      <c r="I155" s="345">
        <f>SUM(I99:I154)</f>
        <v>361363.46703508362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53" priority="1" stopIfTrue="1" operator="equal">
      <formula>$I$10</formula>
    </cfRule>
  </conditionalFormatting>
  <conditionalFormatting sqref="C99:C154">
    <cfRule type="cellIs" dxfId="5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61">
    <tabColor rgb="FF92D050"/>
  </sheetPr>
  <dimension ref="A1:P162"/>
  <sheetViews>
    <sheetView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3" width="17.7265625" style="148" customWidth="1"/>
    <col min="14" max="14" width="16.7265625" style="148" customWidth="1"/>
    <col min="15" max="15" width="18.4531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11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566" t="s">
        <v>260</v>
      </c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155417.54371659239</v>
      </c>
      <c r="P5" s="231"/>
    </row>
    <row r="6" spans="1:16" ht="15.5">
      <c r="C6" s="567" t="s">
        <v>261</v>
      </c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155417.54371659239</v>
      </c>
      <c r="O6" s="231"/>
      <c r="P6" s="231"/>
    </row>
    <row r="7" spans="1:16" ht="13.5" thickBot="1">
      <c r="C7" s="428" t="s">
        <v>46</v>
      </c>
      <c r="D7" s="429" t="s">
        <v>229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6" thickBot="1">
      <c r="C8" s="568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569" t="s">
        <v>228</v>
      </c>
      <c r="E9" s="519" t="s">
        <v>374</v>
      </c>
      <c r="F9" s="719">
        <v>446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f>1493723*0.94</f>
        <v>1404099.6199999999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2011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6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36949.99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2011</v>
      </c>
      <c r="D17" s="470">
        <v>1624000</v>
      </c>
      <c r="E17" s="471">
        <v>15921.568627450981</v>
      </c>
      <c r="F17" s="470">
        <v>1608078.4313725489</v>
      </c>
      <c r="G17" s="471">
        <v>267655.54041850357</v>
      </c>
      <c r="H17" s="478">
        <v>267655.54041850357</v>
      </c>
      <c r="I17" s="472">
        <f>H17-G17</f>
        <v>0</v>
      </c>
      <c r="J17" s="472"/>
      <c r="K17" s="551">
        <f t="shared" ref="K17:K22" si="0">G17</f>
        <v>267655.54041850357</v>
      </c>
      <c r="L17" s="559">
        <f t="shared" ref="L17:L48" si="1">IF(K17&lt;&gt;0,+G17-K17,0)</f>
        <v>0</v>
      </c>
      <c r="M17" s="551">
        <f t="shared" ref="M17:M22" si="2">H17</f>
        <v>267655.54041850357</v>
      </c>
      <c r="N17" s="474">
        <f t="shared" ref="N17:N48" si="3">IF(M17&lt;&gt;0,+H17-M17,0)</f>
        <v>0</v>
      </c>
      <c r="O17" s="475">
        <f t="shared" ref="O17:O48" si="4">+N17-L17</f>
        <v>0</v>
      </c>
      <c r="P17" s="241"/>
    </row>
    <row r="18" spans="2:16" ht="12.5">
      <c r="B18" s="160" t="str">
        <f t="shared" ref="B18:B49" si="5">IF(D18=F17,"","IU")</f>
        <v>IU</v>
      </c>
      <c r="C18" s="469">
        <f>IF(D11="","-",+C17+1)</f>
        <v>2012</v>
      </c>
      <c r="D18" s="476">
        <v>1420815.4313725489</v>
      </c>
      <c r="E18" s="477">
        <v>27629.557692307691</v>
      </c>
      <c r="F18" s="476">
        <v>1393185.8736802412</v>
      </c>
      <c r="G18" s="477">
        <v>221570.55769230769</v>
      </c>
      <c r="H18" s="478">
        <v>221570.55769230769</v>
      </c>
      <c r="I18" s="472">
        <f t="shared" ref="I18:I48" si="6">H18-G18</f>
        <v>0</v>
      </c>
      <c r="J18" s="472"/>
      <c r="K18" s="473">
        <f t="shared" si="0"/>
        <v>221570.55769230769</v>
      </c>
      <c r="L18" s="547">
        <f t="shared" si="1"/>
        <v>0</v>
      </c>
      <c r="M18" s="473">
        <f t="shared" si="2"/>
        <v>221570.55769230769</v>
      </c>
      <c r="N18" s="475">
        <f t="shared" si="3"/>
        <v>0</v>
      </c>
      <c r="O18" s="475">
        <f t="shared" si="4"/>
        <v>0</v>
      </c>
      <c r="P18" s="241"/>
    </row>
    <row r="19" spans="2:16" ht="12.5">
      <c r="B19" s="160" t="str">
        <f t="shared" si="5"/>
        <v>IU</v>
      </c>
      <c r="C19" s="469">
        <f>IF(D11="","-",+C18+1)</f>
        <v>2013</v>
      </c>
      <c r="D19" s="476">
        <v>1450171.8736802414</v>
      </c>
      <c r="E19" s="477">
        <v>28725.442307692309</v>
      </c>
      <c r="F19" s="476">
        <v>1421446.4313725492</v>
      </c>
      <c r="G19" s="477">
        <v>231717.44230769231</v>
      </c>
      <c r="H19" s="478">
        <v>231717.44230769231</v>
      </c>
      <c r="I19" s="472">
        <v>0</v>
      </c>
      <c r="J19" s="472"/>
      <c r="K19" s="473">
        <f t="shared" si="0"/>
        <v>231717.44230769231</v>
      </c>
      <c r="L19" s="547">
        <f t="shared" ref="L19:L24" si="7">IF(K19&lt;&gt;0,+G19-K19,0)</f>
        <v>0</v>
      </c>
      <c r="M19" s="473">
        <f t="shared" si="2"/>
        <v>231717.44230769231</v>
      </c>
      <c r="N19" s="475">
        <f t="shared" ref="N19:N24" si="8">IF(M19&lt;&gt;0,+H19-M19,0)</f>
        <v>0</v>
      </c>
      <c r="O19" s="475">
        <f t="shared" ref="O19:O24" si="9">+N19-L19</f>
        <v>0</v>
      </c>
      <c r="P19" s="241"/>
    </row>
    <row r="20" spans="2:16" ht="12.5">
      <c r="B20" s="160" t="str">
        <f t="shared" si="5"/>
        <v>IU</v>
      </c>
      <c r="C20" s="469">
        <f>IF(D11="","-",+C19+1)</f>
        <v>2014</v>
      </c>
      <c r="D20" s="476">
        <v>1331823.0513725488</v>
      </c>
      <c r="E20" s="477">
        <v>27001.915769230767</v>
      </c>
      <c r="F20" s="476">
        <v>1304821.135603318</v>
      </c>
      <c r="G20" s="477">
        <v>206621.91576923078</v>
      </c>
      <c r="H20" s="478">
        <v>206621.91576923078</v>
      </c>
      <c r="I20" s="472">
        <v>0</v>
      </c>
      <c r="J20" s="472"/>
      <c r="K20" s="473">
        <f t="shared" si="0"/>
        <v>206621.91576923078</v>
      </c>
      <c r="L20" s="547">
        <f t="shared" si="7"/>
        <v>0</v>
      </c>
      <c r="M20" s="473">
        <f t="shared" si="2"/>
        <v>206621.91576923078</v>
      </c>
      <c r="N20" s="475">
        <f t="shared" si="8"/>
        <v>0</v>
      </c>
      <c r="O20" s="475">
        <f t="shared" si="9"/>
        <v>0</v>
      </c>
      <c r="P20" s="241"/>
    </row>
    <row r="21" spans="2:16" ht="12.5">
      <c r="B21" s="160" t="str">
        <f t="shared" si="5"/>
        <v/>
      </c>
      <c r="C21" s="469">
        <f>IF(D11="","-",+C20+1)</f>
        <v>2015</v>
      </c>
      <c r="D21" s="476">
        <v>1304821.135603318</v>
      </c>
      <c r="E21" s="477">
        <v>27001.915769230767</v>
      </c>
      <c r="F21" s="476">
        <v>1277819.2198340872</v>
      </c>
      <c r="G21" s="477">
        <v>203176.91576923078</v>
      </c>
      <c r="H21" s="478">
        <v>203176.91576923078</v>
      </c>
      <c r="I21" s="472">
        <v>0</v>
      </c>
      <c r="J21" s="472"/>
      <c r="K21" s="473">
        <f t="shared" si="0"/>
        <v>203176.91576923078</v>
      </c>
      <c r="L21" s="547">
        <f t="shared" si="7"/>
        <v>0</v>
      </c>
      <c r="M21" s="473">
        <f t="shared" si="2"/>
        <v>203176.91576923078</v>
      </c>
      <c r="N21" s="475">
        <f t="shared" si="8"/>
        <v>0</v>
      </c>
      <c r="O21" s="475">
        <f t="shared" si="9"/>
        <v>0</v>
      </c>
      <c r="P21" s="241"/>
    </row>
    <row r="22" spans="2:16" ht="12.5">
      <c r="B22" s="160" t="str">
        <f t="shared" si="5"/>
        <v/>
      </c>
      <c r="C22" s="469">
        <f>IF(D11="","-",+C21+1)</f>
        <v>2016</v>
      </c>
      <c r="D22" s="476">
        <v>1277819.2198340872</v>
      </c>
      <c r="E22" s="477">
        <v>27001.915769230767</v>
      </c>
      <c r="F22" s="476">
        <v>1250817.3040648564</v>
      </c>
      <c r="G22" s="477">
        <v>191058.91576923078</v>
      </c>
      <c r="H22" s="478">
        <v>191058.91576923078</v>
      </c>
      <c r="I22" s="472">
        <f t="shared" si="6"/>
        <v>0</v>
      </c>
      <c r="J22" s="472"/>
      <c r="K22" s="473">
        <f t="shared" si="0"/>
        <v>191058.91576923078</v>
      </c>
      <c r="L22" s="547">
        <f t="shared" si="7"/>
        <v>0</v>
      </c>
      <c r="M22" s="473">
        <f t="shared" si="2"/>
        <v>191058.91576923078</v>
      </c>
      <c r="N22" s="475">
        <f t="shared" si="8"/>
        <v>0</v>
      </c>
      <c r="O22" s="475">
        <f t="shared" si="9"/>
        <v>0</v>
      </c>
      <c r="P22" s="241"/>
    </row>
    <row r="23" spans="2:16" ht="12.5">
      <c r="B23" s="160" t="str">
        <f t="shared" si="5"/>
        <v/>
      </c>
      <c r="C23" s="469">
        <f>IF(D11="","-",+C22+1)</f>
        <v>2017</v>
      </c>
      <c r="D23" s="476">
        <v>1250817.3040648564</v>
      </c>
      <c r="E23" s="477">
        <v>30523.904782608693</v>
      </c>
      <c r="F23" s="476">
        <v>1220293.3992822478</v>
      </c>
      <c r="G23" s="477">
        <v>185818.9047826087</v>
      </c>
      <c r="H23" s="478">
        <v>185818.9047826087</v>
      </c>
      <c r="I23" s="472">
        <f t="shared" si="6"/>
        <v>0</v>
      </c>
      <c r="J23" s="472"/>
      <c r="K23" s="473">
        <f t="shared" ref="K23:K28" si="10">G23</f>
        <v>185818.9047826087</v>
      </c>
      <c r="L23" s="547">
        <f t="shared" si="7"/>
        <v>0</v>
      </c>
      <c r="M23" s="473">
        <f t="shared" ref="M23:M28" si="11">H23</f>
        <v>185818.9047826087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5"/>
        <v/>
      </c>
      <c r="C24" s="469">
        <f>IF(D11="","-",+C23+1)</f>
        <v>2018</v>
      </c>
      <c r="D24" s="476">
        <v>1220293.3992822478</v>
      </c>
      <c r="E24" s="477">
        <v>31202.213777777775</v>
      </c>
      <c r="F24" s="476">
        <v>1189091.18550447</v>
      </c>
      <c r="G24" s="477">
        <v>175474.88659362236</v>
      </c>
      <c r="H24" s="478">
        <v>175474.88659362236</v>
      </c>
      <c r="I24" s="472">
        <f t="shared" si="6"/>
        <v>0</v>
      </c>
      <c r="J24" s="472"/>
      <c r="K24" s="473">
        <f t="shared" si="10"/>
        <v>175474.88659362236</v>
      </c>
      <c r="L24" s="547">
        <f t="shared" si="7"/>
        <v>0</v>
      </c>
      <c r="M24" s="473">
        <f t="shared" si="11"/>
        <v>175474.88659362236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5"/>
        <v/>
      </c>
      <c r="C25" s="469">
        <f>IF(D11="","-",+C24+1)</f>
        <v>2019</v>
      </c>
      <c r="D25" s="476">
        <v>1189091.18550447</v>
      </c>
      <c r="E25" s="477">
        <v>35102.4905</v>
      </c>
      <c r="F25" s="476">
        <v>1153988.6950044699</v>
      </c>
      <c r="G25" s="477">
        <v>165912.69365934882</v>
      </c>
      <c r="H25" s="478">
        <v>165912.69365934882</v>
      </c>
      <c r="I25" s="472">
        <f t="shared" si="6"/>
        <v>0</v>
      </c>
      <c r="J25" s="472"/>
      <c r="K25" s="473">
        <f t="shared" si="10"/>
        <v>165912.69365934882</v>
      </c>
      <c r="L25" s="547">
        <f t="shared" ref="L25" si="12">IF(K25&lt;&gt;0,+G25-K25,0)</f>
        <v>0</v>
      </c>
      <c r="M25" s="473">
        <f t="shared" si="11"/>
        <v>165912.69365934882</v>
      </c>
      <c r="N25" s="475">
        <f t="shared" ref="N25" si="13">IF(M25&lt;&gt;0,+H25-M25,0)</f>
        <v>0</v>
      </c>
      <c r="O25" s="475">
        <f t="shared" ref="O25" si="14">+N25-L25</f>
        <v>0</v>
      </c>
      <c r="P25" s="241"/>
    </row>
    <row r="26" spans="2:16" ht="12.5">
      <c r="B26" s="160" t="str">
        <f t="shared" si="5"/>
        <v>IU</v>
      </c>
      <c r="C26" s="469">
        <f>IF(D11="","-",+C25+1)</f>
        <v>2020</v>
      </c>
      <c r="D26" s="476">
        <v>1157888.9717266923</v>
      </c>
      <c r="E26" s="477">
        <v>33430.943333333329</v>
      </c>
      <c r="F26" s="476">
        <v>1124458.0283933589</v>
      </c>
      <c r="G26" s="477">
        <v>156683.13262286683</v>
      </c>
      <c r="H26" s="478">
        <v>156683.13262286683</v>
      </c>
      <c r="I26" s="472">
        <f t="shared" si="6"/>
        <v>0</v>
      </c>
      <c r="J26" s="472"/>
      <c r="K26" s="473">
        <f t="shared" si="10"/>
        <v>156683.13262286683</v>
      </c>
      <c r="L26" s="547">
        <f t="shared" ref="L26" si="15">IF(K26&lt;&gt;0,+G26-K26,0)</f>
        <v>0</v>
      </c>
      <c r="M26" s="473">
        <f t="shared" si="11"/>
        <v>156683.13262286683</v>
      </c>
      <c r="N26" s="475">
        <f t="shared" si="3"/>
        <v>0</v>
      </c>
      <c r="O26" s="475">
        <f t="shared" si="4"/>
        <v>0</v>
      </c>
      <c r="P26" s="241"/>
    </row>
    <row r="27" spans="2:16" ht="12.5">
      <c r="B27" s="160" t="str">
        <f t="shared" si="5"/>
        <v>IU</v>
      </c>
      <c r="C27" s="469">
        <f>IF(D11="","-",+C26+1)</f>
        <v>2021</v>
      </c>
      <c r="D27" s="476">
        <v>1120557.7516711368</v>
      </c>
      <c r="E27" s="477">
        <v>32653.479534883718</v>
      </c>
      <c r="F27" s="476">
        <v>1087904.2721362531</v>
      </c>
      <c r="G27" s="477">
        <v>149953.47953488372</v>
      </c>
      <c r="H27" s="478">
        <v>149953.47953488372</v>
      </c>
      <c r="I27" s="472">
        <f t="shared" si="6"/>
        <v>0</v>
      </c>
      <c r="J27" s="472"/>
      <c r="K27" s="473">
        <f t="shared" si="10"/>
        <v>149953.47953488372</v>
      </c>
      <c r="L27" s="547">
        <f t="shared" ref="L27" si="16">IF(K27&lt;&gt;0,+G27-K27,0)</f>
        <v>0</v>
      </c>
      <c r="M27" s="473">
        <f t="shared" si="11"/>
        <v>149953.47953488372</v>
      </c>
      <c r="N27" s="475">
        <f t="shared" si="3"/>
        <v>0</v>
      </c>
      <c r="O27" s="475">
        <f t="shared" si="4"/>
        <v>0</v>
      </c>
      <c r="P27" s="241"/>
    </row>
    <row r="28" spans="2:16" ht="12.5">
      <c r="B28" s="160" t="str">
        <f t="shared" si="5"/>
        <v/>
      </c>
      <c r="C28" s="469">
        <f>IF(D11="","-",+C27+1)</f>
        <v>2022</v>
      </c>
      <c r="D28" s="476">
        <v>1087904.2721362531</v>
      </c>
      <c r="E28" s="477">
        <v>33430.943333333329</v>
      </c>
      <c r="F28" s="476">
        <v>1054473.3288029197</v>
      </c>
      <c r="G28" s="477">
        <v>147114.94333333333</v>
      </c>
      <c r="H28" s="478">
        <v>147114.94333333333</v>
      </c>
      <c r="I28" s="472">
        <f t="shared" si="6"/>
        <v>0</v>
      </c>
      <c r="J28" s="472"/>
      <c r="K28" s="473">
        <f t="shared" si="10"/>
        <v>147114.94333333333</v>
      </c>
      <c r="L28" s="547">
        <f t="shared" ref="L28" si="17">IF(K28&lt;&gt;0,+G28-K28,0)</f>
        <v>0</v>
      </c>
      <c r="M28" s="473">
        <f t="shared" si="11"/>
        <v>147114.94333333333</v>
      </c>
      <c r="N28" s="475">
        <f t="shared" si="3"/>
        <v>0</v>
      </c>
      <c r="O28" s="475">
        <f t="shared" si="4"/>
        <v>0</v>
      </c>
      <c r="P28" s="241"/>
    </row>
    <row r="29" spans="2:16" ht="12.5">
      <c r="B29" s="160" t="str">
        <f t="shared" si="5"/>
        <v/>
      </c>
      <c r="C29" s="469">
        <f>IF(D11="","-",+C28+1)</f>
        <v>2023</v>
      </c>
      <c r="D29" s="476">
        <v>1054473.3288029197</v>
      </c>
      <c r="E29" s="477">
        <v>36002.554358974354</v>
      </c>
      <c r="F29" s="476">
        <v>1018470.7744439454</v>
      </c>
      <c r="G29" s="477">
        <v>157566.55435897436</v>
      </c>
      <c r="H29" s="478">
        <v>157566.55435897436</v>
      </c>
      <c r="I29" s="472">
        <f t="shared" si="6"/>
        <v>0</v>
      </c>
      <c r="J29" s="472"/>
      <c r="K29" s="473">
        <f t="shared" ref="K29" si="18">G29</f>
        <v>157566.55435897436</v>
      </c>
      <c r="L29" s="547">
        <f t="shared" ref="L29" si="19">IF(K29&lt;&gt;0,+G29-K29,0)</f>
        <v>0</v>
      </c>
      <c r="M29" s="473">
        <f t="shared" ref="M29" si="20">H29</f>
        <v>157566.55435897436</v>
      </c>
      <c r="N29" s="475">
        <f t="shared" si="3"/>
        <v>0</v>
      </c>
      <c r="O29" s="475">
        <f t="shared" si="4"/>
        <v>0</v>
      </c>
      <c r="P29" s="241"/>
    </row>
    <row r="30" spans="2:16" ht="12.5">
      <c r="B30" s="160" t="str">
        <f t="shared" si="5"/>
        <v/>
      </c>
      <c r="C30" s="469">
        <f>IF(D11="","-",+C29+1)</f>
        <v>2024</v>
      </c>
      <c r="D30" s="476">
        <v>1018470.7744439454</v>
      </c>
      <c r="E30" s="477">
        <v>36002.554358974354</v>
      </c>
      <c r="F30" s="476">
        <v>982468.22008497105</v>
      </c>
      <c r="G30" s="477">
        <v>155417.54371659239</v>
      </c>
      <c r="H30" s="478">
        <v>155417.54371659239</v>
      </c>
      <c r="I30" s="472">
        <f t="shared" si="6"/>
        <v>0</v>
      </c>
      <c r="J30" s="472"/>
      <c r="K30" s="473">
        <f t="shared" ref="K30" si="21">G30</f>
        <v>155417.54371659239</v>
      </c>
      <c r="L30" s="547">
        <f t="shared" ref="L30" si="22">IF(K30&lt;&gt;0,+G30-K30,0)</f>
        <v>0</v>
      </c>
      <c r="M30" s="473">
        <f t="shared" ref="M30" si="23">H30</f>
        <v>155417.54371659239</v>
      </c>
      <c r="N30" s="475">
        <f t="shared" ref="N30" si="24">IF(M30&lt;&gt;0,+H30-M30,0)</f>
        <v>0</v>
      </c>
      <c r="O30" s="475">
        <f t="shared" ref="O30" si="25">+N30-L30</f>
        <v>0</v>
      </c>
      <c r="P30" s="241"/>
    </row>
    <row r="31" spans="2:16" ht="12.5">
      <c r="B31" s="160" t="str">
        <f t="shared" si="5"/>
        <v/>
      </c>
      <c r="C31" s="469">
        <f>IF(D11="","-",+C30+1)</f>
        <v>2025</v>
      </c>
      <c r="D31" s="482">
        <f>IF(F30+SUM(E$17:E30)=D$10,F30,D$10-SUM(E$17:E30))</f>
        <v>982468.22008497105</v>
      </c>
      <c r="E31" s="481">
        <f>IF(+I14&lt;F30,I14,D31)</f>
        <v>36949.99</v>
      </c>
      <c r="F31" s="482">
        <f t="shared" ref="F31:F49" si="26">+D31-E31</f>
        <v>945518.23008497106</v>
      </c>
      <c r="G31" s="483">
        <f t="shared" ref="G31:G72" si="27">(D31+F31)/2*I$12+E31</f>
        <v>146594.76024661757</v>
      </c>
      <c r="H31" s="452">
        <f t="shared" ref="H31:H72" si="28">+(D31+F31)/2*I$13+E31</f>
        <v>146594.76024661757</v>
      </c>
      <c r="I31" s="472">
        <f t="shared" si="6"/>
        <v>0</v>
      </c>
      <c r="J31" s="472"/>
      <c r="K31" s="484"/>
      <c r="L31" s="475">
        <f t="shared" si="1"/>
        <v>0</v>
      </c>
      <c r="M31" s="484"/>
      <c r="N31" s="475">
        <f t="shared" si="3"/>
        <v>0</v>
      </c>
      <c r="O31" s="475">
        <f t="shared" si="4"/>
        <v>0</v>
      </c>
      <c r="P31" s="241"/>
    </row>
    <row r="32" spans="2:16" ht="12.5">
      <c r="B32" s="160" t="str">
        <f t="shared" si="5"/>
        <v/>
      </c>
      <c r="C32" s="469">
        <f>IF(D11="","-",+C31+1)</f>
        <v>2026</v>
      </c>
      <c r="D32" s="482">
        <f>IF(F31+SUM(E$17:E31)=D$10,F31,D$10-SUM(E$17:E31))</f>
        <v>945518.23008497106</v>
      </c>
      <c r="E32" s="481">
        <f>IF(+I14&lt;F31,I14,D32)</f>
        <v>36949.99</v>
      </c>
      <c r="F32" s="482">
        <f t="shared" si="26"/>
        <v>908568.24008497107</v>
      </c>
      <c r="G32" s="483">
        <f t="shared" si="27"/>
        <v>142392.06145295364</v>
      </c>
      <c r="H32" s="452">
        <f t="shared" si="28"/>
        <v>142392.06145295364</v>
      </c>
      <c r="I32" s="472">
        <f t="shared" si="6"/>
        <v>0</v>
      </c>
      <c r="J32" s="472"/>
      <c r="K32" s="484"/>
      <c r="L32" s="475">
        <f t="shared" si="1"/>
        <v>0</v>
      </c>
      <c r="M32" s="484"/>
      <c r="N32" s="475">
        <f t="shared" si="3"/>
        <v>0</v>
      </c>
      <c r="O32" s="475">
        <f t="shared" si="4"/>
        <v>0</v>
      </c>
      <c r="P32" s="241"/>
    </row>
    <row r="33" spans="2:16" ht="12.5">
      <c r="B33" s="160" t="str">
        <f t="shared" si="5"/>
        <v/>
      </c>
      <c r="C33" s="469">
        <f>IF(D11="","-",+C32+1)</f>
        <v>2027</v>
      </c>
      <c r="D33" s="482">
        <f>IF(F32+SUM(E$17:E32)=D$10,F32,D$10-SUM(E$17:E32))</f>
        <v>908568.24008497107</v>
      </c>
      <c r="E33" s="481">
        <f>IF(+I14&lt;F32,I14,D33)</f>
        <v>36949.99</v>
      </c>
      <c r="F33" s="482">
        <f t="shared" si="26"/>
        <v>871618.25008497108</v>
      </c>
      <c r="G33" s="483">
        <f t="shared" si="27"/>
        <v>138189.36265928971</v>
      </c>
      <c r="H33" s="452">
        <f t="shared" si="28"/>
        <v>138189.36265928971</v>
      </c>
      <c r="I33" s="472">
        <f t="shared" si="6"/>
        <v>0</v>
      </c>
      <c r="J33" s="472"/>
      <c r="K33" s="484"/>
      <c r="L33" s="475">
        <f t="shared" si="1"/>
        <v>0</v>
      </c>
      <c r="M33" s="484"/>
      <c r="N33" s="475">
        <f t="shared" si="3"/>
        <v>0</v>
      </c>
      <c r="O33" s="475">
        <f t="shared" si="4"/>
        <v>0</v>
      </c>
      <c r="P33" s="241"/>
    </row>
    <row r="34" spans="2:16" ht="12.5">
      <c r="B34" s="160" t="str">
        <f t="shared" si="5"/>
        <v/>
      </c>
      <c r="C34" s="469">
        <f>IF(D11="","-",+C33+1)</f>
        <v>2028</v>
      </c>
      <c r="D34" s="482">
        <f>IF(F33+SUM(E$17:E33)=D$10,F33,D$10-SUM(E$17:E33))</f>
        <v>871618.25008497108</v>
      </c>
      <c r="E34" s="481">
        <f>IF(+I14&lt;F33,I14,D34)</f>
        <v>36949.99</v>
      </c>
      <c r="F34" s="482">
        <f t="shared" si="26"/>
        <v>834668.26008497109</v>
      </c>
      <c r="G34" s="483">
        <f t="shared" si="27"/>
        <v>133986.66386562577</v>
      </c>
      <c r="H34" s="452">
        <f t="shared" si="28"/>
        <v>133986.66386562577</v>
      </c>
      <c r="I34" s="472">
        <f t="shared" si="6"/>
        <v>0</v>
      </c>
      <c r="J34" s="472"/>
      <c r="K34" s="484"/>
      <c r="L34" s="475">
        <f t="shared" si="1"/>
        <v>0</v>
      </c>
      <c r="M34" s="484"/>
      <c r="N34" s="475">
        <f t="shared" si="3"/>
        <v>0</v>
      </c>
      <c r="O34" s="475">
        <f t="shared" si="4"/>
        <v>0</v>
      </c>
      <c r="P34" s="241"/>
    </row>
    <row r="35" spans="2:16" ht="12.5">
      <c r="B35" s="160" t="str">
        <f t="shared" si="5"/>
        <v/>
      </c>
      <c r="C35" s="469">
        <f>IF(D11="","-",+C34+1)</f>
        <v>2029</v>
      </c>
      <c r="D35" s="482">
        <f>IF(F34+SUM(E$17:E34)=D$10,F34,D$10-SUM(E$17:E34))</f>
        <v>834668.26008497109</v>
      </c>
      <c r="E35" s="481">
        <f>IF(+I14&lt;F34,I14,D35)</f>
        <v>36949.99</v>
      </c>
      <c r="F35" s="482">
        <f t="shared" si="26"/>
        <v>797718.2700849711</v>
      </c>
      <c r="G35" s="483">
        <f t="shared" si="27"/>
        <v>129783.96507196184</v>
      </c>
      <c r="H35" s="452">
        <f t="shared" si="28"/>
        <v>129783.96507196184</v>
      </c>
      <c r="I35" s="472">
        <f t="shared" si="6"/>
        <v>0</v>
      </c>
      <c r="J35" s="472"/>
      <c r="K35" s="484"/>
      <c r="L35" s="475">
        <f t="shared" si="1"/>
        <v>0</v>
      </c>
      <c r="M35" s="484"/>
      <c r="N35" s="475">
        <f t="shared" si="3"/>
        <v>0</v>
      </c>
      <c r="O35" s="475">
        <f t="shared" si="4"/>
        <v>0</v>
      </c>
      <c r="P35" s="241"/>
    </row>
    <row r="36" spans="2:16" ht="12.5">
      <c r="B36" s="160" t="str">
        <f t="shared" si="5"/>
        <v/>
      </c>
      <c r="C36" s="469">
        <f>IF(D11="","-",+C35+1)</f>
        <v>2030</v>
      </c>
      <c r="D36" s="482">
        <f>IF(F35+SUM(E$17:E35)=D$10,F35,D$10-SUM(E$17:E35))</f>
        <v>797718.2700849711</v>
      </c>
      <c r="E36" s="481">
        <f>IF(+I14&lt;F35,I14,D36)</f>
        <v>36949.99</v>
      </c>
      <c r="F36" s="482">
        <f t="shared" si="26"/>
        <v>760768.28008497111</v>
      </c>
      <c r="G36" s="483">
        <f t="shared" si="27"/>
        <v>125581.2662782979</v>
      </c>
      <c r="H36" s="452">
        <f t="shared" si="28"/>
        <v>125581.2662782979</v>
      </c>
      <c r="I36" s="472">
        <f t="shared" si="6"/>
        <v>0</v>
      </c>
      <c r="J36" s="472"/>
      <c r="K36" s="484"/>
      <c r="L36" s="475">
        <f t="shared" si="1"/>
        <v>0</v>
      </c>
      <c r="M36" s="484"/>
      <c r="N36" s="475">
        <f t="shared" si="3"/>
        <v>0</v>
      </c>
      <c r="O36" s="475">
        <f t="shared" si="4"/>
        <v>0</v>
      </c>
      <c r="P36" s="241"/>
    </row>
    <row r="37" spans="2:16" ht="12.5">
      <c r="B37" s="160" t="str">
        <f t="shared" si="5"/>
        <v/>
      </c>
      <c r="C37" s="469">
        <f>IF(D11="","-",+C36+1)</f>
        <v>2031</v>
      </c>
      <c r="D37" s="482">
        <f>IF(F36+SUM(E$17:E36)=D$10,F36,D$10-SUM(E$17:E36))</f>
        <v>760768.28008497111</v>
      </c>
      <c r="E37" s="481">
        <f>IF(+I14&lt;F36,I14,D37)</f>
        <v>36949.99</v>
      </c>
      <c r="F37" s="482">
        <f t="shared" si="26"/>
        <v>723818.29008497111</v>
      </c>
      <c r="G37" s="483">
        <f t="shared" si="27"/>
        <v>121378.56748463394</v>
      </c>
      <c r="H37" s="452">
        <f t="shared" si="28"/>
        <v>121378.56748463394</v>
      </c>
      <c r="I37" s="472">
        <f t="shared" si="6"/>
        <v>0</v>
      </c>
      <c r="J37" s="472"/>
      <c r="K37" s="484"/>
      <c r="L37" s="475">
        <f t="shared" si="1"/>
        <v>0</v>
      </c>
      <c r="M37" s="484"/>
      <c r="N37" s="475">
        <f t="shared" si="3"/>
        <v>0</v>
      </c>
      <c r="O37" s="475">
        <f t="shared" si="4"/>
        <v>0</v>
      </c>
      <c r="P37" s="241"/>
    </row>
    <row r="38" spans="2:16" ht="12.5">
      <c r="B38" s="160" t="str">
        <f t="shared" si="5"/>
        <v/>
      </c>
      <c r="C38" s="469">
        <f>IF(D11="","-",+C37+1)</f>
        <v>2032</v>
      </c>
      <c r="D38" s="482">
        <f>IF(F37+SUM(E$17:E37)=D$10,F37,D$10-SUM(E$17:E37))</f>
        <v>723818.29008497111</v>
      </c>
      <c r="E38" s="481">
        <f>IF(+I14&lt;F37,I14,D38)</f>
        <v>36949.99</v>
      </c>
      <c r="F38" s="482">
        <f t="shared" si="26"/>
        <v>686868.30008497112</v>
      </c>
      <c r="G38" s="483">
        <f t="shared" si="27"/>
        <v>117175.86869097</v>
      </c>
      <c r="H38" s="452">
        <f t="shared" si="28"/>
        <v>117175.86869097</v>
      </c>
      <c r="I38" s="472">
        <f t="shared" si="6"/>
        <v>0</v>
      </c>
      <c r="J38" s="472"/>
      <c r="K38" s="484"/>
      <c r="L38" s="475">
        <f t="shared" si="1"/>
        <v>0</v>
      </c>
      <c r="M38" s="484"/>
      <c r="N38" s="475">
        <f t="shared" si="3"/>
        <v>0</v>
      </c>
      <c r="O38" s="475">
        <f t="shared" si="4"/>
        <v>0</v>
      </c>
      <c r="P38" s="241"/>
    </row>
    <row r="39" spans="2:16" ht="12.5">
      <c r="B39" s="160" t="str">
        <f t="shared" si="5"/>
        <v/>
      </c>
      <c r="C39" s="469">
        <f>IF(D11="","-",+C38+1)</f>
        <v>2033</v>
      </c>
      <c r="D39" s="482">
        <f>IF(F38+SUM(E$17:E38)=D$10,F38,D$10-SUM(E$17:E38))</f>
        <v>686868.30008497112</v>
      </c>
      <c r="E39" s="481">
        <f>IF(+I14&lt;F38,I14,D39)</f>
        <v>36949.99</v>
      </c>
      <c r="F39" s="482">
        <f t="shared" si="26"/>
        <v>649918.31008497113</v>
      </c>
      <c r="G39" s="483">
        <f t="shared" si="27"/>
        <v>112973.16989730607</v>
      </c>
      <c r="H39" s="452">
        <f t="shared" si="28"/>
        <v>112973.16989730607</v>
      </c>
      <c r="I39" s="472">
        <f t="shared" si="6"/>
        <v>0</v>
      </c>
      <c r="J39" s="472"/>
      <c r="K39" s="484"/>
      <c r="L39" s="475">
        <f t="shared" si="1"/>
        <v>0</v>
      </c>
      <c r="M39" s="484"/>
      <c r="N39" s="475">
        <f t="shared" si="3"/>
        <v>0</v>
      </c>
      <c r="O39" s="475">
        <f t="shared" si="4"/>
        <v>0</v>
      </c>
      <c r="P39" s="241"/>
    </row>
    <row r="40" spans="2:16" ht="12.5">
      <c r="B40" s="160" t="str">
        <f t="shared" si="5"/>
        <v/>
      </c>
      <c r="C40" s="469">
        <f>IF(D11="","-",+C39+1)</f>
        <v>2034</v>
      </c>
      <c r="D40" s="482">
        <f>IF(F39+SUM(E$17:E39)=D$10,F39,D$10-SUM(E$17:E39))</f>
        <v>649918.31008497113</v>
      </c>
      <c r="E40" s="481">
        <f>IF(+I14&lt;F39,I14,D40)</f>
        <v>36949.99</v>
      </c>
      <c r="F40" s="482">
        <f t="shared" si="26"/>
        <v>612968.32008497114</v>
      </c>
      <c r="G40" s="483">
        <f t="shared" si="27"/>
        <v>108770.47110364214</v>
      </c>
      <c r="H40" s="452">
        <f t="shared" si="28"/>
        <v>108770.47110364214</v>
      </c>
      <c r="I40" s="472">
        <f t="shared" si="6"/>
        <v>0</v>
      </c>
      <c r="J40" s="472"/>
      <c r="K40" s="484"/>
      <c r="L40" s="475">
        <f t="shared" si="1"/>
        <v>0</v>
      </c>
      <c r="M40" s="484"/>
      <c r="N40" s="475">
        <f t="shared" si="3"/>
        <v>0</v>
      </c>
      <c r="O40" s="475">
        <f t="shared" si="4"/>
        <v>0</v>
      </c>
      <c r="P40" s="241"/>
    </row>
    <row r="41" spans="2:16" ht="12.5">
      <c r="B41" s="160" t="str">
        <f t="shared" si="5"/>
        <v/>
      </c>
      <c r="C41" s="469">
        <f>IF(D11="","-",+C40+1)</f>
        <v>2035</v>
      </c>
      <c r="D41" s="482">
        <f>IF(F40+SUM(E$17:E40)=D$10,F40,D$10-SUM(E$17:E40))</f>
        <v>612968.32008497114</v>
      </c>
      <c r="E41" s="481">
        <f>IF(+I14&lt;F40,I14,D41)</f>
        <v>36949.99</v>
      </c>
      <c r="F41" s="482">
        <f t="shared" si="26"/>
        <v>576018.33008497115</v>
      </c>
      <c r="G41" s="483">
        <f t="shared" si="27"/>
        <v>104567.7723099782</v>
      </c>
      <c r="H41" s="452">
        <f t="shared" si="28"/>
        <v>104567.7723099782</v>
      </c>
      <c r="I41" s="472">
        <f t="shared" si="6"/>
        <v>0</v>
      </c>
      <c r="J41" s="472"/>
      <c r="K41" s="484"/>
      <c r="L41" s="475">
        <f t="shared" si="1"/>
        <v>0</v>
      </c>
      <c r="M41" s="484"/>
      <c r="N41" s="475">
        <f t="shared" si="3"/>
        <v>0</v>
      </c>
      <c r="O41" s="475">
        <f t="shared" si="4"/>
        <v>0</v>
      </c>
      <c r="P41" s="241"/>
    </row>
    <row r="42" spans="2:16" ht="12.5">
      <c r="B42" s="160" t="str">
        <f t="shared" si="5"/>
        <v/>
      </c>
      <c r="C42" s="469">
        <f>IF(D11="","-",+C41+1)</f>
        <v>2036</v>
      </c>
      <c r="D42" s="482">
        <f>IF(F41+SUM(E$17:E41)=D$10,F41,D$10-SUM(E$17:E41))</f>
        <v>576018.33008497115</v>
      </c>
      <c r="E42" s="481">
        <f>IF(+I14&lt;F41,I14,D42)</f>
        <v>36949.99</v>
      </c>
      <c r="F42" s="482">
        <f t="shared" si="26"/>
        <v>539068.34008497116</v>
      </c>
      <c r="G42" s="483">
        <f t="shared" si="27"/>
        <v>100365.07351631427</v>
      </c>
      <c r="H42" s="452">
        <f t="shared" si="28"/>
        <v>100365.07351631427</v>
      </c>
      <c r="I42" s="472">
        <f t="shared" si="6"/>
        <v>0</v>
      </c>
      <c r="J42" s="472"/>
      <c r="K42" s="484"/>
      <c r="L42" s="475">
        <f t="shared" si="1"/>
        <v>0</v>
      </c>
      <c r="M42" s="484"/>
      <c r="N42" s="475">
        <f t="shared" si="3"/>
        <v>0</v>
      </c>
      <c r="O42" s="475">
        <f t="shared" si="4"/>
        <v>0</v>
      </c>
      <c r="P42" s="241"/>
    </row>
    <row r="43" spans="2:16" ht="12.5">
      <c r="B43" s="160" t="str">
        <f t="shared" si="5"/>
        <v/>
      </c>
      <c r="C43" s="469">
        <f>IF(D11="","-",+C42+1)</f>
        <v>2037</v>
      </c>
      <c r="D43" s="482">
        <f>IF(F42+SUM(E$17:E42)=D$10,F42,D$10-SUM(E$17:E42))</f>
        <v>539068.34008497116</v>
      </c>
      <c r="E43" s="481">
        <f>IF(+I14&lt;F42,I14,D43)</f>
        <v>36949.99</v>
      </c>
      <c r="F43" s="482">
        <f t="shared" si="26"/>
        <v>502118.35008497117</v>
      </c>
      <c r="G43" s="483">
        <f t="shared" si="27"/>
        <v>96162.374722650333</v>
      </c>
      <c r="H43" s="452">
        <f t="shared" si="28"/>
        <v>96162.374722650333</v>
      </c>
      <c r="I43" s="472">
        <f t="shared" si="6"/>
        <v>0</v>
      </c>
      <c r="J43" s="472"/>
      <c r="K43" s="484"/>
      <c r="L43" s="475">
        <f t="shared" si="1"/>
        <v>0</v>
      </c>
      <c r="M43" s="484"/>
      <c r="N43" s="475">
        <f t="shared" si="3"/>
        <v>0</v>
      </c>
      <c r="O43" s="475">
        <f t="shared" si="4"/>
        <v>0</v>
      </c>
      <c r="P43" s="241"/>
    </row>
    <row r="44" spans="2:16" ht="12.5">
      <c r="B44" s="160" t="str">
        <f t="shared" si="5"/>
        <v/>
      </c>
      <c r="C44" s="469">
        <f>IF(D11="","-",+C43+1)</f>
        <v>2038</v>
      </c>
      <c r="D44" s="482">
        <f>IF(F43+SUM(E$17:E43)=D$10,F43,D$10-SUM(E$17:E43))</f>
        <v>502118.35008497117</v>
      </c>
      <c r="E44" s="481">
        <f>IF(+I14&lt;F43,I14,D44)</f>
        <v>36949.99</v>
      </c>
      <c r="F44" s="482">
        <f t="shared" si="26"/>
        <v>465168.36008497118</v>
      </c>
      <c r="G44" s="483">
        <f t="shared" si="27"/>
        <v>91959.675928986399</v>
      </c>
      <c r="H44" s="452">
        <f t="shared" si="28"/>
        <v>91959.675928986399</v>
      </c>
      <c r="I44" s="472">
        <f t="shared" si="6"/>
        <v>0</v>
      </c>
      <c r="J44" s="472"/>
      <c r="K44" s="484"/>
      <c r="L44" s="475">
        <f t="shared" si="1"/>
        <v>0</v>
      </c>
      <c r="M44" s="484"/>
      <c r="N44" s="475">
        <f t="shared" si="3"/>
        <v>0</v>
      </c>
      <c r="O44" s="475">
        <f t="shared" si="4"/>
        <v>0</v>
      </c>
      <c r="P44" s="241"/>
    </row>
    <row r="45" spans="2:16" ht="12.5">
      <c r="B45" s="160" t="str">
        <f t="shared" si="5"/>
        <v/>
      </c>
      <c r="C45" s="469">
        <f>IF(D11="","-",+C44+1)</f>
        <v>2039</v>
      </c>
      <c r="D45" s="482">
        <f>IF(F44+SUM(E$17:E44)=D$10,F44,D$10-SUM(E$17:E44))</f>
        <v>465168.36008497118</v>
      </c>
      <c r="E45" s="481">
        <f>IF(+I14&lt;F44,I14,D45)</f>
        <v>36949.99</v>
      </c>
      <c r="F45" s="482">
        <f t="shared" si="26"/>
        <v>428218.37008497119</v>
      </c>
      <c r="G45" s="483">
        <f t="shared" si="27"/>
        <v>87756.977135322464</v>
      </c>
      <c r="H45" s="452">
        <f t="shared" si="28"/>
        <v>87756.977135322464</v>
      </c>
      <c r="I45" s="472">
        <f t="shared" si="6"/>
        <v>0</v>
      </c>
      <c r="J45" s="472"/>
      <c r="K45" s="484"/>
      <c r="L45" s="475">
        <f t="shared" si="1"/>
        <v>0</v>
      </c>
      <c r="M45" s="484"/>
      <c r="N45" s="475">
        <f t="shared" si="3"/>
        <v>0</v>
      </c>
      <c r="O45" s="475">
        <f t="shared" si="4"/>
        <v>0</v>
      </c>
      <c r="P45" s="241"/>
    </row>
    <row r="46" spans="2:16" ht="12.5">
      <c r="B46" s="160" t="str">
        <f t="shared" si="5"/>
        <v/>
      </c>
      <c r="C46" s="469">
        <f>IF(D11="","-",+C45+1)</f>
        <v>2040</v>
      </c>
      <c r="D46" s="482">
        <f>IF(F45+SUM(E$17:E45)=D$10,F45,D$10-SUM(E$17:E45))</f>
        <v>428218.37008497119</v>
      </c>
      <c r="E46" s="481">
        <f>IF(+I14&lt;F45,I14,D46)</f>
        <v>36949.99</v>
      </c>
      <c r="F46" s="482">
        <f t="shared" si="26"/>
        <v>391268.3800849712</v>
      </c>
      <c r="G46" s="483">
        <f t="shared" si="27"/>
        <v>83554.278341658515</v>
      </c>
      <c r="H46" s="452">
        <f t="shared" si="28"/>
        <v>83554.278341658515</v>
      </c>
      <c r="I46" s="472">
        <f t="shared" si="6"/>
        <v>0</v>
      </c>
      <c r="J46" s="472"/>
      <c r="K46" s="484"/>
      <c r="L46" s="475">
        <f t="shared" si="1"/>
        <v>0</v>
      </c>
      <c r="M46" s="484"/>
      <c r="N46" s="475">
        <f t="shared" si="3"/>
        <v>0</v>
      </c>
      <c r="O46" s="475">
        <f t="shared" si="4"/>
        <v>0</v>
      </c>
      <c r="P46" s="241"/>
    </row>
    <row r="47" spans="2:16" ht="12.5">
      <c r="B47" s="160" t="str">
        <f t="shared" si="5"/>
        <v/>
      </c>
      <c r="C47" s="469">
        <f>IF(D11="","-",+C46+1)</f>
        <v>2041</v>
      </c>
      <c r="D47" s="482">
        <f>IF(F46+SUM(E$17:E46)=D$10,F46,D$10-SUM(E$17:E46))</f>
        <v>391268.3800849712</v>
      </c>
      <c r="E47" s="481">
        <f>IF(+I14&lt;F46,I14,D47)</f>
        <v>36949.99</v>
      </c>
      <c r="F47" s="482">
        <f t="shared" si="26"/>
        <v>354318.39008497121</v>
      </c>
      <c r="G47" s="483">
        <f t="shared" si="27"/>
        <v>79351.579547994581</v>
      </c>
      <c r="H47" s="452">
        <f t="shared" si="28"/>
        <v>79351.579547994581</v>
      </c>
      <c r="I47" s="472">
        <f t="shared" si="6"/>
        <v>0</v>
      </c>
      <c r="J47" s="472"/>
      <c r="K47" s="484"/>
      <c r="L47" s="475">
        <f t="shared" si="1"/>
        <v>0</v>
      </c>
      <c r="M47" s="484"/>
      <c r="N47" s="475">
        <f t="shared" si="3"/>
        <v>0</v>
      </c>
      <c r="O47" s="475">
        <f t="shared" si="4"/>
        <v>0</v>
      </c>
      <c r="P47" s="241"/>
    </row>
    <row r="48" spans="2:16" ht="12.5">
      <c r="B48" s="160" t="str">
        <f t="shared" si="5"/>
        <v/>
      </c>
      <c r="C48" s="469">
        <f>IF(D11="","-",+C47+1)</f>
        <v>2042</v>
      </c>
      <c r="D48" s="482">
        <f>IF(F47+SUM(E$17:E47)=D$10,F47,D$10-SUM(E$17:E47))</f>
        <v>354318.39008497121</v>
      </c>
      <c r="E48" s="481">
        <f>IF(+I14&lt;F47,I14,D48)</f>
        <v>36949.99</v>
      </c>
      <c r="F48" s="482">
        <f t="shared" si="26"/>
        <v>317368.40008497122</v>
      </c>
      <c r="G48" s="483">
        <f t="shared" si="27"/>
        <v>75148.880754330647</v>
      </c>
      <c r="H48" s="452">
        <f t="shared" si="28"/>
        <v>75148.880754330647</v>
      </c>
      <c r="I48" s="472">
        <f t="shared" si="6"/>
        <v>0</v>
      </c>
      <c r="J48" s="472"/>
      <c r="K48" s="484"/>
      <c r="L48" s="475">
        <f t="shared" si="1"/>
        <v>0</v>
      </c>
      <c r="M48" s="484"/>
      <c r="N48" s="475">
        <f t="shared" si="3"/>
        <v>0</v>
      </c>
      <c r="O48" s="475">
        <f t="shared" si="4"/>
        <v>0</v>
      </c>
      <c r="P48" s="241"/>
    </row>
    <row r="49" spans="2:16" ht="12.5">
      <c r="B49" s="160" t="str">
        <f t="shared" si="5"/>
        <v/>
      </c>
      <c r="C49" s="469">
        <f>IF(D11="","-",+C48+1)</f>
        <v>2043</v>
      </c>
      <c r="D49" s="482">
        <f>IF(F48+SUM(E$17:E48)=D$10,F48,D$10-SUM(E$17:E48))</f>
        <v>317368.40008497122</v>
      </c>
      <c r="E49" s="481">
        <f>IF(+I14&lt;F48,I14,D49)</f>
        <v>36949.99</v>
      </c>
      <c r="F49" s="482">
        <f t="shared" si="26"/>
        <v>280418.41008497123</v>
      </c>
      <c r="G49" s="483">
        <f t="shared" si="27"/>
        <v>70946.181960666698</v>
      </c>
      <c r="H49" s="452">
        <f t="shared" si="28"/>
        <v>70946.181960666698</v>
      </c>
      <c r="I49" s="472">
        <f t="shared" ref="I49:I72" si="29">H49-G49</f>
        <v>0</v>
      </c>
      <c r="J49" s="472"/>
      <c r="K49" s="484"/>
      <c r="L49" s="475">
        <f t="shared" ref="L49:L72" si="30">IF(K49&lt;&gt;0,+G49-K49,0)</f>
        <v>0</v>
      </c>
      <c r="M49" s="484"/>
      <c r="N49" s="475">
        <f t="shared" ref="N49:N72" si="31">IF(M49&lt;&gt;0,+H49-M49,0)</f>
        <v>0</v>
      </c>
      <c r="O49" s="475">
        <f t="shared" ref="O49:O72" si="32">+N49-L49</f>
        <v>0</v>
      </c>
      <c r="P49" s="241"/>
    </row>
    <row r="50" spans="2:16" ht="12.5">
      <c r="B50" s="160" t="str">
        <f t="shared" ref="B50:B72" si="33">IF(D50=F49,"","IU")</f>
        <v/>
      </c>
      <c r="C50" s="469">
        <f>IF(D11="","-",+C49+1)</f>
        <v>2044</v>
      </c>
      <c r="D50" s="482">
        <f>IF(F49+SUM(E$17:E49)=D$10,F49,D$10-SUM(E$17:E49))</f>
        <v>280418.41008497123</v>
      </c>
      <c r="E50" s="481">
        <f>IF(+I14&lt;F49,I14,D50)</f>
        <v>36949.99</v>
      </c>
      <c r="F50" s="482">
        <f t="shared" ref="F50:F72" si="34">+D50-E50</f>
        <v>243468.42008497124</v>
      </c>
      <c r="G50" s="483">
        <f t="shared" si="27"/>
        <v>66743.483167002763</v>
      </c>
      <c r="H50" s="452">
        <f t="shared" si="28"/>
        <v>66743.483167002763</v>
      </c>
      <c r="I50" s="472">
        <f t="shared" si="29"/>
        <v>0</v>
      </c>
      <c r="J50" s="472"/>
      <c r="K50" s="484"/>
      <c r="L50" s="475">
        <f t="shared" si="30"/>
        <v>0</v>
      </c>
      <c r="M50" s="484"/>
      <c r="N50" s="475">
        <f t="shared" si="31"/>
        <v>0</v>
      </c>
      <c r="O50" s="475">
        <f t="shared" si="32"/>
        <v>0</v>
      </c>
      <c r="P50" s="241"/>
    </row>
    <row r="51" spans="2:16" ht="12.5">
      <c r="B51" s="160" t="str">
        <f t="shared" si="33"/>
        <v/>
      </c>
      <c r="C51" s="469">
        <f>IF(D11="","-",+C50+1)</f>
        <v>2045</v>
      </c>
      <c r="D51" s="482">
        <f>IF(F50+SUM(E$17:E50)=D$10,F50,D$10-SUM(E$17:E50))</f>
        <v>243468.42008497124</v>
      </c>
      <c r="E51" s="481">
        <f>IF(+I14&lt;F50,I14,D51)</f>
        <v>36949.99</v>
      </c>
      <c r="F51" s="482">
        <f t="shared" si="34"/>
        <v>206518.43008497125</v>
      </c>
      <c r="G51" s="483">
        <f t="shared" si="27"/>
        <v>62540.784373338829</v>
      </c>
      <c r="H51" s="452">
        <f t="shared" si="28"/>
        <v>62540.784373338829</v>
      </c>
      <c r="I51" s="472">
        <f t="shared" si="29"/>
        <v>0</v>
      </c>
      <c r="J51" s="472"/>
      <c r="K51" s="484"/>
      <c r="L51" s="475">
        <f t="shared" si="30"/>
        <v>0</v>
      </c>
      <c r="M51" s="484"/>
      <c r="N51" s="475">
        <f t="shared" si="31"/>
        <v>0</v>
      </c>
      <c r="O51" s="475">
        <f t="shared" si="32"/>
        <v>0</v>
      </c>
      <c r="P51" s="241"/>
    </row>
    <row r="52" spans="2:16" ht="12.5">
      <c r="B52" s="160" t="str">
        <f t="shared" si="33"/>
        <v/>
      </c>
      <c r="C52" s="469">
        <f>IF(D11="","-",+C51+1)</f>
        <v>2046</v>
      </c>
      <c r="D52" s="482">
        <f>IF(F51+SUM(E$17:E51)=D$10,F51,D$10-SUM(E$17:E51))</f>
        <v>206518.43008497125</v>
      </c>
      <c r="E52" s="481">
        <f>IF(+I14&lt;F51,I14,D52)</f>
        <v>36949.99</v>
      </c>
      <c r="F52" s="482">
        <f t="shared" si="34"/>
        <v>169568.44008497125</v>
      </c>
      <c r="G52" s="483">
        <f t="shared" si="27"/>
        <v>58338.085579674895</v>
      </c>
      <c r="H52" s="452">
        <f t="shared" si="28"/>
        <v>58338.085579674895</v>
      </c>
      <c r="I52" s="472">
        <f t="shared" si="29"/>
        <v>0</v>
      </c>
      <c r="J52" s="472"/>
      <c r="K52" s="484"/>
      <c r="L52" s="475">
        <f t="shared" si="30"/>
        <v>0</v>
      </c>
      <c r="M52" s="484"/>
      <c r="N52" s="475">
        <f t="shared" si="31"/>
        <v>0</v>
      </c>
      <c r="O52" s="475">
        <f t="shared" si="32"/>
        <v>0</v>
      </c>
      <c r="P52" s="241"/>
    </row>
    <row r="53" spans="2:16" ht="12.5">
      <c r="B53" s="160" t="str">
        <f t="shared" si="33"/>
        <v/>
      </c>
      <c r="C53" s="469">
        <f>IF(D11="","-",+C52+1)</f>
        <v>2047</v>
      </c>
      <c r="D53" s="482">
        <f>IF(F52+SUM(E$17:E52)=D$10,F52,D$10-SUM(E$17:E52))</f>
        <v>169568.44008497125</v>
      </c>
      <c r="E53" s="481">
        <f>IF(+I14&lt;F52,I14,D53)</f>
        <v>36949.99</v>
      </c>
      <c r="F53" s="482">
        <f t="shared" si="34"/>
        <v>132618.45008497126</v>
      </c>
      <c r="G53" s="483">
        <f t="shared" si="27"/>
        <v>54135.38678601096</v>
      </c>
      <c r="H53" s="452">
        <f t="shared" si="28"/>
        <v>54135.38678601096</v>
      </c>
      <c r="I53" s="472">
        <f t="shared" si="29"/>
        <v>0</v>
      </c>
      <c r="J53" s="472"/>
      <c r="K53" s="484"/>
      <c r="L53" s="475">
        <f t="shared" si="30"/>
        <v>0</v>
      </c>
      <c r="M53" s="484"/>
      <c r="N53" s="475">
        <f t="shared" si="31"/>
        <v>0</v>
      </c>
      <c r="O53" s="475">
        <f t="shared" si="32"/>
        <v>0</v>
      </c>
      <c r="P53" s="241"/>
    </row>
    <row r="54" spans="2:16" ht="12.5">
      <c r="B54" s="160" t="str">
        <f t="shared" si="33"/>
        <v/>
      </c>
      <c r="C54" s="469">
        <f>IF(D11="","-",+C53+1)</f>
        <v>2048</v>
      </c>
      <c r="D54" s="482">
        <f>IF(F53+SUM(E$17:E53)=D$10,F53,D$10-SUM(E$17:E53))</f>
        <v>132618.45008497126</v>
      </c>
      <c r="E54" s="481">
        <f>IF(+I14&lt;F53,I14,D54)</f>
        <v>36949.99</v>
      </c>
      <c r="F54" s="482">
        <f t="shared" si="34"/>
        <v>95668.460084971273</v>
      </c>
      <c r="G54" s="483">
        <f t="shared" si="27"/>
        <v>49932.687992347026</v>
      </c>
      <c r="H54" s="452">
        <f t="shared" si="28"/>
        <v>49932.687992347026</v>
      </c>
      <c r="I54" s="472">
        <f t="shared" si="29"/>
        <v>0</v>
      </c>
      <c r="J54" s="472"/>
      <c r="K54" s="484"/>
      <c r="L54" s="475">
        <f t="shared" si="30"/>
        <v>0</v>
      </c>
      <c r="M54" s="484"/>
      <c r="N54" s="475">
        <f t="shared" si="31"/>
        <v>0</v>
      </c>
      <c r="O54" s="475">
        <f t="shared" si="32"/>
        <v>0</v>
      </c>
      <c r="P54" s="241"/>
    </row>
    <row r="55" spans="2:16" ht="12.5">
      <c r="B55" s="160" t="str">
        <f t="shared" si="33"/>
        <v/>
      </c>
      <c r="C55" s="469">
        <f>IF(D11="","-",+C54+1)</f>
        <v>2049</v>
      </c>
      <c r="D55" s="482">
        <f>IF(F54+SUM(E$17:E54)=D$10,F54,D$10-SUM(E$17:E54))</f>
        <v>95668.460084971273</v>
      </c>
      <c r="E55" s="481">
        <f>IF(+I14&lt;F54,I14,D55)</f>
        <v>36949.99</v>
      </c>
      <c r="F55" s="482">
        <f t="shared" si="34"/>
        <v>58718.470084971275</v>
      </c>
      <c r="G55" s="483">
        <f t="shared" si="27"/>
        <v>45729.989198683084</v>
      </c>
      <c r="H55" s="452">
        <f t="shared" si="28"/>
        <v>45729.989198683084</v>
      </c>
      <c r="I55" s="472">
        <f t="shared" si="29"/>
        <v>0</v>
      </c>
      <c r="J55" s="472"/>
      <c r="K55" s="484"/>
      <c r="L55" s="475">
        <f t="shared" si="30"/>
        <v>0</v>
      </c>
      <c r="M55" s="484"/>
      <c r="N55" s="475">
        <f t="shared" si="31"/>
        <v>0</v>
      </c>
      <c r="O55" s="475">
        <f t="shared" si="32"/>
        <v>0</v>
      </c>
      <c r="P55" s="241"/>
    </row>
    <row r="56" spans="2:16" ht="12.5">
      <c r="B56" s="160" t="str">
        <f t="shared" si="33"/>
        <v/>
      </c>
      <c r="C56" s="469">
        <f>IF(D11="","-",+C55+1)</f>
        <v>2050</v>
      </c>
      <c r="D56" s="482">
        <f>IF(F55+SUM(E$17:E55)=D$10,F55,D$10-SUM(E$17:E55))</f>
        <v>58718.470084971275</v>
      </c>
      <c r="E56" s="481">
        <f>IF(+I14&lt;F55,I14,D56)</f>
        <v>36949.99</v>
      </c>
      <c r="F56" s="482">
        <f t="shared" si="34"/>
        <v>21768.480084971277</v>
      </c>
      <c r="G56" s="483">
        <f t="shared" si="27"/>
        <v>41527.29040501915</v>
      </c>
      <c r="H56" s="452">
        <f t="shared" si="28"/>
        <v>41527.29040501915</v>
      </c>
      <c r="I56" s="472">
        <f t="shared" si="29"/>
        <v>0</v>
      </c>
      <c r="J56" s="472"/>
      <c r="K56" s="484"/>
      <c r="L56" s="475">
        <f t="shared" si="30"/>
        <v>0</v>
      </c>
      <c r="M56" s="484"/>
      <c r="N56" s="475">
        <f t="shared" si="31"/>
        <v>0</v>
      </c>
      <c r="O56" s="475">
        <f t="shared" si="32"/>
        <v>0</v>
      </c>
      <c r="P56" s="241"/>
    </row>
    <row r="57" spans="2:16" ht="12.5">
      <c r="B57" s="160" t="str">
        <f t="shared" si="33"/>
        <v/>
      </c>
      <c r="C57" s="469">
        <f>IF(D11="","-",+C56+1)</f>
        <v>2051</v>
      </c>
      <c r="D57" s="482">
        <f>IF(F56+SUM(E$17:E56)=D$10,F56,D$10-SUM(E$17:E56))</f>
        <v>21768.480084971277</v>
      </c>
      <c r="E57" s="481">
        <f>IF(+I14&lt;F56,I14,D57)</f>
        <v>21768.480084971277</v>
      </c>
      <c r="F57" s="482">
        <f t="shared" si="34"/>
        <v>0</v>
      </c>
      <c r="G57" s="483">
        <f t="shared" si="27"/>
        <v>23006.455589064866</v>
      </c>
      <c r="H57" s="452">
        <f t="shared" si="28"/>
        <v>23006.455589064866</v>
      </c>
      <c r="I57" s="472">
        <f t="shared" si="29"/>
        <v>0</v>
      </c>
      <c r="J57" s="472"/>
      <c r="K57" s="484"/>
      <c r="L57" s="475">
        <f t="shared" si="30"/>
        <v>0</v>
      </c>
      <c r="M57" s="484"/>
      <c r="N57" s="475">
        <f t="shared" si="31"/>
        <v>0</v>
      </c>
      <c r="O57" s="475">
        <f t="shared" si="32"/>
        <v>0</v>
      </c>
      <c r="P57" s="241"/>
    </row>
    <row r="58" spans="2:16" ht="12.5">
      <c r="B58" s="160" t="str">
        <f t="shared" si="33"/>
        <v/>
      </c>
      <c r="C58" s="469">
        <f>IF(D11="","-",+C57+1)</f>
        <v>2052</v>
      </c>
      <c r="D58" s="482">
        <f>IF(F57+SUM(E$17:E57)=D$10,F57,D$10-SUM(E$17:E57))</f>
        <v>0</v>
      </c>
      <c r="E58" s="481">
        <f>IF(+I14&lt;F57,I14,D58)</f>
        <v>0</v>
      </c>
      <c r="F58" s="482">
        <f t="shared" si="34"/>
        <v>0</v>
      </c>
      <c r="G58" s="483">
        <f t="shared" si="27"/>
        <v>0</v>
      </c>
      <c r="H58" s="452">
        <f t="shared" si="28"/>
        <v>0</v>
      </c>
      <c r="I58" s="472">
        <f t="shared" si="29"/>
        <v>0</v>
      </c>
      <c r="J58" s="472"/>
      <c r="K58" s="484"/>
      <c r="L58" s="475">
        <f t="shared" si="30"/>
        <v>0</v>
      </c>
      <c r="M58" s="484"/>
      <c r="N58" s="475">
        <f t="shared" si="31"/>
        <v>0</v>
      </c>
      <c r="O58" s="475">
        <f t="shared" si="32"/>
        <v>0</v>
      </c>
      <c r="P58" s="241"/>
    </row>
    <row r="59" spans="2:16" ht="12.5">
      <c r="B59" s="160" t="str">
        <f t="shared" si="33"/>
        <v/>
      </c>
      <c r="C59" s="469">
        <f>IF(D11="","-",+C58+1)</f>
        <v>2053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34"/>
        <v>0</v>
      </c>
      <c r="G59" s="483">
        <f t="shared" si="27"/>
        <v>0</v>
      </c>
      <c r="H59" s="452">
        <f t="shared" si="28"/>
        <v>0</v>
      </c>
      <c r="I59" s="472">
        <f t="shared" si="29"/>
        <v>0</v>
      </c>
      <c r="J59" s="472"/>
      <c r="K59" s="484"/>
      <c r="L59" s="475">
        <f t="shared" si="30"/>
        <v>0</v>
      </c>
      <c r="M59" s="484"/>
      <c r="N59" s="475">
        <f t="shared" si="31"/>
        <v>0</v>
      </c>
      <c r="O59" s="475">
        <f t="shared" si="32"/>
        <v>0</v>
      </c>
      <c r="P59" s="241"/>
    </row>
    <row r="60" spans="2:16" ht="12.5">
      <c r="B60" s="160" t="str">
        <f t="shared" si="33"/>
        <v/>
      </c>
      <c r="C60" s="469">
        <f>IF(D11="","-",+C59+1)</f>
        <v>2054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4"/>
        <v>0</v>
      </c>
      <c r="G60" s="483">
        <f t="shared" si="27"/>
        <v>0</v>
      </c>
      <c r="H60" s="452">
        <f t="shared" si="28"/>
        <v>0</v>
      </c>
      <c r="I60" s="472">
        <f t="shared" si="29"/>
        <v>0</v>
      </c>
      <c r="J60" s="472"/>
      <c r="K60" s="484"/>
      <c r="L60" s="475">
        <f t="shared" si="30"/>
        <v>0</v>
      </c>
      <c r="M60" s="484"/>
      <c r="N60" s="475">
        <f t="shared" si="31"/>
        <v>0</v>
      </c>
      <c r="O60" s="475">
        <f t="shared" si="32"/>
        <v>0</v>
      </c>
      <c r="P60" s="241"/>
    </row>
    <row r="61" spans="2:16" ht="12.5">
      <c r="B61" s="160" t="str">
        <f t="shared" si="33"/>
        <v/>
      </c>
      <c r="C61" s="469">
        <f>IF(D11="","-",+C60+1)</f>
        <v>2055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4"/>
        <v>0</v>
      </c>
      <c r="G61" s="483">
        <f t="shared" si="27"/>
        <v>0</v>
      </c>
      <c r="H61" s="452">
        <f t="shared" si="28"/>
        <v>0</v>
      </c>
      <c r="I61" s="472">
        <f t="shared" si="29"/>
        <v>0</v>
      </c>
      <c r="J61" s="472"/>
      <c r="K61" s="484"/>
      <c r="L61" s="475">
        <f t="shared" si="30"/>
        <v>0</v>
      </c>
      <c r="M61" s="484"/>
      <c r="N61" s="475">
        <f t="shared" si="31"/>
        <v>0</v>
      </c>
      <c r="O61" s="475">
        <f t="shared" si="32"/>
        <v>0</v>
      </c>
      <c r="P61" s="241"/>
    </row>
    <row r="62" spans="2:16" ht="12.5">
      <c r="B62" s="160" t="str">
        <f t="shared" si="33"/>
        <v/>
      </c>
      <c r="C62" s="469">
        <f>IF(D11="","-",+C61+1)</f>
        <v>2056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4"/>
        <v>0</v>
      </c>
      <c r="G62" s="483">
        <f t="shared" si="27"/>
        <v>0</v>
      </c>
      <c r="H62" s="452">
        <f t="shared" si="28"/>
        <v>0</v>
      </c>
      <c r="I62" s="472">
        <f t="shared" si="29"/>
        <v>0</v>
      </c>
      <c r="J62" s="472"/>
      <c r="K62" s="484"/>
      <c r="L62" s="475">
        <f t="shared" si="30"/>
        <v>0</v>
      </c>
      <c r="M62" s="484"/>
      <c r="N62" s="475">
        <f t="shared" si="31"/>
        <v>0</v>
      </c>
      <c r="O62" s="475">
        <f t="shared" si="32"/>
        <v>0</v>
      </c>
      <c r="P62" s="241"/>
    </row>
    <row r="63" spans="2:16" ht="12.5">
      <c r="B63" s="160" t="str">
        <f t="shared" si="33"/>
        <v/>
      </c>
      <c r="C63" s="469">
        <f>IF(D11="","-",+C62+1)</f>
        <v>2057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4"/>
        <v>0</v>
      </c>
      <c r="G63" s="483">
        <f t="shared" si="27"/>
        <v>0</v>
      </c>
      <c r="H63" s="452">
        <f t="shared" si="28"/>
        <v>0</v>
      </c>
      <c r="I63" s="472">
        <f t="shared" si="29"/>
        <v>0</v>
      </c>
      <c r="J63" s="472"/>
      <c r="K63" s="484"/>
      <c r="L63" s="475">
        <f t="shared" si="30"/>
        <v>0</v>
      </c>
      <c r="M63" s="484"/>
      <c r="N63" s="475">
        <f t="shared" si="31"/>
        <v>0</v>
      </c>
      <c r="O63" s="475">
        <f t="shared" si="32"/>
        <v>0</v>
      </c>
      <c r="P63" s="241"/>
    </row>
    <row r="64" spans="2:16" ht="12.5">
      <c r="B64" s="160" t="str">
        <f t="shared" si="33"/>
        <v/>
      </c>
      <c r="C64" s="469">
        <f>IF(D11="","-",+C63+1)</f>
        <v>2058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4"/>
        <v>0</v>
      </c>
      <c r="G64" s="483">
        <f t="shared" si="27"/>
        <v>0</v>
      </c>
      <c r="H64" s="452">
        <f t="shared" si="28"/>
        <v>0</v>
      </c>
      <c r="I64" s="472">
        <f t="shared" si="29"/>
        <v>0</v>
      </c>
      <c r="J64" s="472"/>
      <c r="K64" s="484"/>
      <c r="L64" s="475">
        <f t="shared" si="30"/>
        <v>0</v>
      </c>
      <c r="M64" s="484"/>
      <c r="N64" s="475">
        <f t="shared" si="31"/>
        <v>0</v>
      </c>
      <c r="O64" s="475">
        <f t="shared" si="32"/>
        <v>0</v>
      </c>
      <c r="P64" s="241"/>
    </row>
    <row r="65" spans="2:16" ht="12.5">
      <c r="B65" s="160" t="str">
        <f t="shared" si="33"/>
        <v/>
      </c>
      <c r="C65" s="469">
        <f>IF(D11="","-",+C64+1)</f>
        <v>2059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4"/>
        <v>0</v>
      </c>
      <c r="G65" s="483">
        <f t="shared" si="27"/>
        <v>0</v>
      </c>
      <c r="H65" s="452">
        <f t="shared" si="28"/>
        <v>0</v>
      </c>
      <c r="I65" s="472">
        <f t="shared" si="29"/>
        <v>0</v>
      </c>
      <c r="J65" s="472"/>
      <c r="K65" s="484"/>
      <c r="L65" s="475">
        <f t="shared" si="30"/>
        <v>0</v>
      </c>
      <c r="M65" s="484"/>
      <c r="N65" s="475">
        <f t="shared" si="31"/>
        <v>0</v>
      </c>
      <c r="O65" s="475">
        <f t="shared" si="32"/>
        <v>0</v>
      </c>
      <c r="P65" s="241"/>
    </row>
    <row r="66" spans="2:16" ht="12.5">
      <c r="B66" s="160" t="str">
        <f t="shared" si="33"/>
        <v/>
      </c>
      <c r="C66" s="469">
        <f>IF(D11="","-",+C65+1)</f>
        <v>2060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4"/>
        <v>0</v>
      </c>
      <c r="G66" s="483">
        <f t="shared" si="27"/>
        <v>0</v>
      </c>
      <c r="H66" s="452">
        <f t="shared" si="28"/>
        <v>0</v>
      </c>
      <c r="I66" s="472">
        <f t="shared" si="29"/>
        <v>0</v>
      </c>
      <c r="J66" s="472"/>
      <c r="K66" s="484"/>
      <c r="L66" s="475">
        <f t="shared" si="30"/>
        <v>0</v>
      </c>
      <c r="M66" s="484"/>
      <c r="N66" s="475">
        <f t="shared" si="31"/>
        <v>0</v>
      </c>
      <c r="O66" s="475">
        <f t="shared" si="32"/>
        <v>0</v>
      </c>
      <c r="P66" s="241"/>
    </row>
    <row r="67" spans="2:16" ht="12.5">
      <c r="B67" s="160" t="str">
        <f t="shared" si="33"/>
        <v/>
      </c>
      <c r="C67" s="469">
        <f>IF(D11="","-",+C66+1)</f>
        <v>2061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4"/>
        <v>0</v>
      </c>
      <c r="G67" s="483">
        <f t="shared" si="27"/>
        <v>0</v>
      </c>
      <c r="H67" s="452">
        <f t="shared" si="28"/>
        <v>0</v>
      </c>
      <c r="I67" s="472">
        <f t="shared" si="29"/>
        <v>0</v>
      </c>
      <c r="J67" s="472"/>
      <c r="K67" s="484"/>
      <c r="L67" s="475">
        <f t="shared" si="30"/>
        <v>0</v>
      </c>
      <c r="M67" s="484"/>
      <c r="N67" s="475">
        <f t="shared" si="31"/>
        <v>0</v>
      </c>
      <c r="O67" s="475">
        <f t="shared" si="32"/>
        <v>0</v>
      </c>
      <c r="P67" s="241"/>
    </row>
    <row r="68" spans="2:16" ht="12.5">
      <c r="B68" s="160" t="str">
        <f t="shared" si="33"/>
        <v/>
      </c>
      <c r="C68" s="469">
        <f>IF(D11="","-",+C67+1)</f>
        <v>2062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4"/>
        <v>0</v>
      </c>
      <c r="G68" s="483">
        <f t="shared" si="27"/>
        <v>0</v>
      </c>
      <c r="H68" s="452">
        <f t="shared" si="28"/>
        <v>0</v>
      </c>
      <c r="I68" s="472">
        <f t="shared" si="29"/>
        <v>0</v>
      </c>
      <c r="J68" s="472"/>
      <c r="K68" s="484"/>
      <c r="L68" s="475">
        <f t="shared" si="30"/>
        <v>0</v>
      </c>
      <c r="M68" s="484"/>
      <c r="N68" s="475">
        <f t="shared" si="31"/>
        <v>0</v>
      </c>
      <c r="O68" s="475">
        <f t="shared" si="32"/>
        <v>0</v>
      </c>
      <c r="P68" s="241"/>
    </row>
    <row r="69" spans="2:16" ht="12.5">
      <c r="B69" s="160" t="str">
        <f t="shared" si="33"/>
        <v/>
      </c>
      <c r="C69" s="469">
        <f>IF(D11="","-",+C68+1)</f>
        <v>2063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4"/>
        <v>0</v>
      </c>
      <c r="G69" s="483">
        <f t="shared" si="27"/>
        <v>0</v>
      </c>
      <c r="H69" s="452">
        <f t="shared" si="28"/>
        <v>0</v>
      </c>
      <c r="I69" s="472">
        <f t="shared" si="29"/>
        <v>0</v>
      </c>
      <c r="J69" s="472"/>
      <c r="K69" s="484"/>
      <c r="L69" s="475">
        <f t="shared" si="30"/>
        <v>0</v>
      </c>
      <c r="M69" s="484"/>
      <c r="N69" s="475">
        <f t="shared" si="31"/>
        <v>0</v>
      </c>
      <c r="O69" s="475">
        <f t="shared" si="32"/>
        <v>0</v>
      </c>
      <c r="P69" s="241"/>
    </row>
    <row r="70" spans="2:16" ht="12.5">
      <c r="B70" s="160" t="str">
        <f t="shared" si="33"/>
        <v/>
      </c>
      <c r="C70" s="469">
        <f>IF(D11="","-",+C69+1)</f>
        <v>2064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4"/>
        <v>0</v>
      </c>
      <c r="G70" s="483">
        <f t="shared" si="27"/>
        <v>0</v>
      </c>
      <c r="H70" s="452">
        <f t="shared" si="28"/>
        <v>0</v>
      </c>
      <c r="I70" s="472">
        <f t="shared" si="29"/>
        <v>0</v>
      </c>
      <c r="J70" s="472"/>
      <c r="K70" s="484"/>
      <c r="L70" s="475">
        <f t="shared" si="30"/>
        <v>0</v>
      </c>
      <c r="M70" s="484"/>
      <c r="N70" s="475">
        <f t="shared" si="31"/>
        <v>0</v>
      </c>
      <c r="O70" s="475">
        <f t="shared" si="32"/>
        <v>0</v>
      </c>
      <c r="P70" s="241"/>
    </row>
    <row r="71" spans="2:16" ht="12.5">
      <c r="B71" s="160" t="str">
        <f t="shared" si="33"/>
        <v/>
      </c>
      <c r="C71" s="469">
        <f>IF(D11="","-",+C70+1)</f>
        <v>2065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4"/>
        <v>0</v>
      </c>
      <c r="G71" s="483">
        <f t="shared" si="27"/>
        <v>0</v>
      </c>
      <c r="H71" s="452">
        <f t="shared" si="28"/>
        <v>0</v>
      </c>
      <c r="I71" s="472">
        <f t="shared" si="29"/>
        <v>0</v>
      </c>
      <c r="J71" s="472"/>
      <c r="K71" s="484"/>
      <c r="L71" s="475">
        <f t="shared" si="30"/>
        <v>0</v>
      </c>
      <c r="M71" s="484"/>
      <c r="N71" s="475">
        <f t="shared" si="31"/>
        <v>0</v>
      </c>
      <c r="O71" s="475">
        <f t="shared" si="32"/>
        <v>0</v>
      </c>
      <c r="P71" s="241"/>
    </row>
    <row r="72" spans="2:16" ht="13" thickBot="1">
      <c r="B72" s="160" t="str">
        <f t="shared" si="33"/>
        <v/>
      </c>
      <c r="C72" s="486">
        <f>IF(D11="","-",+C71+1)</f>
        <v>2066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4"/>
        <v>0</v>
      </c>
      <c r="G72" s="487">
        <f t="shared" si="27"/>
        <v>0</v>
      </c>
      <c r="H72" s="487">
        <f t="shared" si="28"/>
        <v>0</v>
      </c>
      <c r="I72" s="490">
        <f t="shared" si="29"/>
        <v>0</v>
      </c>
      <c r="J72" s="472"/>
      <c r="K72" s="491"/>
      <c r="L72" s="492">
        <f t="shared" si="30"/>
        <v>0</v>
      </c>
      <c r="M72" s="491"/>
      <c r="N72" s="492">
        <f t="shared" si="31"/>
        <v>0</v>
      </c>
      <c r="O72" s="492">
        <f t="shared" si="32"/>
        <v>0</v>
      </c>
      <c r="P72" s="241"/>
    </row>
    <row r="73" spans="2:16" ht="12.5">
      <c r="C73" s="344" t="s">
        <v>77</v>
      </c>
      <c r="D73" s="345"/>
      <c r="E73" s="345">
        <f>SUM(E17:E72)</f>
        <v>1404099.6199999999</v>
      </c>
      <c r="F73" s="345"/>
      <c r="G73" s="345">
        <f>SUM(G17:G72)</f>
        <v>5084336.5403887695</v>
      </c>
      <c r="H73" s="345">
        <f>SUM(H17:H72)</f>
        <v>5084336.5403887695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11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155417.54371659239</v>
      </c>
      <c r="N87" s="505">
        <f>IF(J92&lt;D11,0,VLOOKUP(J92,C17:O72,11))</f>
        <v>155417.54371659239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169960.26016451258</v>
      </c>
      <c r="N88" s="509">
        <f>IF(J92&lt;D11,0,VLOOKUP(J92,C99:P154,7))</f>
        <v>169960.26016451258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Bartlesville SE to Coffeyville T Rebuild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14542.716447920189</v>
      </c>
      <c r="N89" s="514">
        <f>+N88-N87</f>
        <v>14542.716447920189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TP2008079-PSO</v>
      </c>
      <c r="E91" s="519" t="str">
        <f>E9</f>
        <v>SPP Project ID =</v>
      </c>
      <c r="F91" s="718">
        <f>F9</f>
        <v>446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1404099.6199999999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2011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6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36950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2011</v>
      </c>
      <c r="D99" s="470">
        <v>0</v>
      </c>
      <c r="E99" s="477">
        <v>13815</v>
      </c>
      <c r="F99" s="570">
        <v>1422922</v>
      </c>
      <c r="G99" s="534">
        <v>711461</v>
      </c>
      <c r="H99" s="536">
        <v>113286.80836539247</v>
      </c>
      <c r="I99" s="536">
        <v>113286.80836539247</v>
      </c>
      <c r="J99" s="475">
        <f t="shared" ref="J99:J130" si="35">+I99-H99</f>
        <v>0</v>
      </c>
      <c r="K99" s="571"/>
      <c r="L99" s="564">
        <f t="shared" ref="L99:L104" si="36">H99</f>
        <v>113286.80836539247</v>
      </c>
      <c r="M99" s="572">
        <f t="shared" ref="M99:M130" si="37">IF(L99&lt;&gt;0,+H99-L99,0)</f>
        <v>0</v>
      </c>
      <c r="N99" s="564">
        <f t="shared" ref="N99:N104" si="38">I99</f>
        <v>113286.80836539247</v>
      </c>
      <c r="O99" s="474">
        <f t="shared" ref="O99:O130" si="39">IF(N99&lt;&gt;0,+I99-N99,0)</f>
        <v>0</v>
      </c>
      <c r="P99" s="474">
        <f t="shared" ref="P99:P130" si="40">+O99-M99</f>
        <v>0</v>
      </c>
    </row>
    <row r="100" spans="1:16" ht="12.5">
      <c r="B100" s="160" t="str">
        <f t="shared" ref="B100:B131" si="41">IF(D100=F99,"","IU")</f>
        <v>IU</v>
      </c>
      <c r="C100" s="469">
        <f>IF(D93="","-",+C99+1)</f>
        <v>2012</v>
      </c>
      <c r="D100" s="470">
        <v>1479908</v>
      </c>
      <c r="E100" s="477">
        <v>28725</v>
      </c>
      <c r="F100" s="570">
        <v>1451183</v>
      </c>
      <c r="G100" s="476">
        <v>1465545.5</v>
      </c>
      <c r="H100" s="536">
        <v>239551.75399863988</v>
      </c>
      <c r="I100" s="536">
        <v>239551.75399863988</v>
      </c>
      <c r="J100" s="475">
        <v>0</v>
      </c>
      <c r="K100" s="571"/>
      <c r="L100" s="537">
        <f t="shared" si="36"/>
        <v>239551.75399863988</v>
      </c>
      <c r="M100" s="572">
        <f t="shared" ref="M100:M105" si="42">IF(L100&lt;&gt;0,+H100-L100,0)</f>
        <v>0</v>
      </c>
      <c r="N100" s="537">
        <f t="shared" si="38"/>
        <v>239551.75399863988</v>
      </c>
      <c r="O100" s="475">
        <f t="shared" ref="O100:O105" si="43">IF(N100&lt;&gt;0,+I100-N100,0)</f>
        <v>0</v>
      </c>
      <c r="P100" s="475">
        <f t="shared" ref="P100:P105" si="44">+O100-M100</f>
        <v>0</v>
      </c>
    </row>
    <row r="101" spans="1:16" ht="12.5">
      <c r="B101" s="160" t="str">
        <f t="shared" si="41"/>
        <v/>
      </c>
      <c r="C101" s="469">
        <f>IF(D93="","-",+C100+1)</f>
        <v>2013</v>
      </c>
      <c r="D101" s="470">
        <v>1451183</v>
      </c>
      <c r="E101" s="477">
        <v>28725</v>
      </c>
      <c r="F101" s="570">
        <v>1422458</v>
      </c>
      <c r="G101" s="476">
        <v>1436820.5</v>
      </c>
      <c r="H101" s="536">
        <v>235540.35933406017</v>
      </c>
      <c r="I101" s="536">
        <v>235540.35933406017</v>
      </c>
      <c r="J101" s="475">
        <v>0</v>
      </c>
      <c r="K101" s="571"/>
      <c r="L101" s="537">
        <f t="shared" si="36"/>
        <v>235540.35933406017</v>
      </c>
      <c r="M101" s="572">
        <f t="shared" si="42"/>
        <v>0</v>
      </c>
      <c r="N101" s="537">
        <f t="shared" si="38"/>
        <v>235540.35933406017</v>
      </c>
      <c r="O101" s="475">
        <f t="shared" si="43"/>
        <v>0</v>
      </c>
      <c r="P101" s="475">
        <f t="shared" si="44"/>
        <v>0</v>
      </c>
    </row>
    <row r="102" spans="1:16" ht="12.5">
      <c r="B102" s="160" t="str">
        <f t="shared" si="41"/>
        <v>IU</v>
      </c>
      <c r="C102" s="469">
        <f>IF(D93="","-",+C101+1)</f>
        <v>2014</v>
      </c>
      <c r="D102" s="470">
        <v>1332834.6199999999</v>
      </c>
      <c r="E102" s="477">
        <v>27002</v>
      </c>
      <c r="F102" s="570">
        <v>1305832.6199999999</v>
      </c>
      <c r="G102" s="476">
        <v>1319333.6199999999</v>
      </c>
      <c r="H102" s="536">
        <v>212494.91385632072</v>
      </c>
      <c r="I102" s="536">
        <v>212494.91385632072</v>
      </c>
      <c r="J102" s="475">
        <v>0</v>
      </c>
      <c r="K102" s="571"/>
      <c r="L102" s="537">
        <f t="shared" si="36"/>
        <v>212494.91385632072</v>
      </c>
      <c r="M102" s="572">
        <f t="shared" si="42"/>
        <v>0</v>
      </c>
      <c r="N102" s="537">
        <f t="shared" si="38"/>
        <v>212494.91385632072</v>
      </c>
      <c r="O102" s="475">
        <f t="shared" si="43"/>
        <v>0</v>
      </c>
      <c r="P102" s="475">
        <f t="shared" si="44"/>
        <v>0</v>
      </c>
    </row>
    <row r="103" spans="1:16" ht="12.5">
      <c r="B103" s="160" t="str">
        <f t="shared" si="41"/>
        <v/>
      </c>
      <c r="C103" s="469">
        <f>IF(D93="","-",+C102+1)</f>
        <v>2015</v>
      </c>
      <c r="D103" s="470">
        <v>1305832.6199999999</v>
      </c>
      <c r="E103" s="477">
        <v>27002</v>
      </c>
      <c r="F103" s="570">
        <v>1278830.6199999999</v>
      </c>
      <c r="G103" s="476">
        <v>1292331.6199999999</v>
      </c>
      <c r="H103" s="536">
        <v>203330.25869072074</v>
      </c>
      <c r="I103" s="536">
        <v>203330.25869072074</v>
      </c>
      <c r="J103" s="475">
        <f t="shared" si="35"/>
        <v>0</v>
      </c>
      <c r="K103" s="571"/>
      <c r="L103" s="537">
        <f t="shared" si="36"/>
        <v>203330.25869072074</v>
      </c>
      <c r="M103" s="572">
        <f t="shared" si="42"/>
        <v>0</v>
      </c>
      <c r="N103" s="537">
        <f t="shared" si="38"/>
        <v>203330.25869072074</v>
      </c>
      <c r="O103" s="475">
        <f t="shared" si="43"/>
        <v>0</v>
      </c>
      <c r="P103" s="475">
        <f t="shared" si="44"/>
        <v>0</v>
      </c>
    </row>
    <row r="104" spans="1:16" ht="12.5">
      <c r="B104" s="160" t="str">
        <f t="shared" si="41"/>
        <v/>
      </c>
      <c r="C104" s="469">
        <f>IF(D93="","-",+C103+1)</f>
        <v>2016</v>
      </c>
      <c r="D104" s="470">
        <v>1278830.6199999999</v>
      </c>
      <c r="E104" s="477">
        <v>30524</v>
      </c>
      <c r="F104" s="570">
        <v>1248306.6199999999</v>
      </c>
      <c r="G104" s="476">
        <v>1263568.6199999999</v>
      </c>
      <c r="H104" s="536">
        <v>193417.89490142919</v>
      </c>
      <c r="I104" s="536">
        <v>193417.89490142919</v>
      </c>
      <c r="J104" s="475">
        <f t="shared" si="35"/>
        <v>0</v>
      </c>
      <c r="K104" s="475"/>
      <c r="L104" s="537">
        <f t="shared" si="36"/>
        <v>193417.89490142919</v>
      </c>
      <c r="M104" s="572">
        <f t="shared" si="42"/>
        <v>0</v>
      </c>
      <c r="N104" s="537">
        <f t="shared" si="38"/>
        <v>193417.89490142919</v>
      </c>
      <c r="O104" s="475">
        <f t="shared" si="43"/>
        <v>0</v>
      </c>
      <c r="P104" s="475">
        <f t="shared" si="44"/>
        <v>0</v>
      </c>
    </row>
    <row r="105" spans="1:16" ht="12.5">
      <c r="B105" s="160" t="str">
        <f t="shared" si="41"/>
        <v/>
      </c>
      <c r="C105" s="469">
        <f>IF(D93="","-",+C104+1)</f>
        <v>2017</v>
      </c>
      <c r="D105" s="470">
        <v>1248306.6199999999</v>
      </c>
      <c r="E105" s="477">
        <v>30524</v>
      </c>
      <c r="F105" s="570">
        <v>1217782.6199999999</v>
      </c>
      <c r="G105" s="476">
        <v>1233044.6199999999</v>
      </c>
      <c r="H105" s="536">
        <v>186938.81917011391</v>
      </c>
      <c r="I105" s="536">
        <v>186938.81917011391</v>
      </c>
      <c r="J105" s="475">
        <f t="shared" si="35"/>
        <v>0</v>
      </c>
      <c r="K105" s="475"/>
      <c r="L105" s="537">
        <f t="shared" ref="L105:L110" si="45">H105</f>
        <v>186938.81917011391</v>
      </c>
      <c r="M105" s="572">
        <f t="shared" si="42"/>
        <v>0</v>
      </c>
      <c r="N105" s="537">
        <f t="shared" ref="N105:N110" si="46">I105</f>
        <v>186938.81917011391</v>
      </c>
      <c r="O105" s="475">
        <f t="shared" si="43"/>
        <v>0</v>
      </c>
      <c r="P105" s="475">
        <f t="shared" si="44"/>
        <v>0</v>
      </c>
    </row>
    <row r="106" spans="1:16" ht="12.5">
      <c r="B106" s="160" t="str">
        <f t="shared" si="41"/>
        <v/>
      </c>
      <c r="C106" s="469">
        <f>IF(D93="","-",+C105+1)</f>
        <v>2018</v>
      </c>
      <c r="D106" s="470">
        <v>1217782.6199999999</v>
      </c>
      <c r="E106" s="477">
        <v>32653</v>
      </c>
      <c r="F106" s="570">
        <v>1185129.6199999999</v>
      </c>
      <c r="G106" s="476">
        <v>1201456.1199999999</v>
      </c>
      <c r="H106" s="536">
        <v>156085.27550586959</v>
      </c>
      <c r="I106" s="536">
        <v>156085.27550586959</v>
      </c>
      <c r="J106" s="475">
        <f t="shared" si="35"/>
        <v>0</v>
      </c>
      <c r="K106" s="475"/>
      <c r="L106" s="537">
        <f t="shared" si="45"/>
        <v>156085.27550586959</v>
      </c>
      <c r="M106" s="572">
        <f t="shared" ref="M106" si="47">IF(L106&lt;&gt;0,+H106-L106,0)</f>
        <v>0</v>
      </c>
      <c r="N106" s="537">
        <f t="shared" si="46"/>
        <v>156085.27550586959</v>
      </c>
      <c r="O106" s="475">
        <f t="shared" ref="O106" si="48">IF(N106&lt;&gt;0,+I106-N106,0)</f>
        <v>0</v>
      </c>
      <c r="P106" s="475">
        <f t="shared" ref="P106" si="49">+O106-M106</f>
        <v>0</v>
      </c>
    </row>
    <row r="107" spans="1:16" ht="12.5">
      <c r="B107" s="160" t="str">
        <f t="shared" si="41"/>
        <v/>
      </c>
      <c r="C107" s="469">
        <f>IF(D93="","-",+C106+1)</f>
        <v>2019</v>
      </c>
      <c r="D107" s="470">
        <v>1185129.6199999999</v>
      </c>
      <c r="E107" s="477">
        <v>34246</v>
      </c>
      <c r="F107" s="570">
        <v>1150883.6199999999</v>
      </c>
      <c r="G107" s="476">
        <v>1168006.6199999999</v>
      </c>
      <c r="H107" s="536">
        <v>154683.86507702887</v>
      </c>
      <c r="I107" s="536">
        <v>154683.86507702887</v>
      </c>
      <c r="J107" s="475">
        <f t="shared" si="35"/>
        <v>0</v>
      </c>
      <c r="K107" s="475"/>
      <c r="L107" s="537">
        <f t="shared" si="45"/>
        <v>154683.86507702887</v>
      </c>
      <c r="M107" s="572">
        <f t="shared" ref="M107" si="50">IF(L107&lt;&gt;0,+H107-L107,0)</f>
        <v>0</v>
      </c>
      <c r="N107" s="537">
        <f t="shared" si="46"/>
        <v>154683.86507702887</v>
      </c>
      <c r="O107" s="475">
        <f t="shared" si="39"/>
        <v>0</v>
      </c>
      <c r="P107" s="475">
        <f t="shared" si="40"/>
        <v>0</v>
      </c>
    </row>
    <row r="108" spans="1:16" ht="12.5">
      <c r="B108" s="160" t="str">
        <f t="shared" si="41"/>
        <v/>
      </c>
      <c r="C108" s="469">
        <f>IF(D93="","-",+C107+1)</f>
        <v>2020</v>
      </c>
      <c r="D108" s="470">
        <v>1150883.6199999999</v>
      </c>
      <c r="E108" s="477">
        <v>32653</v>
      </c>
      <c r="F108" s="570">
        <v>1118230.6199999999</v>
      </c>
      <c r="G108" s="476">
        <v>1134557.1199999999</v>
      </c>
      <c r="H108" s="536">
        <v>163464.31672839285</v>
      </c>
      <c r="I108" s="536">
        <v>163464.31672839285</v>
      </c>
      <c r="J108" s="475">
        <f t="shared" si="35"/>
        <v>0</v>
      </c>
      <c r="K108" s="475"/>
      <c r="L108" s="537">
        <f t="shared" si="45"/>
        <v>163464.31672839285</v>
      </c>
      <c r="M108" s="572">
        <f t="shared" ref="M108" si="51">IF(L108&lt;&gt;0,+H108-L108,0)</f>
        <v>0</v>
      </c>
      <c r="N108" s="537">
        <f t="shared" si="46"/>
        <v>163464.31672839285</v>
      </c>
      <c r="O108" s="475">
        <f t="shared" si="39"/>
        <v>0</v>
      </c>
      <c r="P108" s="475">
        <f t="shared" si="40"/>
        <v>0</v>
      </c>
    </row>
    <row r="109" spans="1:16" ht="12.5">
      <c r="B109" s="160" t="str">
        <f t="shared" si="41"/>
        <v/>
      </c>
      <c r="C109" s="469">
        <f>IF(D93="","-",+C108+1)</f>
        <v>2021</v>
      </c>
      <c r="D109" s="470">
        <v>1118230.6199999999</v>
      </c>
      <c r="E109" s="477">
        <v>34246</v>
      </c>
      <c r="F109" s="570">
        <v>1083984.6199999999</v>
      </c>
      <c r="G109" s="476">
        <v>1101107.6199999999</v>
      </c>
      <c r="H109" s="536">
        <v>159544.11150802768</v>
      </c>
      <c r="I109" s="536">
        <v>159544.11150802768</v>
      </c>
      <c r="J109" s="475">
        <f t="shared" si="35"/>
        <v>0</v>
      </c>
      <c r="K109" s="475"/>
      <c r="L109" s="537">
        <f t="shared" si="45"/>
        <v>159544.11150802768</v>
      </c>
      <c r="M109" s="572">
        <f t="shared" ref="M109" si="52">IF(L109&lt;&gt;0,+H109-L109,0)</f>
        <v>0</v>
      </c>
      <c r="N109" s="537">
        <f t="shared" si="46"/>
        <v>159544.11150802768</v>
      </c>
      <c r="O109" s="475">
        <f t="shared" si="39"/>
        <v>0</v>
      </c>
      <c r="P109" s="475">
        <f t="shared" si="40"/>
        <v>0</v>
      </c>
    </row>
    <row r="110" spans="1:16" ht="12.5">
      <c r="B110" s="160" t="str">
        <f t="shared" si="41"/>
        <v>IU</v>
      </c>
      <c r="C110" s="469">
        <f>IF(D93="","-",+C109+1)</f>
        <v>2022</v>
      </c>
      <c r="D110" s="470">
        <v>1173608</v>
      </c>
      <c r="E110" s="477">
        <v>38301</v>
      </c>
      <c r="F110" s="570">
        <v>1135307</v>
      </c>
      <c r="G110" s="476">
        <v>1154457.5</v>
      </c>
      <c r="H110" s="536">
        <v>165502.18998219044</v>
      </c>
      <c r="I110" s="536">
        <v>165502.18998219044</v>
      </c>
      <c r="J110" s="475">
        <f t="shared" si="35"/>
        <v>0</v>
      </c>
      <c r="K110" s="475"/>
      <c r="L110" s="537">
        <f t="shared" si="45"/>
        <v>165502.18998219044</v>
      </c>
      <c r="M110" s="572">
        <f t="shared" ref="M110" si="53">IF(L110&lt;&gt;0,+H110-L110,0)</f>
        <v>0</v>
      </c>
      <c r="N110" s="537">
        <f t="shared" si="46"/>
        <v>165502.18998219044</v>
      </c>
      <c r="O110" s="475">
        <f t="shared" ref="O110" si="54">IF(N110&lt;&gt;0,+I110-N110,0)</f>
        <v>0</v>
      </c>
      <c r="P110" s="475">
        <f t="shared" ref="P110" si="55">+O110-M110</f>
        <v>0</v>
      </c>
    </row>
    <row r="111" spans="1:16" ht="12.5">
      <c r="B111" s="160" t="str">
        <f t="shared" si="41"/>
        <v>IU</v>
      </c>
      <c r="C111" s="469">
        <f>IF(D93="","-",+C110+1)</f>
        <v>2023</v>
      </c>
      <c r="D111" s="470">
        <v>1045683.6199999999</v>
      </c>
      <c r="E111" s="477">
        <v>36950</v>
      </c>
      <c r="F111" s="570">
        <v>1008733.6199999999</v>
      </c>
      <c r="G111" s="476">
        <v>1027208.6199999999</v>
      </c>
      <c r="H111" s="536">
        <v>154285.01353576343</v>
      </c>
      <c r="I111" s="536">
        <v>154285.01353576343</v>
      </c>
      <c r="J111" s="475">
        <f t="shared" si="35"/>
        <v>0</v>
      </c>
      <c r="K111" s="475"/>
      <c r="L111" s="537">
        <f t="shared" ref="L111" si="56">H111</f>
        <v>154285.01353576343</v>
      </c>
      <c r="M111" s="572">
        <f t="shared" ref="M111" si="57">IF(L111&lt;&gt;0,+H111-L111,0)</f>
        <v>0</v>
      </c>
      <c r="N111" s="537">
        <f t="shared" ref="N111" si="58">I111</f>
        <v>154285.01353576343</v>
      </c>
      <c r="O111" s="475">
        <f t="shared" ref="O111" si="59">IF(N111&lt;&gt;0,+I111-N111,0)</f>
        <v>0</v>
      </c>
      <c r="P111" s="475">
        <f t="shared" ref="P111" si="60">+O111-M111</f>
        <v>0</v>
      </c>
    </row>
    <row r="112" spans="1:16" ht="12.5">
      <c r="B112" s="160" t="str">
        <f t="shared" si="41"/>
        <v/>
      </c>
      <c r="C112" s="469">
        <f>IF(D93="","-",+C111+1)</f>
        <v>2024</v>
      </c>
      <c r="D112" s="344">
        <f>IF(F111+SUM(E$99:E111)=D$92,F111,D$92-SUM(E$99:E111))</f>
        <v>1008733.6199999999</v>
      </c>
      <c r="E112" s="483">
        <f>IF(+J96&lt;F111,J96,D112)</f>
        <v>36950</v>
      </c>
      <c r="F112" s="482">
        <f t="shared" ref="F112:F130" si="61">+D112-E112</f>
        <v>971783.61999999988</v>
      </c>
      <c r="G112" s="482">
        <f t="shared" ref="G112:G130" si="62">+(F112+D112)/2</f>
        <v>990258.61999999988</v>
      </c>
      <c r="H112" s="483">
        <f t="shared" ref="H112:H153" si="63">(D112+F112)/2*J$94+E112</f>
        <v>169960.26016451258</v>
      </c>
      <c r="I112" s="539">
        <f t="shared" ref="I112:I153" si="64">+J$95*G112+E112</f>
        <v>169960.26016451258</v>
      </c>
      <c r="J112" s="475">
        <f t="shared" si="35"/>
        <v>0</v>
      </c>
      <c r="K112" s="475"/>
      <c r="L112" s="484"/>
      <c r="M112" s="475">
        <f t="shared" si="37"/>
        <v>0</v>
      </c>
      <c r="N112" s="484"/>
      <c r="O112" s="475">
        <f t="shared" si="39"/>
        <v>0</v>
      </c>
      <c r="P112" s="475">
        <f t="shared" si="40"/>
        <v>0</v>
      </c>
    </row>
    <row r="113" spans="2:16" ht="12.5">
      <c r="B113" s="160" t="str">
        <f t="shared" si="41"/>
        <v/>
      </c>
      <c r="C113" s="469">
        <f>IF(D93="","-",+C112+1)</f>
        <v>2025</v>
      </c>
      <c r="D113" s="344">
        <f>IF(F112+SUM(E$99:E112)=D$92,F112,D$92-SUM(E$99:E112))</f>
        <v>971783.61999999988</v>
      </c>
      <c r="E113" s="483">
        <f>IF(+J96&lt;F112,J96,D113)</f>
        <v>36950</v>
      </c>
      <c r="F113" s="482">
        <f t="shared" si="61"/>
        <v>934833.61999999988</v>
      </c>
      <c r="G113" s="482">
        <f t="shared" si="62"/>
        <v>953308.61999999988</v>
      </c>
      <c r="H113" s="483">
        <f t="shared" si="63"/>
        <v>164997.18383897783</v>
      </c>
      <c r="I113" s="539">
        <f t="shared" si="64"/>
        <v>164997.18383897783</v>
      </c>
      <c r="J113" s="475">
        <f t="shared" si="35"/>
        <v>0</v>
      </c>
      <c r="K113" s="475"/>
      <c r="L113" s="484"/>
      <c r="M113" s="475">
        <f t="shared" si="37"/>
        <v>0</v>
      </c>
      <c r="N113" s="484"/>
      <c r="O113" s="475">
        <f t="shared" si="39"/>
        <v>0</v>
      </c>
      <c r="P113" s="475">
        <f t="shared" si="40"/>
        <v>0</v>
      </c>
    </row>
    <row r="114" spans="2:16" ht="12.5">
      <c r="B114" s="160" t="str">
        <f t="shared" si="41"/>
        <v/>
      </c>
      <c r="C114" s="469">
        <f>IF(D93="","-",+C113+1)</f>
        <v>2026</v>
      </c>
      <c r="D114" s="344">
        <f>IF(F113+SUM(E$99:E113)=D$92,F113,D$92-SUM(E$99:E113))</f>
        <v>934833.61999999988</v>
      </c>
      <c r="E114" s="483">
        <f>IF(+J96&lt;F113,J96,D114)</f>
        <v>36950</v>
      </c>
      <c r="F114" s="482">
        <f t="shared" si="61"/>
        <v>897883.61999999988</v>
      </c>
      <c r="G114" s="482">
        <f t="shared" si="62"/>
        <v>916358.61999999988</v>
      </c>
      <c r="H114" s="483">
        <f t="shared" si="63"/>
        <v>160034.10751344304</v>
      </c>
      <c r="I114" s="539">
        <f t="shared" si="64"/>
        <v>160034.10751344304</v>
      </c>
      <c r="J114" s="475">
        <f t="shared" si="35"/>
        <v>0</v>
      </c>
      <c r="K114" s="475"/>
      <c r="L114" s="484"/>
      <c r="M114" s="475">
        <f t="shared" si="37"/>
        <v>0</v>
      </c>
      <c r="N114" s="484"/>
      <c r="O114" s="475">
        <f t="shared" si="39"/>
        <v>0</v>
      </c>
      <c r="P114" s="475">
        <f t="shared" si="40"/>
        <v>0</v>
      </c>
    </row>
    <row r="115" spans="2:16" ht="12.5">
      <c r="B115" s="160" t="str">
        <f t="shared" si="41"/>
        <v/>
      </c>
      <c r="C115" s="469">
        <f>IF(D93="","-",+C114+1)</f>
        <v>2027</v>
      </c>
      <c r="D115" s="344">
        <f>IF(F114+SUM(E$99:E114)=D$92,F114,D$92-SUM(E$99:E114))</f>
        <v>897883.61999999988</v>
      </c>
      <c r="E115" s="483">
        <f>IF(+J96&lt;F114,J96,D115)</f>
        <v>36950</v>
      </c>
      <c r="F115" s="482">
        <f t="shared" si="61"/>
        <v>860933.61999999988</v>
      </c>
      <c r="G115" s="482">
        <f t="shared" si="62"/>
        <v>879408.61999999988</v>
      </c>
      <c r="H115" s="483">
        <f t="shared" si="63"/>
        <v>155071.03118790826</v>
      </c>
      <c r="I115" s="539">
        <f t="shared" si="64"/>
        <v>155071.03118790826</v>
      </c>
      <c r="J115" s="475">
        <f t="shared" si="35"/>
        <v>0</v>
      </c>
      <c r="K115" s="475"/>
      <c r="L115" s="484"/>
      <c r="M115" s="475">
        <f t="shared" si="37"/>
        <v>0</v>
      </c>
      <c r="N115" s="484"/>
      <c r="O115" s="475">
        <f t="shared" si="39"/>
        <v>0</v>
      </c>
      <c r="P115" s="475">
        <f t="shared" si="40"/>
        <v>0</v>
      </c>
    </row>
    <row r="116" spans="2:16" ht="12.5">
      <c r="B116" s="160" t="str">
        <f t="shared" si="41"/>
        <v/>
      </c>
      <c r="C116" s="469">
        <f>IF(D93="","-",+C115+1)</f>
        <v>2028</v>
      </c>
      <c r="D116" s="344">
        <f>IF(F115+SUM(E$99:E115)=D$92,F115,D$92-SUM(E$99:E115))</f>
        <v>860933.61999999988</v>
      </c>
      <c r="E116" s="483">
        <f>IF(+J96&lt;F115,J96,D116)</f>
        <v>36950</v>
      </c>
      <c r="F116" s="482">
        <f t="shared" si="61"/>
        <v>823983.61999999988</v>
      </c>
      <c r="G116" s="482">
        <f t="shared" si="62"/>
        <v>842458.61999999988</v>
      </c>
      <c r="H116" s="483">
        <f t="shared" si="63"/>
        <v>150107.95486237347</v>
      </c>
      <c r="I116" s="539">
        <f t="shared" si="64"/>
        <v>150107.95486237347</v>
      </c>
      <c r="J116" s="475">
        <f t="shared" si="35"/>
        <v>0</v>
      </c>
      <c r="K116" s="475"/>
      <c r="L116" s="484"/>
      <c r="M116" s="475">
        <f t="shared" si="37"/>
        <v>0</v>
      </c>
      <c r="N116" s="484"/>
      <c r="O116" s="475">
        <f t="shared" si="39"/>
        <v>0</v>
      </c>
      <c r="P116" s="475">
        <f t="shared" si="40"/>
        <v>0</v>
      </c>
    </row>
    <row r="117" spans="2:16" ht="12.5">
      <c r="B117" s="160" t="str">
        <f t="shared" si="41"/>
        <v/>
      </c>
      <c r="C117" s="469">
        <f>IF(D93="","-",+C116+1)</f>
        <v>2029</v>
      </c>
      <c r="D117" s="344">
        <f>IF(F116+SUM(E$99:E116)=D$92,F116,D$92-SUM(E$99:E116))</f>
        <v>823983.61999999988</v>
      </c>
      <c r="E117" s="483">
        <f>IF(+J96&lt;F116,J96,D117)</f>
        <v>36950</v>
      </c>
      <c r="F117" s="482">
        <f t="shared" si="61"/>
        <v>787033.61999999988</v>
      </c>
      <c r="G117" s="482">
        <f t="shared" si="62"/>
        <v>805508.61999999988</v>
      </c>
      <c r="H117" s="483">
        <f t="shared" si="63"/>
        <v>145144.87853683869</v>
      </c>
      <c r="I117" s="539">
        <f t="shared" si="64"/>
        <v>145144.87853683869</v>
      </c>
      <c r="J117" s="475">
        <f t="shared" si="35"/>
        <v>0</v>
      </c>
      <c r="K117" s="475"/>
      <c r="L117" s="484"/>
      <c r="M117" s="475">
        <f t="shared" si="37"/>
        <v>0</v>
      </c>
      <c r="N117" s="484"/>
      <c r="O117" s="475">
        <f t="shared" si="39"/>
        <v>0</v>
      </c>
      <c r="P117" s="475">
        <f t="shared" si="40"/>
        <v>0</v>
      </c>
    </row>
    <row r="118" spans="2:16" ht="12.5">
      <c r="B118" s="160" t="str">
        <f t="shared" si="41"/>
        <v/>
      </c>
      <c r="C118" s="469">
        <f>IF(D93="","-",+C117+1)</f>
        <v>2030</v>
      </c>
      <c r="D118" s="344">
        <f>IF(F117+SUM(E$99:E117)=D$92,F117,D$92-SUM(E$99:E117))</f>
        <v>787033.61999999988</v>
      </c>
      <c r="E118" s="483">
        <f>IF(+J96&lt;F117,J96,D118)</f>
        <v>36950</v>
      </c>
      <c r="F118" s="482">
        <f t="shared" si="61"/>
        <v>750083.61999999988</v>
      </c>
      <c r="G118" s="482">
        <f t="shared" si="62"/>
        <v>768558.61999999988</v>
      </c>
      <c r="H118" s="483">
        <f t="shared" si="63"/>
        <v>140181.8022113039</v>
      </c>
      <c r="I118" s="539">
        <f t="shared" si="64"/>
        <v>140181.8022113039</v>
      </c>
      <c r="J118" s="475">
        <f t="shared" si="35"/>
        <v>0</v>
      </c>
      <c r="K118" s="475"/>
      <c r="L118" s="484"/>
      <c r="M118" s="475">
        <f t="shared" si="37"/>
        <v>0</v>
      </c>
      <c r="N118" s="484"/>
      <c r="O118" s="475">
        <f t="shared" si="39"/>
        <v>0</v>
      </c>
      <c r="P118" s="475">
        <f t="shared" si="40"/>
        <v>0</v>
      </c>
    </row>
    <row r="119" spans="2:16" ht="12.5">
      <c r="B119" s="160" t="str">
        <f t="shared" si="41"/>
        <v/>
      </c>
      <c r="C119" s="469">
        <f>IF(D93="","-",+C118+1)</f>
        <v>2031</v>
      </c>
      <c r="D119" s="344">
        <f>IF(F118+SUM(E$99:E118)=D$92,F118,D$92-SUM(E$99:E118))</f>
        <v>750083.61999999988</v>
      </c>
      <c r="E119" s="483">
        <f>IF(+J96&lt;F118,J96,D119)</f>
        <v>36950</v>
      </c>
      <c r="F119" s="482">
        <f t="shared" si="61"/>
        <v>713133.61999999988</v>
      </c>
      <c r="G119" s="482">
        <f t="shared" si="62"/>
        <v>731608.61999999988</v>
      </c>
      <c r="H119" s="483">
        <f t="shared" si="63"/>
        <v>135218.72588576912</v>
      </c>
      <c r="I119" s="539">
        <f t="shared" si="64"/>
        <v>135218.72588576912</v>
      </c>
      <c r="J119" s="475">
        <f t="shared" si="35"/>
        <v>0</v>
      </c>
      <c r="K119" s="475"/>
      <c r="L119" s="484"/>
      <c r="M119" s="475">
        <f t="shared" si="37"/>
        <v>0</v>
      </c>
      <c r="N119" s="484"/>
      <c r="O119" s="475">
        <f t="shared" si="39"/>
        <v>0</v>
      </c>
      <c r="P119" s="475">
        <f t="shared" si="40"/>
        <v>0</v>
      </c>
    </row>
    <row r="120" spans="2:16" ht="12.5">
      <c r="B120" s="160" t="str">
        <f t="shared" si="41"/>
        <v/>
      </c>
      <c r="C120" s="469">
        <f>IF(D93="","-",+C119+1)</f>
        <v>2032</v>
      </c>
      <c r="D120" s="344">
        <f>IF(F119+SUM(E$99:E119)=D$92,F119,D$92-SUM(E$99:E119))</f>
        <v>713133.61999999988</v>
      </c>
      <c r="E120" s="483">
        <f>IF(+J96&lt;F119,J96,D120)</f>
        <v>36950</v>
      </c>
      <c r="F120" s="482">
        <f t="shared" si="61"/>
        <v>676183.61999999988</v>
      </c>
      <c r="G120" s="482">
        <f t="shared" si="62"/>
        <v>694658.61999999988</v>
      </c>
      <c r="H120" s="483">
        <f t="shared" si="63"/>
        <v>130255.64956023436</v>
      </c>
      <c r="I120" s="539">
        <f t="shared" si="64"/>
        <v>130255.64956023436</v>
      </c>
      <c r="J120" s="475">
        <f t="shared" si="35"/>
        <v>0</v>
      </c>
      <c r="K120" s="475"/>
      <c r="L120" s="484"/>
      <c r="M120" s="475">
        <f t="shared" si="37"/>
        <v>0</v>
      </c>
      <c r="N120" s="484"/>
      <c r="O120" s="475">
        <f t="shared" si="39"/>
        <v>0</v>
      </c>
      <c r="P120" s="475">
        <f t="shared" si="40"/>
        <v>0</v>
      </c>
    </row>
    <row r="121" spans="2:16" ht="12.5">
      <c r="B121" s="160" t="str">
        <f t="shared" si="41"/>
        <v/>
      </c>
      <c r="C121" s="469">
        <f>IF(D93="","-",+C120+1)</f>
        <v>2033</v>
      </c>
      <c r="D121" s="344">
        <f>IF(F120+SUM(E$99:E120)=D$92,F120,D$92-SUM(E$99:E120))</f>
        <v>676183.61999999988</v>
      </c>
      <c r="E121" s="483">
        <f>IF(+J96&lt;F120,J96,D121)</f>
        <v>36950</v>
      </c>
      <c r="F121" s="482">
        <f t="shared" si="61"/>
        <v>639233.61999999988</v>
      </c>
      <c r="G121" s="482">
        <f t="shared" si="62"/>
        <v>657708.61999999988</v>
      </c>
      <c r="H121" s="483">
        <f t="shared" si="63"/>
        <v>125292.57323469958</v>
      </c>
      <c r="I121" s="539">
        <f t="shared" si="64"/>
        <v>125292.57323469958</v>
      </c>
      <c r="J121" s="475">
        <f t="shared" si="35"/>
        <v>0</v>
      </c>
      <c r="K121" s="475"/>
      <c r="L121" s="484"/>
      <c r="M121" s="475">
        <f t="shared" si="37"/>
        <v>0</v>
      </c>
      <c r="N121" s="484"/>
      <c r="O121" s="475">
        <f t="shared" si="39"/>
        <v>0</v>
      </c>
      <c r="P121" s="475">
        <f t="shared" si="40"/>
        <v>0</v>
      </c>
    </row>
    <row r="122" spans="2:16" ht="12.5">
      <c r="B122" s="160" t="str">
        <f t="shared" si="41"/>
        <v/>
      </c>
      <c r="C122" s="469">
        <f>IF(D93="","-",+C121+1)</f>
        <v>2034</v>
      </c>
      <c r="D122" s="344">
        <f>IF(F121+SUM(E$99:E121)=D$92,F121,D$92-SUM(E$99:E121))</f>
        <v>639233.61999999988</v>
      </c>
      <c r="E122" s="483">
        <f>IF(+J96&lt;F121,J96,D122)</f>
        <v>36950</v>
      </c>
      <c r="F122" s="482">
        <f t="shared" si="61"/>
        <v>602283.61999999988</v>
      </c>
      <c r="G122" s="482">
        <f t="shared" si="62"/>
        <v>620758.61999999988</v>
      </c>
      <c r="H122" s="483">
        <f t="shared" si="63"/>
        <v>120329.49690916479</v>
      </c>
      <c r="I122" s="539">
        <f t="shared" si="64"/>
        <v>120329.49690916479</v>
      </c>
      <c r="J122" s="475">
        <f t="shared" si="35"/>
        <v>0</v>
      </c>
      <c r="K122" s="475"/>
      <c r="L122" s="484"/>
      <c r="M122" s="475">
        <f t="shared" si="37"/>
        <v>0</v>
      </c>
      <c r="N122" s="484"/>
      <c r="O122" s="475">
        <f t="shared" si="39"/>
        <v>0</v>
      </c>
      <c r="P122" s="475">
        <f t="shared" si="40"/>
        <v>0</v>
      </c>
    </row>
    <row r="123" spans="2:16" ht="12.5">
      <c r="B123" s="160" t="str">
        <f t="shared" si="41"/>
        <v/>
      </c>
      <c r="C123" s="469">
        <f>IF(D93="","-",+C122+1)</f>
        <v>2035</v>
      </c>
      <c r="D123" s="344">
        <f>IF(F122+SUM(E$99:E122)=D$92,F122,D$92-SUM(E$99:E122))</f>
        <v>602283.61999999988</v>
      </c>
      <c r="E123" s="483">
        <f>IF(+J96&lt;F122,J96,D123)</f>
        <v>36950</v>
      </c>
      <c r="F123" s="482">
        <f t="shared" si="61"/>
        <v>565333.61999999988</v>
      </c>
      <c r="G123" s="482">
        <f t="shared" si="62"/>
        <v>583808.61999999988</v>
      </c>
      <c r="H123" s="483">
        <f t="shared" si="63"/>
        <v>115366.42058363002</v>
      </c>
      <c r="I123" s="539">
        <f t="shared" si="64"/>
        <v>115366.42058363002</v>
      </c>
      <c r="J123" s="475">
        <f t="shared" si="35"/>
        <v>0</v>
      </c>
      <c r="K123" s="475"/>
      <c r="L123" s="484"/>
      <c r="M123" s="475">
        <f t="shared" si="37"/>
        <v>0</v>
      </c>
      <c r="N123" s="484"/>
      <c r="O123" s="475">
        <f t="shared" si="39"/>
        <v>0</v>
      </c>
      <c r="P123" s="475">
        <f t="shared" si="40"/>
        <v>0</v>
      </c>
    </row>
    <row r="124" spans="2:16" ht="12.5">
      <c r="B124" s="160" t="str">
        <f t="shared" si="41"/>
        <v/>
      </c>
      <c r="C124" s="469">
        <f>IF(D93="","-",+C123+1)</f>
        <v>2036</v>
      </c>
      <c r="D124" s="344">
        <f>IF(F123+SUM(E$99:E123)=D$92,F123,D$92-SUM(E$99:E123))</f>
        <v>565333.61999999988</v>
      </c>
      <c r="E124" s="483">
        <f>IF(+J96&lt;F123,J96,D124)</f>
        <v>36950</v>
      </c>
      <c r="F124" s="482">
        <f t="shared" si="61"/>
        <v>528383.61999999988</v>
      </c>
      <c r="G124" s="482">
        <f t="shared" si="62"/>
        <v>546858.61999999988</v>
      </c>
      <c r="H124" s="483">
        <f t="shared" si="63"/>
        <v>110403.34425809524</v>
      </c>
      <c r="I124" s="539">
        <f t="shared" si="64"/>
        <v>110403.34425809524</v>
      </c>
      <c r="J124" s="475">
        <f t="shared" si="35"/>
        <v>0</v>
      </c>
      <c r="K124" s="475"/>
      <c r="L124" s="484"/>
      <c r="M124" s="475">
        <f t="shared" si="37"/>
        <v>0</v>
      </c>
      <c r="N124" s="484"/>
      <c r="O124" s="475">
        <f t="shared" si="39"/>
        <v>0</v>
      </c>
      <c r="P124" s="475">
        <f t="shared" si="40"/>
        <v>0</v>
      </c>
    </row>
    <row r="125" spans="2:16" ht="12.5">
      <c r="B125" s="160" t="str">
        <f t="shared" si="41"/>
        <v/>
      </c>
      <c r="C125" s="469">
        <f>IF(D93="","-",+C124+1)</f>
        <v>2037</v>
      </c>
      <c r="D125" s="344">
        <f>IF(F124+SUM(E$99:E124)=D$92,F124,D$92-SUM(E$99:E124))</f>
        <v>528383.61999999988</v>
      </c>
      <c r="E125" s="483">
        <f>IF(+J96&lt;F124,J96,D125)</f>
        <v>36950</v>
      </c>
      <c r="F125" s="482">
        <f t="shared" si="61"/>
        <v>491433.61999999988</v>
      </c>
      <c r="G125" s="482">
        <f t="shared" si="62"/>
        <v>509908.61999999988</v>
      </c>
      <c r="H125" s="483">
        <f t="shared" si="63"/>
        <v>105440.26793256047</v>
      </c>
      <c r="I125" s="539">
        <f t="shared" si="64"/>
        <v>105440.26793256047</v>
      </c>
      <c r="J125" s="475">
        <f t="shared" si="35"/>
        <v>0</v>
      </c>
      <c r="K125" s="475"/>
      <c r="L125" s="484"/>
      <c r="M125" s="475">
        <f t="shared" si="37"/>
        <v>0</v>
      </c>
      <c r="N125" s="484"/>
      <c r="O125" s="475">
        <f t="shared" si="39"/>
        <v>0</v>
      </c>
      <c r="P125" s="475">
        <f t="shared" si="40"/>
        <v>0</v>
      </c>
    </row>
    <row r="126" spans="2:16" ht="12.5">
      <c r="B126" s="160" t="str">
        <f t="shared" si="41"/>
        <v/>
      </c>
      <c r="C126" s="469">
        <f>IF(D93="","-",+C125+1)</f>
        <v>2038</v>
      </c>
      <c r="D126" s="344">
        <f>IF(F125+SUM(E$99:E125)=D$92,F125,D$92-SUM(E$99:E125))</f>
        <v>491433.61999999988</v>
      </c>
      <c r="E126" s="483">
        <f>IF(+J96&lt;F125,J96,D126)</f>
        <v>36950</v>
      </c>
      <c r="F126" s="482">
        <f t="shared" si="61"/>
        <v>454483.61999999988</v>
      </c>
      <c r="G126" s="482">
        <f t="shared" si="62"/>
        <v>472958.61999999988</v>
      </c>
      <c r="H126" s="483">
        <f t="shared" si="63"/>
        <v>100477.19160702568</v>
      </c>
      <c r="I126" s="539">
        <f t="shared" si="64"/>
        <v>100477.19160702568</v>
      </c>
      <c r="J126" s="475">
        <f t="shared" si="35"/>
        <v>0</v>
      </c>
      <c r="K126" s="475"/>
      <c r="L126" s="484"/>
      <c r="M126" s="475">
        <f t="shared" si="37"/>
        <v>0</v>
      </c>
      <c r="N126" s="484"/>
      <c r="O126" s="475">
        <f t="shared" si="39"/>
        <v>0</v>
      </c>
      <c r="P126" s="475">
        <f t="shared" si="40"/>
        <v>0</v>
      </c>
    </row>
    <row r="127" spans="2:16" ht="12.5">
      <c r="B127" s="160" t="str">
        <f t="shared" si="41"/>
        <v/>
      </c>
      <c r="C127" s="469">
        <f>IF(D93="","-",+C126+1)</f>
        <v>2039</v>
      </c>
      <c r="D127" s="344">
        <f>IF(F126+SUM(E$99:E126)=D$92,F126,D$92-SUM(E$99:E126))</f>
        <v>454483.61999999988</v>
      </c>
      <c r="E127" s="483">
        <f>IF(+J96&lt;F126,J96,D127)</f>
        <v>36950</v>
      </c>
      <c r="F127" s="482">
        <f t="shared" si="61"/>
        <v>417533.61999999988</v>
      </c>
      <c r="G127" s="482">
        <f t="shared" si="62"/>
        <v>436008.61999999988</v>
      </c>
      <c r="H127" s="483">
        <f t="shared" si="63"/>
        <v>95514.1152814909</v>
      </c>
      <c r="I127" s="539">
        <f t="shared" si="64"/>
        <v>95514.1152814909</v>
      </c>
      <c r="J127" s="475">
        <f t="shared" si="35"/>
        <v>0</v>
      </c>
      <c r="K127" s="475"/>
      <c r="L127" s="484"/>
      <c r="M127" s="475">
        <f t="shared" si="37"/>
        <v>0</v>
      </c>
      <c r="N127" s="484"/>
      <c r="O127" s="475">
        <f t="shared" si="39"/>
        <v>0</v>
      </c>
      <c r="P127" s="475">
        <f t="shared" si="40"/>
        <v>0</v>
      </c>
    </row>
    <row r="128" spans="2:16" ht="12.5">
      <c r="B128" s="160" t="str">
        <f t="shared" si="41"/>
        <v/>
      </c>
      <c r="C128" s="469">
        <f>IF(D93="","-",+C127+1)</f>
        <v>2040</v>
      </c>
      <c r="D128" s="344">
        <f>IF(F127+SUM(E$99:E127)=D$92,F127,D$92-SUM(E$99:E127))</f>
        <v>417533.61999999988</v>
      </c>
      <c r="E128" s="483">
        <f>IF(+J96&lt;F127,J96,D128)</f>
        <v>36950</v>
      </c>
      <c r="F128" s="482">
        <f t="shared" si="61"/>
        <v>380583.61999999988</v>
      </c>
      <c r="G128" s="482">
        <f t="shared" si="62"/>
        <v>399058.61999999988</v>
      </c>
      <c r="H128" s="483">
        <f t="shared" si="63"/>
        <v>90551.03895595613</v>
      </c>
      <c r="I128" s="539">
        <f t="shared" si="64"/>
        <v>90551.03895595613</v>
      </c>
      <c r="J128" s="475">
        <f t="shared" si="35"/>
        <v>0</v>
      </c>
      <c r="K128" s="475"/>
      <c r="L128" s="484"/>
      <c r="M128" s="475">
        <f t="shared" si="37"/>
        <v>0</v>
      </c>
      <c r="N128" s="484"/>
      <c r="O128" s="475">
        <f t="shared" si="39"/>
        <v>0</v>
      </c>
      <c r="P128" s="475">
        <f t="shared" si="40"/>
        <v>0</v>
      </c>
    </row>
    <row r="129" spans="2:16" ht="12.5">
      <c r="B129" s="160" t="str">
        <f t="shared" si="41"/>
        <v/>
      </c>
      <c r="C129" s="469">
        <f>IF(D93="","-",+C128+1)</f>
        <v>2041</v>
      </c>
      <c r="D129" s="344">
        <f>IF(F128+SUM(E$99:E128)=D$92,F128,D$92-SUM(E$99:E128))</f>
        <v>380583.61999999988</v>
      </c>
      <c r="E129" s="483">
        <f t="shared" ref="E129:E154" si="65">IF(+J$96&lt;F128,J$96,D129)</f>
        <v>36950</v>
      </c>
      <c r="F129" s="482">
        <f t="shared" si="61"/>
        <v>343633.61999999988</v>
      </c>
      <c r="G129" s="482">
        <f t="shared" si="62"/>
        <v>362108.61999999988</v>
      </c>
      <c r="H129" s="483">
        <f t="shared" si="63"/>
        <v>85587.96263042136</v>
      </c>
      <c r="I129" s="539">
        <f t="shared" si="64"/>
        <v>85587.96263042136</v>
      </c>
      <c r="J129" s="475">
        <f t="shared" si="35"/>
        <v>0</v>
      </c>
      <c r="K129" s="475"/>
      <c r="L129" s="484"/>
      <c r="M129" s="475">
        <f t="shared" si="37"/>
        <v>0</v>
      </c>
      <c r="N129" s="484"/>
      <c r="O129" s="475">
        <f t="shared" si="39"/>
        <v>0</v>
      </c>
      <c r="P129" s="475">
        <f t="shared" si="40"/>
        <v>0</v>
      </c>
    </row>
    <row r="130" spans="2:16" ht="12.5">
      <c r="B130" s="160" t="str">
        <f t="shared" si="41"/>
        <v/>
      </c>
      <c r="C130" s="469">
        <f>IF(D93="","-",+C129+1)</f>
        <v>2042</v>
      </c>
      <c r="D130" s="344">
        <f>IF(F129+SUM(E$99:E129)=D$92,F129,D$92-SUM(E$99:E129))</f>
        <v>343633.61999999988</v>
      </c>
      <c r="E130" s="483">
        <f t="shared" si="65"/>
        <v>36950</v>
      </c>
      <c r="F130" s="482">
        <f t="shared" si="61"/>
        <v>306683.61999999988</v>
      </c>
      <c r="G130" s="482">
        <f t="shared" si="62"/>
        <v>325158.61999999988</v>
      </c>
      <c r="H130" s="483">
        <f t="shared" si="63"/>
        <v>80624.886304886575</v>
      </c>
      <c r="I130" s="539">
        <f t="shared" si="64"/>
        <v>80624.886304886575</v>
      </c>
      <c r="J130" s="475">
        <f t="shared" si="35"/>
        <v>0</v>
      </c>
      <c r="K130" s="475"/>
      <c r="L130" s="484"/>
      <c r="M130" s="475">
        <f t="shared" si="37"/>
        <v>0</v>
      </c>
      <c r="N130" s="484"/>
      <c r="O130" s="475">
        <f t="shared" si="39"/>
        <v>0</v>
      </c>
      <c r="P130" s="475">
        <f t="shared" si="40"/>
        <v>0</v>
      </c>
    </row>
    <row r="131" spans="2:16" ht="12.5">
      <c r="B131" s="160" t="str">
        <f t="shared" si="41"/>
        <v/>
      </c>
      <c r="C131" s="469">
        <f>IF(D93="","-",+C130+1)</f>
        <v>2043</v>
      </c>
      <c r="D131" s="344">
        <f>IF(F130+SUM(E$99:E130)=D$92,F130,D$92-SUM(E$99:E130))</f>
        <v>306683.61999999988</v>
      </c>
      <c r="E131" s="483">
        <f t="shared" si="65"/>
        <v>36950</v>
      </c>
      <c r="F131" s="482">
        <f t="shared" ref="F131:F154" si="66">+D131-E131</f>
        <v>269733.61999999988</v>
      </c>
      <c r="G131" s="482">
        <f t="shared" ref="G131:G154" si="67">+(F131+D131)/2</f>
        <v>288208.61999999988</v>
      </c>
      <c r="H131" s="483">
        <f t="shared" si="63"/>
        <v>75661.80997935179</v>
      </c>
      <c r="I131" s="539">
        <f t="shared" si="64"/>
        <v>75661.80997935179</v>
      </c>
      <c r="J131" s="475">
        <f t="shared" ref="J131:J154" si="68">+I541-H541</f>
        <v>0</v>
      </c>
      <c r="K131" s="475"/>
      <c r="L131" s="484"/>
      <c r="M131" s="475">
        <f t="shared" ref="M131:M154" si="69">IF(L541&lt;&gt;0,+H541-L541,0)</f>
        <v>0</v>
      </c>
      <c r="N131" s="484"/>
      <c r="O131" s="475">
        <f t="shared" ref="O131:O154" si="70">IF(N541&lt;&gt;0,+I541-N541,0)</f>
        <v>0</v>
      </c>
      <c r="P131" s="475">
        <f t="shared" ref="P131:P154" si="71">+O541-M541</f>
        <v>0</v>
      </c>
    </row>
    <row r="132" spans="2:16" ht="12.5">
      <c r="B132" s="160" t="str">
        <f t="shared" ref="B132:B154" si="72">IF(D132=F131,"","IU")</f>
        <v/>
      </c>
      <c r="C132" s="469">
        <f>IF(D93="","-",+C131+1)</f>
        <v>2044</v>
      </c>
      <c r="D132" s="344">
        <f>IF(F131+SUM(E$99:E131)=D$92,F131,D$92-SUM(E$99:E131))</f>
        <v>269733.61999999988</v>
      </c>
      <c r="E132" s="483">
        <f t="shared" si="65"/>
        <v>36950</v>
      </c>
      <c r="F132" s="482">
        <f t="shared" si="66"/>
        <v>232783.61999999988</v>
      </c>
      <c r="G132" s="482">
        <f t="shared" si="67"/>
        <v>251258.61999999988</v>
      </c>
      <c r="H132" s="483">
        <f t="shared" si="63"/>
        <v>70698.733653817006</v>
      </c>
      <c r="I132" s="539">
        <f t="shared" si="64"/>
        <v>70698.733653817006</v>
      </c>
      <c r="J132" s="475">
        <f t="shared" si="68"/>
        <v>0</v>
      </c>
      <c r="K132" s="475"/>
      <c r="L132" s="484"/>
      <c r="M132" s="475">
        <f t="shared" si="69"/>
        <v>0</v>
      </c>
      <c r="N132" s="484"/>
      <c r="O132" s="475">
        <f t="shared" si="70"/>
        <v>0</v>
      </c>
      <c r="P132" s="475">
        <f t="shared" si="71"/>
        <v>0</v>
      </c>
    </row>
    <row r="133" spans="2:16" ht="12.5">
      <c r="B133" s="160" t="str">
        <f t="shared" si="72"/>
        <v/>
      </c>
      <c r="C133" s="469">
        <f>IF(D93="","-",+C132+1)</f>
        <v>2045</v>
      </c>
      <c r="D133" s="344">
        <f>IF(F132+SUM(E$99:E132)=D$92,F132,D$92-SUM(E$99:E132))</f>
        <v>232783.61999999988</v>
      </c>
      <c r="E133" s="483">
        <f t="shared" si="65"/>
        <v>36950</v>
      </c>
      <c r="F133" s="482">
        <f t="shared" si="66"/>
        <v>195833.61999999988</v>
      </c>
      <c r="G133" s="482">
        <f t="shared" si="67"/>
        <v>214308.61999999988</v>
      </c>
      <c r="H133" s="483">
        <f t="shared" si="63"/>
        <v>65735.657328282236</v>
      </c>
      <c r="I133" s="539">
        <f t="shared" si="64"/>
        <v>65735.657328282236</v>
      </c>
      <c r="J133" s="475">
        <f t="shared" si="68"/>
        <v>0</v>
      </c>
      <c r="K133" s="475"/>
      <c r="L133" s="484"/>
      <c r="M133" s="475">
        <f t="shared" si="69"/>
        <v>0</v>
      </c>
      <c r="N133" s="484"/>
      <c r="O133" s="475">
        <f t="shared" si="70"/>
        <v>0</v>
      </c>
      <c r="P133" s="475">
        <f t="shared" si="71"/>
        <v>0</v>
      </c>
    </row>
    <row r="134" spans="2:16" ht="12.5">
      <c r="B134" s="160" t="str">
        <f t="shared" si="72"/>
        <v/>
      </c>
      <c r="C134" s="469">
        <f>IF(D93="","-",+C133+1)</f>
        <v>2046</v>
      </c>
      <c r="D134" s="344">
        <f>IF(F133+SUM(E$99:E133)=D$92,F133,D$92-SUM(E$99:E133))</f>
        <v>195833.61999999988</v>
      </c>
      <c r="E134" s="483">
        <f t="shared" si="65"/>
        <v>36950</v>
      </c>
      <c r="F134" s="482">
        <f t="shared" si="66"/>
        <v>158883.61999999988</v>
      </c>
      <c r="G134" s="482">
        <f t="shared" si="67"/>
        <v>177358.61999999988</v>
      </c>
      <c r="H134" s="483">
        <f t="shared" si="63"/>
        <v>60772.581002747458</v>
      </c>
      <c r="I134" s="539">
        <f t="shared" si="64"/>
        <v>60772.581002747458</v>
      </c>
      <c r="J134" s="475">
        <f t="shared" si="68"/>
        <v>0</v>
      </c>
      <c r="K134" s="475"/>
      <c r="L134" s="484"/>
      <c r="M134" s="475">
        <f t="shared" si="69"/>
        <v>0</v>
      </c>
      <c r="N134" s="484"/>
      <c r="O134" s="475">
        <f t="shared" si="70"/>
        <v>0</v>
      </c>
      <c r="P134" s="475">
        <f t="shared" si="71"/>
        <v>0</v>
      </c>
    </row>
    <row r="135" spans="2:16" ht="12.5">
      <c r="B135" s="160" t="str">
        <f t="shared" si="72"/>
        <v/>
      </c>
      <c r="C135" s="469">
        <f>IF(D93="","-",+C134+1)</f>
        <v>2047</v>
      </c>
      <c r="D135" s="344">
        <f>IF(F134+SUM(E$99:E134)=D$92,F134,D$92-SUM(E$99:E134))</f>
        <v>158883.61999999988</v>
      </c>
      <c r="E135" s="483">
        <f t="shared" si="65"/>
        <v>36950</v>
      </c>
      <c r="F135" s="482">
        <f t="shared" si="66"/>
        <v>121933.61999999988</v>
      </c>
      <c r="G135" s="482">
        <f t="shared" si="67"/>
        <v>140408.61999999988</v>
      </c>
      <c r="H135" s="483">
        <f t="shared" si="63"/>
        <v>55809.504677212681</v>
      </c>
      <c r="I135" s="539">
        <f t="shared" si="64"/>
        <v>55809.504677212681</v>
      </c>
      <c r="J135" s="475">
        <f t="shared" si="68"/>
        <v>0</v>
      </c>
      <c r="K135" s="475"/>
      <c r="L135" s="484"/>
      <c r="M135" s="475">
        <f t="shared" si="69"/>
        <v>0</v>
      </c>
      <c r="N135" s="484"/>
      <c r="O135" s="475">
        <f t="shared" si="70"/>
        <v>0</v>
      </c>
      <c r="P135" s="475">
        <f t="shared" si="71"/>
        <v>0</v>
      </c>
    </row>
    <row r="136" spans="2:16" ht="12.5">
      <c r="B136" s="160" t="str">
        <f t="shared" si="72"/>
        <v/>
      </c>
      <c r="C136" s="469">
        <f>IF(D93="","-",+C135+1)</f>
        <v>2048</v>
      </c>
      <c r="D136" s="344">
        <f>IF(F135+SUM(E$99:E135)=D$92,F135,D$92-SUM(E$99:E135))</f>
        <v>121933.61999999988</v>
      </c>
      <c r="E136" s="483">
        <f t="shared" si="65"/>
        <v>36950</v>
      </c>
      <c r="F136" s="482">
        <f t="shared" si="66"/>
        <v>84983.619999999879</v>
      </c>
      <c r="G136" s="482">
        <f t="shared" si="67"/>
        <v>103458.61999999988</v>
      </c>
      <c r="H136" s="483">
        <f t="shared" si="63"/>
        <v>50846.428351677896</v>
      </c>
      <c r="I136" s="539">
        <f t="shared" si="64"/>
        <v>50846.428351677896</v>
      </c>
      <c r="J136" s="475">
        <f t="shared" si="68"/>
        <v>0</v>
      </c>
      <c r="K136" s="475"/>
      <c r="L136" s="484"/>
      <c r="M136" s="475">
        <f t="shared" si="69"/>
        <v>0</v>
      </c>
      <c r="N136" s="484"/>
      <c r="O136" s="475">
        <f t="shared" si="70"/>
        <v>0</v>
      </c>
      <c r="P136" s="475">
        <f t="shared" si="71"/>
        <v>0</v>
      </c>
    </row>
    <row r="137" spans="2:16" ht="12.5">
      <c r="B137" s="160" t="str">
        <f t="shared" si="72"/>
        <v/>
      </c>
      <c r="C137" s="469">
        <f>IF(D93="","-",+C136+1)</f>
        <v>2049</v>
      </c>
      <c r="D137" s="344">
        <f>IF(F136+SUM(E$99:E136)=D$92,F136,D$92-SUM(E$99:E136))</f>
        <v>84983.619999999879</v>
      </c>
      <c r="E137" s="483">
        <f t="shared" si="65"/>
        <v>36950</v>
      </c>
      <c r="F137" s="482">
        <f t="shared" si="66"/>
        <v>48033.619999999879</v>
      </c>
      <c r="G137" s="482">
        <f t="shared" si="67"/>
        <v>66508.619999999879</v>
      </c>
      <c r="H137" s="483">
        <f t="shared" si="63"/>
        <v>45883.352026143119</v>
      </c>
      <c r="I137" s="539">
        <f t="shared" si="64"/>
        <v>45883.352026143119</v>
      </c>
      <c r="J137" s="475">
        <f t="shared" si="68"/>
        <v>0</v>
      </c>
      <c r="K137" s="475"/>
      <c r="L137" s="484"/>
      <c r="M137" s="475">
        <f t="shared" si="69"/>
        <v>0</v>
      </c>
      <c r="N137" s="484"/>
      <c r="O137" s="475">
        <f t="shared" si="70"/>
        <v>0</v>
      </c>
      <c r="P137" s="475">
        <f t="shared" si="71"/>
        <v>0</v>
      </c>
    </row>
    <row r="138" spans="2:16" ht="12.5">
      <c r="B138" s="160" t="str">
        <f t="shared" si="72"/>
        <v/>
      </c>
      <c r="C138" s="469">
        <f>IF(D93="","-",+C137+1)</f>
        <v>2050</v>
      </c>
      <c r="D138" s="344">
        <f>IF(F137+SUM(E$99:E137)=D$92,F137,D$92-SUM(E$99:E137))</f>
        <v>48033.619999999879</v>
      </c>
      <c r="E138" s="483">
        <f t="shared" si="65"/>
        <v>36950</v>
      </c>
      <c r="F138" s="482">
        <f t="shared" si="66"/>
        <v>11083.619999999879</v>
      </c>
      <c r="G138" s="482">
        <f t="shared" si="67"/>
        <v>29558.619999999879</v>
      </c>
      <c r="H138" s="483">
        <f t="shared" si="63"/>
        <v>40920.275700608341</v>
      </c>
      <c r="I138" s="539">
        <f t="shared" si="64"/>
        <v>40920.275700608341</v>
      </c>
      <c r="J138" s="475">
        <f t="shared" si="68"/>
        <v>0</v>
      </c>
      <c r="K138" s="475"/>
      <c r="L138" s="484"/>
      <c r="M138" s="475">
        <f t="shared" si="69"/>
        <v>0</v>
      </c>
      <c r="N138" s="484"/>
      <c r="O138" s="475">
        <f t="shared" si="70"/>
        <v>0</v>
      </c>
      <c r="P138" s="475">
        <f t="shared" si="71"/>
        <v>0</v>
      </c>
    </row>
    <row r="139" spans="2:16" ht="12.5">
      <c r="B139" s="160" t="str">
        <f t="shared" si="72"/>
        <v/>
      </c>
      <c r="C139" s="469">
        <f>IF(D93="","-",+C138+1)</f>
        <v>2051</v>
      </c>
      <c r="D139" s="344">
        <f>IF(F138+SUM(E$99:E138)=D$92,F138,D$92-SUM(E$99:E138))</f>
        <v>11083.619999999879</v>
      </c>
      <c r="E139" s="483">
        <f t="shared" si="65"/>
        <v>11083.619999999879</v>
      </c>
      <c r="F139" s="482">
        <f t="shared" si="66"/>
        <v>0</v>
      </c>
      <c r="G139" s="482">
        <f t="shared" si="67"/>
        <v>5541.8099999999395</v>
      </c>
      <c r="H139" s="483">
        <f t="shared" si="63"/>
        <v>11827.988768920355</v>
      </c>
      <c r="I139" s="539">
        <f t="shared" si="64"/>
        <v>11827.988768920355</v>
      </c>
      <c r="J139" s="475">
        <f t="shared" si="68"/>
        <v>0</v>
      </c>
      <c r="K139" s="475"/>
      <c r="L139" s="484"/>
      <c r="M139" s="475">
        <f t="shared" si="69"/>
        <v>0</v>
      </c>
      <c r="N139" s="484"/>
      <c r="O139" s="475">
        <f t="shared" si="70"/>
        <v>0</v>
      </c>
      <c r="P139" s="475">
        <f t="shared" si="71"/>
        <v>0</v>
      </c>
    </row>
    <row r="140" spans="2:16" ht="12.5">
      <c r="B140" s="160" t="str">
        <f t="shared" si="72"/>
        <v/>
      </c>
      <c r="C140" s="469">
        <f>IF(D93="","-",+C139+1)</f>
        <v>2052</v>
      </c>
      <c r="D140" s="344">
        <f>IF(F139+SUM(E$99:E139)=D$92,F139,D$92-SUM(E$99:E139))</f>
        <v>0</v>
      </c>
      <c r="E140" s="483">
        <f t="shared" si="65"/>
        <v>0</v>
      </c>
      <c r="F140" s="482">
        <f t="shared" si="66"/>
        <v>0</v>
      </c>
      <c r="G140" s="482">
        <f t="shared" si="67"/>
        <v>0</v>
      </c>
      <c r="H140" s="483">
        <f t="shared" si="63"/>
        <v>0</v>
      </c>
      <c r="I140" s="539">
        <f t="shared" si="64"/>
        <v>0</v>
      </c>
      <c r="J140" s="475">
        <f t="shared" si="68"/>
        <v>0</v>
      </c>
      <c r="K140" s="475"/>
      <c r="L140" s="484"/>
      <c r="M140" s="475">
        <f t="shared" si="69"/>
        <v>0</v>
      </c>
      <c r="N140" s="484"/>
      <c r="O140" s="475">
        <f t="shared" si="70"/>
        <v>0</v>
      </c>
      <c r="P140" s="475">
        <f t="shared" si="71"/>
        <v>0</v>
      </c>
    </row>
    <row r="141" spans="2:16" ht="12.5">
      <c r="B141" s="160" t="str">
        <f t="shared" si="72"/>
        <v/>
      </c>
      <c r="C141" s="469">
        <f>IF(D93="","-",+C140+1)</f>
        <v>2053</v>
      </c>
      <c r="D141" s="344">
        <f>IF(F140+SUM(E$99:E140)=D$92,F140,D$92-SUM(E$99:E140))</f>
        <v>0</v>
      </c>
      <c r="E141" s="483">
        <f t="shared" si="65"/>
        <v>0</v>
      </c>
      <c r="F141" s="482">
        <f t="shared" si="66"/>
        <v>0</v>
      </c>
      <c r="G141" s="482">
        <f t="shared" si="67"/>
        <v>0</v>
      </c>
      <c r="H141" s="483">
        <f t="shared" si="63"/>
        <v>0</v>
      </c>
      <c r="I141" s="539">
        <f t="shared" si="64"/>
        <v>0</v>
      </c>
      <c r="J141" s="475">
        <f t="shared" si="68"/>
        <v>0</v>
      </c>
      <c r="K141" s="475"/>
      <c r="L141" s="484"/>
      <c r="M141" s="475">
        <f t="shared" si="69"/>
        <v>0</v>
      </c>
      <c r="N141" s="484"/>
      <c r="O141" s="475">
        <f t="shared" si="70"/>
        <v>0</v>
      </c>
      <c r="P141" s="475">
        <f t="shared" si="71"/>
        <v>0</v>
      </c>
    </row>
    <row r="142" spans="2:16" ht="12.5">
      <c r="B142" s="160" t="str">
        <f t="shared" si="72"/>
        <v/>
      </c>
      <c r="C142" s="469">
        <f>IF(D93="","-",+C141+1)</f>
        <v>2054</v>
      </c>
      <c r="D142" s="344">
        <f>IF(F141+SUM(E$99:E141)=D$92,F141,D$92-SUM(E$99:E141))</f>
        <v>0</v>
      </c>
      <c r="E142" s="483">
        <f t="shared" si="65"/>
        <v>0</v>
      </c>
      <c r="F142" s="482">
        <f t="shared" si="66"/>
        <v>0</v>
      </c>
      <c r="G142" s="482">
        <f t="shared" si="67"/>
        <v>0</v>
      </c>
      <c r="H142" s="483">
        <f t="shared" si="63"/>
        <v>0</v>
      </c>
      <c r="I142" s="539">
        <f t="shared" si="64"/>
        <v>0</v>
      </c>
      <c r="J142" s="475">
        <f t="shared" si="68"/>
        <v>0</v>
      </c>
      <c r="K142" s="475"/>
      <c r="L142" s="484"/>
      <c r="M142" s="475">
        <f t="shared" si="69"/>
        <v>0</v>
      </c>
      <c r="N142" s="484"/>
      <c r="O142" s="475">
        <f t="shared" si="70"/>
        <v>0</v>
      </c>
      <c r="P142" s="475">
        <f t="shared" si="71"/>
        <v>0</v>
      </c>
    </row>
    <row r="143" spans="2:16" ht="12.5">
      <c r="B143" s="160" t="str">
        <f t="shared" si="72"/>
        <v/>
      </c>
      <c r="C143" s="469">
        <f>IF(D93="","-",+C142+1)</f>
        <v>2055</v>
      </c>
      <c r="D143" s="344">
        <f>IF(F142+SUM(E$99:E142)=D$92,F142,D$92-SUM(E$99:E142))</f>
        <v>0</v>
      </c>
      <c r="E143" s="483">
        <f t="shared" si="65"/>
        <v>0</v>
      </c>
      <c r="F143" s="482">
        <f t="shared" si="66"/>
        <v>0</v>
      </c>
      <c r="G143" s="482">
        <f t="shared" si="67"/>
        <v>0</v>
      </c>
      <c r="H143" s="483">
        <f t="shared" si="63"/>
        <v>0</v>
      </c>
      <c r="I143" s="539">
        <f t="shared" si="64"/>
        <v>0</v>
      </c>
      <c r="J143" s="475">
        <f t="shared" si="68"/>
        <v>0</v>
      </c>
      <c r="K143" s="475"/>
      <c r="L143" s="484"/>
      <c r="M143" s="475">
        <f t="shared" si="69"/>
        <v>0</v>
      </c>
      <c r="N143" s="484"/>
      <c r="O143" s="475">
        <f t="shared" si="70"/>
        <v>0</v>
      </c>
      <c r="P143" s="475">
        <f t="shared" si="71"/>
        <v>0</v>
      </c>
    </row>
    <row r="144" spans="2:16" ht="12.5">
      <c r="B144" s="160" t="str">
        <f t="shared" si="72"/>
        <v/>
      </c>
      <c r="C144" s="469">
        <f>IF(D93="","-",+C143+1)</f>
        <v>2056</v>
      </c>
      <c r="D144" s="344">
        <f>IF(F143+SUM(E$99:E143)=D$92,F143,D$92-SUM(E$99:E143))</f>
        <v>0</v>
      </c>
      <c r="E144" s="483">
        <f t="shared" si="65"/>
        <v>0</v>
      </c>
      <c r="F144" s="482">
        <f t="shared" si="66"/>
        <v>0</v>
      </c>
      <c r="G144" s="482">
        <f t="shared" si="67"/>
        <v>0</v>
      </c>
      <c r="H144" s="483">
        <f t="shared" si="63"/>
        <v>0</v>
      </c>
      <c r="I144" s="539">
        <f t="shared" si="64"/>
        <v>0</v>
      </c>
      <c r="J144" s="475">
        <f t="shared" si="68"/>
        <v>0</v>
      </c>
      <c r="K144" s="475"/>
      <c r="L144" s="484"/>
      <c r="M144" s="475">
        <f t="shared" si="69"/>
        <v>0</v>
      </c>
      <c r="N144" s="484"/>
      <c r="O144" s="475">
        <f t="shared" si="70"/>
        <v>0</v>
      </c>
      <c r="P144" s="475">
        <f t="shared" si="71"/>
        <v>0</v>
      </c>
    </row>
    <row r="145" spans="2:16" ht="12.5">
      <c r="B145" s="160" t="str">
        <f t="shared" si="72"/>
        <v/>
      </c>
      <c r="C145" s="469">
        <f>IF(D93="","-",+C144+1)</f>
        <v>2057</v>
      </c>
      <c r="D145" s="344">
        <f>IF(F144+SUM(E$99:E144)=D$92,F144,D$92-SUM(E$99:E144))</f>
        <v>0</v>
      </c>
      <c r="E145" s="483">
        <f t="shared" si="65"/>
        <v>0</v>
      </c>
      <c r="F145" s="482">
        <f t="shared" si="66"/>
        <v>0</v>
      </c>
      <c r="G145" s="482">
        <f t="shared" si="67"/>
        <v>0</v>
      </c>
      <c r="H145" s="483">
        <f t="shared" si="63"/>
        <v>0</v>
      </c>
      <c r="I145" s="539">
        <f t="shared" si="64"/>
        <v>0</v>
      </c>
      <c r="J145" s="475">
        <f t="shared" si="68"/>
        <v>0</v>
      </c>
      <c r="K145" s="475"/>
      <c r="L145" s="484"/>
      <c r="M145" s="475">
        <f t="shared" si="69"/>
        <v>0</v>
      </c>
      <c r="N145" s="484"/>
      <c r="O145" s="475">
        <f t="shared" si="70"/>
        <v>0</v>
      </c>
      <c r="P145" s="475">
        <f t="shared" si="71"/>
        <v>0</v>
      </c>
    </row>
    <row r="146" spans="2:16" ht="12.5">
      <c r="B146" s="160" t="str">
        <f t="shared" si="72"/>
        <v/>
      </c>
      <c r="C146" s="469">
        <f>IF(D93="","-",+C145+1)</f>
        <v>2058</v>
      </c>
      <c r="D146" s="344">
        <f>IF(F145+SUM(E$99:E145)=D$92,F145,D$92-SUM(E$99:E145))</f>
        <v>0</v>
      </c>
      <c r="E146" s="483">
        <f t="shared" si="65"/>
        <v>0</v>
      </c>
      <c r="F146" s="482">
        <f t="shared" si="66"/>
        <v>0</v>
      </c>
      <c r="G146" s="482">
        <f t="shared" si="67"/>
        <v>0</v>
      </c>
      <c r="H146" s="483">
        <f t="shared" si="63"/>
        <v>0</v>
      </c>
      <c r="I146" s="539">
        <f t="shared" si="64"/>
        <v>0</v>
      </c>
      <c r="J146" s="475">
        <f t="shared" si="68"/>
        <v>0</v>
      </c>
      <c r="K146" s="475"/>
      <c r="L146" s="484"/>
      <c r="M146" s="475">
        <f t="shared" si="69"/>
        <v>0</v>
      </c>
      <c r="N146" s="484"/>
      <c r="O146" s="475">
        <f t="shared" si="70"/>
        <v>0</v>
      </c>
      <c r="P146" s="475">
        <f t="shared" si="71"/>
        <v>0</v>
      </c>
    </row>
    <row r="147" spans="2:16" ht="12.5">
      <c r="B147" s="160" t="str">
        <f t="shared" si="72"/>
        <v/>
      </c>
      <c r="C147" s="469">
        <f>IF(D93="","-",+C146+1)</f>
        <v>2059</v>
      </c>
      <c r="D147" s="344">
        <f>IF(F146+SUM(E$99:E146)=D$92,F146,D$92-SUM(E$99:E146))</f>
        <v>0</v>
      </c>
      <c r="E147" s="483">
        <f t="shared" si="65"/>
        <v>0</v>
      </c>
      <c r="F147" s="482">
        <f t="shared" si="66"/>
        <v>0</v>
      </c>
      <c r="G147" s="482">
        <f t="shared" si="67"/>
        <v>0</v>
      </c>
      <c r="H147" s="483">
        <f t="shared" si="63"/>
        <v>0</v>
      </c>
      <c r="I147" s="539">
        <f t="shared" si="64"/>
        <v>0</v>
      </c>
      <c r="J147" s="475">
        <f t="shared" si="68"/>
        <v>0</v>
      </c>
      <c r="K147" s="475"/>
      <c r="L147" s="484"/>
      <c r="M147" s="475">
        <f t="shared" si="69"/>
        <v>0</v>
      </c>
      <c r="N147" s="484"/>
      <c r="O147" s="475">
        <f t="shared" si="70"/>
        <v>0</v>
      </c>
      <c r="P147" s="475">
        <f t="shared" si="71"/>
        <v>0</v>
      </c>
    </row>
    <row r="148" spans="2:16" ht="12.5">
      <c r="B148" s="160" t="str">
        <f t="shared" si="72"/>
        <v/>
      </c>
      <c r="C148" s="469">
        <f>IF(D93="","-",+C147+1)</f>
        <v>2060</v>
      </c>
      <c r="D148" s="344">
        <f>IF(F147+SUM(E$99:E147)=D$92,F147,D$92-SUM(E$99:E147))</f>
        <v>0</v>
      </c>
      <c r="E148" s="483">
        <f t="shared" si="65"/>
        <v>0</v>
      </c>
      <c r="F148" s="482">
        <f t="shared" si="66"/>
        <v>0</v>
      </c>
      <c r="G148" s="482">
        <f t="shared" si="67"/>
        <v>0</v>
      </c>
      <c r="H148" s="483">
        <f t="shared" si="63"/>
        <v>0</v>
      </c>
      <c r="I148" s="539">
        <f t="shared" si="64"/>
        <v>0</v>
      </c>
      <c r="J148" s="475">
        <f t="shared" si="68"/>
        <v>0</v>
      </c>
      <c r="K148" s="475"/>
      <c r="L148" s="484"/>
      <c r="M148" s="475">
        <f t="shared" si="69"/>
        <v>0</v>
      </c>
      <c r="N148" s="484"/>
      <c r="O148" s="475">
        <f t="shared" si="70"/>
        <v>0</v>
      </c>
      <c r="P148" s="475">
        <f t="shared" si="71"/>
        <v>0</v>
      </c>
    </row>
    <row r="149" spans="2:16" ht="12.5">
      <c r="B149" s="160" t="str">
        <f t="shared" si="72"/>
        <v/>
      </c>
      <c r="C149" s="469">
        <f>IF(D93="","-",+C148+1)</f>
        <v>2061</v>
      </c>
      <c r="D149" s="344">
        <f>IF(F148+SUM(E$99:E148)=D$92,F148,D$92-SUM(E$99:E148))</f>
        <v>0</v>
      </c>
      <c r="E149" s="483">
        <f t="shared" si="65"/>
        <v>0</v>
      </c>
      <c r="F149" s="482">
        <f t="shared" si="66"/>
        <v>0</v>
      </c>
      <c r="G149" s="482">
        <f t="shared" si="67"/>
        <v>0</v>
      </c>
      <c r="H149" s="483">
        <f t="shared" si="63"/>
        <v>0</v>
      </c>
      <c r="I149" s="539">
        <f t="shared" si="64"/>
        <v>0</v>
      </c>
      <c r="J149" s="475">
        <f t="shared" si="68"/>
        <v>0</v>
      </c>
      <c r="K149" s="475"/>
      <c r="L149" s="484"/>
      <c r="M149" s="475">
        <f t="shared" si="69"/>
        <v>0</v>
      </c>
      <c r="N149" s="484"/>
      <c r="O149" s="475">
        <f t="shared" si="70"/>
        <v>0</v>
      </c>
      <c r="P149" s="475">
        <f t="shared" si="71"/>
        <v>0</v>
      </c>
    </row>
    <row r="150" spans="2:16" ht="12.5">
      <c r="B150" s="160" t="str">
        <f t="shared" si="72"/>
        <v/>
      </c>
      <c r="C150" s="469">
        <f>IF(D93="","-",+C149+1)</f>
        <v>2062</v>
      </c>
      <c r="D150" s="344">
        <f>IF(F149+SUM(E$99:E149)=D$92,F149,D$92-SUM(E$99:E149))</f>
        <v>0</v>
      </c>
      <c r="E150" s="483">
        <f t="shared" si="65"/>
        <v>0</v>
      </c>
      <c r="F150" s="482">
        <f t="shared" si="66"/>
        <v>0</v>
      </c>
      <c r="G150" s="482">
        <f t="shared" si="67"/>
        <v>0</v>
      </c>
      <c r="H150" s="483">
        <f t="shared" si="63"/>
        <v>0</v>
      </c>
      <c r="I150" s="539">
        <f t="shared" si="64"/>
        <v>0</v>
      </c>
      <c r="J150" s="475">
        <f t="shared" si="68"/>
        <v>0</v>
      </c>
      <c r="K150" s="475"/>
      <c r="L150" s="484"/>
      <c r="M150" s="475">
        <f t="shared" si="69"/>
        <v>0</v>
      </c>
      <c r="N150" s="484"/>
      <c r="O150" s="475">
        <f t="shared" si="70"/>
        <v>0</v>
      </c>
      <c r="P150" s="475">
        <f t="shared" si="71"/>
        <v>0</v>
      </c>
    </row>
    <row r="151" spans="2:16" ht="12.5">
      <c r="B151" s="160" t="str">
        <f t="shared" si="72"/>
        <v/>
      </c>
      <c r="C151" s="469">
        <f>IF(D93="","-",+C150+1)</f>
        <v>2063</v>
      </c>
      <c r="D151" s="344">
        <f>IF(F150+SUM(E$99:E150)=D$92,F150,D$92-SUM(E$99:E150))</f>
        <v>0</v>
      </c>
      <c r="E151" s="483">
        <f t="shared" si="65"/>
        <v>0</v>
      </c>
      <c r="F151" s="482">
        <f t="shared" si="66"/>
        <v>0</v>
      </c>
      <c r="G151" s="482">
        <f t="shared" si="67"/>
        <v>0</v>
      </c>
      <c r="H151" s="483">
        <f t="shared" si="63"/>
        <v>0</v>
      </c>
      <c r="I151" s="539">
        <f t="shared" si="64"/>
        <v>0</v>
      </c>
      <c r="J151" s="475">
        <f t="shared" si="68"/>
        <v>0</v>
      </c>
      <c r="K151" s="475"/>
      <c r="L151" s="484"/>
      <c r="M151" s="475">
        <f t="shared" si="69"/>
        <v>0</v>
      </c>
      <c r="N151" s="484"/>
      <c r="O151" s="475">
        <f t="shared" si="70"/>
        <v>0</v>
      </c>
      <c r="P151" s="475">
        <f t="shared" si="71"/>
        <v>0</v>
      </c>
    </row>
    <row r="152" spans="2:16" ht="12.5">
      <c r="B152" s="160" t="str">
        <f t="shared" si="72"/>
        <v/>
      </c>
      <c r="C152" s="469">
        <f>IF(D93="","-",+C151+1)</f>
        <v>2064</v>
      </c>
      <c r="D152" s="344">
        <f>IF(F151+SUM(E$99:E151)=D$92,F151,D$92-SUM(E$99:E151))</f>
        <v>0</v>
      </c>
      <c r="E152" s="483">
        <f t="shared" si="65"/>
        <v>0</v>
      </c>
      <c r="F152" s="482">
        <f t="shared" si="66"/>
        <v>0</v>
      </c>
      <c r="G152" s="482">
        <f t="shared" si="67"/>
        <v>0</v>
      </c>
      <c r="H152" s="483">
        <f t="shared" si="63"/>
        <v>0</v>
      </c>
      <c r="I152" s="539">
        <f t="shared" si="64"/>
        <v>0</v>
      </c>
      <c r="J152" s="475">
        <f t="shared" si="68"/>
        <v>0</v>
      </c>
      <c r="K152" s="475"/>
      <c r="L152" s="484"/>
      <c r="M152" s="475">
        <f t="shared" si="69"/>
        <v>0</v>
      </c>
      <c r="N152" s="484"/>
      <c r="O152" s="475">
        <f t="shared" si="70"/>
        <v>0</v>
      </c>
      <c r="P152" s="475">
        <f t="shared" si="71"/>
        <v>0</v>
      </c>
    </row>
    <row r="153" spans="2:16" ht="12.5">
      <c r="B153" s="160" t="str">
        <f t="shared" si="72"/>
        <v/>
      </c>
      <c r="C153" s="469">
        <f>IF(D93="","-",+C152+1)</f>
        <v>2065</v>
      </c>
      <c r="D153" s="344">
        <f>IF(F152+SUM(E$99:E152)=D$92,F152,D$92-SUM(E$99:E152))</f>
        <v>0</v>
      </c>
      <c r="E153" s="483">
        <f t="shared" si="65"/>
        <v>0</v>
      </c>
      <c r="F153" s="482">
        <f t="shared" si="66"/>
        <v>0</v>
      </c>
      <c r="G153" s="482">
        <f t="shared" si="67"/>
        <v>0</v>
      </c>
      <c r="H153" s="483">
        <f t="shared" si="63"/>
        <v>0</v>
      </c>
      <c r="I153" s="539">
        <f t="shared" si="64"/>
        <v>0</v>
      </c>
      <c r="J153" s="475">
        <f t="shared" si="68"/>
        <v>0</v>
      </c>
      <c r="K153" s="475"/>
      <c r="L153" s="484"/>
      <c r="M153" s="475">
        <f t="shared" si="69"/>
        <v>0</v>
      </c>
      <c r="N153" s="484"/>
      <c r="O153" s="475">
        <f t="shared" si="70"/>
        <v>0</v>
      </c>
      <c r="P153" s="475">
        <f t="shared" si="71"/>
        <v>0</v>
      </c>
    </row>
    <row r="154" spans="2:16" ht="13" thickBot="1">
      <c r="B154" s="160" t="str">
        <f t="shared" si="72"/>
        <v/>
      </c>
      <c r="C154" s="486">
        <f>IF(D93="","-",+C153+1)</f>
        <v>2066</v>
      </c>
      <c r="D154" s="573">
        <f>IF(F153+SUM(E$99:E153)=D$92,F153,D$92-SUM(E$99:E153))</f>
        <v>0</v>
      </c>
      <c r="E154" s="541">
        <f t="shared" si="65"/>
        <v>0</v>
      </c>
      <c r="F154" s="487">
        <f t="shared" si="66"/>
        <v>0</v>
      </c>
      <c r="G154" s="487">
        <f t="shared" si="67"/>
        <v>0</v>
      </c>
      <c r="H154" s="489">
        <f t="shared" ref="H154" si="73">+J$94*G154+E154</f>
        <v>0</v>
      </c>
      <c r="I154" s="542">
        <f t="shared" ref="I154" si="74">+J$95*G154+E154</f>
        <v>0</v>
      </c>
      <c r="J154" s="492">
        <f t="shared" si="68"/>
        <v>0</v>
      </c>
      <c r="K154" s="475"/>
      <c r="L154" s="491"/>
      <c r="M154" s="492">
        <f t="shared" si="69"/>
        <v>0</v>
      </c>
      <c r="N154" s="491"/>
      <c r="O154" s="492">
        <f t="shared" si="70"/>
        <v>0</v>
      </c>
      <c r="P154" s="492">
        <f t="shared" si="71"/>
        <v>0</v>
      </c>
    </row>
    <row r="155" spans="2:16" ht="12.5">
      <c r="C155" s="344" t="s">
        <v>77</v>
      </c>
      <c r="D155" s="345"/>
      <c r="E155" s="345">
        <f>SUM(E99:E154)</f>
        <v>1404099.6199999999</v>
      </c>
      <c r="F155" s="345"/>
      <c r="G155" s="345"/>
      <c r="H155" s="345">
        <f>SUM(H99:H154)</f>
        <v>5196840.8036020035</v>
      </c>
      <c r="I155" s="345">
        <f>SUM(I99:I154)</f>
        <v>5196840.8036020035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51" priority="1" stopIfTrue="1" operator="equal">
      <formula>$I$10</formula>
    </cfRule>
  </conditionalFormatting>
  <conditionalFormatting sqref="C99:C154">
    <cfRule type="cellIs" dxfId="5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62"/>
  <dimension ref="A1:P162"/>
  <sheetViews>
    <sheetView topLeftCell="A65"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8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12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380717.44269754912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380717.44269754912</v>
      </c>
      <c r="O6" s="231"/>
      <c r="P6" s="231"/>
    </row>
    <row r="7" spans="1:16" ht="13.5" thickBot="1">
      <c r="C7" s="428" t="s">
        <v>46</v>
      </c>
      <c r="D7" s="429" t="s">
        <v>234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569" t="s">
        <v>233</v>
      </c>
      <c r="E9" s="574" t="s">
        <v>290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3305767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2012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8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86993.868421052626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2012</v>
      </c>
      <c r="D17" s="470">
        <v>1132400</v>
      </c>
      <c r="E17" s="471">
        <v>3629.4871794871797</v>
      </c>
      <c r="F17" s="470">
        <v>1128770.5128205128</v>
      </c>
      <c r="G17" s="471">
        <v>160761.94360740471</v>
      </c>
      <c r="H17" s="478">
        <v>160761.94360740471</v>
      </c>
      <c r="I17" s="472">
        <f t="shared" ref="I17:I48" si="0">H17-G17</f>
        <v>0</v>
      </c>
      <c r="J17" s="472"/>
      <c r="K17" s="551">
        <f t="shared" ref="K17:K22" si="1">G17</f>
        <v>160761.94360740471</v>
      </c>
      <c r="L17" s="559">
        <f t="shared" ref="L17:L48" si="2">IF(K17&lt;&gt;0,+G17-K17,0)</f>
        <v>0</v>
      </c>
      <c r="M17" s="551">
        <f t="shared" ref="M17:M22" si="3">H17</f>
        <v>160761.94360740471</v>
      </c>
      <c r="N17" s="556">
        <f t="shared" ref="N17:N48" si="4">IF(M17&lt;&gt;0,+H17-M17,0)</f>
        <v>0</v>
      </c>
      <c r="O17" s="475">
        <f t="shared" ref="O17:O48" si="5">+N17-L17</f>
        <v>0</v>
      </c>
      <c r="P17" s="241"/>
    </row>
    <row r="18" spans="2:16" ht="12.5">
      <c r="B18" s="160" t="str">
        <f t="shared" ref="B18:B49" si="6">IF(D18=F17,"","IU")</f>
        <v>IU</v>
      </c>
      <c r="C18" s="469">
        <f>IF(D11="","-",+C17+1)</f>
        <v>2013</v>
      </c>
      <c r="D18" s="470">
        <v>2746405</v>
      </c>
      <c r="E18" s="477">
        <v>52885</v>
      </c>
      <c r="F18" s="470">
        <v>2693519</v>
      </c>
      <c r="G18" s="477">
        <v>437538</v>
      </c>
      <c r="H18" s="478">
        <v>437538</v>
      </c>
      <c r="I18" s="472">
        <f t="shared" si="0"/>
        <v>0</v>
      </c>
      <c r="J18" s="472"/>
      <c r="K18" s="473">
        <f t="shared" si="1"/>
        <v>437538</v>
      </c>
      <c r="L18" s="547">
        <f t="shared" ref="L18:L23" si="7">IF(K18&lt;&gt;0,+G18-K18,0)</f>
        <v>0</v>
      </c>
      <c r="M18" s="473">
        <f t="shared" si="3"/>
        <v>437538</v>
      </c>
      <c r="N18" s="475">
        <f t="shared" ref="N18:N23" si="8">IF(M18&lt;&gt;0,+H18-M18,0)</f>
        <v>0</v>
      </c>
      <c r="O18" s="475">
        <f t="shared" ref="O18:O23" si="9">+N18-L18</f>
        <v>0</v>
      </c>
      <c r="P18" s="241"/>
    </row>
    <row r="19" spans="2:16" ht="12.5">
      <c r="B19" s="160" t="str">
        <f t="shared" si="6"/>
        <v>IU</v>
      </c>
      <c r="C19" s="469">
        <f>IF(D11="","-",+C18+1)</f>
        <v>2014</v>
      </c>
      <c r="D19" s="470">
        <v>3185619.512820513</v>
      </c>
      <c r="E19" s="477">
        <v>62348.730769230766</v>
      </c>
      <c r="F19" s="470">
        <v>3123270.782051282</v>
      </c>
      <c r="G19" s="477">
        <v>492294.73076923075</v>
      </c>
      <c r="H19" s="478">
        <v>492294.73076923075</v>
      </c>
      <c r="I19" s="472">
        <v>0</v>
      </c>
      <c r="J19" s="472"/>
      <c r="K19" s="473">
        <f t="shared" si="1"/>
        <v>492294.73076923075</v>
      </c>
      <c r="L19" s="547">
        <f t="shared" si="7"/>
        <v>0</v>
      </c>
      <c r="M19" s="473">
        <f t="shared" si="3"/>
        <v>492294.73076923075</v>
      </c>
      <c r="N19" s="475">
        <f t="shared" si="8"/>
        <v>0</v>
      </c>
      <c r="O19" s="475">
        <f t="shared" si="9"/>
        <v>0</v>
      </c>
      <c r="P19" s="241"/>
    </row>
    <row r="20" spans="2:16" ht="12.5">
      <c r="B20" s="160" t="str">
        <f t="shared" si="6"/>
        <v>IU</v>
      </c>
      <c r="C20" s="469">
        <f>IF(D11="","-",+C19+1)</f>
        <v>2015</v>
      </c>
      <c r="D20" s="470">
        <v>3186903.9220512821</v>
      </c>
      <c r="E20" s="477">
        <v>63572.445</v>
      </c>
      <c r="F20" s="470">
        <v>3123331.4770512823</v>
      </c>
      <c r="G20" s="477">
        <v>494191.44500000001</v>
      </c>
      <c r="H20" s="478">
        <v>494191.44500000001</v>
      </c>
      <c r="I20" s="472">
        <v>0</v>
      </c>
      <c r="J20" s="472"/>
      <c r="K20" s="473">
        <f t="shared" si="1"/>
        <v>494191.44500000001</v>
      </c>
      <c r="L20" s="547">
        <f t="shared" si="7"/>
        <v>0</v>
      </c>
      <c r="M20" s="473">
        <f t="shared" si="3"/>
        <v>494191.44500000001</v>
      </c>
      <c r="N20" s="475">
        <f t="shared" si="8"/>
        <v>0</v>
      </c>
      <c r="O20" s="475">
        <f t="shared" si="9"/>
        <v>0</v>
      </c>
      <c r="P20" s="241"/>
    </row>
    <row r="21" spans="2:16" ht="12.5">
      <c r="B21" s="160" t="str">
        <f t="shared" si="6"/>
        <v/>
      </c>
      <c r="C21" s="469">
        <f>IF(D11="","-",+C20+1)</f>
        <v>2016</v>
      </c>
      <c r="D21" s="470">
        <v>3123331.4770512823</v>
      </c>
      <c r="E21" s="477">
        <v>63572.445</v>
      </c>
      <c r="F21" s="470">
        <v>3059759.0320512825</v>
      </c>
      <c r="G21" s="477">
        <v>464889.44500000001</v>
      </c>
      <c r="H21" s="478">
        <v>464889.44500000001</v>
      </c>
      <c r="I21" s="472">
        <f t="shared" si="0"/>
        <v>0</v>
      </c>
      <c r="J21" s="472"/>
      <c r="K21" s="473">
        <f t="shared" si="1"/>
        <v>464889.44500000001</v>
      </c>
      <c r="L21" s="547">
        <f t="shared" si="7"/>
        <v>0</v>
      </c>
      <c r="M21" s="473">
        <f t="shared" si="3"/>
        <v>464889.44500000001</v>
      </c>
      <c r="N21" s="475">
        <f t="shared" si="8"/>
        <v>0</v>
      </c>
      <c r="O21" s="475">
        <f t="shared" si="9"/>
        <v>0</v>
      </c>
      <c r="P21" s="241"/>
    </row>
    <row r="22" spans="2:16" ht="12.5">
      <c r="B22" s="160" t="str">
        <f t="shared" si="6"/>
        <v/>
      </c>
      <c r="C22" s="469">
        <f>IF(D11="","-",+C21+1)</f>
        <v>2017</v>
      </c>
      <c r="D22" s="470">
        <v>3059759.0320512825</v>
      </c>
      <c r="E22" s="477">
        <v>71864.503043478268</v>
      </c>
      <c r="F22" s="470">
        <v>2987894.5290078041</v>
      </c>
      <c r="G22" s="477">
        <v>452105.50304347824</v>
      </c>
      <c r="H22" s="478">
        <v>452105.50304347824</v>
      </c>
      <c r="I22" s="472">
        <f t="shared" si="0"/>
        <v>0</v>
      </c>
      <c r="J22" s="472"/>
      <c r="K22" s="473">
        <f t="shared" si="1"/>
        <v>452105.50304347824</v>
      </c>
      <c r="L22" s="547">
        <f t="shared" si="7"/>
        <v>0</v>
      </c>
      <c r="M22" s="473">
        <f t="shared" si="3"/>
        <v>452105.50304347824</v>
      </c>
      <c r="N22" s="475">
        <f t="shared" si="8"/>
        <v>0</v>
      </c>
      <c r="O22" s="475">
        <f t="shared" si="9"/>
        <v>0</v>
      </c>
      <c r="P22" s="241"/>
    </row>
    <row r="23" spans="2:16" ht="12.5">
      <c r="B23" s="160" t="str">
        <f t="shared" si="6"/>
        <v/>
      </c>
      <c r="C23" s="469">
        <f>IF(D11="","-",+C22+1)</f>
        <v>2018</v>
      </c>
      <c r="D23" s="470">
        <v>2987894.5290078041</v>
      </c>
      <c r="E23" s="477">
        <v>73461.491999999998</v>
      </c>
      <c r="F23" s="470">
        <v>2914433.037007804</v>
      </c>
      <c r="G23" s="477">
        <v>467887.49199999997</v>
      </c>
      <c r="H23" s="478">
        <v>467887.49199999997</v>
      </c>
      <c r="I23" s="472">
        <f t="shared" si="0"/>
        <v>0</v>
      </c>
      <c r="J23" s="472"/>
      <c r="K23" s="473">
        <f t="shared" ref="K23:K28" si="10">G23</f>
        <v>467887.49199999997</v>
      </c>
      <c r="L23" s="547">
        <f t="shared" si="7"/>
        <v>0</v>
      </c>
      <c r="M23" s="473">
        <f t="shared" ref="M23:M28" si="11">H23</f>
        <v>467887.49199999997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2019</v>
      </c>
      <c r="D24" s="470">
        <v>2914433.037007804</v>
      </c>
      <c r="E24" s="477">
        <v>73461.491999999998</v>
      </c>
      <c r="F24" s="470">
        <v>2840971.5450078039</v>
      </c>
      <c r="G24" s="477">
        <v>457945.49199999997</v>
      </c>
      <c r="H24" s="478">
        <v>457945.49199999997</v>
      </c>
      <c r="I24" s="472">
        <f t="shared" si="0"/>
        <v>0</v>
      </c>
      <c r="J24" s="472"/>
      <c r="K24" s="473">
        <f t="shared" si="10"/>
        <v>457945.49199999997</v>
      </c>
      <c r="L24" s="547">
        <f t="shared" ref="L24" si="12">IF(K24&lt;&gt;0,+G24-K24,0)</f>
        <v>0</v>
      </c>
      <c r="M24" s="473">
        <f t="shared" si="11"/>
        <v>457945.49199999997</v>
      </c>
      <c r="N24" s="475">
        <f t="shared" ref="N24" si="13">IF(M24&lt;&gt;0,+H24-M24,0)</f>
        <v>0</v>
      </c>
      <c r="O24" s="475">
        <f t="shared" ref="O24" si="14">+N24-L24</f>
        <v>0</v>
      </c>
      <c r="P24" s="241"/>
    </row>
    <row r="25" spans="2:16" ht="12.5">
      <c r="B25" s="160" t="str">
        <f t="shared" si="6"/>
        <v/>
      </c>
      <c r="C25" s="469">
        <f>IF(D11="","-",+C24+1)</f>
        <v>2020</v>
      </c>
      <c r="D25" s="470">
        <v>2840971.5450078039</v>
      </c>
      <c r="E25" s="477">
        <v>78708.741428571433</v>
      </c>
      <c r="F25" s="470">
        <v>2762262.8035792327</v>
      </c>
      <c r="G25" s="477">
        <v>381296.77932523622</v>
      </c>
      <c r="H25" s="478">
        <v>381296.77932523622</v>
      </c>
      <c r="I25" s="472">
        <f t="shared" si="0"/>
        <v>0</v>
      </c>
      <c r="J25" s="472"/>
      <c r="K25" s="473">
        <f t="shared" si="10"/>
        <v>381296.77932523622</v>
      </c>
      <c r="L25" s="547">
        <f t="shared" ref="L25" si="15">IF(K25&lt;&gt;0,+G25-K25,0)</f>
        <v>0</v>
      </c>
      <c r="M25" s="473">
        <f t="shared" si="11"/>
        <v>381296.77932523622</v>
      </c>
      <c r="N25" s="475">
        <f t="shared" si="4"/>
        <v>0</v>
      </c>
      <c r="O25" s="475">
        <f t="shared" si="5"/>
        <v>0</v>
      </c>
      <c r="P25" s="241"/>
    </row>
    <row r="26" spans="2:16" ht="12.5">
      <c r="B26" s="160" t="str">
        <f t="shared" si="6"/>
        <v>IU</v>
      </c>
      <c r="C26" s="469">
        <f>IF(D11="","-",+C25+1)</f>
        <v>2021</v>
      </c>
      <c r="D26" s="470">
        <v>2753080.1170792324</v>
      </c>
      <c r="E26" s="477">
        <v>76878.305581395354</v>
      </c>
      <c r="F26" s="470">
        <v>2676201.8114978368</v>
      </c>
      <c r="G26" s="477">
        <v>365431.30558139534</v>
      </c>
      <c r="H26" s="478">
        <v>365431.30558139534</v>
      </c>
      <c r="I26" s="472">
        <f t="shared" si="0"/>
        <v>0</v>
      </c>
      <c r="J26" s="472"/>
      <c r="K26" s="473">
        <f t="shared" si="10"/>
        <v>365431.30558139534</v>
      </c>
      <c r="L26" s="547">
        <f t="shared" ref="L26" si="16">IF(K26&lt;&gt;0,+G26-K26,0)</f>
        <v>0</v>
      </c>
      <c r="M26" s="473">
        <f t="shared" si="11"/>
        <v>365431.30558139534</v>
      </c>
      <c r="N26" s="475">
        <f t="shared" si="4"/>
        <v>0</v>
      </c>
      <c r="O26" s="475">
        <f t="shared" si="5"/>
        <v>0</v>
      </c>
      <c r="P26" s="241"/>
    </row>
    <row r="27" spans="2:16" ht="12.5">
      <c r="B27" s="160" t="str">
        <f t="shared" si="6"/>
        <v>IU</v>
      </c>
      <c r="C27" s="469">
        <f>IF(D11="","-",+C26+1)</f>
        <v>2022</v>
      </c>
      <c r="D27" s="470">
        <v>2685384.4979978371</v>
      </c>
      <c r="E27" s="477">
        <v>78708.741428571433</v>
      </c>
      <c r="F27" s="470">
        <v>2606675.7565692659</v>
      </c>
      <c r="G27" s="477">
        <v>359737.7414285714</v>
      </c>
      <c r="H27" s="478">
        <v>359737.7414285714</v>
      </c>
      <c r="I27" s="472">
        <f t="shared" si="0"/>
        <v>0</v>
      </c>
      <c r="J27" s="472"/>
      <c r="K27" s="473">
        <f t="shared" si="10"/>
        <v>359737.7414285714</v>
      </c>
      <c r="L27" s="547">
        <f t="shared" ref="L27" si="17">IF(K27&lt;&gt;0,+G27-K27,0)</f>
        <v>0</v>
      </c>
      <c r="M27" s="473">
        <f t="shared" si="11"/>
        <v>359737.7414285714</v>
      </c>
      <c r="N27" s="475">
        <f t="shared" si="4"/>
        <v>0</v>
      </c>
      <c r="O27" s="475">
        <f t="shared" si="5"/>
        <v>0</v>
      </c>
      <c r="P27" s="241"/>
    </row>
    <row r="28" spans="2:16" ht="12.5">
      <c r="B28" s="160" t="str">
        <f t="shared" si="6"/>
        <v>IU</v>
      </c>
      <c r="C28" s="469">
        <f>IF(D11="","-",+C27+1)</f>
        <v>2023</v>
      </c>
      <c r="D28" s="470">
        <v>2606675.6165692657</v>
      </c>
      <c r="E28" s="477">
        <v>84763.256410256407</v>
      </c>
      <c r="F28" s="470">
        <v>2521912.3601590092</v>
      </c>
      <c r="G28" s="477">
        <v>385776.25641025638</v>
      </c>
      <c r="H28" s="478">
        <v>385776.25641025638</v>
      </c>
      <c r="I28" s="472">
        <f t="shared" si="0"/>
        <v>0</v>
      </c>
      <c r="J28" s="472"/>
      <c r="K28" s="473">
        <f t="shared" si="10"/>
        <v>385776.25641025638</v>
      </c>
      <c r="L28" s="547">
        <f t="shared" ref="L28" si="18">IF(K28&lt;&gt;0,+G28-K28,0)</f>
        <v>0</v>
      </c>
      <c r="M28" s="473">
        <f t="shared" si="11"/>
        <v>385776.25641025638</v>
      </c>
      <c r="N28" s="475">
        <f t="shared" si="4"/>
        <v>0</v>
      </c>
      <c r="O28" s="475">
        <f t="shared" si="5"/>
        <v>0</v>
      </c>
      <c r="P28" s="241"/>
    </row>
    <row r="29" spans="2:16" ht="12.5">
      <c r="B29" s="160" t="str">
        <f t="shared" si="6"/>
        <v/>
      </c>
      <c r="C29" s="469">
        <f>IF(D11="","-",+C28+1)</f>
        <v>2024</v>
      </c>
      <c r="D29" s="470">
        <v>2521912.3601590092</v>
      </c>
      <c r="E29" s="477">
        <v>84763.256410256407</v>
      </c>
      <c r="F29" s="470">
        <v>2437149.1037487527</v>
      </c>
      <c r="G29" s="477">
        <v>380717.44269754912</v>
      </c>
      <c r="H29" s="478">
        <v>380717.44269754912</v>
      </c>
      <c r="I29" s="472">
        <f t="shared" si="0"/>
        <v>0</v>
      </c>
      <c r="J29" s="472"/>
      <c r="K29" s="473">
        <f t="shared" ref="K29" si="19">G29</f>
        <v>380717.44269754912</v>
      </c>
      <c r="L29" s="547">
        <f t="shared" ref="L29" si="20">IF(K29&lt;&gt;0,+G29-K29,0)</f>
        <v>0</v>
      </c>
      <c r="M29" s="473">
        <f t="shared" ref="M29" si="21">H29</f>
        <v>380717.44269754912</v>
      </c>
      <c r="N29" s="475">
        <f t="shared" ref="N29" si="22">IF(M29&lt;&gt;0,+H29-M29,0)</f>
        <v>0</v>
      </c>
      <c r="O29" s="475">
        <f t="shared" ref="O29" si="23">+N29-L29</f>
        <v>0</v>
      </c>
      <c r="P29" s="241"/>
    </row>
    <row r="30" spans="2:16" ht="12.5">
      <c r="B30" s="160" t="str">
        <f t="shared" si="6"/>
        <v/>
      </c>
      <c r="C30" s="469">
        <f>IF(D11="","-",+C29+1)</f>
        <v>2025</v>
      </c>
      <c r="D30" s="482">
        <f>IF(F29+SUM(E$17:E29)=D$10,F29,D$10-SUM(E$17:E29))</f>
        <v>2437149.1037487527</v>
      </c>
      <c r="E30" s="481">
        <f>IF(+I14&lt;F29,I14,D30)</f>
        <v>86993.868421052626</v>
      </c>
      <c r="F30" s="482">
        <f t="shared" ref="F30:F48" si="24">+D30-E30</f>
        <v>2350155.2353277002</v>
      </c>
      <c r="G30" s="483">
        <f t="shared" ref="G30:G72" si="25">(D30+F30)/2*I$12+E30</f>
        <v>359248.31518462073</v>
      </c>
      <c r="H30" s="452">
        <f t="shared" ref="H30:H72" si="26">+(D30+F30)/2*I$13+E30</f>
        <v>359248.31518462073</v>
      </c>
      <c r="I30" s="472">
        <f t="shared" si="0"/>
        <v>0</v>
      </c>
      <c r="J30" s="472"/>
      <c r="K30" s="484"/>
      <c r="L30" s="475">
        <f t="shared" si="2"/>
        <v>0</v>
      </c>
      <c r="M30" s="484"/>
      <c r="N30" s="475">
        <f t="shared" si="4"/>
        <v>0</v>
      </c>
      <c r="O30" s="475">
        <f t="shared" si="5"/>
        <v>0</v>
      </c>
      <c r="P30" s="241"/>
    </row>
    <row r="31" spans="2:16" ht="12.5">
      <c r="B31" s="160" t="str">
        <f t="shared" si="6"/>
        <v/>
      </c>
      <c r="C31" s="469">
        <f>IF(D11="","-",+C30+1)</f>
        <v>2026</v>
      </c>
      <c r="D31" s="482">
        <f>IF(F30+SUM(E$17:E30)=D$10,F30,D$10-SUM(E$17:E30))</f>
        <v>2350155.2353277002</v>
      </c>
      <c r="E31" s="481">
        <f>IF(+I14&lt;F30,I14,D31)</f>
        <v>86993.868421052626</v>
      </c>
      <c r="F31" s="482">
        <f t="shared" si="24"/>
        <v>2263161.3669066476</v>
      </c>
      <c r="G31" s="483">
        <f t="shared" si="25"/>
        <v>349353.6162721361</v>
      </c>
      <c r="H31" s="452">
        <f t="shared" si="26"/>
        <v>349353.6162721361</v>
      </c>
      <c r="I31" s="472">
        <f t="shared" si="0"/>
        <v>0</v>
      </c>
      <c r="J31" s="472"/>
      <c r="K31" s="484"/>
      <c r="L31" s="475">
        <f t="shared" si="2"/>
        <v>0</v>
      </c>
      <c r="M31" s="484"/>
      <c r="N31" s="475">
        <f t="shared" si="4"/>
        <v>0</v>
      </c>
      <c r="O31" s="475">
        <f t="shared" si="5"/>
        <v>0</v>
      </c>
      <c r="P31" s="241"/>
    </row>
    <row r="32" spans="2:16" ht="12.5">
      <c r="B32" s="160" t="str">
        <f t="shared" si="6"/>
        <v/>
      </c>
      <c r="C32" s="469">
        <f>IF(D11="","-",+C31+1)</f>
        <v>2027</v>
      </c>
      <c r="D32" s="482">
        <f>IF(F31+SUM(E$17:E31)=D$10,F31,D$10-SUM(E$17:E31))</f>
        <v>2263161.3669066476</v>
      </c>
      <c r="E32" s="481">
        <f>IF(+I14&lt;F31,I14,D32)</f>
        <v>86993.868421052626</v>
      </c>
      <c r="F32" s="482">
        <f t="shared" si="24"/>
        <v>2176167.498485595</v>
      </c>
      <c r="G32" s="483">
        <f t="shared" si="25"/>
        <v>339458.91735965147</v>
      </c>
      <c r="H32" s="452">
        <f t="shared" si="26"/>
        <v>339458.91735965147</v>
      </c>
      <c r="I32" s="472">
        <f t="shared" si="0"/>
        <v>0</v>
      </c>
      <c r="J32" s="472"/>
      <c r="K32" s="484"/>
      <c r="L32" s="475">
        <f t="shared" si="2"/>
        <v>0</v>
      </c>
      <c r="M32" s="484"/>
      <c r="N32" s="475">
        <f t="shared" si="4"/>
        <v>0</v>
      </c>
      <c r="O32" s="475">
        <f t="shared" si="5"/>
        <v>0</v>
      </c>
      <c r="P32" s="241"/>
    </row>
    <row r="33" spans="2:16" ht="12.5">
      <c r="B33" s="160" t="str">
        <f t="shared" si="6"/>
        <v/>
      </c>
      <c r="C33" s="469">
        <f>IF(D11="","-",+C32+1)</f>
        <v>2028</v>
      </c>
      <c r="D33" s="482">
        <f>IF(F32+SUM(E$17:E32)=D$10,F32,D$10-SUM(E$17:E32))</f>
        <v>2176167.498485595</v>
      </c>
      <c r="E33" s="481">
        <f>IF(+I14&lt;F32,I14,D33)</f>
        <v>86993.868421052626</v>
      </c>
      <c r="F33" s="482">
        <f t="shared" si="24"/>
        <v>2089173.6300645424</v>
      </c>
      <c r="G33" s="483">
        <f t="shared" si="25"/>
        <v>329564.2184471669</v>
      </c>
      <c r="H33" s="452">
        <f t="shared" si="26"/>
        <v>329564.2184471669</v>
      </c>
      <c r="I33" s="472">
        <f t="shared" si="0"/>
        <v>0</v>
      </c>
      <c r="J33" s="472"/>
      <c r="K33" s="484"/>
      <c r="L33" s="475">
        <f t="shared" si="2"/>
        <v>0</v>
      </c>
      <c r="M33" s="484"/>
      <c r="N33" s="475">
        <f t="shared" si="4"/>
        <v>0</v>
      </c>
      <c r="O33" s="475">
        <f t="shared" si="5"/>
        <v>0</v>
      </c>
      <c r="P33" s="241"/>
    </row>
    <row r="34" spans="2:16" ht="12.5">
      <c r="B34" s="160" t="str">
        <f t="shared" si="6"/>
        <v/>
      </c>
      <c r="C34" s="469">
        <f>IF(D11="","-",+C33+1)</f>
        <v>2029</v>
      </c>
      <c r="D34" s="482">
        <f>IF(F33+SUM(E$17:E33)=D$10,F33,D$10-SUM(E$17:E33))</f>
        <v>2089173.6300645424</v>
      </c>
      <c r="E34" s="481">
        <f>IF(+I14&lt;F33,I14,D34)</f>
        <v>86993.868421052626</v>
      </c>
      <c r="F34" s="482">
        <f t="shared" si="24"/>
        <v>2002179.7616434898</v>
      </c>
      <c r="G34" s="483">
        <f t="shared" si="25"/>
        <v>319669.51953468227</v>
      </c>
      <c r="H34" s="452">
        <f t="shared" si="26"/>
        <v>319669.51953468227</v>
      </c>
      <c r="I34" s="472">
        <f t="shared" si="0"/>
        <v>0</v>
      </c>
      <c r="J34" s="472"/>
      <c r="K34" s="484"/>
      <c r="L34" s="475">
        <f t="shared" si="2"/>
        <v>0</v>
      </c>
      <c r="M34" s="484"/>
      <c r="N34" s="475">
        <f t="shared" si="4"/>
        <v>0</v>
      </c>
      <c r="O34" s="475">
        <f t="shared" si="5"/>
        <v>0</v>
      </c>
      <c r="P34" s="241"/>
    </row>
    <row r="35" spans="2:16" ht="12.5">
      <c r="B35" s="160" t="str">
        <f t="shared" si="6"/>
        <v/>
      </c>
      <c r="C35" s="469">
        <f>IF(D11="","-",+C34+1)</f>
        <v>2030</v>
      </c>
      <c r="D35" s="482">
        <f>IF(F34+SUM(E$17:E34)=D$10,F34,D$10-SUM(E$17:E34))</f>
        <v>2002179.7616434898</v>
      </c>
      <c r="E35" s="481">
        <f>IF(+I14&lt;F34,I14,D35)</f>
        <v>86993.868421052626</v>
      </c>
      <c r="F35" s="482">
        <f t="shared" si="24"/>
        <v>1915185.8932224372</v>
      </c>
      <c r="G35" s="483">
        <f t="shared" si="25"/>
        <v>309774.82062219764</v>
      </c>
      <c r="H35" s="452">
        <f t="shared" si="26"/>
        <v>309774.82062219764</v>
      </c>
      <c r="I35" s="472">
        <f t="shared" si="0"/>
        <v>0</v>
      </c>
      <c r="J35" s="472"/>
      <c r="K35" s="484"/>
      <c r="L35" s="475">
        <f t="shared" si="2"/>
        <v>0</v>
      </c>
      <c r="M35" s="484"/>
      <c r="N35" s="475">
        <f t="shared" si="4"/>
        <v>0</v>
      </c>
      <c r="O35" s="475">
        <f t="shared" si="5"/>
        <v>0</v>
      </c>
      <c r="P35" s="241"/>
    </row>
    <row r="36" spans="2:16" ht="12.5">
      <c r="B36" s="160" t="str">
        <f t="shared" si="6"/>
        <v/>
      </c>
      <c r="C36" s="469">
        <f>IF(D11="","-",+C35+1)</f>
        <v>2031</v>
      </c>
      <c r="D36" s="482">
        <f>IF(F35+SUM(E$17:E35)=D$10,F35,D$10-SUM(E$17:E35))</f>
        <v>1915185.8932224372</v>
      </c>
      <c r="E36" s="481">
        <f>IF(+I14&lt;F35,I14,D36)</f>
        <v>86993.868421052626</v>
      </c>
      <c r="F36" s="482">
        <f t="shared" si="24"/>
        <v>1828192.0248013847</v>
      </c>
      <c r="G36" s="483">
        <f t="shared" si="25"/>
        <v>299880.12170971307</v>
      </c>
      <c r="H36" s="452">
        <f t="shared" si="26"/>
        <v>299880.12170971307</v>
      </c>
      <c r="I36" s="472">
        <f t="shared" si="0"/>
        <v>0</v>
      </c>
      <c r="J36" s="472"/>
      <c r="K36" s="484"/>
      <c r="L36" s="475">
        <f t="shared" si="2"/>
        <v>0</v>
      </c>
      <c r="M36" s="484"/>
      <c r="N36" s="475">
        <f t="shared" si="4"/>
        <v>0</v>
      </c>
      <c r="O36" s="475">
        <f t="shared" si="5"/>
        <v>0</v>
      </c>
      <c r="P36" s="241"/>
    </row>
    <row r="37" spans="2:16" ht="12.5">
      <c r="B37" s="160" t="str">
        <f t="shared" si="6"/>
        <v/>
      </c>
      <c r="C37" s="469">
        <f>IF(D11="","-",+C36+1)</f>
        <v>2032</v>
      </c>
      <c r="D37" s="482">
        <f>IF(F36+SUM(E$17:E36)=D$10,F36,D$10-SUM(E$17:E36))</f>
        <v>1828192.0248013847</v>
      </c>
      <c r="E37" s="481">
        <f>IF(+I14&lt;F36,I14,D37)</f>
        <v>86993.868421052626</v>
      </c>
      <c r="F37" s="482">
        <f t="shared" si="24"/>
        <v>1741198.1563803321</v>
      </c>
      <c r="G37" s="483">
        <f t="shared" si="25"/>
        <v>289985.42279722844</v>
      </c>
      <c r="H37" s="452">
        <f t="shared" si="26"/>
        <v>289985.42279722844</v>
      </c>
      <c r="I37" s="472">
        <f t="shared" si="0"/>
        <v>0</v>
      </c>
      <c r="J37" s="472"/>
      <c r="K37" s="484"/>
      <c r="L37" s="475">
        <f t="shared" si="2"/>
        <v>0</v>
      </c>
      <c r="M37" s="484"/>
      <c r="N37" s="475">
        <f t="shared" si="4"/>
        <v>0</v>
      </c>
      <c r="O37" s="475">
        <f t="shared" si="5"/>
        <v>0</v>
      </c>
      <c r="P37" s="241"/>
    </row>
    <row r="38" spans="2:16" ht="12.5">
      <c r="B38" s="160" t="str">
        <f t="shared" si="6"/>
        <v/>
      </c>
      <c r="C38" s="469">
        <f>IF(D11="","-",+C37+1)</f>
        <v>2033</v>
      </c>
      <c r="D38" s="482">
        <f>IF(F37+SUM(E$17:E37)=D$10,F37,D$10-SUM(E$17:E37))</f>
        <v>1741198.1563803321</v>
      </c>
      <c r="E38" s="481">
        <f>IF(+I14&lt;F37,I14,D38)</f>
        <v>86993.868421052626</v>
      </c>
      <c r="F38" s="482">
        <f t="shared" si="24"/>
        <v>1654204.2879592795</v>
      </c>
      <c r="G38" s="483">
        <f t="shared" si="25"/>
        <v>280090.72388474387</v>
      </c>
      <c r="H38" s="452">
        <f t="shared" si="26"/>
        <v>280090.72388474387</v>
      </c>
      <c r="I38" s="472">
        <f t="shared" si="0"/>
        <v>0</v>
      </c>
      <c r="J38" s="472"/>
      <c r="K38" s="484"/>
      <c r="L38" s="475">
        <f t="shared" si="2"/>
        <v>0</v>
      </c>
      <c r="M38" s="484"/>
      <c r="N38" s="475">
        <f t="shared" si="4"/>
        <v>0</v>
      </c>
      <c r="O38" s="475">
        <f t="shared" si="5"/>
        <v>0</v>
      </c>
      <c r="P38" s="241"/>
    </row>
    <row r="39" spans="2:16" ht="12.5">
      <c r="B39" s="160" t="str">
        <f t="shared" si="6"/>
        <v/>
      </c>
      <c r="C39" s="469">
        <f>IF(D11="","-",+C38+1)</f>
        <v>2034</v>
      </c>
      <c r="D39" s="482">
        <f>IF(F38+SUM(E$17:E38)=D$10,F38,D$10-SUM(E$17:E38))</f>
        <v>1654204.2879592795</v>
      </c>
      <c r="E39" s="481">
        <f>IF(+I14&lt;F38,I14,D39)</f>
        <v>86993.868421052626</v>
      </c>
      <c r="F39" s="482">
        <f t="shared" si="24"/>
        <v>1567210.4195382269</v>
      </c>
      <c r="G39" s="483">
        <f t="shared" si="25"/>
        <v>270196.02497225924</v>
      </c>
      <c r="H39" s="452">
        <f t="shared" si="26"/>
        <v>270196.02497225924</v>
      </c>
      <c r="I39" s="472">
        <f t="shared" si="0"/>
        <v>0</v>
      </c>
      <c r="J39" s="472"/>
      <c r="K39" s="484"/>
      <c r="L39" s="475">
        <f t="shared" si="2"/>
        <v>0</v>
      </c>
      <c r="M39" s="484"/>
      <c r="N39" s="475">
        <f t="shared" si="4"/>
        <v>0</v>
      </c>
      <c r="O39" s="475">
        <f t="shared" si="5"/>
        <v>0</v>
      </c>
      <c r="P39" s="241"/>
    </row>
    <row r="40" spans="2:16" ht="12.5">
      <c r="B40" s="160" t="str">
        <f t="shared" si="6"/>
        <v/>
      </c>
      <c r="C40" s="469">
        <f>IF(D11="","-",+C39+1)</f>
        <v>2035</v>
      </c>
      <c r="D40" s="482">
        <f>IF(F39+SUM(E$17:E39)=D$10,F39,D$10-SUM(E$17:E39))</f>
        <v>1567210.4195382269</v>
      </c>
      <c r="E40" s="481">
        <f>IF(+I14&lt;F39,I14,D40)</f>
        <v>86993.868421052626</v>
      </c>
      <c r="F40" s="482">
        <f t="shared" si="24"/>
        <v>1480216.5511171743</v>
      </c>
      <c r="G40" s="483">
        <f t="shared" si="25"/>
        <v>260301.32605977461</v>
      </c>
      <c r="H40" s="452">
        <f t="shared" si="26"/>
        <v>260301.32605977461</v>
      </c>
      <c r="I40" s="472">
        <f t="shared" si="0"/>
        <v>0</v>
      </c>
      <c r="J40" s="472"/>
      <c r="K40" s="484"/>
      <c r="L40" s="475">
        <f t="shared" si="2"/>
        <v>0</v>
      </c>
      <c r="M40" s="484"/>
      <c r="N40" s="475">
        <f t="shared" si="4"/>
        <v>0</v>
      </c>
      <c r="O40" s="475">
        <f t="shared" si="5"/>
        <v>0</v>
      </c>
      <c r="P40" s="241"/>
    </row>
    <row r="41" spans="2:16" ht="12.5">
      <c r="B41" s="160" t="str">
        <f t="shared" si="6"/>
        <v/>
      </c>
      <c r="C41" s="469">
        <f>IF(D11="","-",+C40+1)</f>
        <v>2036</v>
      </c>
      <c r="D41" s="482">
        <f>IF(F40+SUM(E$17:E40)=D$10,F40,D$10-SUM(E$17:E40))</f>
        <v>1480216.5511171743</v>
      </c>
      <c r="E41" s="481">
        <f>IF(+I14&lt;F40,I14,D41)</f>
        <v>86993.868421052626</v>
      </c>
      <c r="F41" s="482">
        <f t="shared" si="24"/>
        <v>1393222.6826961217</v>
      </c>
      <c r="G41" s="483">
        <f t="shared" si="25"/>
        <v>250406.62714729004</v>
      </c>
      <c r="H41" s="452">
        <f t="shared" si="26"/>
        <v>250406.62714729004</v>
      </c>
      <c r="I41" s="472">
        <f t="shared" si="0"/>
        <v>0</v>
      </c>
      <c r="J41" s="472"/>
      <c r="K41" s="484"/>
      <c r="L41" s="475">
        <f t="shared" si="2"/>
        <v>0</v>
      </c>
      <c r="M41" s="484"/>
      <c r="N41" s="475">
        <f t="shared" si="4"/>
        <v>0</v>
      </c>
      <c r="O41" s="475">
        <f t="shared" si="5"/>
        <v>0</v>
      </c>
      <c r="P41" s="241"/>
    </row>
    <row r="42" spans="2:16" ht="12.5">
      <c r="B42" s="160" t="str">
        <f t="shared" si="6"/>
        <v/>
      </c>
      <c r="C42" s="469">
        <f>IF(D11="","-",+C41+1)</f>
        <v>2037</v>
      </c>
      <c r="D42" s="482">
        <f>IF(F41+SUM(E$17:E41)=D$10,F41,D$10-SUM(E$17:E41))</f>
        <v>1393222.6826961217</v>
      </c>
      <c r="E42" s="481">
        <f>IF(+I14&lt;F41,I14,D42)</f>
        <v>86993.868421052626</v>
      </c>
      <c r="F42" s="482">
        <f t="shared" si="24"/>
        <v>1306228.8142750692</v>
      </c>
      <c r="G42" s="483">
        <f t="shared" si="25"/>
        <v>240511.92823480541</v>
      </c>
      <c r="H42" s="452">
        <f t="shared" si="26"/>
        <v>240511.92823480541</v>
      </c>
      <c r="I42" s="472">
        <f t="shared" si="0"/>
        <v>0</v>
      </c>
      <c r="J42" s="472"/>
      <c r="K42" s="484"/>
      <c r="L42" s="475">
        <f t="shared" si="2"/>
        <v>0</v>
      </c>
      <c r="M42" s="484"/>
      <c r="N42" s="475">
        <f t="shared" si="4"/>
        <v>0</v>
      </c>
      <c r="O42" s="475">
        <f t="shared" si="5"/>
        <v>0</v>
      </c>
      <c r="P42" s="241"/>
    </row>
    <row r="43" spans="2:16" ht="12.5">
      <c r="B43" s="160" t="str">
        <f t="shared" si="6"/>
        <v/>
      </c>
      <c r="C43" s="469">
        <f>IF(D11="","-",+C42+1)</f>
        <v>2038</v>
      </c>
      <c r="D43" s="482">
        <f>IF(F42+SUM(E$17:E42)=D$10,F42,D$10-SUM(E$17:E42))</f>
        <v>1306228.8142750692</v>
      </c>
      <c r="E43" s="481">
        <f>IF(+I14&lt;F42,I14,D43)</f>
        <v>86993.868421052626</v>
      </c>
      <c r="F43" s="482">
        <f t="shared" si="24"/>
        <v>1219234.9458540166</v>
      </c>
      <c r="G43" s="483">
        <f t="shared" si="25"/>
        <v>230617.22932232084</v>
      </c>
      <c r="H43" s="452">
        <f t="shared" si="26"/>
        <v>230617.22932232084</v>
      </c>
      <c r="I43" s="472">
        <f t="shared" si="0"/>
        <v>0</v>
      </c>
      <c r="J43" s="472"/>
      <c r="K43" s="484"/>
      <c r="L43" s="475">
        <f t="shared" si="2"/>
        <v>0</v>
      </c>
      <c r="M43" s="484"/>
      <c r="N43" s="475">
        <f t="shared" si="4"/>
        <v>0</v>
      </c>
      <c r="O43" s="475">
        <f t="shared" si="5"/>
        <v>0</v>
      </c>
      <c r="P43" s="241"/>
    </row>
    <row r="44" spans="2:16" ht="12.5">
      <c r="B44" s="160" t="str">
        <f t="shared" si="6"/>
        <v/>
      </c>
      <c r="C44" s="469">
        <f>IF(D11="","-",+C43+1)</f>
        <v>2039</v>
      </c>
      <c r="D44" s="482">
        <f>IF(F43+SUM(E$17:E43)=D$10,F43,D$10-SUM(E$17:E43))</f>
        <v>1219234.9458540166</v>
      </c>
      <c r="E44" s="481">
        <f>IF(+I14&lt;F43,I14,D44)</f>
        <v>86993.868421052626</v>
      </c>
      <c r="F44" s="482">
        <f t="shared" si="24"/>
        <v>1132241.077432964</v>
      </c>
      <c r="G44" s="483">
        <f t="shared" si="25"/>
        <v>220722.53040983621</v>
      </c>
      <c r="H44" s="452">
        <f t="shared" si="26"/>
        <v>220722.53040983621</v>
      </c>
      <c r="I44" s="472">
        <f t="shared" si="0"/>
        <v>0</v>
      </c>
      <c r="J44" s="472"/>
      <c r="K44" s="484"/>
      <c r="L44" s="475">
        <f t="shared" si="2"/>
        <v>0</v>
      </c>
      <c r="M44" s="484"/>
      <c r="N44" s="475">
        <f t="shared" si="4"/>
        <v>0</v>
      </c>
      <c r="O44" s="475">
        <f t="shared" si="5"/>
        <v>0</v>
      </c>
      <c r="P44" s="241"/>
    </row>
    <row r="45" spans="2:16" ht="12.5">
      <c r="B45" s="160" t="str">
        <f t="shared" si="6"/>
        <v/>
      </c>
      <c r="C45" s="469">
        <f>IF(D11="","-",+C44+1)</f>
        <v>2040</v>
      </c>
      <c r="D45" s="482">
        <f>IF(F44+SUM(E$17:E44)=D$10,F44,D$10-SUM(E$17:E44))</f>
        <v>1132241.077432964</v>
      </c>
      <c r="E45" s="481">
        <f>IF(+I14&lt;F44,I14,D45)</f>
        <v>86993.868421052626</v>
      </c>
      <c r="F45" s="482">
        <f t="shared" si="24"/>
        <v>1045247.2090119114</v>
      </c>
      <c r="G45" s="483">
        <f t="shared" si="25"/>
        <v>210827.83149735161</v>
      </c>
      <c r="H45" s="452">
        <f t="shared" si="26"/>
        <v>210827.83149735161</v>
      </c>
      <c r="I45" s="472">
        <f t="shared" si="0"/>
        <v>0</v>
      </c>
      <c r="J45" s="472"/>
      <c r="K45" s="484"/>
      <c r="L45" s="475">
        <f t="shared" si="2"/>
        <v>0</v>
      </c>
      <c r="M45" s="484"/>
      <c r="N45" s="475">
        <f t="shared" si="4"/>
        <v>0</v>
      </c>
      <c r="O45" s="475">
        <f t="shared" si="5"/>
        <v>0</v>
      </c>
      <c r="P45" s="241"/>
    </row>
    <row r="46" spans="2:16" ht="12.5">
      <c r="B46" s="160" t="str">
        <f t="shared" si="6"/>
        <v/>
      </c>
      <c r="C46" s="469">
        <f>IF(D11="","-",+C45+1)</f>
        <v>2041</v>
      </c>
      <c r="D46" s="482">
        <f>IF(F45+SUM(E$17:E45)=D$10,F45,D$10-SUM(E$17:E45))</f>
        <v>1045247.2090119114</v>
      </c>
      <c r="E46" s="481">
        <f>IF(+I14&lt;F45,I14,D46)</f>
        <v>86993.868421052626</v>
      </c>
      <c r="F46" s="482">
        <f t="shared" si="24"/>
        <v>958253.34059085883</v>
      </c>
      <c r="G46" s="483">
        <f t="shared" si="25"/>
        <v>200933.13258486701</v>
      </c>
      <c r="H46" s="452">
        <f t="shared" si="26"/>
        <v>200933.13258486701</v>
      </c>
      <c r="I46" s="472">
        <f t="shared" si="0"/>
        <v>0</v>
      </c>
      <c r="J46" s="472"/>
      <c r="K46" s="484"/>
      <c r="L46" s="475">
        <f t="shared" si="2"/>
        <v>0</v>
      </c>
      <c r="M46" s="484"/>
      <c r="N46" s="475">
        <f t="shared" si="4"/>
        <v>0</v>
      </c>
      <c r="O46" s="475">
        <f t="shared" si="5"/>
        <v>0</v>
      </c>
      <c r="P46" s="241"/>
    </row>
    <row r="47" spans="2:16" ht="12.5">
      <c r="B47" s="160" t="str">
        <f t="shared" si="6"/>
        <v/>
      </c>
      <c r="C47" s="469">
        <f>IF(D11="","-",+C46+1)</f>
        <v>2042</v>
      </c>
      <c r="D47" s="482">
        <f>IF(F46+SUM(E$17:E46)=D$10,F46,D$10-SUM(E$17:E46))</f>
        <v>958253.34059085883</v>
      </c>
      <c r="E47" s="481">
        <f>IF(+I14&lt;F46,I14,D47)</f>
        <v>86993.868421052626</v>
      </c>
      <c r="F47" s="482">
        <f t="shared" si="24"/>
        <v>871259.47216980625</v>
      </c>
      <c r="G47" s="483">
        <f t="shared" si="25"/>
        <v>191038.43367238238</v>
      </c>
      <c r="H47" s="452">
        <f t="shared" si="26"/>
        <v>191038.43367238238</v>
      </c>
      <c r="I47" s="472">
        <f t="shared" si="0"/>
        <v>0</v>
      </c>
      <c r="J47" s="472"/>
      <c r="K47" s="484"/>
      <c r="L47" s="475">
        <f t="shared" si="2"/>
        <v>0</v>
      </c>
      <c r="M47" s="484"/>
      <c r="N47" s="475">
        <f t="shared" si="4"/>
        <v>0</v>
      </c>
      <c r="O47" s="475">
        <f t="shared" si="5"/>
        <v>0</v>
      </c>
      <c r="P47" s="241"/>
    </row>
    <row r="48" spans="2:16" ht="12.5">
      <c r="B48" s="160" t="str">
        <f t="shared" si="6"/>
        <v/>
      </c>
      <c r="C48" s="469">
        <f>IF(D11="","-",+C47+1)</f>
        <v>2043</v>
      </c>
      <c r="D48" s="482">
        <f>IF(F47+SUM(E$17:E47)=D$10,F47,D$10-SUM(E$17:E47))</f>
        <v>871259.47216980625</v>
      </c>
      <c r="E48" s="481">
        <f>IF(+I14&lt;F47,I14,D48)</f>
        <v>86993.868421052626</v>
      </c>
      <c r="F48" s="482">
        <f t="shared" si="24"/>
        <v>784265.60374875367</v>
      </c>
      <c r="G48" s="483">
        <f t="shared" si="25"/>
        <v>181143.73475989781</v>
      </c>
      <c r="H48" s="452">
        <f t="shared" si="26"/>
        <v>181143.73475989781</v>
      </c>
      <c r="I48" s="472">
        <f t="shared" si="0"/>
        <v>0</v>
      </c>
      <c r="J48" s="472"/>
      <c r="K48" s="484"/>
      <c r="L48" s="475">
        <f t="shared" si="2"/>
        <v>0</v>
      </c>
      <c r="M48" s="484"/>
      <c r="N48" s="475">
        <f t="shared" si="4"/>
        <v>0</v>
      </c>
      <c r="O48" s="475">
        <f t="shared" si="5"/>
        <v>0</v>
      </c>
      <c r="P48" s="241"/>
    </row>
    <row r="49" spans="2:16" ht="12.5">
      <c r="B49" s="160" t="str">
        <f t="shared" si="6"/>
        <v/>
      </c>
      <c r="C49" s="469">
        <f>IF(D11="","-",+C48+1)</f>
        <v>2044</v>
      </c>
      <c r="D49" s="482">
        <f>IF(F48+SUM(E$17:E48)=D$10,F48,D$10-SUM(E$17:E48))</f>
        <v>784265.60374875367</v>
      </c>
      <c r="E49" s="481">
        <f>IF(+I14&lt;F48,I14,D49)</f>
        <v>86993.868421052626</v>
      </c>
      <c r="F49" s="482">
        <f t="shared" ref="F49:F72" si="27">+D49-E49</f>
        <v>697271.73532770108</v>
      </c>
      <c r="G49" s="483">
        <f t="shared" si="25"/>
        <v>171249.03584741318</v>
      </c>
      <c r="H49" s="452">
        <f t="shared" si="26"/>
        <v>171249.03584741318</v>
      </c>
      <c r="I49" s="472">
        <f t="shared" ref="I49:I72" si="28">H49-G49</f>
        <v>0</v>
      </c>
      <c r="J49" s="472"/>
      <c r="K49" s="484"/>
      <c r="L49" s="475">
        <f t="shared" ref="L49:L72" si="29">IF(K49&lt;&gt;0,+G49-K49,0)</f>
        <v>0</v>
      </c>
      <c r="M49" s="484"/>
      <c r="N49" s="475">
        <f t="shared" ref="N49:N72" si="30">IF(M49&lt;&gt;0,+H49-M49,0)</f>
        <v>0</v>
      </c>
      <c r="O49" s="475">
        <f t="shared" ref="O49:O72" si="31">+N49-L49</f>
        <v>0</v>
      </c>
      <c r="P49" s="241"/>
    </row>
    <row r="50" spans="2:16" ht="12.5">
      <c r="B50" s="160" t="str">
        <f t="shared" ref="B50:B72" si="32">IF(D50=F49,"","IU")</f>
        <v/>
      </c>
      <c r="C50" s="469">
        <f>IF(D11="","-",+C49+1)</f>
        <v>2045</v>
      </c>
      <c r="D50" s="482">
        <f>IF(F49+SUM(E$17:E49)=D$10,F49,D$10-SUM(E$17:E49))</f>
        <v>697271.73532770108</v>
      </c>
      <c r="E50" s="481">
        <f>IF(+I14&lt;F49,I14,D50)</f>
        <v>86993.868421052626</v>
      </c>
      <c r="F50" s="482">
        <f t="shared" si="27"/>
        <v>610277.8669066485</v>
      </c>
      <c r="G50" s="483">
        <f t="shared" si="25"/>
        <v>161354.33693492858</v>
      </c>
      <c r="H50" s="452">
        <f t="shared" si="26"/>
        <v>161354.33693492858</v>
      </c>
      <c r="I50" s="472">
        <f t="shared" si="28"/>
        <v>0</v>
      </c>
      <c r="J50" s="472"/>
      <c r="K50" s="484"/>
      <c r="L50" s="475">
        <f t="shared" si="29"/>
        <v>0</v>
      </c>
      <c r="M50" s="484"/>
      <c r="N50" s="475">
        <f t="shared" si="30"/>
        <v>0</v>
      </c>
      <c r="O50" s="475">
        <f t="shared" si="31"/>
        <v>0</v>
      </c>
      <c r="P50" s="241"/>
    </row>
    <row r="51" spans="2:16" ht="12.5">
      <c r="B51" s="160" t="str">
        <f t="shared" si="32"/>
        <v/>
      </c>
      <c r="C51" s="469">
        <f>IF(D11="","-",+C50+1)</f>
        <v>2046</v>
      </c>
      <c r="D51" s="482">
        <f>IF(F50+SUM(E$17:E50)=D$10,F50,D$10-SUM(E$17:E50))</f>
        <v>610277.8669066485</v>
      </c>
      <c r="E51" s="481">
        <f>IF(+I14&lt;F50,I14,D51)</f>
        <v>86993.868421052626</v>
      </c>
      <c r="F51" s="482">
        <f t="shared" si="27"/>
        <v>523283.99848559586</v>
      </c>
      <c r="G51" s="483">
        <f t="shared" si="25"/>
        <v>151459.63802244398</v>
      </c>
      <c r="H51" s="452">
        <f t="shared" si="26"/>
        <v>151459.63802244398</v>
      </c>
      <c r="I51" s="472">
        <f t="shared" si="28"/>
        <v>0</v>
      </c>
      <c r="J51" s="472"/>
      <c r="K51" s="484"/>
      <c r="L51" s="475">
        <f t="shared" si="29"/>
        <v>0</v>
      </c>
      <c r="M51" s="484"/>
      <c r="N51" s="475">
        <f t="shared" si="30"/>
        <v>0</v>
      </c>
      <c r="O51" s="475">
        <f t="shared" si="31"/>
        <v>0</v>
      </c>
      <c r="P51" s="241"/>
    </row>
    <row r="52" spans="2:16" ht="12.5">
      <c r="B52" s="160" t="str">
        <f t="shared" si="32"/>
        <v/>
      </c>
      <c r="C52" s="469">
        <f>IF(D11="","-",+C51+1)</f>
        <v>2047</v>
      </c>
      <c r="D52" s="482">
        <f>IF(F51+SUM(E$17:E51)=D$10,F51,D$10-SUM(E$17:E51))</f>
        <v>523283.99848559586</v>
      </c>
      <c r="E52" s="481">
        <f>IF(+I14&lt;F51,I14,D52)</f>
        <v>86993.868421052626</v>
      </c>
      <c r="F52" s="482">
        <f t="shared" si="27"/>
        <v>436290.13006454322</v>
      </c>
      <c r="G52" s="483">
        <f t="shared" si="25"/>
        <v>141564.93910995935</v>
      </c>
      <c r="H52" s="452">
        <f t="shared" si="26"/>
        <v>141564.93910995935</v>
      </c>
      <c r="I52" s="472">
        <f t="shared" si="28"/>
        <v>0</v>
      </c>
      <c r="J52" s="472"/>
      <c r="K52" s="484"/>
      <c r="L52" s="475">
        <f t="shared" si="29"/>
        <v>0</v>
      </c>
      <c r="M52" s="484"/>
      <c r="N52" s="475">
        <f t="shared" si="30"/>
        <v>0</v>
      </c>
      <c r="O52" s="475">
        <f t="shared" si="31"/>
        <v>0</v>
      </c>
      <c r="P52" s="241"/>
    </row>
    <row r="53" spans="2:16" ht="12.5">
      <c r="B53" s="160" t="str">
        <f t="shared" si="32"/>
        <v/>
      </c>
      <c r="C53" s="469">
        <f>IF(D11="","-",+C52+1)</f>
        <v>2048</v>
      </c>
      <c r="D53" s="482">
        <f>IF(F52+SUM(E$17:E52)=D$10,F52,D$10-SUM(E$17:E52))</f>
        <v>436290.13006454322</v>
      </c>
      <c r="E53" s="481">
        <f>IF(+I14&lt;F52,I14,D53)</f>
        <v>86993.868421052626</v>
      </c>
      <c r="F53" s="482">
        <f t="shared" si="27"/>
        <v>349296.26164349058</v>
      </c>
      <c r="G53" s="483">
        <f t="shared" si="25"/>
        <v>131670.24019747475</v>
      </c>
      <c r="H53" s="452">
        <f t="shared" si="26"/>
        <v>131670.24019747475</v>
      </c>
      <c r="I53" s="472">
        <f t="shared" si="28"/>
        <v>0</v>
      </c>
      <c r="J53" s="472"/>
      <c r="K53" s="484"/>
      <c r="L53" s="475">
        <f t="shared" si="29"/>
        <v>0</v>
      </c>
      <c r="M53" s="484"/>
      <c r="N53" s="475">
        <f t="shared" si="30"/>
        <v>0</v>
      </c>
      <c r="O53" s="475">
        <f t="shared" si="31"/>
        <v>0</v>
      </c>
      <c r="P53" s="241"/>
    </row>
    <row r="54" spans="2:16" ht="12.5">
      <c r="B54" s="160" t="str">
        <f t="shared" si="32"/>
        <v/>
      </c>
      <c r="C54" s="469">
        <f>IF(D11="","-",+C53+1)</f>
        <v>2049</v>
      </c>
      <c r="D54" s="482">
        <f>IF(F53+SUM(E$17:E53)=D$10,F53,D$10-SUM(E$17:E53))</f>
        <v>349296.26164349058</v>
      </c>
      <c r="E54" s="481">
        <f>IF(+I14&lt;F53,I14,D54)</f>
        <v>86993.868421052626</v>
      </c>
      <c r="F54" s="482">
        <f t="shared" si="27"/>
        <v>262302.39322243794</v>
      </c>
      <c r="G54" s="483">
        <f t="shared" si="25"/>
        <v>121775.54128499013</v>
      </c>
      <c r="H54" s="452">
        <f t="shared" si="26"/>
        <v>121775.54128499013</v>
      </c>
      <c r="I54" s="472">
        <f t="shared" si="28"/>
        <v>0</v>
      </c>
      <c r="J54" s="472"/>
      <c r="K54" s="484"/>
      <c r="L54" s="475">
        <f t="shared" si="29"/>
        <v>0</v>
      </c>
      <c r="M54" s="484"/>
      <c r="N54" s="475">
        <f t="shared" si="30"/>
        <v>0</v>
      </c>
      <c r="O54" s="475">
        <f t="shared" si="31"/>
        <v>0</v>
      </c>
      <c r="P54" s="241"/>
    </row>
    <row r="55" spans="2:16" ht="12.5">
      <c r="B55" s="160" t="str">
        <f t="shared" si="32"/>
        <v/>
      </c>
      <c r="C55" s="469">
        <f>IF(D11="","-",+C54+1)</f>
        <v>2050</v>
      </c>
      <c r="D55" s="482">
        <f>IF(F54+SUM(E$17:E54)=D$10,F54,D$10-SUM(E$17:E54))</f>
        <v>262302.39322243794</v>
      </c>
      <c r="E55" s="481">
        <f>IF(+I14&lt;F54,I14,D55)</f>
        <v>86993.868421052626</v>
      </c>
      <c r="F55" s="482">
        <f t="shared" si="27"/>
        <v>175308.5248013853</v>
      </c>
      <c r="G55" s="483">
        <f t="shared" si="25"/>
        <v>111880.84237250553</v>
      </c>
      <c r="H55" s="452">
        <f t="shared" si="26"/>
        <v>111880.84237250553</v>
      </c>
      <c r="I55" s="472">
        <f t="shared" si="28"/>
        <v>0</v>
      </c>
      <c r="J55" s="472"/>
      <c r="K55" s="484"/>
      <c r="L55" s="475">
        <f t="shared" si="29"/>
        <v>0</v>
      </c>
      <c r="M55" s="484"/>
      <c r="N55" s="475">
        <f t="shared" si="30"/>
        <v>0</v>
      </c>
      <c r="O55" s="475">
        <f t="shared" si="31"/>
        <v>0</v>
      </c>
      <c r="P55" s="241"/>
    </row>
    <row r="56" spans="2:16" ht="12.5">
      <c r="B56" s="160" t="str">
        <f t="shared" si="32"/>
        <v/>
      </c>
      <c r="C56" s="469">
        <f>IF(D11="","-",+C55+1)</f>
        <v>2051</v>
      </c>
      <c r="D56" s="482">
        <f>IF(F55+SUM(E$17:E55)=D$10,F55,D$10-SUM(E$17:E55))</f>
        <v>175308.5248013853</v>
      </c>
      <c r="E56" s="481">
        <f>IF(+I14&lt;F55,I14,D56)</f>
        <v>86993.868421052626</v>
      </c>
      <c r="F56" s="482">
        <f t="shared" si="27"/>
        <v>88314.656380332672</v>
      </c>
      <c r="G56" s="483">
        <f t="shared" si="25"/>
        <v>101986.14346002092</v>
      </c>
      <c r="H56" s="452">
        <f t="shared" si="26"/>
        <v>101986.14346002092</v>
      </c>
      <c r="I56" s="472">
        <f t="shared" si="28"/>
        <v>0</v>
      </c>
      <c r="J56" s="472"/>
      <c r="K56" s="484"/>
      <c r="L56" s="475">
        <f t="shared" si="29"/>
        <v>0</v>
      </c>
      <c r="M56" s="484"/>
      <c r="N56" s="475">
        <f t="shared" si="30"/>
        <v>0</v>
      </c>
      <c r="O56" s="475">
        <f t="shared" si="31"/>
        <v>0</v>
      </c>
      <c r="P56" s="241"/>
    </row>
    <row r="57" spans="2:16" ht="12.5">
      <c r="B57" s="160" t="str">
        <f t="shared" si="32"/>
        <v/>
      </c>
      <c r="C57" s="469">
        <f>IF(D11="","-",+C56+1)</f>
        <v>2052</v>
      </c>
      <c r="D57" s="482">
        <f>IF(F56+SUM(E$17:E56)=D$10,F56,D$10-SUM(E$17:E56))</f>
        <v>88314.656380332672</v>
      </c>
      <c r="E57" s="481">
        <f>IF(+I14&lt;F56,I14,D57)</f>
        <v>86993.868421052626</v>
      </c>
      <c r="F57" s="482">
        <f t="shared" si="27"/>
        <v>1320.7879592800455</v>
      </c>
      <c r="G57" s="483">
        <f t="shared" si="25"/>
        <v>92091.444547536303</v>
      </c>
      <c r="H57" s="452">
        <f t="shared" si="26"/>
        <v>92091.444547536303</v>
      </c>
      <c r="I57" s="472">
        <f t="shared" si="28"/>
        <v>0</v>
      </c>
      <c r="J57" s="472"/>
      <c r="K57" s="484"/>
      <c r="L57" s="475">
        <f t="shared" si="29"/>
        <v>0</v>
      </c>
      <c r="M57" s="484"/>
      <c r="N57" s="475">
        <f t="shared" si="30"/>
        <v>0</v>
      </c>
      <c r="O57" s="475">
        <f t="shared" si="31"/>
        <v>0</v>
      </c>
      <c r="P57" s="241"/>
    </row>
    <row r="58" spans="2:16" ht="12.5">
      <c r="B58" s="160" t="str">
        <f t="shared" si="32"/>
        <v/>
      </c>
      <c r="C58" s="469">
        <f>IF(D11="","-",+C57+1)</f>
        <v>2053</v>
      </c>
      <c r="D58" s="482">
        <f>IF(F57+SUM(E$17:E57)=D$10,F57,D$10-SUM(E$17:E57))</f>
        <v>1320.7879592800455</v>
      </c>
      <c r="E58" s="481">
        <f>IF(+I14&lt;F57,I14,D58)</f>
        <v>1320.7879592800455</v>
      </c>
      <c r="F58" s="482">
        <f t="shared" si="27"/>
        <v>0</v>
      </c>
      <c r="G58" s="483">
        <f t="shared" si="25"/>
        <v>1395.9012944007329</v>
      </c>
      <c r="H58" s="452">
        <f t="shared" si="26"/>
        <v>1395.9012944007329</v>
      </c>
      <c r="I58" s="472">
        <f t="shared" si="28"/>
        <v>0</v>
      </c>
      <c r="J58" s="472"/>
      <c r="K58" s="484"/>
      <c r="L58" s="475">
        <f t="shared" si="29"/>
        <v>0</v>
      </c>
      <c r="M58" s="484"/>
      <c r="N58" s="475">
        <f t="shared" si="30"/>
        <v>0</v>
      </c>
      <c r="O58" s="475">
        <f t="shared" si="31"/>
        <v>0</v>
      </c>
      <c r="P58" s="241"/>
    </row>
    <row r="59" spans="2:16" ht="12.5">
      <c r="B59" s="160" t="str">
        <f t="shared" si="32"/>
        <v/>
      </c>
      <c r="C59" s="469">
        <f>IF(D11="","-",+C58+1)</f>
        <v>2054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27"/>
        <v>0</v>
      </c>
      <c r="G59" s="483">
        <f t="shared" si="25"/>
        <v>0</v>
      </c>
      <c r="H59" s="452">
        <f t="shared" si="26"/>
        <v>0</v>
      </c>
      <c r="I59" s="472">
        <f t="shared" si="28"/>
        <v>0</v>
      </c>
      <c r="J59" s="472"/>
      <c r="K59" s="484"/>
      <c r="L59" s="475">
        <f t="shared" si="29"/>
        <v>0</v>
      </c>
      <c r="M59" s="484"/>
      <c r="N59" s="475">
        <f t="shared" si="30"/>
        <v>0</v>
      </c>
      <c r="O59" s="475">
        <f t="shared" si="31"/>
        <v>0</v>
      </c>
      <c r="P59" s="241"/>
    </row>
    <row r="60" spans="2:16" ht="12.5">
      <c r="B60" s="160" t="str">
        <f t="shared" si="32"/>
        <v/>
      </c>
      <c r="C60" s="469">
        <f>IF(D11="","-",+C59+1)</f>
        <v>2055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27"/>
        <v>0</v>
      </c>
      <c r="G60" s="483">
        <f t="shared" si="25"/>
        <v>0</v>
      </c>
      <c r="H60" s="452">
        <f t="shared" si="26"/>
        <v>0</v>
      </c>
      <c r="I60" s="472">
        <f t="shared" si="28"/>
        <v>0</v>
      </c>
      <c r="J60" s="472"/>
      <c r="K60" s="484"/>
      <c r="L60" s="475">
        <f t="shared" si="29"/>
        <v>0</v>
      </c>
      <c r="M60" s="484"/>
      <c r="N60" s="475">
        <f t="shared" si="30"/>
        <v>0</v>
      </c>
      <c r="O60" s="475">
        <f t="shared" si="31"/>
        <v>0</v>
      </c>
      <c r="P60" s="241"/>
    </row>
    <row r="61" spans="2:16" ht="12.5">
      <c r="B61" s="160" t="str">
        <f t="shared" si="32"/>
        <v/>
      </c>
      <c r="C61" s="469">
        <f>IF(D11="","-",+C60+1)</f>
        <v>2056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27"/>
        <v>0</v>
      </c>
      <c r="G61" s="483">
        <f t="shared" si="25"/>
        <v>0</v>
      </c>
      <c r="H61" s="452">
        <f t="shared" si="26"/>
        <v>0</v>
      </c>
      <c r="I61" s="472">
        <f t="shared" si="28"/>
        <v>0</v>
      </c>
      <c r="J61" s="472"/>
      <c r="K61" s="484"/>
      <c r="L61" s="475">
        <f t="shared" si="29"/>
        <v>0</v>
      </c>
      <c r="M61" s="484"/>
      <c r="N61" s="475">
        <f t="shared" si="30"/>
        <v>0</v>
      </c>
      <c r="O61" s="475">
        <f t="shared" si="31"/>
        <v>0</v>
      </c>
      <c r="P61" s="241"/>
    </row>
    <row r="62" spans="2:16" ht="12.5">
      <c r="B62" s="160" t="str">
        <f t="shared" si="32"/>
        <v/>
      </c>
      <c r="C62" s="469">
        <f>IF(D11="","-",+C61+1)</f>
        <v>2057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27"/>
        <v>0</v>
      </c>
      <c r="G62" s="483">
        <f t="shared" si="25"/>
        <v>0</v>
      </c>
      <c r="H62" s="452">
        <f t="shared" si="26"/>
        <v>0</v>
      </c>
      <c r="I62" s="472">
        <f t="shared" si="28"/>
        <v>0</v>
      </c>
      <c r="J62" s="472"/>
      <c r="K62" s="484"/>
      <c r="L62" s="475">
        <f t="shared" si="29"/>
        <v>0</v>
      </c>
      <c r="M62" s="484"/>
      <c r="N62" s="475">
        <f t="shared" si="30"/>
        <v>0</v>
      </c>
      <c r="O62" s="475">
        <f t="shared" si="31"/>
        <v>0</v>
      </c>
      <c r="P62" s="241"/>
    </row>
    <row r="63" spans="2:16" ht="12.5">
      <c r="B63" s="160" t="str">
        <f t="shared" si="32"/>
        <v/>
      </c>
      <c r="C63" s="469">
        <f>IF(D11="","-",+C62+1)</f>
        <v>2058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27"/>
        <v>0</v>
      </c>
      <c r="G63" s="483">
        <f t="shared" si="25"/>
        <v>0</v>
      </c>
      <c r="H63" s="452">
        <f t="shared" si="26"/>
        <v>0</v>
      </c>
      <c r="I63" s="472">
        <f t="shared" si="28"/>
        <v>0</v>
      </c>
      <c r="J63" s="472"/>
      <c r="K63" s="484"/>
      <c r="L63" s="475">
        <f t="shared" si="29"/>
        <v>0</v>
      </c>
      <c r="M63" s="484"/>
      <c r="N63" s="475">
        <f t="shared" si="30"/>
        <v>0</v>
      </c>
      <c r="O63" s="475">
        <f t="shared" si="31"/>
        <v>0</v>
      </c>
      <c r="P63" s="241"/>
    </row>
    <row r="64" spans="2:16" ht="12.5">
      <c r="B64" s="160" t="str">
        <f t="shared" si="32"/>
        <v/>
      </c>
      <c r="C64" s="469">
        <f>IF(D11="","-",+C63+1)</f>
        <v>2059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27"/>
        <v>0</v>
      </c>
      <c r="G64" s="483">
        <f t="shared" si="25"/>
        <v>0</v>
      </c>
      <c r="H64" s="452">
        <f t="shared" si="26"/>
        <v>0</v>
      </c>
      <c r="I64" s="472">
        <f t="shared" si="28"/>
        <v>0</v>
      </c>
      <c r="J64" s="472"/>
      <c r="K64" s="484"/>
      <c r="L64" s="475">
        <f t="shared" si="29"/>
        <v>0</v>
      </c>
      <c r="M64" s="484"/>
      <c r="N64" s="475">
        <f t="shared" si="30"/>
        <v>0</v>
      </c>
      <c r="O64" s="475">
        <f t="shared" si="31"/>
        <v>0</v>
      </c>
      <c r="P64" s="241"/>
    </row>
    <row r="65" spans="2:16" ht="12.5">
      <c r="B65" s="160" t="str">
        <f t="shared" si="32"/>
        <v/>
      </c>
      <c r="C65" s="469">
        <f>IF(D11="","-",+C64+1)</f>
        <v>2060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27"/>
        <v>0</v>
      </c>
      <c r="G65" s="483">
        <f t="shared" si="25"/>
        <v>0</v>
      </c>
      <c r="H65" s="452">
        <f t="shared" si="26"/>
        <v>0</v>
      </c>
      <c r="I65" s="472">
        <f t="shared" si="28"/>
        <v>0</v>
      </c>
      <c r="J65" s="472"/>
      <c r="K65" s="484"/>
      <c r="L65" s="475">
        <f t="shared" si="29"/>
        <v>0</v>
      </c>
      <c r="M65" s="484"/>
      <c r="N65" s="475">
        <f t="shared" si="30"/>
        <v>0</v>
      </c>
      <c r="O65" s="475">
        <f t="shared" si="31"/>
        <v>0</v>
      </c>
      <c r="P65" s="241"/>
    </row>
    <row r="66" spans="2:16" ht="12.5">
      <c r="B66" s="160" t="str">
        <f t="shared" si="32"/>
        <v/>
      </c>
      <c r="C66" s="469">
        <f>IF(D11="","-",+C65+1)</f>
        <v>2061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27"/>
        <v>0</v>
      </c>
      <c r="G66" s="483">
        <f t="shared" si="25"/>
        <v>0</v>
      </c>
      <c r="H66" s="452">
        <f t="shared" si="26"/>
        <v>0</v>
      </c>
      <c r="I66" s="472">
        <f t="shared" si="28"/>
        <v>0</v>
      </c>
      <c r="J66" s="472"/>
      <c r="K66" s="484"/>
      <c r="L66" s="475">
        <f t="shared" si="29"/>
        <v>0</v>
      </c>
      <c r="M66" s="484"/>
      <c r="N66" s="475">
        <f t="shared" si="30"/>
        <v>0</v>
      </c>
      <c r="O66" s="475">
        <f t="shared" si="31"/>
        <v>0</v>
      </c>
      <c r="P66" s="241"/>
    </row>
    <row r="67" spans="2:16" ht="12.5">
      <c r="B67" s="160" t="str">
        <f t="shared" si="32"/>
        <v/>
      </c>
      <c r="C67" s="469">
        <f>IF(D11="","-",+C66+1)</f>
        <v>2062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27"/>
        <v>0</v>
      </c>
      <c r="G67" s="483">
        <f t="shared" si="25"/>
        <v>0</v>
      </c>
      <c r="H67" s="452">
        <f t="shared" si="26"/>
        <v>0</v>
      </c>
      <c r="I67" s="472">
        <f t="shared" si="28"/>
        <v>0</v>
      </c>
      <c r="J67" s="472"/>
      <c r="K67" s="484"/>
      <c r="L67" s="475">
        <f t="shared" si="29"/>
        <v>0</v>
      </c>
      <c r="M67" s="484"/>
      <c r="N67" s="475">
        <f t="shared" si="30"/>
        <v>0</v>
      </c>
      <c r="O67" s="475">
        <f t="shared" si="31"/>
        <v>0</v>
      </c>
      <c r="P67" s="241"/>
    </row>
    <row r="68" spans="2:16" ht="12.5">
      <c r="B68" s="160" t="str">
        <f t="shared" si="32"/>
        <v/>
      </c>
      <c r="C68" s="469">
        <f>IF(D11="","-",+C67+1)</f>
        <v>2063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27"/>
        <v>0</v>
      </c>
      <c r="G68" s="483">
        <f t="shared" si="25"/>
        <v>0</v>
      </c>
      <c r="H68" s="452">
        <f t="shared" si="26"/>
        <v>0</v>
      </c>
      <c r="I68" s="472">
        <f t="shared" si="28"/>
        <v>0</v>
      </c>
      <c r="J68" s="472"/>
      <c r="K68" s="484"/>
      <c r="L68" s="475">
        <f t="shared" si="29"/>
        <v>0</v>
      </c>
      <c r="M68" s="484"/>
      <c r="N68" s="475">
        <f t="shared" si="30"/>
        <v>0</v>
      </c>
      <c r="O68" s="475">
        <f t="shared" si="31"/>
        <v>0</v>
      </c>
      <c r="P68" s="241"/>
    </row>
    <row r="69" spans="2:16" ht="12.5">
      <c r="B69" s="160" t="str">
        <f t="shared" si="32"/>
        <v/>
      </c>
      <c r="C69" s="469">
        <f>IF(D11="","-",+C68+1)</f>
        <v>2064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27"/>
        <v>0</v>
      </c>
      <c r="G69" s="483">
        <f t="shared" si="25"/>
        <v>0</v>
      </c>
      <c r="H69" s="452">
        <f t="shared" si="26"/>
        <v>0</v>
      </c>
      <c r="I69" s="472">
        <f t="shared" si="28"/>
        <v>0</v>
      </c>
      <c r="J69" s="472"/>
      <c r="K69" s="484"/>
      <c r="L69" s="475">
        <f t="shared" si="29"/>
        <v>0</v>
      </c>
      <c r="M69" s="484"/>
      <c r="N69" s="475">
        <f t="shared" si="30"/>
        <v>0</v>
      </c>
      <c r="O69" s="475">
        <f t="shared" si="31"/>
        <v>0</v>
      </c>
      <c r="P69" s="241"/>
    </row>
    <row r="70" spans="2:16" ht="12.5">
      <c r="B70" s="160" t="str">
        <f t="shared" si="32"/>
        <v/>
      </c>
      <c r="C70" s="469">
        <f>IF(D11="","-",+C69+1)</f>
        <v>2065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27"/>
        <v>0</v>
      </c>
      <c r="G70" s="483">
        <f t="shared" si="25"/>
        <v>0</v>
      </c>
      <c r="H70" s="452">
        <f t="shared" si="26"/>
        <v>0</v>
      </c>
      <c r="I70" s="472">
        <f t="shared" si="28"/>
        <v>0</v>
      </c>
      <c r="J70" s="472"/>
      <c r="K70" s="484"/>
      <c r="L70" s="475">
        <f t="shared" si="29"/>
        <v>0</v>
      </c>
      <c r="M70" s="484"/>
      <c r="N70" s="475">
        <f t="shared" si="30"/>
        <v>0</v>
      </c>
      <c r="O70" s="475">
        <f t="shared" si="31"/>
        <v>0</v>
      </c>
      <c r="P70" s="241"/>
    </row>
    <row r="71" spans="2:16" ht="12.5">
      <c r="B71" s="160" t="str">
        <f t="shared" si="32"/>
        <v/>
      </c>
      <c r="C71" s="469">
        <f>IF(D11="","-",+C70+1)</f>
        <v>2066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27"/>
        <v>0</v>
      </c>
      <c r="G71" s="483">
        <f t="shared" si="25"/>
        <v>0</v>
      </c>
      <c r="H71" s="452">
        <f t="shared" si="26"/>
        <v>0</v>
      </c>
      <c r="I71" s="472">
        <f t="shared" si="28"/>
        <v>0</v>
      </c>
      <c r="J71" s="472"/>
      <c r="K71" s="484"/>
      <c r="L71" s="475">
        <f t="shared" si="29"/>
        <v>0</v>
      </c>
      <c r="M71" s="484"/>
      <c r="N71" s="475">
        <f t="shared" si="30"/>
        <v>0</v>
      </c>
      <c r="O71" s="475">
        <f t="shared" si="31"/>
        <v>0</v>
      </c>
      <c r="P71" s="241"/>
    </row>
    <row r="72" spans="2:16" ht="13" thickBot="1">
      <c r="B72" s="160" t="str">
        <f t="shared" si="32"/>
        <v/>
      </c>
      <c r="C72" s="486">
        <f>IF(D11="","-",+C71+1)</f>
        <v>2067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27"/>
        <v>0</v>
      </c>
      <c r="G72" s="487">
        <f t="shared" si="25"/>
        <v>0</v>
      </c>
      <c r="H72" s="487">
        <f t="shared" si="26"/>
        <v>0</v>
      </c>
      <c r="I72" s="490">
        <f t="shared" si="28"/>
        <v>0</v>
      </c>
      <c r="J72" s="472"/>
      <c r="K72" s="491"/>
      <c r="L72" s="492">
        <f t="shared" si="29"/>
        <v>0</v>
      </c>
      <c r="M72" s="491"/>
      <c r="N72" s="492">
        <f t="shared" si="30"/>
        <v>0</v>
      </c>
      <c r="O72" s="492">
        <f t="shared" si="31"/>
        <v>0</v>
      </c>
      <c r="P72" s="241"/>
    </row>
    <row r="73" spans="2:16" ht="12.5">
      <c r="C73" s="344" t="s">
        <v>77</v>
      </c>
      <c r="D73" s="345"/>
      <c r="E73" s="345">
        <f>SUM(E17:E72)</f>
        <v>3305766.9999999995</v>
      </c>
      <c r="F73" s="345"/>
      <c r="G73" s="345">
        <f>SUM(G17:G72)</f>
        <v>11620726.114407714</v>
      </c>
      <c r="H73" s="345">
        <f>SUM(H17:H72)</f>
        <v>11620726.114407714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12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380717.44269754912</v>
      </c>
      <c r="N87" s="505">
        <f>IF(J92&lt;D11,0,VLOOKUP(J92,C17:O72,11))</f>
        <v>380717.44269754912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414820.57079383935</v>
      </c>
      <c r="N88" s="509">
        <f>IF(J92&lt;D11,0,VLOOKUP(J92,C99:P154,7))</f>
        <v>414820.57079383935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Canadian River - McAlester City 138 kV Line Conversion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34103.128096290224</v>
      </c>
      <c r="N89" s="514">
        <f>+N88-N87</f>
        <v>34103.128096290224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TP2009095-PSO</v>
      </c>
      <c r="E91" s="519" t="str">
        <f>E9</f>
        <v xml:space="preserve">  SPP Project ID = 767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+D10</f>
        <v>3305767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697">
        <f>D11</f>
        <v>2012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v>8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86994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467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2012</v>
      </c>
      <c r="D99" s="575">
        <f>IF(D93=C99,0,D92)</f>
        <v>0</v>
      </c>
      <c r="E99" s="576">
        <v>1616</v>
      </c>
      <c r="F99" s="577">
        <v>502209</v>
      </c>
      <c r="G99" s="578">
        <v>251209</v>
      </c>
      <c r="H99" s="579">
        <v>37753</v>
      </c>
      <c r="I99" s="580">
        <v>37753</v>
      </c>
      <c r="J99" s="475">
        <f t="shared" ref="J99:J130" si="33">+I99-H99</f>
        <v>0</v>
      </c>
      <c r="K99" s="571"/>
      <c r="L99" s="564">
        <f t="shared" ref="L99:L104" si="34">H99</f>
        <v>37753</v>
      </c>
      <c r="M99" s="572">
        <f t="shared" ref="M99:M104" si="35">IF(L99&lt;&gt;0,+H99-L99,0)</f>
        <v>0</v>
      </c>
      <c r="N99" s="564">
        <f t="shared" ref="N99:N104" si="36">I99</f>
        <v>37753</v>
      </c>
      <c r="O99" s="346">
        <f t="shared" ref="O99:O104" si="37">IF(N99&lt;&gt;0,+I99-N99,0)</f>
        <v>0</v>
      </c>
      <c r="P99" s="474">
        <f t="shared" ref="P99:P104" si="38">+O99-M99</f>
        <v>0</v>
      </c>
    </row>
    <row r="100" spans="1:16" ht="12.5">
      <c r="B100" s="160" t="str">
        <f t="shared" ref="B100:B131" si="39">IF(D100=F99,"","IU")</f>
        <v>IU</v>
      </c>
      <c r="C100" s="469">
        <f>IF(D93="","-",+C99+1)</f>
        <v>2013</v>
      </c>
      <c r="D100" s="581">
        <v>3240518</v>
      </c>
      <c r="E100" s="582">
        <v>62349</v>
      </c>
      <c r="F100" s="583">
        <v>3178169</v>
      </c>
      <c r="G100" s="583">
        <v>3209343.5</v>
      </c>
      <c r="H100" s="582">
        <v>524300.60020262119</v>
      </c>
      <c r="I100" s="584">
        <v>524300.60020262119</v>
      </c>
      <c r="J100" s="475">
        <v>0</v>
      </c>
      <c r="K100" s="571"/>
      <c r="L100" s="537">
        <f t="shared" si="34"/>
        <v>524300.60020262119</v>
      </c>
      <c r="M100" s="572">
        <f t="shared" si="35"/>
        <v>0</v>
      </c>
      <c r="N100" s="537">
        <f t="shared" si="36"/>
        <v>524300.60020262119</v>
      </c>
      <c r="O100" s="346">
        <f t="shared" si="37"/>
        <v>0</v>
      </c>
      <c r="P100" s="475">
        <f t="shared" si="38"/>
        <v>0</v>
      </c>
    </row>
    <row r="101" spans="1:16" ht="12.5">
      <c r="B101" s="160" t="str">
        <f t="shared" si="39"/>
        <v>IU</v>
      </c>
      <c r="C101" s="469">
        <f>IF(D93="","-",+C100+1)</f>
        <v>2014</v>
      </c>
      <c r="D101" s="581">
        <v>3241802.14</v>
      </c>
      <c r="E101" s="582">
        <v>63572</v>
      </c>
      <c r="F101" s="583">
        <v>3178230.14</v>
      </c>
      <c r="G101" s="583">
        <v>3210016.14</v>
      </c>
      <c r="H101" s="582">
        <v>514887.14751698606</v>
      </c>
      <c r="I101" s="584">
        <v>514887.14751698606</v>
      </c>
      <c r="J101" s="475">
        <v>0</v>
      </c>
      <c r="K101" s="571"/>
      <c r="L101" s="537">
        <f t="shared" si="34"/>
        <v>514887.14751698606</v>
      </c>
      <c r="M101" s="572">
        <f t="shared" si="35"/>
        <v>0</v>
      </c>
      <c r="N101" s="537">
        <f t="shared" si="36"/>
        <v>514887.14751698606</v>
      </c>
      <c r="O101" s="346">
        <f t="shared" si="37"/>
        <v>0</v>
      </c>
      <c r="P101" s="475">
        <f t="shared" si="38"/>
        <v>0</v>
      </c>
    </row>
    <row r="102" spans="1:16" ht="12.5">
      <c r="B102" s="160" t="str">
        <f t="shared" si="39"/>
        <v/>
      </c>
      <c r="C102" s="469">
        <f>IF(D93="","-",+C101+1)</f>
        <v>2015</v>
      </c>
      <c r="D102" s="581">
        <v>3178230.14</v>
      </c>
      <c r="E102" s="582">
        <v>63572</v>
      </c>
      <c r="F102" s="583">
        <v>3114658.14</v>
      </c>
      <c r="G102" s="583">
        <v>3146444.14</v>
      </c>
      <c r="H102" s="582">
        <v>492879.0042454137</v>
      </c>
      <c r="I102" s="584">
        <v>492879.0042454137</v>
      </c>
      <c r="J102" s="475">
        <f t="shared" si="33"/>
        <v>0</v>
      </c>
      <c r="K102" s="475"/>
      <c r="L102" s="537">
        <f t="shared" si="34"/>
        <v>492879.0042454137</v>
      </c>
      <c r="M102" s="572">
        <f t="shared" si="35"/>
        <v>0</v>
      </c>
      <c r="N102" s="537">
        <f t="shared" si="36"/>
        <v>492879.0042454137</v>
      </c>
      <c r="O102" s="346">
        <f t="shared" si="37"/>
        <v>0</v>
      </c>
      <c r="P102" s="475">
        <f t="shared" si="38"/>
        <v>0</v>
      </c>
    </row>
    <row r="103" spans="1:16" ht="12.5">
      <c r="B103" s="160" t="str">
        <f t="shared" si="39"/>
        <v/>
      </c>
      <c r="C103" s="469">
        <f>IF(D93="","-",+C102+1)</f>
        <v>2016</v>
      </c>
      <c r="D103" s="581">
        <v>3114658.14</v>
      </c>
      <c r="E103" s="582">
        <v>71865</v>
      </c>
      <c r="F103" s="583">
        <v>3042793.14</v>
      </c>
      <c r="G103" s="583">
        <v>3078725.64</v>
      </c>
      <c r="H103" s="582">
        <v>468761.221459263</v>
      </c>
      <c r="I103" s="584">
        <v>468761.221459263</v>
      </c>
      <c r="J103" s="475">
        <f t="shared" si="33"/>
        <v>0</v>
      </c>
      <c r="K103" s="475"/>
      <c r="L103" s="537">
        <f t="shared" si="34"/>
        <v>468761.221459263</v>
      </c>
      <c r="M103" s="572">
        <f t="shared" si="35"/>
        <v>0</v>
      </c>
      <c r="N103" s="537">
        <f t="shared" si="36"/>
        <v>468761.221459263</v>
      </c>
      <c r="O103" s="346">
        <f t="shared" si="37"/>
        <v>0</v>
      </c>
      <c r="P103" s="475">
        <f t="shared" si="38"/>
        <v>0</v>
      </c>
    </row>
    <row r="104" spans="1:16" ht="12.5">
      <c r="B104" s="160" t="str">
        <f t="shared" si="39"/>
        <v/>
      </c>
      <c r="C104" s="469">
        <f>IF(D93="","-",+C103+1)</f>
        <v>2017</v>
      </c>
      <c r="D104" s="581">
        <v>3042793.14</v>
      </c>
      <c r="E104" s="582">
        <v>71865</v>
      </c>
      <c r="F104" s="583">
        <v>2970928.14</v>
      </c>
      <c r="G104" s="583">
        <v>3006860.64</v>
      </c>
      <c r="H104" s="582">
        <v>453292.85398579738</v>
      </c>
      <c r="I104" s="584">
        <v>453292.85398579738</v>
      </c>
      <c r="J104" s="475">
        <f t="shared" si="33"/>
        <v>0</v>
      </c>
      <c r="K104" s="475"/>
      <c r="L104" s="537">
        <f t="shared" si="34"/>
        <v>453292.85398579738</v>
      </c>
      <c r="M104" s="572">
        <f t="shared" si="35"/>
        <v>0</v>
      </c>
      <c r="N104" s="537">
        <f t="shared" si="36"/>
        <v>453292.85398579738</v>
      </c>
      <c r="O104" s="346">
        <f t="shared" si="37"/>
        <v>0</v>
      </c>
      <c r="P104" s="475">
        <f t="shared" si="38"/>
        <v>0</v>
      </c>
    </row>
    <row r="105" spans="1:16" ht="12.5">
      <c r="B105" s="160" t="str">
        <f t="shared" si="39"/>
        <v/>
      </c>
      <c r="C105" s="469">
        <f>IF(D93="","-",+C104+1)</f>
        <v>2018</v>
      </c>
      <c r="D105" s="581">
        <v>2970928.14</v>
      </c>
      <c r="E105" s="582">
        <v>76878</v>
      </c>
      <c r="F105" s="583">
        <v>2894050.14</v>
      </c>
      <c r="G105" s="583">
        <v>2932489.14</v>
      </c>
      <c r="H105" s="582">
        <v>378148.93401168124</v>
      </c>
      <c r="I105" s="584">
        <v>378148.93401168124</v>
      </c>
      <c r="J105" s="475">
        <f t="shared" si="33"/>
        <v>0</v>
      </c>
      <c r="K105" s="475"/>
      <c r="L105" s="537">
        <f t="shared" ref="L105" si="40">H105</f>
        <v>378148.93401168124</v>
      </c>
      <c r="M105" s="572">
        <f t="shared" ref="M105" si="41">IF(L105&lt;&gt;0,+H105-L105,0)</f>
        <v>0</v>
      </c>
      <c r="N105" s="537">
        <f t="shared" ref="N105" si="42">I105</f>
        <v>378148.93401168124</v>
      </c>
      <c r="O105" s="346">
        <f t="shared" ref="O105" si="43">IF(N105&lt;&gt;0,+I105-N105,0)</f>
        <v>0</v>
      </c>
      <c r="P105" s="475">
        <f t="shared" ref="P105" si="44">+O105-M105</f>
        <v>0</v>
      </c>
    </row>
    <row r="106" spans="1:16" ht="12.5">
      <c r="B106" s="160" t="str">
        <f t="shared" si="39"/>
        <v/>
      </c>
      <c r="C106" s="469">
        <f>IF(D93="","-",+C105+1)</f>
        <v>2019</v>
      </c>
      <c r="D106" s="581">
        <v>2894050.14</v>
      </c>
      <c r="E106" s="582">
        <v>80628</v>
      </c>
      <c r="F106" s="583">
        <v>2813422.14</v>
      </c>
      <c r="G106" s="583">
        <v>2853736.14</v>
      </c>
      <c r="H106" s="582">
        <v>374888.22276719729</v>
      </c>
      <c r="I106" s="584">
        <v>374888.22276719729</v>
      </c>
      <c r="J106" s="475">
        <f t="shared" si="33"/>
        <v>0</v>
      </c>
      <c r="K106" s="475"/>
      <c r="L106" s="537">
        <f t="shared" ref="L106" si="45">H106</f>
        <v>374888.22276719729</v>
      </c>
      <c r="M106" s="572">
        <f t="shared" ref="M106" si="46">IF(L106&lt;&gt;0,+H106-L106,0)</f>
        <v>0</v>
      </c>
      <c r="N106" s="537">
        <f t="shared" ref="N106" si="47">I106</f>
        <v>374888.22276719729</v>
      </c>
      <c r="O106" s="475">
        <f t="shared" ref="O106:O130" si="48">IF(N106&lt;&gt;0,+I106-N106,0)</f>
        <v>0</v>
      </c>
      <c r="P106" s="475">
        <f t="shared" ref="P106:P130" si="49">+O106-M106</f>
        <v>0</v>
      </c>
    </row>
    <row r="107" spans="1:16" ht="12.5">
      <c r="B107" s="160" t="str">
        <f t="shared" si="39"/>
        <v/>
      </c>
      <c r="C107" s="469">
        <f>IF(D93="","-",+C106+1)</f>
        <v>2020</v>
      </c>
      <c r="D107" s="581">
        <v>2813422.14</v>
      </c>
      <c r="E107" s="582">
        <v>76878</v>
      </c>
      <c r="F107" s="583">
        <v>2736544.14</v>
      </c>
      <c r="G107" s="583">
        <v>2774983.14</v>
      </c>
      <c r="H107" s="582">
        <v>396825.92685492127</v>
      </c>
      <c r="I107" s="584">
        <v>396825.92685492127</v>
      </c>
      <c r="J107" s="475">
        <f t="shared" si="33"/>
        <v>0</v>
      </c>
      <c r="K107" s="475"/>
      <c r="L107" s="537">
        <f t="shared" ref="L107" si="50">H107</f>
        <v>396825.92685492127</v>
      </c>
      <c r="M107" s="572">
        <f t="shared" ref="M107" si="51">IF(L107&lt;&gt;0,+H107-L107,0)</f>
        <v>0</v>
      </c>
      <c r="N107" s="537">
        <f t="shared" ref="N107" si="52">I107</f>
        <v>396825.92685492127</v>
      </c>
      <c r="O107" s="475">
        <f t="shared" si="48"/>
        <v>0</v>
      </c>
      <c r="P107" s="475">
        <f t="shared" si="49"/>
        <v>0</v>
      </c>
    </row>
    <row r="108" spans="1:16" ht="12.5">
      <c r="B108" s="160" t="str">
        <f t="shared" si="39"/>
        <v/>
      </c>
      <c r="C108" s="469">
        <f>IF(D93="","-",+C107+1)</f>
        <v>2021</v>
      </c>
      <c r="D108" s="581">
        <v>2736544.14</v>
      </c>
      <c r="E108" s="582">
        <v>80628</v>
      </c>
      <c r="F108" s="583">
        <v>2655916.14</v>
      </c>
      <c r="G108" s="583">
        <v>2696230.14</v>
      </c>
      <c r="H108" s="582">
        <v>387439.55828621471</v>
      </c>
      <c r="I108" s="584">
        <v>387439.55828621471</v>
      </c>
      <c r="J108" s="475">
        <f t="shared" si="33"/>
        <v>0</v>
      </c>
      <c r="K108" s="475"/>
      <c r="L108" s="537">
        <f t="shared" ref="L108" si="53">H108</f>
        <v>387439.55828621471</v>
      </c>
      <c r="M108" s="572">
        <f t="shared" ref="M108" si="54">IF(L108&lt;&gt;0,+H108-L108,0)</f>
        <v>0</v>
      </c>
      <c r="N108" s="537">
        <f t="shared" ref="N108" si="55">I108</f>
        <v>387439.55828621471</v>
      </c>
      <c r="O108" s="475">
        <f t="shared" si="48"/>
        <v>0</v>
      </c>
      <c r="P108" s="475">
        <f t="shared" si="49"/>
        <v>0</v>
      </c>
    </row>
    <row r="109" spans="1:16" ht="12.5">
      <c r="B109" s="160" t="str">
        <f t="shared" si="39"/>
        <v/>
      </c>
      <c r="C109" s="469">
        <f>IF(D93="","-",+C108+1)</f>
        <v>2022</v>
      </c>
      <c r="D109" s="581">
        <v>2655916.14</v>
      </c>
      <c r="E109" s="582">
        <v>84763</v>
      </c>
      <c r="F109" s="583">
        <v>2571153.14</v>
      </c>
      <c r="G109" s="583">
        <v>2613534.64</v>
      </c>
      <c r="H109" s="582">
        <v>372729.18001760636</v>
      </c>
      <c r="I109" s="584">
        <v>372729.18001760636</v>
      </c>
      <c r="J109" s="475">
        <f t="shared" si="33"/>
        <v>0</v>
      </c>
      <c r="K109" s="475"/>
      <c r="L109" s="537">
        <f t="shared" ref="L109" si="56">H109</f>
        <v>372729.18001760636</v>
      </c>
      <c r="M109" s="572">
        <f t="shared" ref="M109" si="57">IF(L109&lt;&gt;0,+H109-L109,0)</f>
        <v>0</v>
      </c>
      <c r="N109" s="537">
        <f t="shared" ref="N109" si="58">I109</f>
        <v>372729.18001760636</v>
      </c>
      <c r="O109" s="475">
        <f t="shared" ref="O109" si="59">IF(N109&lt;&gt;0,+I109-N109,0)</f>
        <v>0</v>
      </c>
      <c r="P109" s="475">
        <f t="shared" ref="P109" si="60">+O109-M109</f>
        <v>0</v>
      </c>
    </row>
    <row r="110" spans="1:16" ht="12.5">
      <c r="B110" s="160" t="str">
        <f t="shared" si="39"/>
        <v>IU</v>
      </c>
      <c r="C110" s="469">
        <f>IF(D93="","-",+C109+1)</f>
        <v>2023</v>
      </c>
      <c r="D110" s="581">
        <v>2571153</v>
      </c>
      <c r="E110" s="582">
        <v>86994</v>
      </c>
      <c r="F110" s="583">
        <v>2484159</v>
      </c>
      <c r="G110" s="583">
        <v>2527656</v>
      </c>
      <c r="H110" s="582">
        <v>375720.69601794594</v>
      </c>
      <c r="I110" s="584">
        <v>375720.69601794594</v>
      </c>
      <c r="J110" s="475">
        <f t="shared" si="33"/>
        <v>0</v>
      </c>
      <c r="K110" s="475"/>
      <c r="L110" s="537">
        <f t="shared" ref="L110" si="61">H110</f>
        <v>375720.69601794594</v>
      </c>
      <c r="M110" s="572">
        <f t="shared" ref="M110" si="62">IF(L110&lt;&gt;0,+H110-L110,0)</f>
        <v>0</v>
      </c>
      <c r="N110" s="537">
        <f t="shared" ref="N110" si="63">I110</f>
        <v>375720.69601794594</v>
      </c>
      <c r="O110" s="475">
        <f t="shared" ref="O110" si="64">IF(N110&lt;&gt;0,+I110-N110,0)</f>
        <v>0</v>
      </c>
      <c r="P110" s="475">
        <f t="shared" ref="P110" si="65">+O110-M110</f>
        <v>0</v>
      </c>
    </row>
    <row r="111" spans="1:16" ht="12.5">
      <c r="B111" s="160" t="str">
        <f t="shared" si="39"/>
        <v/>
      </c>
      <c r="C111" s="469">
        <f>IF(D93="","-",+C110+1)</f>
        <v>2024</v>
      </c>
      <c r="D111" s="344">
        <f>IF(F110+SUM(E$99:E110)=D$92,F110,D$92-SUM(E$99:E110))</f>
        <v>2484159</v>
      </c>
      <c r="E111" s="483">
        <f t="shared" ref="E111:E154" si="66">IF(+J$96&lt;F110,J$96,D111)</f>
        <v>86994</v>
      </c>
      <c r="F111" s="482">
        <f t="shared" ref="F111:F154" si="67">+D111-E111</f>
        <v>2397165</v>
      </c>
      <c r="G111" s="482">
        <f t="shared" ref="G111:G154" si="68">+(F111+D111)/2</f>
        <v>2440662</v>
      </c>
      <c r="H111" s="483">
        <f t="shared" ref="H111:H153" si="69">(D111+F111)/2*J$94+E111</f>
        <v>414820.57079383935</v>
      </c>
      <c r="I111" s="539">
        <f t="shared" ref="I111:I153" si="70">+J$95*G111+E111</f>
        <v>414820.57079383935</v>
      </c>
      <c r="J111" s="475">
        <f t="shared" si="33"/>
        <v>0</v>
      </c>
      <c r="K111" s="475"/>
      <c r="L111" s="484"/>
      <c r="M111" s="475">
        <f t="shared" ref="M111:M130" si="71">IF(L111&lt;&gt;0,+H111-L111,0)</f>
        <v>0</v>
      </c>
      <c r="N111" s="484"/>
      <c r="O111" s="475">
        <f t="shared" si="48"/>
        <v>0</v>
      </c>
      <c r="P111" s="475">
        <f t="shared" si="49"/>
        <v>0</v>
      </c>
    </row>
    <row r="112" spans="1:16" ht="12.5">
      <c r="B112" s="160" t="str">
        <f t="shared" si="39"/>
        <v/>
      </c>
      <c r="C112" s="469">
        <f>IF(D93="","-",+C111+1)</f>
        <v>2025</v>
      </c>
      <c r="D112" s="344">
        <f>IF(F111+SUM(E$99:E111)=D$92,F111,D$92-SUM(E$99:E111))</f>
        <v>2397165</v>
      </c>
      <c r="E112" s="483">
        <f t="shared" si="66"/>
        <v>86994</v>
      </c>
      <c r="F112" s="482">
        <f t="shared" si="67"/>
        <v>2310171</v>
      </c>
      <c r="G112" s="482">
        <f t="shared" si="68"/>
        <v>2353668</v>
      </c>
      <c r="H112" s="483">
        <f t="shared" si="69"/>
        <v>403135.64895720681</v>
      </c>
      <c r="I112" s="539">
        <f t="shared" si="70"/>
        <v>403135.64895720681</v>
      </c>
      <c r="J112" s="475">
        <f t="shared" si="33"/>
        <v>0</v>
      </c>
      <c r="K112" s="475"/>
      <c r="L112" s="484"/>
      <c r="M112" s="475">
        <f t="shared" si="71"/>
        <v>0</v>
      </c>
      <c r="N112" s="484"/>
      <c r="O112" s="475">
        <f t="shared" si="48"/>
        <v>0</v>
      </c>
      <c r="P112" s="475">
        <f t="shared" si="49"/>
        <v>0</v>
      </c>
    </row>
    <row r="113" spans="2:16" ht="12.5">
      <c r="B113" s="160" t="str">
        <f t="shared" si="39"/>
        <v/>
      </c>
      <c r="C113" s="469">
        <f>IF(D93="","-",+C112+1)</f>
        <v>2026</v>
      </c>
      <c r="D113" s="344">
        <f>IF(F112+SUM(E$99:E112)=D$92,F112,D$92-SUM(E$99:E112))</f>
        <v>2310171</v>
      </c>
      <c r="E113" s="483">
        <f t="shared" si="66"/>
        <v>86994</v>
      </c>
      <c r="F113" s="482">
        <f t="shared" si="67"/>
        <v>2223177</v>
      </c>
      <c r="G113" s="482">
        <f t="shared" si="68"/>
        <v>2266674</v>
      </c>
      <c r="H113" s="483">
        <f t="shared" si="69"/>
        <v>391450.72712057427</v>
      </c>
      <c r="I113" s="539">
        <f t="shared" si="70"/>
        <v>391450.72712057427</v>
      </c>
      <c r="J113" s="475">
        <f t="shared" si="33"/>
        <v>0</v>
      </c>
      <c r="K113" s="475"/>
      <c r="L113" s="484"/>
      <c r="M113" s="475">
        <f t="shared" si="71"/>
        <v>0</v>
      </c>
      <c r="N113" s="484"/>
      <c r="O113" s="475">
        <f t="shared" si="48"/>
        <v>0</v>
      </c>
      <c r="P113" s="475">
        <f t="shared" si="49"/>
        <v>0</v>
      </c>
    </row>
    <row r="114" spans="2:16" ht="12.5">
      <c r="B114" s="160" t="str">
        <f t="shared" si="39"/>
        <v/>
      </c>
      <c r="C114" s="469">
        <f>IF(D93="","-",+C113+1)</f>
        <v>2027</v>
      </c>
      <c r="D114" s="344">
        <f>IF(F113+SUM(E$99:E113)=D$92,F113,D$92-SUM(E$99:E113))</f>
        <v>2223177</v>
      </c>
      <c r="E114" s="483">
        <f t="shared" si="66"/>
        <v>86994</v>
      </c>
      <c r="F114" s="482">
        <f t="shared" si="67"/>
        <v>2136183</v>
      </c>
      <c r="G114" s="482">
        <f t="shared" si="68"/>
        <v>2179680</v>
      </c>
      <c r="H114" s="483">
        <f t="shared" si="69"/>
        <v>379765.80528394174</v>
      </c>
      <c r="I114" s="539">
        <f t="shared" si="70"/>
        <v>379765.80528394174</v>
      </c>
      <c r="J114" s="475">
        <f t="shared" si="33"/>
        <v>0</v>
      </c>
      <c r="K114" s="475"/>
      <c r="L114" s="484"/>
      <c r="M114" s="475">
        <f t="shared" si="71"/>
        <v>0</v>
      </c>
      <c r="N114" s="484"/>
      <c r="O114" s="475">
        <f t="shared" si="48"/>
        <v>0</v>
      </c>
      <c r="P114" s="475">
        <f t="shared" si="49"/>
        <v>0</v>
      </c>
    </row>
    <row r="115" spans="2:16" ht="12.5">
      <c r="B115" s="160" t="str">
        <f t="shared" si="39"/>
        <v/>
      </c>
      <c r="C115" s="469">
        <f>IF(D93="","-",+C114+1)</f>
        <v>2028</v>
      </c>
      <c r="D115" s="344">
        <f>IF(F114+SUM(E$99:E114)=D$92,F114,D$92-SUM(E$99:E114))</f>
        <v>2136183</v>
      </c>
      <c r="E115" s="483">
        <f t="shared" si="66"/>
        <v>86994</v>
      </c>
      <c r="F115" s="482">
        <f t="shared" si="67"/>
        <v>2049189</v>
      </c>
      <c r="G115" s="482">
        <f t="shared" si="68"/>
        <v>2092686</v>
      </c>
      <c r="H115" s="483">
        <f t="shared" si="69"/>
        <v>368080.8834473092</v>
      </c>
      <c r="I115" s="539">
        <f t="shared" si="70"/>
        <v>368080.8834473092</v>
      </c>
      <c r="J115" s="475">
        <f t="shared" si="33"/>
        <v>0</v>
      </c>
      <c r="K115" s="475"/>
      <c r="L115" s="484"/>
      <c r="M115" s="475">
        <f t="shared" si="71"/>
        <v>0</v>
      </c>
      <c r="N115" s="484"/>
      <c r="O115" s="475">
        <f t="shared" si="48"/>
        <v>0</v>
      </c>
      <c r="P115" s="475">
        <f t="shared" si="49"/>
        <v>0</v>
      </c>
    </row>
    <row r="116" spans="2:16" ht="12.5">
      <c r="B116" s="160" t="str">
        <f t="shared" si="39"/>
        <v/>
      </c>
      <c r="C116" s="469">
        <f>IF(D93="","-",+C115+1)</f>
        <v>2029</v>
      </c>
      <c r="D116" s="344">
        <f>IF(F115+SUM(E$99:E115)=D$92,F115,D$92-SUM(E$99:E115))</f>
        <v>2049189</v>
      </c>
      <c r="E116" s="483">
        <f t="shared" si="66"/>
        <v>86994</v>
      </c>
      <c r="F116" s="482">
        <f t="shared" si="67"/>
        <v>1962195</v>
      </c>
      <c r="G116" s="482">
        <f t="shared" si="68"/>
        <v>2005692</v>
      </c>
      <c r="H116" s="483">
        <f t="shared" si="69"/>
        <v>356395.9616106766</v>
      </c>
      <c r="I116" s="539">
        <f t="shared" si="70"/>
        <v>356395.9616106766</v>
      </c>
      <c r="J116" s="475">
        <f t="shared" si="33"/>
        <v>0</v>
      </c>
      <c r="K116" s="475"/>
      <c r="L116" s="484"/>
      <c r="M116" s="475">
        <f t="shared" si="71"/>
        <v>0</v>
      </c>
      <c r="N116" s="484"/>
      <c r="O116" s="475">
        <f t="shared" si="48"/>
        <v>0</v>
      </c>
      <c r="P116" s="475">
        <f t="shared" si="49"/>
        <v>0</v>
      </c>
    </row>
    <row r="117" spans="2:16" ht="12.5">
      <c r="B117" s="160" t="str">
        <f t="shared" si="39"/>
        <v/>
      </c>
      <c r="C117" s="469">
        <f>IF(D93="","-",+C116+1)</f>
        <v>2030</v>
      </c>
      <c r="D117" s="344">
        <f>IF(F116+SUM(E$99:E116)=D$92,F116,D$92-SUM(E$99:E116))</f>
        <v>1962195</v>
      </c>
      <c r="E117" s="483">
        <f t="shared" si="66"/>
        <v>86994</v>
      </c>
      <c r="F117" s="482">
        <f t="shared" si="67"/>
        <v>1875201</v>
      </c>
      <c r="G117" s="482">
        <f t="shared" si="68"/>
        <v>1918698</v>
      </c>
      <c r="H117" s="483">
        <f t="shared" si="69"/>
        <v>344711.03977404407</v>
      </c>
      <c r="I117" s="539">
        <f t="shared" si="70"/>
        <v>344711.03977404407</v>
      </c>
      <c r="J117" s="475">
        <f t="shared" si="33"/>
        <v>0</v>
      </c>
      <c r="K117" s="475"/>
      <c r="L117" s="484"/>
      <c r="M117" s="475">
        <f t="shared" si="71"/>
        <v>0</v>
      </c>
      <c r="N117" s="484"/>
      <c r="O117" s="475">
        <f t="shared" si="48"/>
        <v>0</v>
      </c>
      <c r="P117" s="475">
        <f t="shared" si="49"/>
        <v>0</v>
      </c>
    </row>
    <row r="118" spans="2:16" ht="12.5">
      <c r="B118" s="160" t="str">
        <f t="shared" si="39"/>
        <v/>
      </c>
      <c r="C118" s="469">
        <f>IF(D93="","-",+C117+1)</f>
        <v>2031</v>
      </c>
      <c r="D118" s="344">
        <f>IF(F117+SUM(E$99:E117)=D$92,F117,D$92-SUM(E$99:E117))</f>
        <v>1875201</v>
      </c>
      <c r="E118" s="483">
        <f t="shared" si="66"/>
        <v>86994</v>
      </c>
      <c r="F118" s="482">
        <f t="shared" si="67"/>
        <v>1788207</v>
      </c>
      <c r="G118" s="482">
        <f t="shared" si="68"/>
        <v>1831704</v>
      </c>
      <c r="H118" s="483">
        <f t="shared" si="69"/>
        <v>333026.11793741153</v>
      </c>
      <c r="I118" s="539">
        <f t="shared" si="70"/>
        <v>333026.11793741153</v>
      </c>
      <c r="J118" s="475">
        <f t="shared" si="33"/>
        <v>0</v>
      </c>
      <c r="K118" s="475"/>
      <c r="L118" s="484"/>
      <c r="M118" s="475">
        <f t="shared" si="71"/>
        <v>0</v>
      </c>
      <c r="N118" s="484"/>
      <c r="O118" s="475">
        <f t="shared" si="48"/>
        <v>0</v>
      </c>
      <c r="P118" s="475">
        <f t="shared" si="49"/>
        <v>0</v>
      </c>
    </row>
    <row r="119" spans="2:16" ht="12.5">
      <c r="B119" s="160" t="str">
        <f t="shared" si="39"/>
        <v/>
      </c>
      <c r="C119" s="469">
        <f>IF(D93="","-",+C118+1)</f>
        <v>2032</v>
      </c>
      <c r="D119" s="344">
        <f>IF(F118+SUM(E$99:E118)=D$92,F118,D$92-SUM(E$99:E118))</f>
        <v>1788207</v>
      </c>
      <c r="E119" s="483">
        <f t="shared" si="66"/>
        <v>86994</v>
      </c>
      <c r="F119" s="482">
        <f t="shared" si="67"/>
        <v>1701213</v>
      </c>
      <c r="G119" s="482">
        <f t="shared" si="68"/>
        <v>1744710</v>
      </c>
      <c r="H119" s="483">
        <f t="shared" si="69"/>
        <v>321341.19610077899</v>
      </c>
      <c r="I119" s="539">
        <f t="shared" si="70"/>
        <v>321341.19610077899</v>
      </c>
      <c r="J119" s="475">
        <f t="shared" si="33"/>
        <v>0</v>
      </c>
      <c r="K119" s="475"/>
      <c r="L119" s="484"/>
      <c r="M119" s="475">
        <f t="shared" si="71"/>
        <v>0</v>
      </c>
      <c r="N119" s="484"/>
      <c r="O119" s="475">
        <f t="shared" si="48"/>
        <v>0</v>
      </c>
      <c r="P119" s="475">
        <f t="shared" si="49"/>
        <v>0</v>
      </c>
    </row>
    <row r="120" spans="2:16" ht="12.5">
      <c r="B120" s="160" t="str">
        <f t="shared" si="39"/>
        <v/>
      </c>
      <c r="C120" s="469">
        <f>IF(D93="","-",+C119+1)</f>
        <v>2033</v>
      </c>
      <c r="D120" s="344">
        <f>IF(F119+SUM(E$99:E119)=D$92,F119,D$92-SUM(E$99:E119))</f>
        <v>1701213</v>
      </c>
      <c r="E120" s="483">
        <f t="shared" si="66"/>
        <v>86994</v>
      </c>
      <c r="F120" s="482">
        <f t="shared" si="67"/>
        <v>1614219</v>
      </c>
      <c r="G120" s="482">
        <f t="shared" si="68"/>
        <v>1657716</v>
      </c>
      <c r="H120" s="483">
        <f t="shared" si="69"/>
        <v>309656.27426414646</v>
      </c>
      <c r="I120" s="539">
        <f t="shared" si="70"/>
        <v>309656.27426414646</v>
      </c>
      <c r="J120" s="475">
        <f t="shared" si="33"/>
        <v>0</v>
      </c>
      <c r="K120" s="475"/>
      <c r="L120" s="484"/>
      <c r="M120" s="475">
        <f t="shared" si="71"/>
        <v>0</v>
      </c>
      <c r="N120" s="484"/>
      <c r="O120" s="475">
        <f t="shared" si="48"/>
        <v>0</v>
      </c>
      <c r="P120" s="475">
        <f t="shared" si="49"/>
        <v>0</v>
      </c>
    </row>
    <row r="121" spans="2:16" ht="12.5">
      <c r="B121" s="160" t="str">
        <f t="shared" si="39"/>
        <v/>
      </c>
      <c r="C121" s="469">
        <f>IF(D93="","-",+C120+1)</f>
        <v>2034</v>
      </c>
      <c r="D121" s="344">
        <f>IF(F120+SUM(E$99:E120)=D$92,F120,D$92-SUM(E$99:E120))</f>
        <v>1614219</v>
      </c>
      <c r="E121" s="483">
        <f t="shared" si="66"/>
        <v>86994</v>
      </c>
      <c r="F121" s="482">
        <f t="shared" si="67"/>
        <v>1527225</v>
      </c>
      <c r="G121" s="482">
        <f t="shared" si="68"/>
        <v>1570722</v>
      </c>
      <c r="H121" s="483">
        <f t="shared" si="69"/>
        <v>297971.35242751392</v>
      </c>
      <c r="I121" s="539">
        <f t="shared" si="70"/>
        <v>297971.35242751392</v>
      </c>
      <c r="J121" s="475">
        <f t="shared" si="33"/>
        <v>0</v>
      </c>
      <c r="K121" s="475"/>
      <c r="L121" s="484"/>
      <c r="M121" s="475">
        <f t="shared" si="71"/>
        <v>0</v>
      </c>
      <c r="N121" s="484"/>
      <c r="O121" s="475">
        <f t="shared" si="48"/>
        <v>0</v>
      </c>
      <c r="P121" s="475">
        <f t="shared" si="49"/>
        <v>0</v>
      </c>
    </row>
    <row r="122" spans="2:16" ht="12.5">
      <c r="B122" s="160" t="str">
        <f t="shared" si="39"/>
        <v/>
      </c>
      <c r="C122" s="469">
        <f>IF(D93="","-",+C121+1)</f>
        <v>2035</v>
      </c>
      <c r="D122" s="344">
        <f>IF(F121+SUM(E$99:E121)=D$92,F121,D$92-SUM(E$99:E121))</f>
        <v>1527225</v>
      </c>
      <c r="E122" s="483">
        <f t="shared" si="66"/>
        <v>86994</v>
      </c>
      <c r="F122" s="482">
        <f t="shared" si="67"/>
        <v>1440231</v>
      </c>
      <c r="G122" s="482">
        <f t="shared" si="68"/>
        <v>1483728</v>
      </c>
      <c r="H122" s="483">
        <f t="shared" si="69"/>
        <v>286286.43059088138</v>
      </c>
      <c r="I122" s="539">
        <f t="shared" si="70"/>
        <v>286286.43059088138</v>
      </c>
      <c r="J122" s="475">
        <f t="shared" si="33"/>
        <v>0</v>
      </c>
      <c r="K122" s="475"/>
      <c r="L122" s="484"/>
      <c r="M122" s="475">
        <f t="shared" si="71"/>
        <v>0</v>
      </c>
      <c r="N122" s="484"/>
      <c r="O122" s="475">
        <f t="shared" si="48"/>
        <v>0</v>
      </c>
      <c r="P122" s="475">
        <f t="shared" si="49"/>
        <v>0</v>
      </c>
    </row>
    <row r="123" spans="2:16" ht="12.5">
      <c r="B123" s="160" t="str">
        <f t="shared" si="39"/>
        <v/>
      </c>
      <c r="C123" s="469">
        <f>IF(D93="","-",+C122+1)</f>
        <v>2036</v>
      </c>
      <c r="D123" s="344">
        <f>IF(F122+SUM(E$99:E122)=D$92,F122,D$92-SUM(E$99:E122))</f>
        <v>1440231</v>
      </c>
      <c r="E123" s="483">
        <f t="shared" si="66"/>
        <v>86994</v>
      </c>
      <c r="F123" s="482">
        <f t="shared" si="67"/>
        <v>1353237</v>
      </c>
      <c r="G123" s="482">
        <f t="shared" si="68"/>
        <v>1396734</v>
      </c>
      <c r="H123" s="483">
        <f t="shared" si="69"/>
        <v>274601.50875424885</v>
      </c>
      <c r="I123" s="539">
        <f t="shared" si="70"/>
        <v>274601.50875424885</v>
      </c>
      <c r="J123" s="475">
        <f t="shared" si="33"/>
        <v>0</v>
      </c>
      <c r="K123" s="475"/>
      <c r="L123" s="484"/>
      <c r="M123" s="475">
        <f t="shared" si="71"/>
        <v>0</v>
      </c>
      <c r="N123" s="484"/>
      <c r="O123" s="475">
        <f t="shared" si="48"/>
        <v>0</v>
      </c>
      <c r="P123" s="475">
        <f t="shared" si="49"/>
        <v>0</v>
      </c>
    </row>
    <row r="124" spans="2:16" ht="12.5">
      <c r="B124" s="160" t="str">
        <f t="shared" si="39"/>
        <v/>
      </c>
      <c r="C124" s="469">
        <f>IF(D93="","-",+C123+1)</f>
        <v>2037</v>
      </c>
      <c r="D124" s="344">
        <f>IF(F123+SUM(E$99:E123)=D$92,F123,D$92-SUM(E$99:E123))</f>
        <v>1353237</v>
      </c>
      <c r="E124" s="483">
        <f t="shared" si="66"/>
        <v>86994</v>
      </c>
      <c r="F124" s="482">
        <f t="shared" si="67"/>
        <v>1266243</v>
      </c>
      <c r="G124" s="482">
        <f t="shared" si="68"/>
        <v>1309740</v>
      </c>
      <c r="H124" s="483">
        <f t="shared" si="69"/>
        <v>262916.58691761631</v>
      </c>
      <c r="I124" s="539">
        <f t="shared" si="70"/>
        <v>262916.58691761631</v>
      </c>
      <c r="J124" s="475">
        <f t="shared" si="33"/>
        <v>0</v>
      </c>
      <c r="K124" s="475"/>
      <c r="L124" s="484"/>
      <c r="M124" s="475">
        <f t="shared" si="71"/>
        <v>0</v>
      </c>
      <c r="N124" s="484"/>
      <c r="O124" s="475">
        <f t="shared" si="48"/>
        <v>0</v>
      </c>
      <c r="P124" s="475">
        <f t="shared" si="49"/>
        <v>0</v>
      </c>
    </row>
    <row r="125" spans="2:16" ht="12.5">
      <c r="B125" s="160" t="str">
        <f t="shared" si="39"/>
        <v/>
      </c>
      <c r="C125" s="469">
        <f>IF(D93="","-",+C124+1)</f>
        <v>2038</v>
      </c>
      <c r="D125" s="344">
        <f>IF(F124+SUM(E$99:E124)=D$92,F124,D$92-SUM(E$99:E124))</f>
        <v>1266243</v>
      </c>
      <c r="E125" s="483">
        <f t="shared" si="66"/>
        <v>86994</v>
      </c>
      <c r="F125" s="482">
        <f t="shared" si="67"/>
        <v>1179249</v>
      </c>
      <c r="G125" s="482">
        <f t="shared" si="68"/>
        <v>1222746</v>
      </c>
      <c r="H125" s="483">
        <f t="shared" si="69"/>
        <v>251231.66508098372</v>
      </c>
      <c r="I125" s="539">
        <f t="shared" si="70"/>
        <v>251231.66508098372</v>
      </c>
      <c r="J125" s="475">
        <f t="shared" si="33"/>
        <v>0</v>
      </c>
      <c r="K125" s="475"/>
      <c r="L125" s="484"/>
      <c r="M125" s="475">
        <f t="shared" si="71"/>
        <v>0</v>
      </c>
      <c r="N125" s="484"/>
      <c r="O125" s="475">
        <f t="shared" si="48"/>
        <v>0</v>
      </c>
      <c r="P125" s="475">
        <f t="shared" si="49"/>
        <v>0</v>
      </c>
    </row>
    <row r="126" spans="2:16" ht="12.5">
      <c r="B126" s="160" t="str">
        <f t="shared" si="39"/>
        <v/>
      </c>
      <c r="C126" s="469">
        <f>IF(D93="","-",+C125+1)</f>
        <v>2039</v>
      </c>
      <c r="D126" s="344">
        <f>IF(F125+SUM(E$99:E125)=D$92,F125,D$92-SUM(E$99:E125))</f>
        <v>1179249</v>
      </c>
      <c r="E126" s="483">
        <f t="shared" si="66"/>
        <v>86994</v>
      </c>
      <c r="F126" s="482">
        <f t="shared" si="67"/>
        <v>1092255</v>
      </c>
      <c r="G126" s="482">
        <f t="shared" si="68"/>
        <v>1135752</v>
      </c>
      <c r="H126" s="483">
        <f t="shared" si="69"/>
        <v>239546.74324435118</v>
      </c>
      <c r="I126" s="539">
        <f t="shared" si="70"/>
        <v>239546.74324435118</v>
      </c>
      <c r="J126" s="475">
        <f t="shared" si="33"/>
        <v>0</v>
      </c>
      <c r="K126" s="475"/>
      <c r="L126" s="484"/>
      <c r="M126" s="475">
        <f t="shared" si="71"/>
        <v>0</v>
      </c>
      <c r="N126" s="484"/>
      <c r="O126" s="475">
        <f t="shared" si="48"/>
        <v>0</v>
      </c>
      <c r="P126" s="475">
        <f t="shared" si="49"/>
        <v>0</v>
      </c>
    </row>
    <row r="127" spans="2:16" ht="12.5">
      <c r="B127" s="160" t="str">
        <f t="shared" si="39"/>
        <v/>
      </c>
      <c r="C127" s="469">
        <f>IF(D93="","-",+C126+1)</f>
        <v>2040</v>
      </c>
      <c r="D127" s="344">
        <f>IF(F126+SUM(E$99:E126)=D$92,F126,D$92-SUM(E$99:E126))</f>
        <v>1092255</v>
      </c>
      <c r="E127" s="483">
        <f t="shared" si="66"/>
        <v>86994</v>
      </c>
      <c r="F127" s="482">
        <f t="shared" si="67"/>
        <v>1005261</v>
      </c>
      <c r="G127" s="482">
        <f t="shared" si="68"/>
        <v>1048758</v>
      </c>
      <c r="H127" s="483">
        <f t="shared" si="69"/>
        <v>227861.82140771864</v>
      </c>
      <c r="I127" s="539">
        <f t="shared" si="70"/>
        <v>227861.82140771864</v>
      </c>
      <c r="J127" s="475">
        <f t="shared" si="33"/>
        <v>0</v>
      </c>
      <c r="K127" s="475"/>
      <c r="L127" s="484"/>
      <c r="M127" s="475">
        <f t="shared" si="71"/>
        <v>0</v>
      </c>
      <c r="N127" s="484"/>
      <c r="O127" s="475">
        <f t="shared" si="48"/>
        <v>0</v>
      </c>
      <c r="P127" s="475">
        <f t="shared" si="49"/>
        <v>0</v>
      </c>
    </row>
    <row r="128" spans="2:16" ht="12.5">
      <c r="B128" s="160" t="str">
        <f t="shared" si="39"/>
        <v/>
      </c>
      <c r="C128" s="469">
        <f>IF(D93="","-",+C127+1)</f>
        <v>2041</v>
      </c>
      <c r="D128" s="344">
        <f>IF(F127+SUM(E$99:E127)=D$92,F127,D$92-SUM(E$99:E127))</f>
        <v>1005261</v>
      </c>
      <c r="E128" s="483">
        <f t="shared" si="66"/>
        <v>86994</v>
      </c>
      <c r="F128" s="482">
        <f t="shared" si="67"/>
        <v>918267</v>
      </c>
      <c r="G128" s="482">
        <f t="shared" si="68"/>
        <v>961764</v>
      </c>
      <c r="H128" s="483">
        <f t="shared" si="69"/>
        <v>216176.89957108611</v>
      </c>
      <c r="I128" s="539">
        <f t="shared" si="70"/>
        <v>216176.89957108611</v>
      </c>
      <c r="J128" s="475">
        <f t="shared" si="33"/>
        <v>0</v>
      </c>
      <c r="K128" s="475"/>
      <c r="L128" s="484"/>
      <c r="M128" s="475">
        <f t="shared" si="71"/>
        <v>0</v>
      </c>
      <c r="N128" s="484"/>
      <c r="O128" s="475">
        <f t="shared" si="48"/>
        <v>0</v>
      </c>
      <c r="P128" s="475">
        <f t="shared" si="49"/>
        <v>0</v>
      </c>
    </row>
    <row r="129" spans="2:16" ht="12.5">
      <c r="B129" s="160" t="str">
        <f t="shared" si="39"/>
        <v/>
      </c>
      <c r="C129" s="469">
        <f>IF(D93="","-",+C128+1)</f>
        <v>2042</v>
      </c>
      <c r="D129" s="344">
        <f>IF(F128+SUM(E$99:E128)=D$92,F128,D$92-SUM(E$99:E128))</f>
        <v>918267</v>
      </c>
      <c r="E129" s="483">
        <f t="shared" si="66"/>
        <v>86994</v>
      </c>
      <c r="F129" s="482">
        <f t="shared" si="67"/>
        <v>831273</v>
      </c>
      <c r="G129" s="482">
        <f t="shared" si="68"/>
        <v>874770</v>
      </c>
      <c r="H129" s="483">
        <f t="shared" si="69"/>
        <v>204491.97773445354</v>
      </c>
      <c r="I129" s="539">
        <f t="shared" si="70"/>
        <v>204491.97773445354</v>
      </c>
      <c r="J129" s="475">
        <f t="shared" si="33"/>
        <v>0</v>
      </c>
      <c r="K129" s="475"/>
      <c r="L129" s="484"/>
      <c r="M129" s="475">
        <f t="shared" si="71"/>
        <v>0</v>
      </c>
      <c r="N129" s="484"/>
      <c r="O129" s="475">
        <f t="shared" si="48"/>
        <v>0</v>
      </c>
      <c r="P129" s="475">
        <f t="shared" si="49"/>
        <v>0</v>
      </c>
    </row>
    <row r="130" spans="2:16" ht="12.5">
      <c r="B130" s="160" t="str">
        <f t="shared" si="39"/>
        <v/>
      </c>
      <c r="C130" s="469">
        <f>IF(D93="","-",+C129+1)</f>
        <v>2043</v>
      </c>
      <c r="D130" s="344">
        <f>IF(F129+SUM(E$99:E129)=D$92,F129,D$92-SUM(E$99:E129))</f>
        <v>831273</v>
      </c>
      <c r="E130" s="483">
        <f t="shared" si="66"/>
        <v>86994</v>
      </c>
      <c r="F130" s="482">
        <f t="shared" si="67"/>
        <v>744279</v>
      </c>
      <c r="G130" s="482">
        <f t="shared" si="68"/>
        <v>787776</v>
      </c>
      <c r="H130" s="483">
        <f t="shared" si="69"/>
        <v>192807.055897821</v>
      </c>
      <c r="I130" s="539">
        <f t="shared" si="70"/>
        <v>192807.055897821</v>
      </c>
      <c r="J130" s="475">
        <f t="shared" si="33"/>
        <v>0</v>
      </c>
      <c r="K130" s="475"/>
      <c r="L130" s="484"/>
      <c r="M130" s="475">
        <f t="shared" si="71"/>
        <v>0</v>
      </c>
      <c r="N130" s="484"/>
      <c r="O130" s="475">
        <f t="shared" si="48"/>
        <v>0</v>
      </c>
      <c r="P130" s="475">
        <f t="shared" si="49"/>
        <v>0</v>
      </c>
    </row>
    <row r="131" spans="2:16" ht="12.5">
      <c r="B131" s="160" t="str">
        <f t="shared" si="39"/>
        <v/>
      </c>
      <c r="C131" s="469">
        <f>IF(D93="","-",+C130+1)</f>
        <v>2044</v>
      </c>
      <c r="D131" s="344">
        <f>IF(F130+SUM(E$99:E130)=D$92,F130,D$92-SUM(E$99:E130))</f>
        <v>744279</v>
      </c>
      <c r="E131" s="483">
        <f t="shared" si="66"/>
        <v>86994</v>
      </c>
      <c r="F131" s="482">
        <f t="shared" si="67"/>
        <v>657285</v>
      </c>
      <c r="G131" s="482">
        <f t="shared" si="68"/>
        <v>700782</v>
      </c>
      <c r="H131" s="483">
        <f t="shared" si="69"/>
        <v>181122.13406118844</v>
      </c>
      <c r="I131" s="539">
        <f t="shared" si="70"/>
        <v>181122.13406118844</v>
      </c>
      <c r="J131" s="475">
        <f t="shared" ref="J131:J154" si="72">+I541-H541</f>
        <v>0</v>
      </c>
      <c r="K131" s="475"/>
      <c r="L131" s="484"/>
      <c r="M131" s="475">
        <f t="shared" ref="M131:M154" si="73">IF(L541&lt;&gt;0,+H541-L541,0)</f>
        <v>0</v>
      </c>
      <c r="N131" s="484"/>
      <c r="O131" s="475">
        <f t="shared" ref="O131:O154" si="74">IF(N541&lt;&gt;0,+I541-N541,0)</f>
        <v>0</v>
      </c>
      <c r="P131" s="475">
        <f t="shared" ref="P131:P154" si="75">+O541-M541</f>
        <v>0</v>
      </c>
    </row>
    <row r="132" spans="2:16" ht="12.5">
      <c r="B132" s="160" t="str">
        <f t="shared" ref="B132:B154" si="76">IF(D132=F131,"","IU")</f>
        <v/>
      </c>
      <c r="C132" s="469">
        <f>IF(D93="","-",+C131+1)</f>
        <v>2045</v>
      </c>
      <c r="D132" s="344">
        <f>IF(F131+SUM(E$99:E131)=D$92,F131,D$92-SUM(E$99:E131))</f>
        <v>657285</v>
      </c>
      <c r="E132" s="483">
        <f t="shared" si="66"/>
        <v>86994</v>
      </c>
      <c r="F132" s="482">
        <f t="shared" si="67"/>
        <v>570291</v>
      </c>
      <c r="G132" s="482">
        <f t="shared" si="68"/>
        <v>613788</v>
      </c>
      <c r="H132" s="483">
        <f t="shared" si="69"/>
        <v>169437.2122245559</v>
      </c>
      <c r="I132" s="539">
        <f t="shared" si="70"/>
        <v>169437.2122245559</v>
      </c>
      <c r="J132" s="475">
        <f t="shared" si="72"/>
        <v>0</v>
      </c>
      <c r="K132" s="475"/>
      <c r="L132" s="484"/>
      <c r="M132" s="475">
        <f t="shared" si="73"/>
        <v>0</v>
      </c>
      <c r="N132" s="484"/>
      <c r="O132" s="475">
        <f t="shared" si="74"/>
        <v>0</v>
      </c>
      <c r="P132" s="475">
        <f t="shared" si="75"/>
        <v>0</v>
      </c>
    </row>
    <row r="133" spans="2:16" ht="12.5">
      <c r="B133" s="160" t="str">
        <f t="shared" si="76"/>
        <v/>
      </c>
      <c r="C133" s="469">
        <f>IF(D93="","-",+C132+1)</f>
        <v>2046</v>
      </c>
      <c r="D133" s="344">
        <f>IF(F132+SUM(E$99:E132)=D$92,F132,D$92-SUM(E$99:E132))</f>
        <v>570291</v>
      </c>
      <c r="E133" s="483">
        <f t="shared" si="66"/>
        <v>86994</v>
      </c>
      <c r="F133" s="482">
        <f t="shared" si="67"/>
        <v>483297</v>
      </c>
      <c r="G133" s="482">
        <f t="shared" si="68"/>
        <v>526794</v>
      </c>
      <c r="H133" s="483">
        <f t="shared" si="69"/>
        <v>157752.29038792336</v>
      </c>
      <c r="I133" s="539">
        <f t="shared" si="70"/>
        <v>157752.29038792336</v>
      </c>
      <c r="J133" s="475">
        <f t="shared" si="72"/>
        <v>0</v>
      </c>
      <c r="K133" s="475"/>
      <c r="L133" s="484"/>
      <c r="M133" s="475">
        <f t="shared" si="73"/>
        <v>0</v>
      </c>
      <c r="N133" s="484"/>
      <c r="O133" s="475">
        <f t="shared" si="74"/>
        <v>0</v>
      </c>
      <c r="P133" s="475">
        <f t="shared" si="75"/>
        <v>0</v>
      </c>
    </row>
    <row r="134" spans="2:16" ht="12.5">
      <c r="B134" s="160" t="str">
        <f t="shared" si="76"/>
        <v/>
      </c>
      <c r="C134" s="469">
        <f>IF(D93="","-",+C133+1)</f>
        <v>2047</v>
      </c>
      <c r="D134" s="344">
        <f>IF(F133+SUM(E$99:E133)=D$92,F133,D$92-SUM(E$99:E133))</f>
        <v>483297</v>
      </c>
      <c r="E134" s="483">
        <f t="shared" si="66"/>
        <v>86994</v>
      </c>
      <c r="F134" s="482">
        <f t="shared" si="67"/>
        <v>396303</v>
      </c>
      <c r="G134" s="482">
        <f t="shared" si="68"/>
        <v>439800</v>
      </c>
      <c r="H134" s="483">
        <f t="shared" si="69"/>
        <v>146067.36855129083</v>
      </c>
      <c r="I134" s="539">
        <f t="shared" si="70"/>
        <v>146067.36855129083</v>
      </c>
      <c r="J134" s="475">
        <f t="shared" si="72"/>
        <v>0</v>
      </c>
      <c r="K134" s="475"/>
      <c r="L134" s="484"/>
      <c r="M134" s="475">
        <f t="shared" si="73"/>
        <v>0</v>
      </c>
      <c r="N134" s="484"/>
      <c r="O134" s="475">
        <f t="shared" si="74"/>
        <v>0</v>
      </c>
      <c r="P134" s="475">
        <f t="shared" si="75"/>
        <v>0</v>
      </c>
    </row>
    <row r="135" spans="2:16" ht="12.5">
      <c r="B135" s="160" t="str">
        <f t="shared" si="76"/>
        <v/>
      </c>
      <c r="C135" s="469">
        <f>IF(D93="","-",+C134+1)</f>
        <v>2048</v>
      </c>
      <c r="D135" s="344">
        <f>IF(F134+SUM(E$99:E134)=D$92,F134,D$92-SUM(E$99:E134))</f>
        <v>396303</v>
      </c>
      <c r="E135" s="483">
        <f t="shared" si="66"/>
        <v>86994</v>
      </c>
      <c r="F135" s="482">
        <f t="shared" si="67"/>
        <v>309309</v>
      </c>
      <c r="G135" s="482">
        <f t="shared" si="68"/>
        <v>352806</v>
      </c>
      <c r="H135" s="483">
        <f t="shared" si="69"/>
        <v>134382.44671465826</v>
      </c>
      <c r="I135" s="539">
        <f t="shared" si="70"/>
        <v>134382.44671465826</v>
      </c>
      <c r="J135" s="475">
        <f t="shared" si="72"/>
        <v>0</v>
      </c>
      <c r="K135" s="475"/>
      <c r="L135" s="484"/>
      <c r="M135" s="475">
        <f t="shared" si="73"/>
        <v>0</v>
      </c>
      <c r="N135" s="484"/>
      <c r="O135" s="475">
        <f t="shared" si="74"/>
        <v>0</v>
      </c>
      <c r="P135" s="475">
        <f t="shared" si="75"/>
        <v>0</v>
      </c>
    </row>
    <row r="136" spans="2:16" ht="12.5">
      <c r="B136" s="160" t="str">
        <f t="shared" si="76"/>
        <v/>
      </c>
      <c r="C136" s="469">
        <f>IF(D93="","-",+C135+1)</f>
        <v>2049</v>
      </c>
      <c r="D136" s="344">
        <f>IF(F135+SUM(E$99:E135)=D$92,F135,D$92-SUM(E$99:E135))</f>
        <v>309309</v>
      </c>
      <c r="E136" s="483">
        <f t="shared" si="66"/>
        <v>86994</v>
      </c>
      <c r="F136" s="482">
        <f t="shared" si="67"/>
        <v>222315</v>
      </c>
      <c r="G136" s="482">
        <f t="shared" si="68"/>
        <v>265812</v>
      </c>
      <c r="H136" s="483">
        <f t="shared" si="69"/>
        <v>122697.52487802572</v>
      </c>
      <c r="I136" s="539">
        <f t="shared" si="70"/>
        <v>122697.52487802572</v>
      </c>
      <c r="J136" s="475">
        <f t="shared" si="72"/>
        <v>0</v>
      </c>
      <c r="K136" s="475"/>
      <c r="L136" s="484"/>
      <c r="M136" s="475">
        <f t="shared" si="73"/>
        <v>0</v>
      </c>
      <c r="N136" s="484"/>
      <c r="O136" s="475">
        <f t="shared" si="74"/>
        <v>0</v>
      </c>
      <c r="P136" s="475">
        <f t="shared" si="75"/>
        <v>0</v>
      </c>
    </row>
    <row r="137" spans="2:16" ht="12.5">
      <c r="B137" s="160" t="str">
        <f t="shared" si="76"/>
        <v/>
      </c>
      <c r="C137" s="469">
        <f>IF(D93="","-",+C136+1)</f>
        <v>2050</v>
      </c>
      <c r="D137" s="344">
        <f>IF(F136+SUM(E$99:E136)=D$92,F136,D$92-SUM(E$99:E136))</f>
        <v>222315</v>
      </c>
      <c r="E137" s="483">
        <f t="shared" si="66"/>
        <v>86994</v>
      </c>
      <c r="F137" s="482">
        <f t="shared" si="67"/>
        <v>135321</v>
      </c>
      <c r="G137" s="482">
        <f t="shared" si="68"/>
        <v>178818</v>
      </c>
      <c r="H137" s="483">
        <f t="shared" si="69"/>
        <v>111012.60304139319</v>
      </c>
      <c r="I137" s="539">
        <f t="shared" si="70"/>
        <v>111012.60304139319</v>
      </c>
      <c r="J137" s="475">
        <f t="shared" si="72"/>
        <v>0</v>
      </c>
      <c r="K137" s="475"/>
      <c r="L137" s="484"/>
      <c r="M137" s="475">
        <f t="shared" si="73"/>
        <v>0</v>
      </c>
      <c r="N137" s="484"/>
      <c r="O137" s="475">
        <f t="shared" si="74"/>
        <v>0</v>
      </c>
      <c r="P137" s="475">
        <f t="shared" si="75"/>
        <v>0</v>
      </c>
    </row>
    <row r="138" spans="2:16" ht="12.5">
      <c r="B138" s="160" t="str">
        <f t="shared" si="76"/>
        <v/>
      </c>
      <c r="C138" s="469">
        <f>IF(D93="","-",+C137+1)</f>
        <v>2051</v>
      </c>
      <c r="D138" s="344">
        <f>IF(F137+SUM(E$99:E137)=D$92,F137,D$92-SUM(E$99:E137))</f>
        <v>135321</v>
      </c>
      <c r="E138" s="483">
        <f t="shared" si="66"/>
        <v>86994</v>
      </c>
      <c r="F138" s="482">
        <f t="shared" si="67"/>
        <v>48327</v>
      </c>
      <c r="G138" s="482">
        <f t="shared" si="68"/>
        <v>91824</v>
      </c>
      <c r="H138" s="483">
        <f t="shared" si="69"/>
        <v>99327.681204760636</v>
      </c>
      <c r="I138" s="539">
        <f t="shared" si="70"/>
        <v>99327.681204760636</v>
      </c>
      <c r="J138" s="475">
        <f t="shared" si="72"/>
        <v>0</v>
      </c>
      <c r="K138" s="475"/>
      <c r="L138" s="484"/>
      <c r="M138" s="475">
        <f t="shared" si="73"/>
        <v>0</v>
      </c>
      <c r="N138" s="484"/>
      <c r="O138" s="475">
        <f t="shared" si="74"/>
        <v>0</v>
      </c>
      <c r="P138" s="475">
        <f t="shared" si="75"/>
        <v>0</v>
      </c>
    </row>
    <row r="139" spans="2:16" ht="12.5">
      <c r="B139" s="160" t="str">
        <f t="shared" si="76"/>
        <v/>
      </c>
      <c r="C139" s="469">
        <f>IF(D93="","-",+C138+1)</f>
        <v>2052</v>
      </c>
      <c r="D139" s="344">
        <f>IF(F138+SUM(E$99:E138)=D$92,F138,D$92-SUM(E$99:E138))</f>
        <v>48327</v>
      </c>
      <c r="E139" s="483">
        <f t="shared" si="66"/>
        <v>48327</v>
      </c>
      <c r="F139" s="482">
        <f t="shared" si="67"/>
        <v>0</v>
      </c>
      <c r="G139" s="482">
        <f t="shared" si="68"/>
        <v>24163.5</v>
      </c>
      <c r="H139" s="483">
        <f t="shared" si="69"/>
        <v>51572.610143222184</v>
      </c>
      <c r="I139" s="539">
        <f t="shared" si="70"/>
        <v>51572.610143222184</v>
      </c>
      <c r="J139" s="475">
        <f t="shared" si="72"/>
        <v>0</v>
      </c>
      <c r="K139" s="475"/>
      <c r="L139" s="484"/>
      <c r="M139" s="475">
        <f t="shared" si="73"/>
        <v>0</v>
      </c>
      <c r="N139" s="484"/>
      <c r="O139" s="475">
        <f t="shared" si="74"/>
        <v>0</v>
      </c>
      <c r="P139" s="475">
        <f t="shared" si="75"/>
        <v>0</v>
      </c>
    </row>
    <row r="140" spans="2:16" ht="12.5">
      <c r="B140" s="160" t="str">
        <f t="shared" si="76"/>
        <v/>
      </c>
      <c r="C140" s="469">
        <f>IF(D93="","-",+C139+1)</f>
        <v>2053</v>
      </c>
      <c r="D140" s="344">
        <f>IF(F139+SUM(E$99:E139)=D$92,F139,D$92-SUM(E$99:E139))</f>
        <v>0</v>
      </c>
      <c r="E140" s="483">
        <f t="shared" si="66"/>
        <v>0</v>
      </c>
      <c r="F140" s="482">
        <f t="shared" si="67"/>
        <v>0</v>
      </c>
      <c r="G140" s="482">
        <f t="shared" si="68"/>
        <v>0</v>
      </c>
      <c r="H140" s="483">
        <f t="shared" si="69"/>
        <v>0</v>
      </c>
      <c r="I140" s="539">
        <f t="shared" si="70"/>
        <v>0</v>
      </c>
      <c r="J140" s="475">
        <f t="shared" si="72"/>
        <v>0</v>
      </c>
      <c r="K140" s="475"/>
      <c r="L140" s="484"/>
      <c r="M140" s="475">
        <f t="shared" si="73"/>
        <v>0</v>
      </c>
      <c r="N140" s="484"/>
      <c r="O140" s="475">
        <f t="shared" si="74"/>
        <v>0</v>
      </c>
      <c r="P140" s="475">
        <f t="shared" si="75"/>
        <v>0</v>
      </c>
    </row>
    <row r="141" spans="2:16" ht="12.5">
      <c r="B141" s="160" t="str">
        <f t="shared" si="76"/>
        <v/>
      </c>
      <c r="C141" s="469">
        <f>IF(D93="","-",+C140+1)</f>
        <v>2054</v>
      </c>
      <c r="D141" s="344">
        <f>IF(F140+SUM(E$99:E140)=D$92,F140,D$92-SUM(E$99:E140))</f>
        <v>0</v>
      </c>
      <c r="E141" s="483">
        <f t="shared" si="66"/>
        <v>0</v>
      </c>
      <c r="F141" s="482">
        <f t="shared" si="67"/>
        <v>0</v>
      </c>
      <c r="G141" s="482">
        <f t="shared" si="68"/>
        <v>0</v>
      </c>
      <c r="H141" s="483">
        <f t="shared" si="69"/>
        <v>0</v>
      </c>
      <c r="I141" s="539">
        <f t="shared" si="70"/>
        <v>0</v>
      </c>
      <c r="J141" s="475">
        <f t="shared" si="72"/>
        <v>0</v>
      </c>
      <c r="K141" s="475"/>
      <c r="L141" s="484"/>
      <c r="M141" s="475">
        <f t="shared" si="73"/>
        <v>0</v>
      </c>
      <c r="N141" s="484"/>
      <c r="O141" s="475">
        <f t="shared" si="74"/>
        <v>0</v>
      </c>
      <c r="P141" s="475">
        <f t="shared" si="75"/>
        <v>0</v>
      </c>
    </row>
    <row r="142" spans="2:16" ht="12.5">
      <c r="B142" s="160" t="str">
        <f t="shared" si="76"/>
        <v/>
      </c>
      <c r="C142" s="469">
        <f>IF(D93="","-",+C141+1)</f>
        <v>2055</v>
      </c>
      <c r="D142" s="344">
        <f>IF(F141+SUM(E$99:E141)=D$92,F141,D$92-SUM(E$99:E141))</f>
        <v>0</v>
      </c>
      <c r="E142" s="483">
        <f t="shared" si="66"/>
        <v>0</v>
      </c>
      <c r="F142" s="482">
        <f t="shared" si="67"/>
        <v>0</v>
      </c>
      <c r="G142" s="482">
        <f t="shared" si="68"/>
        <v>0</v>
      </c>
      <c r="H142" s="483">
        <f t="shared" si="69"/>
        <v>0</v>
      </c>
      <c r="I142" s="539">
        <f t="shared" si="70"/>
        <v>0</v>
      </c>
      <c r="J142" s="475">
        <f t="shared" si="72"/>
        <v>0</v>
      </c>
      <c r="K142" s="475"/>
      <c r="L142" s="484"/>
      <c r="M142" s="475">
        <f t="shared" si="73"/>
        <v>0</v>
      </c>
      <c r="N142" s="484"/>
      <c r="O142" s="475">
        <f t="shared" si="74"/>
        <v>0</v>
      </c>
      <c r="P142" s="475">
        <f t="shared" si="75"/>
        <v>0</v>
      </c>
    </row>
    <row r="143" spans="2:16" ht="12.5">
      <c r="B143" s="160" t="str">
        <f t="shared" si="76"/>
        <v/>
      </c>
      <c r="C143" s="469">
        <f>IF(D93="","-",+C142+1)</f>
        <v>2056</v>
      </c>
      <c r="D143" s="344">
        <f>IF(F142+SUM(E$99:E142)=D$92,F142,D$92-SUM(E$99:E142))</f>
        <v>0</v>
      </c>
      <c r="E143" s="483">
        <f t="shared" si="66"/>
        <v>0</v>
      </c>
      <c r="F143" s="482">
        <f t="shared" si="67"/>
        <v>0</v>
      </c>
      <c r="G143" s="482">
        <f t="shared" si="68"/>
        <v>0</v>
      </c>
      <c r="H143" s="483">
        <f t="shared" si="69"/>
        <v>0</v>
      </c>
      <c r="I143" s="539">
        <f t="shared" si="70"/>
        <v>0</v>
      </c>
      <c r="J143" s="475">
        <f t="shared" si="72"/>
        <v>0</v>
      </c>
      <c r="K143" s="475"/>
      <c r="L143" s="484"/>
      <c r="M143" s="475">
        <f t="shared" si="73"/>
        <v>0</v>
      </c>
      <c r="N143" s="484"/>
      <c r="O143" s="475">
        <f t="shared" si="74"/>
        <v>0</v>
      </c>
      <c r="P143" s="475">
        <f t="shared" si="75"/>
        <v>0</v>
      </c>
    </row>
    <row r="144" spans="2:16" ht="12.5">
      <c r="B144" s="160" t="str">
        <f t="shared" si="76"/>
        <v/>
      </c>
      <c r="C144" s="469">
        <f>IF(D93="","-",+C143+1)</f>
        <v>2057</v>
      </c>
      <c r="D144" s="344">
        <f>IF(F143+SUM(E$99:E143)=D$92,F143,D$92-SUM(E$99:E143))</f>
        <v>0</v>
      </c>
      <c r="E144" s="483">
        <f t="shared" si="66"/>
        <v>0</v>
      </c>
      <c r="F144" s="482">
        <f t="shared" si="67"/>
        <v>0</v>
      </c>
      <c r="G144" s="482">
        <f t="shared" si="68"/>
        <v>0</v>
      </c>
      <c r="H144" s="483">
        <f t="shared" si="69"/>
        <v>0</v>
      </c>
      <c r="I144" s="539">
        <f t="shared" si="70"/>
        <v>0</v>
      </c>
      <c r="J144" s="475">
        <f t="shared" si="72"/>
        <v>0</v>
      </c>
      <c r="K144" s="475"/>
      <c r="L144" s="484"/>
      <c r="M144" s="475">
        <f t="shared" si="73"/>
        <v>0</v>
      </c>
      <c r="N144" s="484"/>
      <c r="O144" s="475">
        <f t="shared" si="74"/>
        <v>0</v>
      </c>
      <c r="P144" s="475">
        <f t="shared" si="75"/>
        <v>0</v>
      </c>
    </row>
    <row r="145" spans="2:16" ht="12.5">
      <c r="B145" s="160" t="str">
        <f t="shared" si="76"/>
        <v/>
      </c>
      <c r="C145" s="469">
        <f>IF(D93="","-",+C144+1)</f>
        <v>2058</v>
      </c>
      <c r="D145" s="344">
        <f>IF(F144+SUM(E$99:E144)=D$92,F144,D$92-SUM(E$99:E144))</f>
        <v>0</v>
      </c>
      <c r="E145" s="483">
        <f t="shared" si="66"/>
        <v>0</v>
      </c>
      <c r="F145" s="482">
        <f t="shared" si="67"/>
        <v>0</v>
      </c>
      <c r="G145" s="482">
        <f t="shared" si="68"/>
        <v>0</v>
      </c>
      <c r="H145" s="483">
        <f t="shared" si="69"/>
        <v>0</v>
      </c>
      <c r="I145" s="539">
        <f t="shared" si="70"/>
        <v>0</v>
      </c>
      <c r="J145" s="475">
        <f t="shared" si="72"/>
        <v>0</v>
      </c>
      <c r="K145" s="475"/>
      <c r="L145" s="484"/>
      <c r="M145" s="475">
        <f t="shared" si="73"/>
        <v>0</v>
      </c>
      <c r="N145" s="484"/>
      <c r="O145" s="475">
        <f t="shared" si="74"/>
        <v>0</v>
      </c>
      <c r="P145" s="475">
        <f t="shared" si="75"/>
        <v>0</v>
      </c>
    </row>
    <row r="146" spans="2:16" ht="12.5">
      <c r="B146" s="160" t="str">
        <f t="shared" si="76"/>
        <v/>
      </c>
      <c r="C146" s="469">
        <f>IF(D93="","-",+C145+1)</f>
        <v>2059</v>
      </c>
      <c r="D146" s="344">
        <f>IF(F145+SUM(E$99:E145)=D$92,F145,D$92-SUM(E$99:E145))</f>
        <v>0</v>
      </c>
      <c r="E146" s="483">
        <f t="shared" si="66"/>
        <v>0</v>
      </c>
      <c r="F146" s="482">
        <f t="shared" si="67"/>
        <v>0</v>
      </c>
      <c r="G146" s="482">
        <f t="shared" si="68"/>
        <v>0</v>
      </c>
      <c r="H146" s="483">
        <f t="shared" si="69"/>
        <v>0</v>
      </c>
      <c r="I146" s="539">
        <f t="shared" si="70"/>
        <v>0</v>
      </c>
      <c r="J146" s="475">
        <f t="shared" si="72"/>
        <v>0</v>
      </c>
      <c r="K146" s="475"/>
      <c r="L146" s="484"/>
      <c r="M146" s="475">
        <f t="shared" si="73"/>
        <v>0</v>
      </c>
      <c r="N146" s="484"/>
      <c r="O146" s="475">
        <f t="shared" si="74"/>
        <v>0</v>
      </c>
      <c r="P146" s="475">
        <f t="shared" si="75"/>
        <v>0</v>
      </c>
    </row>
    <row r="147" spans="2:16" ht="12.5">
      <c r="B147" s="160" t="str">
        <f t="shared" si="76"/>
        <v/>
      </c>
      <c r="C147" s="469">
        <f>IF(D93="","-",+C146+1)</f>
        <v>2060</v>
      </c>
      <c r="D147" s="344">
        <f>IF(F146+SUM(E$99:E146)=D$92,F146,D$92-SUM(E$99:E146))</f>
        <v>0</v>
      </c>
      <c r="E147" s="483">
        <f t="shared" si="66"/>
        <v>0</v>
      </c>
      <c r="F147" s="482">
        <f t="shared" si="67"/>
        <v>0</v>
      </c>
      <c r="G147" s="482">
        <f t="shared" si="68"/>
        <v>0</v>
      </c>
      <c r="H147" s="483">
        <f t="shared" si="69"/>
        <v>0</v>
      </c>
      <c r="I147" s="539">
        <f t="shared" si="70"/>
        <v>0</v>
      </c>
      <c r="J147" s="475">
        <f t="shared" si="72"/>
        <v>0</v>
      </c>
      <c r="K147" s="475"/>
      <c r="L147" s="484"/>
      <c r="M147" s="475">
        <f t="shared" si="73"/>
        <v>0</v>
      </c>
      <c r="N147" s="484"/>
      <c r="O147" s="475">
        <f t="shared" si="74"/>
        <v>0</v>
      </c>
      <c r="P147" s="475">
        <f t="shared" si="75"/>
        <v>0</v>
      </c>
    </row>
    <row r="148" spans="2:16" ht="12.5">
      <c r="B148" s="160" t="str">
        <f t="shared" si="76"/>
        <v/>
      </c>
      <c r="C148" s="469">
        <f>IF(D93="","-",+C147+1)</f>
        <v>2061</v>
      </c>
      <c r="D148" s="344">
        <f>IF(F147+SUM(E$99:E147)=D$92,F147,D$92-SUM(E$99:E147))</f>
        <v>0</v>
      </c>
      <c r="E148" s="483">
        <f t="shared" si="66"/>
        <v>0</v>
      </c>
      <c r="F148" s="482">
        <f t="shared" si="67"/>
        <v>0</v>
      </c>
      <c r="G148" s="482">
        <f t="shared" si="68"/>
        <v>0</v>
      </c>
      <c r="H148" s="483">
        <f t="shared" si="69"/>
        <v>0</v>
      </c>
      <c r="I148" s="539">
        <f t="shared" si="70"/>
        <v>0</v>
      </c>
      <c r="J148" s="475">
        <f t="shared" si="72"/>
        <v>0</v>
      </c>
      <c r="K148" s="475"/>
      <c r="L148" s="484"/>
      <c r="M148" s="475">
        <f t="shared" si="73"/>
        <v>0</v>
      </c>
      <c r="N148" s="484"/>
      <c r="O148" s="475">
        <f t="shared" si="74"/>
        <v>0</v>
      </c>
      <c r="P148" s="475">
        <f t="shared" si="75"/>
        <v>0</v>
      </c>
    </row>
    <row r="149" spans="2:16" ht="12.5">
      <c r="B149" s="160" t="str">
        <f t="shared" si="76"/>
        <v/>
      </c>
      <c r="C149" s="469">
        <f>IF(D93="","-",+C148+1)</f>
        <v>2062</v>
      </c>
      <c r="D149" s="344">
        <f>IF(F148+SUM(E$99:E148)=D$92,F148,D$92-SUM(E$99:E148))</f>
        <v>0</v>
      </c>
      <c r="E149" s="483">
        <f t="shared" si="66"/>
        <v>0</v>
      </c>
      <c r="F149" s="482">
        <f t="shared" si="67"/>
        <v>0</v>
      </c>
      <c r="G149" s="482">
        <f t="shared" si="68"/>
        <v>0</v>
      </c>
      <c r="H149" s="483">
        <f t="shared" si="69"/>
        <v>0</v>
      </c>
      <c r="I149" s="539">
        <f t="shared" si="70"/>
        <v>0</v>
      </c>
      <c r="J149" s="475">
        <f t="shared" si="72"/>
        <v>0</v>
      </c>
      <c r="K149" s="475"/>
      <c r="L149" s="484"/>
      <c r="M149" s="475">
        <f t="shared" si="73"/>
        <v>0</v>
      </c>
      <c r="N149" s="484"/>
      <c r="O149" s="475">
        <f t="shared" si="74"/>
        <v>0</v>
      </c>
      <c r="P149" s="475">
        <f t="shared" si="75"/>
        <v>0</v>
      </c>
    </row>
    <row r="150" spans="2:16" ht="12.5">
      <c r="B150" s="160" t="str">
        <f t="shared" si="76"/>
        <v/>
      </c>
      <c r="C150" s="469">
        <f>IF(D93="","-",+C149+1)</f>
        <v>2063</v>
      </c>
      <c r="D150" s="344">
        <f>IF(F149+SUM(E$99:E149)=D$92,F149,D$92-SUM(E$99:E149))</f>
        <v>0</v>
      </c>
      <c r="E150" s="483">
        <f t="shared" si="66"/>
        <v>0</v>
      </c>
      <c r="F150" s="482">
        <f t="shared" si="67"/>
        <v>0</v>
      </c>
      <c r="G150" s="482">
        <f t="shared" si="68"/>
        <v>0</v>
      </c>
      <c r="H150" s="483">
        <f t="shared" si="69"/>
        <v>0</v>
      </c>
      <c r="I150" s="539">
        <f t="shared" si="70"/>
        <v>0</v>
      </c>
      <c r="J150" s="475">
        <f t="shared" si="72"/>
        <v>0</v>
      </c>
      <c r="K150" s="475"/>
      <c r="L150" s="484"/>
      <c r="M150" s="475">
        <f t="shared" si="73"/>
        <v>0</v>
      </c>
      <c r="N150" s="484"/>
      <c r="O150" s="475">
        <f t="shared" si="74"/>
        <v>0</v>
      </c>
      <c r="P150" s="475">
        <f t="shared" si="75"/>
        <v>0</v>
      </c>
    </row>
    <row r="151" spans="2:16" ht="12.5">
      <c r="B151" s="160" t="str">
        <f t="shared" si="76"/>
        <v/>
      </c>
      <c r="C151" s="469">
        <f>IF(D93="","-",+C150+1)</f>
        <v>2064</v>
      </c>
      <c r="D151" s="344">
        <f>IF(F150+SUM(E$99:E150)=D$92,F150,D$92-SUM(E$99:E150))</f>
        <v>0</v>
      </c>
      <c r="E151" s="483">
        <f t="shared" si="66"/>
        <v>0</v>
      </c>
      <c r="F151" s="482">
        <f t="shared" si="67"/>
        <v>0</v>
      </c>
      <c r="G151" s="482">
        <f t="shared" si="68"/>
        <v>0</v>
      </c>
      <c r="H151" s="483">
        <f t="shared" si="69"/>
        <v>0</v>
      </c>
      <c r="I151" s="539">
        <f t="shared" si="70"/>
        <v>0</v>
      </c>
      <c r="J151" s="475">
        <f t="shared" si="72"/>
        <v>0</v>
      </c>
      <c r="K151" s="475"/>
      <c r="L151" s="484"/>
      <c r="M151" s="475">
        <f t="shared" si="73"/>
        <v>0</v>
      </c>
      <c r="N151" s="484"/>
      <c r="O151" s="475">
        <f t="shared" si="74"/>
        <v>0</v>
      </c>
      <c r="P151" s="475">
        <f t="shared" si="75"/>
        <v>0</v>
      </c>
    </row>
    <row r="152" spans="2:16" ht="12.5">
      <c r="B152" s="160" t="str">
        <f t="shared" si="76"/>
        <v/>
      </c>
      <c r="C152" s="469">
        <f>IF(D93="","-",+C151+1)</f>
        <v>2065</v>
      </c>
      <c r="D152" s="344">
        <f>IF(F151+SUM(E$99:E151)=D$92,F151,D$92-SUM(E$99:E151))</f>
        <v>0</v>
      </c>
      <c r="E152" s="483">
        <f t="shared" si="66"/>
        <v>0</v>
      </c>
      <c r="F152" s="482">
        <f t="shared" si="67"/>
        <v>0</v>
      </c>
      <c r="G152" s="482">
        <f t="shared" si="68"/>
        <v>0</v>
      </c>
      <c r="H152" s="483">
        <f t="shared" si="69"/>
        <v>0</v>
      </c>
      <c r="I152" s="539">
        <f t="shared" si="70"/>
        <v>0</v>
      </c>
      <c r="J152" s="475">
        <f t="shared" si="72"/>
        <v>0</v>
      </c>
      <c r="K152" s="475"/>
      <c r="L152" s="484"/>
      <c r="M152" s="475">
        <f t="shared" si="73"/>
        <v>0</v>
      </c>
      <c r="N152" s="484"/>
      <c r="O152" s="475">
        <f t="shared" si="74"/>
        <v>0</v>
      </c>
      <c r="P152" s="475">
        <f t="shared" si="75"/>
        <v>0</v>
      </c>
    </row>
    <row r="153" spans="2:16" ht="12.5">
      <c r="B153" s="160" t="str">
        <f t="shared" si="76"/>
        <v/>
      </c>
      <c r="C153" s="469">
        <f>IF(D93="","-",+C152+1)</f>
        <v>2066</v>
      </c>
      <c r="D153" s="344">
        <f>IF(F152+SUM(E$99:E152)=D$92,F152,D$92-SUM(E$99:E152))</f>
        <v>0</v>
      </c>
      <c r="E153" s="483">
        <f t="shared" si="66"/>
        <v>0</v>
      </c>
      <c r="F153" s="482">
        <f t="shared" si="67"/>
        <v>0</v>
      </c>
      <c r="G153" s="482">
        <f t="shared" si="68"/>
        <v>0</v>
      </c>
      <c r="H153" s="483">
        <f t="shared" si="69"/>
        <v>0</v>
      </c>
      <c r="I153" s="539">
        <f t="shared" si="70"/>
        <v>0</v>
      </c>
      <c r="J153" s="475">
        <f t="shared" si="72"/>
        <v>0</v>
      </c>
      <c r="K153" s="475"/>
      <c r="L153" s="484"/>
      <c r="M153" s="475">
        <f t="shared" si="73"/>
        <v>0</v>
      </c>
      <c r="N153" s="484"/>
      <c r="O153" s="475">
        <f t="shared" si="74"/>
        <v>0</v>
      </c>
      <c r="P153" s="475">
        <f t="shared" si="75"/>
        <v>0</v>
      </c>
    </row>
    <row r="154" spans="2:16" ht="13" thickBot="1">
      <c r="B154" s="160" t="str">
        <f t="shared" si="76"/>
        <v/>
      </c>
      <c r="C154" s="486">
        <f>IF(D93="","-",+C153+1)</f>
        <v>2067</v>
      </c>
      <c r="D154" s="540">
        <f>IF(F153+SUM(E$99:E153)=D$92,F153,D$92-SUM(E$99:E153))</f>
        <v>0</v>
      </c>
      <c r="E154" s="541">
        <f t="shared" si="66"/>
        <v>0</v>
      </c>
      <c r="F154" s="487">
        <f t="shared" si="67"/>
        <v>0</v>
      </c>
      <c r="G154" s="487">
        <f t="shared" si="68"/>
        <v>0</v>
      </c>
      <c r="H154" s="489">
        <f t="shared" ref="H154" si="77">+J$94*G154+E154</f>
        <v>0</v>
      </c>
      <c r="I154" s="542">
        <f t="shared" ref="I154" si="78">+J$95*G154+E154</f>
        <v>0</v>
      </c>
      <c r="J154" s="492">
        <f t="shared" si="72"/>
        <v>0</v>
      </c>
      <c r="K154" s="475"/>
      <c r="L154" s="491"/>
      <c r="M154" s="492">
        <f t="shared" si="73"/>
        <v>0</v>
      </c>
      <c r="N154" s="491"/>
      <c r="O154" s="492">
        <f t="shared" si="74"/>
        <v>0</v>
      </c>
      <c r="P154" s="492">
        <f t="shared" si="75"/>
        <v>0</v>
      </c>
    </row>
    <row r="155" spans="2:16" ht="12.5">
      <c r="C155" s="344" t="s">
        <v>77</v>
      </c>
      <c r="D155" s="345"/>
      <c r="E155" s="345">
        <f>SUM(E99:E154)</f>
        <v>3305767</v>
      </c>
      <c r="F155" s="345"/>
      <c r="G155" s="345"/>
      <c r="H155" s="345">
        <f>SUM(H99:H154)</f>
        <v>12027274.483489271</v>
      </c>
      <c r="I155" s="345">
        <f>SUM(I99:I154)</f>
        <v>12027274.483489271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49" priority="1" stopIfTrue="1" operator="equal">
      <formula>$I$10</formula>
    </cfRule>
  </conditionalFormatting>
  <conditionalFormatting sqref="C99:C154">
    <cfRule type="cellIs" dxfId="48" priority="3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63">
    <tabColor rgb="FFC00000"/>
  </sheetPr>
  <dimension ref="A1:P162"/>
  <sheetViews>
    <sheetView topLeftCell="A65"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13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2505.5656529283688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2505.5656529283688</v>
      </c>
      <c r="O6" s="231"/>
      <c r="P6" s="231"/>
    </row>
    <row r="7" spans="1:16" ht="13.5" thickBot="1">
      <c r="C7" s="428" t="s">
        <v>46</v>
      </c>
      <c r="D7" s="429" t="s">
        <v>256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>DOES NOT MEET SPP $100,000 MINIMUM INVESTMENT FOR REGIONAL BPU SHARING.</v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569" t="s">
        <v>236</v>
      </c>
      <c r="E9" s="574" t="s">
        <v>289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22097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2010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6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581.5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6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D11</f>
        <v>2010</v>
      </c>
      <c r="D17" s="470">
        <v>0</v>
      </c>
      <c r="E17" s="476">
        <v>0</v>
      </c>
      <c r="F17" s="476">
        <v>0</v>
      </c>
      <c r="G17" s="476">
        <v>0</v>
      </c>
      <c r="H17" s="585">
        <v>0</v>
      </c>
      <c r="I17" s="472">
        <f t="shared" ref="I17:I48" si="0">H17-G17</f>
        <v>0</v>
      </c>
      <c r="J17" s="346"/>
      <c r="K17" s="473">
        <f t="shared" ref="K17:K22" si="1">G17</f>
        <v>0</v>
      </c>
      <c r="L17" s="586">
        <f t="shared" ref="L17:L48" si="2">IF(K17&lt;&gt;0,+G17-K17,0)</f>
        <v>0</v>
      </c>
      <c r="M17" s="473">
        <f t="shared" ref="M17:M22" si="3">H17</f>
        <v>0</v>
      </c>
      <c r="N17" s="556">
        <f t="shared" ref="N17:N48" si="4">IF(M17&lt;&gt;0,+H17-M17,0)</f>
        <v>0</v>
      </c>
      <c r="O17" s="475">
        <f t="shared" ref="O17:O48" si="5">+N17-L17</f>
        <v>0</v>
      </c>
      <c r="P17" s="241"/>
    </row>
    <row r="18" spans="2:16" ht="12.5">
      <c r="B18" s="160" t="str">
        <f t="shared" ref="B18:B49" si="6">IF(D18=F17,"","IU")</f>
        <v/>
      </c>
      <c r="C18" s="469">
        <f>IF($D$11="","-",+C17+1)</f>
        <v>2011</v>
      </c>
      <c r="D18" s="470">
        <v>0</v>
      </c>
      <c r="E18" s="476">
        <v>0</v>
      </c>
      <c r="F18" s="476">
        <v>0</v>
      </c>
      <c r="G18" s="476">
        <v>0</v>
      </c>
      <c r="H18" s="585">
        <v>0</v>
      </c>
      <c r="I18" s="472">
        <f t="shared" si="0"/>
        <v>0</v>
      </c>
      <c r="J18" s="346"/>
      <c r="K18" s="473">
        <f t="shared" si="1"/>
        <v>0</v>
      </c>
      <c r="L18" s="346">
        <f t="shared" si="2"/>
        <v>0</v>
      </c>
      <c r="M18" s="473">
        <f t="shared" si="3"/>
        <v>0</v>
      </c>
      <c r="N18" s="472">
        <f t="shared" si="4"/>
        <v>0</v>
      </c>
      <c r="O18" s="475">
        <f t="shared" si="5"/>
        <v>0</v>
      </c>
      <c r="P18" s="241"/>
    </row>
    <row r="19" spans="2:16" ht="12.5">
      <c r="B19" s="160" t="str">
        <f t="shared" si="6"/>
        <v>IU</v>
      </c>
      <c r="C19" s="469">
        <f>IF(D11="","-",+C18+1)</f>
        <v>2012</v>
      </c>
      <c r="D19" s="470">
        <v>22097</v>
      </c>
      <c r="E19" s="477">
        <v>212.47115384615381</v>
      </c>
      <c r="F19" s="470">
        <v>21884.528846153848</v>
      </c>
      <c r="G19" s="477">
        <v>3258.944937760969</v>
      </c>
      <c r="H19" s="478">
        <v>3258.944937760969</v>
      </c>
      <c r="I19" s="472">
        <f>H19-G19</f>
        <v>0</v>
      </c>
      <c r="J19" s="346"/>
      <c r="K19" s="473">
        <f t="shared" si="1"/>
        <v>3258.944937760969</v>
      </c>
      <c r="L19" s="346">
        <f t="shared" si="2"/>
        <v>0</v>
      </c>
      <c r="M19" s="473">
        <f t="shared" si="3"/>
        <v>3258.944937760969</v>
      </c>
      <c r="N19" s="472">
        <f t="shared" si="4"/>
        <v>0</v>
      </c>
      <c r="O19" s="475">
        <f t="shared" si="5"/>
        <v>0</v>
      </c>
      <c r="P19" s="241"/>
    </row>
    <row r="20" spans="2:16" ht="12.5">
      <c r="B20" s="160" t="str">
        <f t="shared" si="6"/>
        <v/>
      </c>
      <c r="C20" s="469">
        <f>IF(D11="","-",+C19+1)</f>
        <v>2013</v>
      </c>
      <c r="D20" s="470">
        <v>21884.528846153848</v>
      </c>
      <c r="E20" s="477">
        <v>424.94230769230768</v>
      </c>
      <c r="F20" s="470">
        <v>21459.586538461539</v>
      </c>
      <c r="G20" s="477">
        <v>3489.9423076923076</v>
      </c>
      <c r="H20" s="478">
        <v>3489.9423076923076</v>
      </c>
      <c r="I20" s="472">
        <v>0</v>
      </c>
      <c r="J20" s="472"/>
      <c r="K20" s="473">
        <f t="shared" si="1"/>
        <v>3489.9423076923076</v>
      </c>
      <c r="L20" s="346">
        <f t="shared" ref="L20:L25" si="7">IF(K20&lt;&gt;0,+G20-K20,0)</f>
        <v>0</v>
      </c>
      <c r="M20" s="473">
        <f t="shared" si="3"/>
        <v>3489.9423076923076</v>
      </c>
      <c r="N20" s="472">
        <f t="shared" ref="N20:N25" si="8">IF(M20&lt;&gt;0,+H20-M20,0)</f>
        <v>0</v>
      </c>
      <c r="O20" s="475">
        <f t="shared" ref="O20:O25" si="9">+N20-L20</f>
        <v>0</v>
      </c>
      <c r="P20" s="241"/>
    </row>
    <row r="21" spans="2:16" ht="12.5">
      <c r="B21" s="160" t="str">
        <f t="shared" si="6"/>
        <v/>
      </c>
      <c r="C21" s="469">
        <f>IF(D11="","-",+C20+1)</f>
        <v>2014</v>
      </c>
      <c r="D21" s="470">
        <v>21459.586538461539</v>
      </c>
      <c r="E21" s="477">
        <v>424.94230769230768</v>
      </c>
      <c r="F21" s="470">
        <v>21034.64423076923</v>
      </c>
      <c r="G21" s="477">
        <v>3320.9423076923076</v>
      </c>
      <c r="H21" s="478">
        <v>3320.9423076923076</v>
      </c>
      <c r="I21" s="472">
        <v>0</v>
      </c>
      <c r="J21" s="472"/>
      <c r="K21" s="473">
        <f t="shared" si="1"/>
        <v>3320.9423076923076</v>
      </c>
      <c r="L21" s="346">
        <f t="shared" si="7"/>
        <v>0</v>
      </c>
      <c r="M21" s="473">
        <f t="shared" si="3"/>
        <v>3320.9423076923076</v>
      </c>
      <c r="N21" s="472">
        <f t="shared" si="8"/>
        <v>0</v>
      </c>
      <c r="O21" s="475">
        <f t="shared" si="9"/>
        <v>0</v>
      </c>
      <c r="P21" s="241"/>
    </row>
    <row r="22" spans="2:16" ht="12.5">
      <c r="B22" s="160" t="str">
        <f t="shared" si="6"/>
        <v/>
      </c>
      <c r="C22" s="469">
        <f>IF(D11="","-",+C21+1)</f>
        <v>2015</v>
      </c>
      <c r="D22" s="470">
        <v>21034.64423076923</v>
      </c>
      <c r="E22" s="477">
        <v>424.94230769230768</v>
      </c>
      <c r="F22" s="470">
        <v>20609.701923076922</v>
      </c>
      <c r="G22" s="477">
        <v>3265.9423076923076</v>
      </c>
      <c r="H22" s="478">
        <v>3265.9423076923076</v>
      </c>
      <c r="I22" s="472">
        <v>0</v>
      </c>
      <c r="J22" s="472"/>
      <c r="K22" s="473">
        <f t="shared" si="1"/>
        <v>3265.9423076923076</v>
      </c>
      <c r="L22" s="346">
        <f t="shared" si="7"/>
        <v>0</v>
      </c>
      <c r="M22" s="473">
        <f t="shared" si="3"/>
        <v>3265.9423076923076</v>
      </c>
      <c r="N22" s="472">
        <f t="shared" si="8"/>
        <v>0</v>
      </c>
      <c r="O22" s="475">
        <f t="shared" si="9"/>
        <v>0</v>
      </c>
      <c r="P22" s="241"/>
    </row>
    <row r="23" spans="2:16" ht="12.5">
      <c r="B23" s="160" t="str">
        <f t="shared" si="6"/>
        <v/>
      </c>
      <c r="C23" s="469">
        <f>IF(D11="","-",+C22+1)</f>
        <v>2016</v>
      </c>
      <c r="D23" s="470">
        <v>20609.701923076922</v>
      </c>
      <c r="E23" s="477">
        <v>424.94230769230768</v>
      </c>
      <c r="F23" s="470">
        <v>20184.759615384613</v>
      </c>
      <c r="G23" s="477">
        <v>3071.9423076923076</v>
      </c>
      <c r="H23" s="478">
        <v>3071.9423076923076</v>
      </c>
      <c r="I23" s="472">
        <f t="shared" si="0"/>
        <v>0</v>
      </c>
      <c r="J23" s="472"/>
      <c r="K23" s="473">
        <f t="shared" ref="K23:K28" si="10">G23</f>
        <v>3071.9423076923076</v>
      </c>
      <c r="L23" s="346">
        <f t="shared" si="7"/>
        <v>0</v>
      </c>
      <c r="M23" s="473">
        <f t="shared" ref="M23:M28" si="11">H23</f>
        <v>3071.9423076923076</v>
      </c>
      <c r="N23" s="472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2017</v>
      </c>
      <c r="D24" s="470">
        <v>20184.759615384613</v>
      </c>
      <c r="E24" s="477">
        <v>480.36956521739131</v>
      </c>
      <c r="F24" s="470">
        <v>19704.390050167221</v>
      </c>
      <c r="G24" s="477">
        <v>2988.3695652173915</v>
      </c>
      <c r="H24" s="478">
        <v>2988.3695652173915</v>
      </c>
      <c r="I24" s="472">
        <f t="shared" si="0"/>
        <v>0</v>
      </c>
      <c r="J24" s="472"/>
      <c r="K24" s="473">
        <f t="shared" si="10"/>
        <v>2988.3695652173915</v>
      </c>
      <c r="L24" s="346">
        <f t="shared" si="7"/>
        <v>0</v>
      </c>
      <c r="M24" s="473">
        <f t="shared" si="11"/>
        <v>2988.3695652173915</v>
      </c>
      <c r="N24" s="472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6"/>
        <v/>
      </c>
      <c r="C25" s="469">
        <f>IF(D11="","-",+C24+1)</f>
        <v>2018</v>
      </c>
      <c r="D25" s="470">
        <v>19704.390050167221</v>
      </c>
      <c r="E25" s="477">
        <v>491.04444444444442</v>
      </c>
      <c r="F25" s="470">
        <v>19213.345605722778</v>
      </c>
      <c r="G25" s="477">
        <v>2821.4178428916557</v>
      </c>
      <c r="H25" s="478">
        <v>2821.4178428916557</v>
      </c>
      <c r="I25" s="472">
        <f t="shared" si="0"/>
        <v>0</v>
      </c>
      <c r="J25" s="472"/>
      <c r="K25" s="473">
        <f t="shared" si="10"/>
        <v>2821.4178428916557</v>
      </c>
      <c r="L25" s="346">
        <f t="shared" si="7"/>
        <v>0</v>
      </c>
      <c r="M25" s="473">
        <f t="shared" si="11"/>
        <v>2821.4178428916557</v>
      </c>
      <c r="N25" s="472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2019</v>
      </c>
      <c r="D26" s="470">
        <v>19213.345605722778</v>
      </c>
      <c r="E26" s="477">
        <v>552.42499999999995</v>
      </c>
      <c r="F26" s="470">
        <v>18660.920605722778</v>
      </c>
      <c r="G26" s="477">
        <v>2666.8814890183439</v>
      </c>
      <c r="H26" s="478">
        <v>2666.8814890183439</v>
      </c>
      <c r="I26" s="472">
        <f t="shared" si="0"/>
        <v>0</v>
      </c>
      <c r="J26" s="472"/>
      <c r="K26" s="473">
        <f t="shared" si="10"/>
        <v>2666.8814890183439</v>
      </c>
      <c r="L26" s="346">
        <f t="shared" ref="L26" si="12">IF(K26&lt;&gt;0,+G26-K26,0)</f>
        <v>0</v>
      </c>
      <c r="M26" s="473">
        <f t="shared" si="11"/>
        <v>2666.8814890183439</v>
      </c>
      <c r="N26" s="472">
        <f t="shared" ref="N26" si="13">IF(M26&lt;&gt;0,+H26-M26,0)</f>
        <v>0</v>
      </c>
      <c r="O26" s="475">
        <f t="shared" si="5"/>
        <v>0</v>
      </c>
      <c r="P26" s="241"/>
    </row>
    <row r="27" spans="2:16" ht="12.5">
      <c r="B27" s="160" t="str">
        <f t="shared" si="6"/>
        <v>IU</v>
      </c>
      <c r="C27" s="469">
        <f>IF(D11="","-",+C26+1)</f>
        <v>2020</v>
      </c>
      <c r="D27" s="470">
        <v>18722.301161278334</v>
      </c>
      <c r="E27" s="477">
        <v>526.11904761904759</v>
      </c>
      <c r="F27" s="470">
        <v>18196.182113659288</v>
      </c>
      <c r="G27" s="477">
        <v>2519.8053226007855</v>
      </c>
      <c r="H27" s="478">
        <v>2519.8053226007855</v>
      </c>
      <c r="I27" s="472">
        <f t="shared" si="0"/>
        <v>0</v>
      </c>
      <c r="J27" s="472"/>
      <c r="K27" s="473">
        <f t="shared" si="10"/>
        <v>2519.8053226007855</v>
      </c>
      <c r="L27" s="346">
        <f t="shared" ref="L27" si="14">IF(K27&lt;&gt;0,+G27-K27,0)</f>
        <v>0</v>
      </c>
      <c r="M27" s="473">
        <f t="shared" si="11"/>
        <v>2519.8053226007855</v>
      </c>
      <c r="N27" s="475">
        <f t="shared" si="4"/>
        <v>0</v>
      </c>
      <c r="O27" s="475">
        <f t="shared" si="5"/>
        <v>0</v>
      </c>
      <c r="P27" s="241"/>
    </row>
    <row r="28" spans="2:16" ht="12.5">
      <c r="B28" s="160" t="str">
        <f t="shared" si="6"/>
        <v>IU</v>
      </c>
      <c r="C28" s="469">
        <f>IF(D11="","-",+C27+1)</f>
        <v>2021</v>
      </c>
      <c r="D28" s="470">
        <v>18134.801558103733</v>
      </c>
      <c r="E28" s="477">
        <v>513.88372093023258</v>
      </c>
      <c r="F28" s="470">
        <v>17620.9178371735</v>
      </c>
      <c r="G28" s="477">
        <v>2413.8837209302328</v>
      </c>
      <c r="H28" s="478">
        <v>2413.8837209302328</v>
      </c>
      <c r="I28" s="472">
        <f t="shared" si="0"/>
        <v>0</v>
      </c>
      <c r="J28" s="472"/>
      <c r="K28" s="473">
        <f t="shared" si="10"/>
        <v>2413.8837209302328</v>
      </c>
      <c r="L28" s="346">
        <f t="shared" ref="L28" si="15">IF(K28&lt;&gt;0,+G28-K28,0)</f>
        <v>0</v>
      </c>
      <c r="M28" s="473">
        <f t="shared" si="11"/>
        <v>2413.8837209302328</v>
      </c>
      <c r="N28" s="475">
        <f t="shared" si="4"/>
        <v>0</v>
      </c>
      <c r="O28" s="475">
        <f t="shared" si="5"/>
        <v>0</v>
      </c>
      <c r="P28" s="241"/>
    </row>
    <row r="29" spans="2:16" ht="12.5">
      <c r="B29" s="160" t="str">
        <f t="shared" si="6"/>
        <v/>
      </c>
      <c r="C29" s="469">
        <f>IF(D11="","-",+C28+1)</f>
        <v>2022</v>
      </c>
      <c r="D29" s="470">
        <v>17620.9178371735</v>
      </c>
      <c r="E29" s="477">
        <v>526.11904761904759</v>
      </c>
      <c r="F29" s="470">
        <v>17094.798789554454</v>
      </c>
      <c r="G29" s="477">
        <v>2369.1190476190477</v>
      </c>
      <c r="H29" s="478">
        <v>2369.1190476190477</v>
      </c>
      <c r="I29" s="472">
        <f t="shared" si="0"/>
        <v>0</v>
      </c>
      <c r="J29" s="472"/>
      <c r="K29" s="473">
        <f t="shared" ref="K29" si="16">G29</f>
        <v>2369.1190476190477</v>
      </c>
      <c r="L29" s="346">
        <f t="shared" ref="L29" si="17">IF(K29&lt;&gt;0,+G29-K29,0)</f>
        <v>0</v>
      </c>
      <c r="M29" s="473">
        <f t="shared" ref="M29" si="18">H29</f>
        <v>2369.1190476190477</v>
      </c>
      <c r="N29" s="475">
        <f t="shared" si="4"/>
        <v>0</v>
      </c>
      <c r="O29" s="475">
        <f t="shared" si="5"/>
        <v>0</v>
      </c>
      <c r="P29" s="241"/>
    </row>
    <row r="30" spans="2:16" ht="12.5">
      <c r="B30" s="160" t="str">
        <f t="shared" si="6"/>
        <v/>
      </c>
      <c r="C30" s="469">
        <f>IF(D11="","-",+C29+1)</f>
        <v>2023</v>
      </c>
      <c r="D30" s="470">
        <v>17094.798789554454</v>
      </c>
      <c r="E30" s="477">
        <v>566.58974358974353</v>
      </c>
      <c r="F30" s="470">
        <v>16528.209045964712</v>
      </c>
      <c r="G30" s="477">
        <v>2539.5897435897436</v>
      </c>
      <c r="H30" s="478">
        <v>2539.5897435897436</v>
      </c>
      <c r="I30" s="472">
        <f t="shared" si="0"/>
        <v>0</v>
      </c>
      <c r="J30" s="472"/>
      <c r="K30" s="473">
        <f t="shared" ref="K30" si="19">G30</f>
        <v>2539.5897435897436</v>
      </c>
      <c r="L30" s="346">
        <f t="shared" ref="L30" si="20">IF(K30&lt;&gt;0,+G30-K30,0)</f>
        <v>0</v>
      </c>
      <c r="M30" s="473">
        <f t="shared" ref="M30" si="21">H30</f>
        <v>2539.5897435897436</v>
      </c>
      <c r="N30" s="475">
        <f t="shared" si="4"/>
        <v>0</v>
      </c>
      <c r="O30" s="475">
        <f t="shared" si="5"/>
        <v>0</v>
      </c>
      <c r="P30" s="241"/>
    </row>
    <row r="31" spans="2:16" ht="12.5">
      <c r="B31" s="160" t="str">
        <f t="shared" si="6"/>
        <v/>
      </c>
      <c r="C31" s="469">
        <f>IF(D11="","-",+C30+1)</f>
        <v>2024</v>
      </c>
      <c r="D31" s="470">
        <v>16528.209045964712</v>
      </c>
      <c r="E31" s="477">
        <v>566.58974358974353</v>
      </c>
      <c r="F31" s="470">
        <v>15961.619302374967</v>
      </c>
      <c r="G31" s="477">
        <v>2505.5656529283688</v>
      </c>
      <c r="H31" s="478">
        <v>2505.5656529283688</v>
      </c>
      <c r="I31" s="472">
        <f t="shared" si="0"/>
        <v>0</v>
      </c>
      <c r="J31" s="472"/>
      <c r="K31" s="473">
        <f t="shared" ref="K31" si="22">G31</f>
        <v>2505.5656529283688</v>
      </c>
      <c r="L31" s="346">
        <f t="shared" ref="L31" si="23">IF(K31&lt;&gt;0,+G31-K31,0)</f>
        <v>0</v>
      </c>
      <c r="M31" s="473">
        <f t="shared" ref="M31" si="24">H31</f>
        <v>2505.5656529283688</v>
      </c>
      <c r="N31" s="475">
        <f t="shared" ref="N31" si="25">IF(M31&lt;&gt;0,+H31-M31,0)</f>
        <v>0</v>
      </c>
      <c r="O31" s="475">
        <f t="shared" ref="O31" si="26">+N31-L31</f>
        <v>0</v>
      </c>
      <c r="P31" s="241"/>
    </row>
    <row r="32" spans="2:16" ht="12.5">
      <c r="B32" s="160" t="str">
        <f t="shared" si="6"/>
        <v/>
      </c>
      <c r="C32" s="469">
        <f>IF(D11="","-",+C31+1)</f>
        <v>2025</v>
      </c>
      <c r="D32" s="482">
        <f>IF(F31+SUM(E$17:E31)=D$10,F31,D$10-SUM(E$17:E31))</f>
        <v>15961.619302374967</v>
      </c>
      <c r="E32" s="481">
        <f>IF(+I14&lt;F31,I14,D32)</f>
        <v>581.5</v>
      </c>
      <c r="F32" s="482">
        <f t="shared" ref="F32:F48" si="27">+D32-E32</f>
        <v>15380.119302374967</v>
      </c>
      <c r="G32" s="483">
        <f t="shared" ref="G32:G72" si="28">(D32+F32)/2*I$12+E32</f>
        <v>2363.9076139873519</v>
      </c>
      <c r="H32" s="452">
        <f t="shared" ref="H32:H72" si="29">+(D32+F32)/2*I$13+E32</f>
        <v>2363.9076139873519</v>
      </c>
      <c r="I32" s="472">
        <f t="shared" si="0"/>
        <v>0</v>
      </c>
      <c r="J32" s="472"/>
      <c r="K32" s="484"/>
      <c r="L32" s="475">
        <f t="shared" si="2"/>
        <v>0</v>
      </c>
      <c r="M32" s="484"/>
      <c r="N32" s="475">
        <f t="shared" si="4"/>
        <v>0</v>
      </c>
      <c r="O32" s="475">
        <f t="shared" si="5"/>
        <v>0</v>
      </c>
      <c r="P32" s="241"/>
    </row>
    <row r="33" spans="2:16" ht="12.5">
      <c r="B33" s="160" t="str">
        <f t="shared" si="6"/>
        <v/>
      </c>
      <c r="C33" s="469">
        <f>IF(D11="","-",+C32+1)</f>
        <v>2026</v>
      </c>
      <c r="D33" s="482">
        <f>IF(F32+SUM(E$17:E32)=D$10,F32,D$10-SUM(E$17:E32))</f>
        <v>15380.119302374967</v>
      </c>
      <c r="E33" s="481">
        <f>IF(+I14&lt;F32,I14,D33)</f>
        <v>581.5</v>
      </c>
      <c r="F33" s="482">
        <f t="shared" si="27"/>
        <v>14798.619302374967</v>
      </c>
      <c r="G33" s="483">
        <f t="shared" si="28"/>
        <v>2297.7676949098209</v>
      </c>
      <c r="H33" s="452">
        <f t="shared" si="29"/>
        <v>2297.7676949098209</v>
      </c>
      <c r="I33" s="472">
        <f t="shared" si="0"/>
        <v>0</v>
      </c>
      <c r="J33" s="472"/>
      <c r="K33" s="484"/>
      <c r="L33" s="475">
        <f t="shared" si="2"/>
        <v>0</v>
      </c>
      <c r="M33" s="484"/>
      <c r="N33" s="475">
        <f t="shared" si="4"/>
        <v>0</v>
      </c>
      <c r="O33" s="475">
        <f t="shared" si="5"/>
        <v>0</v>
      </c>
      <c r="P33" s="241"/>
    </row>
    <row r="34" spans="2:16" ht="12.5">
      <c r="B34" s="160" t="str">
        <f t="shared" si="6"/>
        <v/>
      </c>
      <c r="C34" s="469">
        <f>IF(D11="","-",+C33+1)</f>
        <v>2027</v>
      </c>
      <c r="D34" s="482">
        <f>IF(F33+SUM(E$17:E33)=D$10,F33,D$10-SUM(E$17:E33))</f>
        <v>14798.619302374967</v>
      </c>
      <c r="E34" s="481">
        <f>IF(+I14&lt;F33,I14,D34)</f>
        <v>581.5</v>
      </c>
      <c r="F34" s="482">
        <f t="shared" si="27"/>
        <v>14217.119302374967</v>
      </c>
      <c r="G34" s="483">
        <f t="shared" si="28"/>
        <v>2231.6277758322899</v>
      </c>
      <c r="H34" s="452">
        <f t="shared" si="29"/>
        <v>2231.6277758322899</v>
      </c>
      <c r="I34" s="472">
        <f t="shared" si="0"/>
        <v>0</v>
      </c>
      <c r="J34" s="472"/>
      <c r="K34" s="484"/>
      <c r="L34" s="475">
        <f t="shared" si="2"/>
        <v>0</v>
      </c>
      <c r="M34" s="484"/>
      <c r="N34" s="475">
        <f t="shared" si="4"/>
        <v>0</v>
      </c>
      <c r="O34" s="475">
        <f t="shared" si="5"/>
        <v>0</v>
      </c>
      <c r="P34" s="241"/>
    </row>
    <row r="35" spans="2:16" ht="12.5">
      <c r="B35" s="160" t="str">
        <f t="shared" si="6"/>
        <v/>
      </c>
      <c r="C35" s="469">
        <f>IF(D11="","-",+C34+1)</f>
        <v>2028</v>
      </c>
      <c r="D35" s="482">
        <f>IF(F34+SUM(E$17:E34)=D$10,F34,D$10-SUM(E$17:E34))</f>
        <v>14217.119302374967</v>
      </c>
      <c r="E35" s="481">
        <f>IF(+I14&lt;F34,I14,D35)</f>
        <v>581.5</v>
      </c>
      <c r="F35" s="482">
        <f t="shared" si="27"/>
        <v>13635.619302374967</v>
      </c>
      <c r="G35" s="483">
        <f t="shared" si="28"/>
        <v>2165.4878567547589</v>
      </c>
      <c r="H35" s="452">
        <f t="shared" si="29"/>
        <v>2165.4878567547589</v>
      </c>
      <c r="I35" s="472">
        <f t="shared" si="0"/>
        <v>0</v>
      </c>
      <c r="J35" s="472"/>
      <c r="K35" s="484"/>
      <c r="L35" s="475">
        <f t="shared" si="2"/>
        <v>0</v>
      </c>
      <c r="M35" s="484"/>
      <c r="N35" s="475">
        <f t="shared" si="4"/>
        <v>0</v>
      </c>
      <c r="O35" s="475">
        <f t="shared" si="5"/>
        <v>0</v>
      </c>
      <c r="P35" s="241"/>
    </row>
    <row r="36" spans="2:16" ht="12.5">
      <c r="B36" s="160" t="str">
        <f t="shared" si="6"/>
        <v/>
      </c>
      <c r="C36" s="469">
        <f>IF(D11="","-",+C35+1)</f>
        <v>2029</v>
      </c>
      <c r="D36" s="482">
        <f>IF(F35+SUM(E$17:E35)=D$10,F35,D$10-SUM(E$17:E35))</f>
        <v>13635.619302374967</v>
      </c>
      <c r="E36" s="481">
        <f>IF(+I14&lt;F35,I14,D36)</f>
        <v>581.5</v>
      </c>
      <c r="F36" s="482">
        <f t="shared" si="27"/>
        <v>13054.119302374967</v>
      </c>
      <c r="G36" s="483">
        <f t="shared" si="28"/>
        <v>2099.3479376772279</v>
      </c>
      <c r="H36" s="452">
        <f t="shared" si="29"/>
        <v>2099.3479376772279</v>
      </c>
      <c r="I36" s="472">
        <f t="shared" si="0"/>
        <v>0</v>
      </c>
      <c r="J36" s="472"/>
      <c r="K36" s="484"/>
      <c r="L36" s="475">
        <f t="shared" si="2"/>
        <v>0</v>
      </c>
      <c r="M36" s="484"/>
      <c r="N36" s="475">
        <f t="shared" si="4"/>
        <v>0</v>
      </c>
      <c r="O36" s="475">
        <f t="shared" si="5"/>
        <v>0</v>
      </c>
      <c r="P36" s="241"/>
    </row>
    <row r="37" spans="2:16" ht="12.5">
      <c r="B37" s="160" t="str">
        <f t="shared" si="6"/>
        <v/>
      </c>
      <c r="C37" s="469">
        <f>IF(D11="","-",+C36+1)</f>
        <v>2030</v>
      </c>
      <c r="D37" s="482">
        <f>IF(F36+SUM(E$17:E36)=D$10,F36,D$10-SUM(E$17:E36))</f>
        <v>13054.119302374967</v>
      </c>
      <c r="E37" s="481">
        <f>IF(+I14&lt;F36,I14,D37)</f>
        <v>581.5</v>
      </c>
      <c r="F37" s="482">
        <f t="shared" si="27"/>
        <v>12472.619302374967</v>
      </c>
      <c r="G37" s="483">
        <f t="shared" si="28"/>
        <v>2033.208018599697</v>
      </c>
      <c r="H37" s="452">
        <f t="shared" si="29"/>
        <v>2033.208018599697</v>
      </c>
      <c r="I37" s="472">
        <f t="shared" si="0"/>
        <v>0</v>
      </c>
      <c r="J37" s="472"/>
      <c r="K37" s="484"/>
      <c r="L37" s="475">
        <f t="shared" si="2"/>
        <v>0</v>
      </c>
      <c r="M37" s="484"/>
      <c r="N37" s="475">
        <f t="shared" si="4"/>
        <v>0</v>
      </c>
      <c r="O37" s="475">
        <f t="shared" si="5"/>
        <v>0</v>
      </c>
      <c r="P37" s="241"/>
    </row>
    <row r="38" spans="2:16" ht="12.5">
      <c r="B38" s="160" t="str">
        <f t="shared" si="6"/>
        <v/>
      </c>
      <c r="C38" s="469">
        <f>IF(D11="","-",+C37+1)</f>
        <v>2031</v>
      </c>
      <c r="D38" s="482">
        <f>IF(F37+SUM(E$17:E37)=D$10,F37,D$10-SUM(E$17:E37))</f>
        <v>12472.619302374967</v>
      </c>
      <c r="E38" s="481">
        <f>IF(+I14&lt;F37,I14,D38)</f>
        <v>581.5</v>
      </c>
      <c r="F38" s="482">
        <f t="shared" si="27"/>
        <v>11891.119302374967</v>
      </c>
      <c r="G38" s="483">
        <f t="shared" si="28"/>
        <v>1967.068099522166</v>
      </c>
      <c r="H38" s="452">
        <f t="shared" si="29"/>
        <v>1967.068099522166</v>
      </c>
      <c r="I38" s="472">
        <f t="shared" si="0"/>
        <v>0</v>
      </c>
      <c r="J38" s="472"/>
      <c r="K38" s="484"/>
      <c r="L38" s="475">
        <f t="shared" si="2"/>
        <v>0</v>
      </c>
      <c r="M38" s="484"/>
      <c r="N38" s="475">
        <f t="shared" si="4"/>
        <v>0</v>
      </c>
      <c r="O38" s="475">
        <f t="shared" si="5"/>
        <v>0</v>
      </c>
      <c r="P38" s="241"/>
    </row>
    <row r="39" spans="2:16" ht="12.5">
      <c r="B39" s="160" t="str">
        <f t="shared" si="6"/>
        <v/>
      </c>
      <c r="C39" s="469">
        <f>IF(D11="","-",+C38+1)</f>
        <v>2032</v>
      </c>
      <c r="D39" s="482">
        <f>IF(F38+SUM(E$17:E38)=D$10,F38,D$10-SUM(E$17:E38))</f>
        <v>11891.119302374967</v>
      </c>
      <c r="E39" s="481">
        <f>IF(+I14&lt;F38,I14,D39)</f>
        <v>581.5</v>
      </c>
      <c r="F39" s="482">
        <f t="shared" si="27"/>
        <v>11309.619302374967</v>
      </c>
      <c r="G39" s="483">
        <f t="shared" si="28"/>
        <v>1900.9281804446348</v>
      </c>
      <c r="H39" s="452">
        <f t="shared" si="29"/>
        <v>1900.9281804446348</v>
      </c>
      <c r="I39" s="472">
        <f t="shared" si="0"/>
        <v>0</v>
      </c>
      <c r="J39" s="472"/>
      <c r="K39" s="484"/>
      <c r="L39" s="475">
        <f t="shared" si="2"/>
        <v>0</v>
      </c>
      <c r="M39" s="484"/>
      <c r="N39" s="475">
        <f t="shared" si="4"/>
        <v>0</v>
      </c>
      <c r="O39" s="475">
        <f t="shared" si="5"/>
        <v>0</v>
      </c>
      <c r="P39" s="241"/>
    </row>
    <row r="40" spans="2:16" ht="12.5">
      <c r="B40" s="160" t="str">
        <f t="shared" si="6"/>
        <v/>
      </c>
      <c r="C40" s="469">
        <f>IF(D11="","-",+C39+1)</f>
        <v>2033</v>
      </c>
      <c r="D40" s="482">
        <f>IF(F39+SUM(E$17:E39)=D$10,F39,D$10-SUM(E$17:E39))</f>
        <v>11309.619302374967</v>
      </c>
      <c r="E40" s="481">
        <f>IF(+I14&lt;F39,I14,D40)</f>
        <v>581.5</v>
      </c>
      <c r="F40" s="482">
        <f t="shared" si="27"/>
        <v>10728.119302374967</v>
      </c>
      <c r="G40" s="483">
        <f t="shared" si="28"/>
        <v>1834.7882613671038</v>
      </c>
      <c r="H40" s="452">
        <f t="shared" si="29"/>
        <v>1834.7882613671038</v>
      </c>
      <c r="I40" s="472">
        <f t="shared" si="0"/>
        <v>0</v>
      </c>
      <c r="J40" s="472"/>
      <c r="K40" s="484"/>
      <c r="L40" s="475">
        <f t="shared" si="2"/>
        <v>0</v>
      </c>
      <c r="M40" s="484"/>
      <c r="N40" s="475">
        <f t="shared" si="4"/>
        <v>0</v>
      </c>
      <c r="O40" s="475">
        <f t="shared" si="5"/>
        <v>0</v>
      </c>
      <c r="P40" s="241"/>
    </row>
    <row r="41" spans="2:16" ht="12.5">
      <c r="B41" s="160" t="str">
        <f t="shared" si="6"/>
        <v/>
      </c>
      <c r="C41" s="469">
        <f>IF(D11="","-",+C40+1)</f>
        <v>2034</v>
      </c>
      <c r="D41" s="482">
        <f>IF(F40+SUM(E$17:E40)=D$10,F40,D$10-SUM(E$17:E40))</f>
        <v>10728.119302374967</v>
      </c>
      <c r="E41" s="481">
        <f>IF(+I14&lt;F40,I14,D41)</f>
        <v>581.5</v>
      </c>
      <c r="F41" s="482">
        <f t="shared" si="27"/>
        <v>10146.619302374967</v>
      </c>
      <c r="G41" s="483">
        <f t="shared" si="28"/>
        <v>1768.6483422895728</v>
      </c>
      <c r="H41" s="452">
        <f t="shared" si="29"/>
        <v>1768.6483422895728</v>
      </c>
      <c r="I41" s="472">
        <f t="shared" si="0"/>
        <v>0</v>
      </c>
      <c r="J41" s="472"/>
      <c r="K41" s="484"/>
      <c r="L41" s="475">
        <f t="shared" si="2"/>
        <v>0</v>
      </c>
      <c r="M41" s="484"/>
      <c r="N41" s="475">
        <f t="shared" si="4"/>
        <v>0</v>
      </c>
      <c r="O41" s="475">
        <f t="shared" si="5"/>
        <v>0</v>
      </c>
      <c r="P41" s="241"/>
    </row>
    <row r="42" spans="2:16" ht="12.5">
      <c r="B42" s="160" t="str">
        <f t="shared" si="6"/>
        <v/>
      </c>
      <c r="C42" s="469">
        <f>IF(D11="","-",+C41+1)</f>
        <v>2035</v>
      </c>
      <c r="D42" s="482">
        <f>IF(F41+SUM(E$17:E41)=D$10,F41,D$10-SUM(E$17:E41))</f>
        <v>10146.619302374967</v>
      </c>
      <c r="E42" s="481">
        <f>IF(+I14&lt;F41,I14,D42)</f>
        <v>581.5</v>
      </c>
      <c r="F42" s="482">
        <f t="shared" si="27"/>
        <v>9565.1193023749674</v>
      </c>
      <c r="G42" s="483">
        <f t="shared" si="28"/>
        <v>1702.5084232120419</v>
      </c>
      <c r="H42" s="452">
        <f t="shared" si="29"/>
        <v>1702.5084232120419</v>
      </c>
      <c r="I42" s="472">
        <f t="shared" si="0"/>
        <v>0</v>
      </c>
      <c r="J42" s="472"/>
      <c r="K42" s="484"/>
      <c r="L42" s="475">
        <f t="shared" si="2"/>
        <v>0</v>
      </c>
      <c r="M42" s="484"/>
      <c r="N42" s="475">
        <f t="shared" si="4"/>
        <v>0</v>
      </c>
      <c r="O42" s="475">
        <f t="shared" si="5"/>
        <v>0</v>
      </c>
      <c r="P42" s="241"/>
    </row>
    <row r="43" spans="2:16" ht="12.5">
      <c r="B43" s="160" t="str">
        <f t="shared" si="6"/>
        <v/>
      </c>
      <c r="C43" s="469">
        <f>IF(D11="","-",+C42+1)</f>
        <v>2036</v>
      </c>
      <c r="D43" s="482">
        <f>IF(F42+SUM(E$17:E42)=D$10,F42,D$10-SUM(E$17:E42))</f>
        <v>9565.1193023749674</v>
      </c>
      <c r="E43" s="481">
        <f>IF(+I14&lt;F42,I14,D43)</f>
        <v>581.5</v>
      </c>
      <c r="F43" s="482">
        <f t="shared" si="27"/>
        <v>8983.6193023749674</v>
      </c>
      <c r="G43" s="483">
        <f t="shared" si="28"/>
        <v>1636.3685041345109</v>
      </c>
      <c r="H43" s="452">
        <f t="shared" si="29"/>
        <v>1636.3685041345109</v>
      </c>
      <c r="I43" s="472">
        <f t="shared" si="0"/>
        <v>0</v>
      </c>
      <c r="J43" s="472"/>
      <c r="K43" s="484"/>
      <c r="L43" s="475">
        <f t="shared" si="2"/>
        <v>0</v>
      </c>
      <c r="M43" s="484"/>
      <c r="N43" s="475">
        <f t="shared" si="4"/>
        <v>0</v>
      </c>
      <c r="O43" s="475">
        <f t="shared" si="5"/>
        <v>0</v>
      </c>
      <c r="P43" s="241"/>
    </row>
    <row r="44" spans="2:16" ht="12.5">
      <c r="B44" s="160" t="str">
        <f t="shared" si="6"/>
        <v/>
      </c>
      <c r="C44" s="469">
        <f>IF(D11="","-",+C43+1)</f>
        <v>2037</v>
      </c>
      <c r="D44" s="482">
        <f>IF(F43+SUM(E$17:E43)=D$10,F43,D$10-SUM(E$17:E43))</f>
        <v>8983.6193023749674</v>
      </c>
      <c r="E44" s="481">
        <f>IF(+I14&lt;F43,I14,D44)</f>
        <v>581.5</v>
      </c>
      <c r="F44" s="482">
        <f t="shared" si="27"/>
        <v>8402.1193023749674</v>
      </c>
      <c r="G44" s="483">
        <f t="shared" si="28"/>
        <v>1570.2285850569797</v>
      </c>
      <c r="H44" s="452">
        <f t="shared" si="29"/>
        <v>1570.2285850569797</v>
      </c>
      <c r="I44" s="472">
        <f t="shared" si="0"/>
        <v>0</v>
      </c>
      <c r="J44" s="472"/>
      <c r="K44" s="484"/>
      <c r="L44" s="475">
        <f t="shared" si="2"/>
        <v>0</v>
      </c>
      <c r="M44" s="484"/>
      <c r="N44" s="475">
        <f t="shared" si="4"/>
        <v>0</v>
      </c>
      <c r="O44" s="475">
        <f t="shared" si="5"/>
        <v>0</v>
      </c>
      <c r="P44" s="241"/>
    </row>
    <row r="45" spans="2:16" ht="12.5">
      <c r="B45" s="160" t="str">
        <f t="shared" si="6"/>
        <v/>
      </c>
      <c r="C45" s="469">
        <f>IF(D11="","-",+C44+1)</f>
        <v>2038</v>
      </c>
      <c r="D45" s="482">
        <f>IF(F44+SUM(E$17:E44)=D$10,F44,D$10-SUM(E$17:E44))</f>
        <v>8402.1193023749674</v>
      </c>
      <c r="E45" s="481">
        <f>IF(+I14&lt;F44,I14,D45)</f>
        <v>581.5</v>
      </c>
      <c r="F45" s="482">
        <f t="shared" si="27"/>
        <v>7820.6193023749674</v>
      </c>
      <c r="G45" s="483">
        <f t="shared" si="28"/>
        <v>1504.0886659794487</v>
      </c>
      <c r="H45" s="452">
        <f t="shared" si="29"/>
        <v>1504.0886659794487</v>
      </c>
      <c r="I45" s="472">
        <f t="shared" si="0"/>
        <v>0</v>
      </c>
      <c r="J45" s="472"/>
      <c r="K45" s="484"/>
      <c r="L45" s="475">
        <f t="shared" si="2"/>
        <v>0</v>
      </c>
      <c r="M45" s="484"/>
      <c r="N45" s="475">
        <f t="shared" si="4"/>
        <v>0</v>
      </c>
      <c r="O45" s="475">
        <f t="shared" si="5"/>
        <v>0</v>
      </c>
      <c r="P45" s="241"/>
    </row>
    <row r="46" spans="2:16" ht="12.5">
      <c r="B46" s="160" t="str">
        <f t="shared" si="6"/>
        <v/>
      </c>
      <c r="C46" s="469">
        <f>IF(D11="","-",+C45+1)</f>
        <v>2039</v>
      </c>
      <c r="D46" s="482">
        <f>IF(F45+SUM(E$17:E45)=D$10,F45,D$10-SUM(E$17:E45))</f>
        <v>7820.6193023749674</v>
      </c>
      <c r="E46" s="481">
        <f>IF(+I14&lt;F45,I14,D46)</f>
        <v>581.5</v>
      </c>
      <c r="F46" s="482">
        <f t="shared" si="27"/>
        <v>7239.1193023749674</v>
      </c>
      <c r="G46" s="483">
        <f t="shared" si="28"/>
        <v>1437.9487469019177</v>
      </c>
      <c r="H46" s="452">
        <f t="shared" si="29"/>
        <v>1437.9487469019177</v>
      </c>
      <c r="I46" s="472">
        <f t="shared" si="0"/>
        <v>0</v>
      </c>
      <c r="J46" s="472"/>
      <c r="K46" s="484"/>
      <c r="L46" s="475">
        <f t="shared" si="2"/>
        <v>0</v>
      </c>
      <c r="M46" s="484"/>
      <c r="N46" s="475">
        <f t="shared" si="4"/>
        <v>0</v>
      </c>
      <c r="O46" s="475">
        <f t="shared" si="5"/>
        <v>0</v>
      </c>
      <c r="P46" s="241"/>
    </row>
    <row r="47" spans="2:16" ht="12.5">
      <c r="B47" s="160" t="str">
        <f t="shared" si="6"/>
        <v/>
      </c>
      <c r="C47" s="469">
        <f>IF(D11="","-",+C46+1)</f>
        <v>2040</v>
      </c>
      <c r="D47" s="482">
        <f>IF(F46+SUM(E$17:E46)=D$10,F46,D$10-SUM(E$17:E46))</f>
        <v>7239.1193023749674</v>
      </c>
      <c r="E47" s="481">
        <f>IF(+I14&lt;F46,I14,D47)</f>
        <v>581.5</v>
      </c>
      <c r="F47" s="482">
        <f t="shared" si="27"/>
        <v>6657.6193023749674</v>
      </c>
      <c r="G47" s="483">
        <f t="shared" si="28"/>
        <v>1371.8088278243868</v>
      </c>
      <c r="H47" s="452">
        <f t="shared" si="29"/>
        <v>1371.8088278243868</v>
      </c>
      <c r="I47" s="472">
        <f t="shared" si="0"/>
        <v>0</v>
      </c>
      <c r="J47" s="472"/>
      <c r="K47" s="484"/>
      <c r="L47" s="475">
        <f t="shared" si="2"/>
        <v>0</v>
      </c>
      <c r="M47" s="484"/>
      <c r="N47" s="475">
        <f t="shared" si="4"/>
        <v>0</v>
      </c>
      <c r="O47" s="475">
        <f t="shared" si="5"/>
        <v>0</v>
      </c>
      <c r="P47" s="241"/>
    </row>
    <row r="48" spans="2:16" ht="12.5">
      <c r="B48" s="160" t="str">
        <f t="shared" si="6"/>
        <v/>
      </c>
      <c r="C48" s="469">
        <f>IF(D11="","-",+C47+1)</f>
        <v>2041</v>
      </c>
      <c r="D48" s="482">
        <f>IF(F47+SUM(E$17:E47)=D$10,F47,D$10-SUM(E$17:E47))</f>
        <v>6657.6193023749674</v>
      </c>
      <c r="E48" s="481">
        <f>IF(+I14&lt;F47,I14,D48)</f>
        <v>581.5</v>
      </c>
      <c r="F48" s="482">
        <f t="shared" si="27"/>
        <v>6076.1193023749674</v>
      </c>
      <c r="G48" s="483">
        <f t="shared" si="28"/>
        <v>1305.6689087468558</v>
      </c>
      <c r="H48" s="452">
        <f t="shared" si="29"/>
        <v>1305.6689087468558</v>
      </c>
      <c r="I48" s="472">
        <f t="shared" si="0"/>
        <v>0</v>
      </c>
      <c r="J48" s="472"/>
      <c r="K48" s="484"/>
      <c r="L48" s="475">
        <f t="shared" si="2"/>
        <v>0</v>
      </c>
      <c r="M48" s="484"/>
      <c r="N48" s="475">
        <f t="shared" si="4"/>
        <v>0</v>
      </c>
      <c r="O48" s="475">
        <f t="shared" si="5"/>
        <v>0</v>
      </c>
      <c r="P48" s="241"/>
    </row>
    <row r="49" spans="2:16" ht="12.5">
      <c r="B49" s="160" t="str">
        <f t="shared" si="6"/>
        <v/>
      </c>
      <c r="C49" s="469">
        <f>IF(D11="","-",+C48+1)</f>
        <v>2042</v>
      </c>
      <c r="D49" s="482">
        <f>IF(F48+SUM(E$17:E48)=D$10,F48,D$10-SUM(E$17:E48))</f>
        <v>6076.1193023749674</v>
      </c>
      <c r="E49" s="481">
        <f>IF(+I14&lt;F48,I14,D49)</f>
        <v>581.5</v>
      </c>
      <c r="F49" s="482">
        <f t="shared" ref="F49:F72" si="30">+D49-E49</f>
        <v>5494.6193023749674</v>
      </c>
      <c r="G49" s="483">
        <f t="shared" si="28"/>
        <v>1239.5289896693248</v>
      </c>
      <c r="H49" s="452">
        <f t="shared" si="29"/>
        <v>1239.5289896693248</v>
      </c>
      <c r="I49" s="472">
        <f t="shared" ref="I49:I72" si="31">H49-G49</f>
        <v>0</v>
      </c>
      <c r="J49" s="472"/>
      <c r="K49" s="484"/>
      <c r="L49" s="475">
        <f t="shared" ref="L49:L72" si="32">IF(K49&lt;&gt;0,+G49-K49,0)</f>
        <v>0</v>
      </c>
      <c r="M49" s="484"/>
      <c r="N49" s="475">
        <f t="shared" ref="N49:N72" si="33">IF(M49&lt;&gt;0,+H49-M49,0)</f>
        <v>0</v>
      </c>
      <c r="O49" s="475">
        <f t="shared" ref="O49:O72" si="34">+N49-L49</f>
        <v>0</v>
      </c>
      <c r="P49" s="241"/>
    </row>
    <row r="50" spans="2:16" ht="12.5">
      <c r="B50" s="160" t="str">
        <f t="shared" ref="B50:B72" si="35">IF(D50=F49,"","IU")</f>
        <v/>
      </c>
      <c r="C50" s="469">
        <f>IF(D11="","-",+C49+1)</f>
        <v>2043</v>
      </c>
      <c r="D50" s="482">
        <f>IF(F49+SUM(E$17:E49)=D$10,F49,D$10-SUM(E$17:E49))</f>
        <v>5494.6193023749674</v>
      </c>
      <c r="E50" s="481">
        <f>IF(+I14&lt;F49,I14,D50)</f>
        <v>581.5</v>
      </c>
      <c r="F50" s="482">
        <f t="shared" si="30"/>
        <v>4913.1193023749674</v>
      </c>
      <c r="G50" s="483">
        <f t="shared" si="28"/>
        <v>1173.3890705917938</v>
      </c>
      <c r="H50" s="452">
        <f t="shared" si="29"/>
        <v>1173.3890705917938</v>
      </c>
      <c r="I50" s="472">
        <f t="shared" si="31"/>
        <v>0</v>
      </c>
      <c r="J50" s="472"/>
      <c r="K50" s="484"/>
      <c r="L50" s="475">
        <f t="shared" si="32"/>
        <v>0</v>
      </c>
      <c r="M50" s="484"/>
      <c r="N50" s="475">
        <f t="shared" si="33"/>
        <v>0</v>
      </c>
      <c r="O50" s="475">
        <f t="shared" si="34"/>
        <v>0</v>
      </c>
      <c r="P50" s="241"/>
    </row>
    <row r="51" spans="2:16" ht="12.5">
      <c r="B51" s="160" t="str">
        <f t="shared" si="35"/>
        <v/>
      </c>
      <c r="C51" s="469">
        <f>IF(D11="","-",+C50+1)</f>
        <v>2044</v>
      </c>
      <c r="D51" s="482">
        <f>IF(F50+SUM(E$17:E50)=D$10,F50,D$10-SUM(E$17:E50))</f>
        <v>4913.1193023749674</v>
      </c>
      <c r="E51" s="481">
        <f>IF(+I14&lt;F50,I14,D51)</f>
        <v>581.5</v>
      </c>
      <c r="F51" s="482">
        <f t="shared" si="30"/>
        <v>4331.6193023749674</v>
      </c>
      <c r="G51" s="483">
        <f t="shared" si="28"/>
        <v>1107.2491515142628</v>
      </c>
      <c r="H51" s="452">
        <f t="shared" si="29"/>
        <v>1107.2491515142628</v>
      </c>
      <c r="I51" s="472">
        <f t="shared" si="31"/>
        <v>0</v>
      </c>
      <c r="J51" s="472"/>
      <c r="K51" s="484"/>
      <c r="L51" s="475">
        <f t="shared" si="32"/>
        <v>0</v>
      </c>
      <c r="M51" s="484"/>
      <c r="N51" s="475">
        <f t="shared" si="33"/>
        <v>0</v>
      </c>
      <c r="O51" s="475">
        <f t="shared" si="34"/>
        <v>0</v>
      </c>
      <c r="P51" s="241"/>
    </row>
    <row r="52" spans="2:16" ht="12.5">
      <c r="B52" s="160" t="str">
        <f t="shared" si="35"/>
        <v/>
      </c>
      <c r="C52" s="469">
        <f>IF(D11="","-",+C51+1)</f>
        <v>2045</v>
      </c>
      <c r="D52" s="482">
        <f>IF(F51+SUM(E$17:E51)=D$10,F51,D$10-SUM(E$17:E51))</f>
        <v>4331.6193023749674</v>
      </c>
      <c r="E52" s="481">
        <f>IF(+I14&lt;F51,I14,D52)</f>
        <v>581.5</v>
      </c>
      <c r="F52" s="482">
        <f t="shared" si="30"/>
        <v>3750.1193023749674</v>
      </c>
      <c r="G52" s="483">
        <f t="shared" si="28"/>
        <v>1041.1092324367319</v>
      </c>
      <c r="H52" s="452">
        <f t="shared" si="29"/>
        <v>1041.1092324367319</v>
      </c>
      <c r="I52" s="472">
        <f t="shared" si="31"/>
        <v>0</v>
      </c>
      <c r="J52" s="472"/>
      <c r="K52" s="484"/>
      <c r="L52" s="475">
        <f t="shared" si="32"/>
        <v>0</v>
      </c>
      <c r="M52" s="484"/>
      <c r="N52" s="475">
        <f t="shared" si="33"/>
        <v>0</v>
      </c>
      <c r="O52" s="475">
        <f t="shared" si="34"/>
        <v>0</v>
      </c>
      <c r="P52" s="241"/>
    </row>
    <row r="53" spans="2:16" ht="12.5">
      <c r="B53" s="160" t="str">
        <f t="shared" si="35"/>
        <v/>
      </c>
      <c r="C53" s="469">
        <f>IF(D11="","-",+C52+1)</f>
        <v>2046</v>
      </c>
      <c r="D53" s="482">
        <f>IF(F52+SUM(E$17:E52)=D$10,F52,D$10-SUM(E$17:E52))</f>
        <v>3750.1193023749674</v>
      </c>
      <c r="E53" s="481">
        <f>IF(+I14&lt;F52,I14,D53)</f>
        <v>581.5</v>
      </c>
      <c r="F53" s="482">
        <f t="shared" si="30"/>
        <v>3168.6193023749674</v>
      </c>
      <c r="G53" s="483">
        <f t="shared" si="28"/>
        <v>974.96931335920078</v>
      </c>
      <c r="H53" s="452">
        <f t="shared" si="29"/>
        <v>974.96931335920078</v>
      </c>
      <c r="I53" s="472">
        <f t="shared" si="31"/>
        <v>0</v>
      </c>
      <c r="J53" s="472"/>
      <c r="K53" s="484"/>
      <c r="L53" s="475">
        <f t="shared" si="32"/>
        <v>0</v>
      </c>
      <c r="M53" s="484"/>
      <c r="N53" s="475">
        <f t="shared" si="33"/>
        <v>0</v>
      </c>
      <c r="O53" s="475">
        <f t="shared" si="34"/>
        <v>0</v>
      </c>
      <c r="P53" s="241"/>
    </row>
    <row r="54" spans="2:16" ht="12.5">
      <c r="B54" s="160" t="str">
        <f t="shared" si="35"/>
        <v/>
      </c>
      <c r="C54" s="469">
        <f>IF(D11="","-",+C53+1)</f>
        <v>2047</v>
      </c>
      <c r="D54" s="482">
        <f>IF(F53+SUM(E$17:E53)=D$10,F53,D$10-SUM(E$17:E53))</f>
        <v>3168.6193023749674</v>
      </c>
      <c r="E54" s="481">
        <f>IF(+I14&lt;F53,I14,D54)</f>
        <v>581.5</v>
      </c>
      <c r="F54" s="482">
        <f t="shared" si="30"/>
        <v>2587.1193023749674</v>
      </c>
      <c r="G54" s="483">
        <f t="shared" si="28"/>
        <v>908.82939428166969</v>
      </c>
      <c r="H54" s="452">
        <f t="shared" si="29"/>
        <v>908.82939428166969</v>
      </c>
      <c r="I54" s="472">
        <f t="shared" si="31"/>
        <v>0</v>
      </c>
      <c r="J54" s="472"/>
      <c r="K54" s="484"/>
      <c r="L54" s="475">
        <f t="shared" si="32"/>
        <v>0</v>
      </c>
      <c r="M54" s="484"/>
      <c r="N54" s="475">
        <f t="shared" si="33"/>
        <v>0</v>
      </c>
      <c r="O54" s="475">
        <f t="shared" si="34"/>
        <v>0</v>
      </c>
      <c r="P54" s="241"/>
    </row>
    <row r="55" spans="2:16" ht="12.5">
      <c r="B55" s="160" t="str">
        <f t="shared" si="35"/>
        <v/>
      </c>
      <c r="C55" s="469">
        <f>IF(D11="","-",+C54+1)</f>
        <v>2048</v>
      </c>
      <c r="D55" s="482">
        <f>IF(F54+SUM(E$17:E54)=D$10,F54,D$10-SUM(E$17:E54))</f>
        <v>2587.1193023749674</v>
      </c>
      <c r="E55" s="481">
        <f>IF(+I14&lt;F54,I14,D55)</f>
        <v>581.5</v>
      </c>
      <c r="F55" s="482">
        <f t="shared" si="30"/>
        <v>2005.6193023749674</v>
      </c>
      <c r="G55" s="483">
        <f t="shared" si="28"/>
        <v>842.68947520413872</v>
      </c>
      <c r="H55" s="452">
        <f t="shared" si="29"/>
        <v>842.68947520413872</v>
      </c>
      <c r="I55" s="472">
        <f t="shared" si="31"/>
        <v>0</v>
      </c>
      <c r="J55" s="472"/>
      <c r="K55" s="484"/>
      <c r="L55" s="475">
        <f t="shared" si="32"/>
        <v>0</v>
      </c>
      <c r="M55" s="484"/>
      <c r="N55" s="475">
        <f t="shared" si="33"/>
        <v>0</v>
      </c>
      <c r="O55" s="475">
        <f t="shared" si="34"/>
        <v>0</v>
      </c>
      <c r="P55" s="241"/>
    </row>
    <row r="56" spans="2:16" ht="12.5">
      <c r="B56" s="160" t="str">
        <f t="shared" si="35"/>
        <v/>
      </c>
      <c r="C56" s="469">
        <f>IF(D11="","-",+C55+1)</f>
        <v>2049</v>
      </c>
      <c r="D56" s="482">
        <f>IF(F55+SUM(E$17:E55)=D$10,F55,D$10-SUM(E$17:E55))</f>
        <v>2005.6193023749674</v>
      </c>
      <c r="E56" s="481">
        <f>IF(+I14&lt;F55,I14,D56)</f>
        <v>581.5</v>
      </c>
      <c r="F56" s="482">
        <f t="shared" si="30"/>
        <v>1424.1193023749674</v>
      </c>
      <c r="G56" s="483">
        <f t="shared" si="28"/>
        <v>776.54955612660774</v>
      </c>
      <c r="H56" s="452">
        <f t="shared" si="29"/>
        <v>776.54955612660774</v>
      </c>
      <c r="I56" s="472">
        <f t="shared" si="31"/>
        <v>0</v>
      </c>
      <c r="J56" s="472"/>
      <c r="K56" s="484"/>
      <c r="L56" s="475">
        <f t="shared" si="32"/>
        <v>0</v>
      </c>
      <c r="M56" s="484"/>
      <c r="N56" s="475">
        <f t="shared" si="33"/>
        <v>0</v>
      </c>
      <c r="O56" s="475">
        <f t="shared" si="34"/>
        <v>0</v>
      </c>
      <c r="P56" s="241"/>
    </row>
    <row r="57" spans="2:16" ht="12.5">
      <c r="B57" s="160" t="str">
        <f t="shared" si="35"/>
        <v/>
      </c>
      <c r="C57" s="469">
        <f>IF(D11="","-",+C56+1)</f>
        <v>2050</v>
      </c>
      <c r="D57" s="482">
        <f>IF(F56+SUM(E$17:E56)=D$10,F56,D$10-SUM(E$17:E56))</f>
        <v>1424.1193023749674</v>
      </c>
      <c r="E57" s="481">
        <f>IF(+I14&lt;F56,I14,D57)</f>
        <v>581.5</v>
      </c>
      <c r="F57" s="482">
        <f t="shared" si="30"/>
        <v>842.61930237496745</v>
      </c>
      <c r="G57" s="483">
        <f t="shared" si="28"/>
        <v>710.40963704907676</v>
      </c>
      <c r="H57" s="452">
        <f t="shared" si="29"/>
        <v>710.40963704907676</v>
      </c>
      <c r="I57" s="472">
        <f t="shared" si="31"/>
        <v>0</v>
      </c>
      <c r="J57" s="472"/>
      <c r="K57" s="484"/>
      <c r="L57" s="475">
        <f t="shared" si="32"/>
        <v>0</v>
      </c>
      <c r="M57" s="484"/>
      <c r="N57" s="475">
        <f t="shared" si="33"/>
        <v>0</v>
      </c>
      <c r="O57" s="475">
        <f t="shared" si="34"/>
        <v>0</v>
      </c>
      <c r="P57" s="241"/>
    </row>
    <row r="58" spans="2:16" ht="12.5">
      <c r="B58" s="160" t="str">
        <f t="shared" si="35"/>
        <v/>
      </c>
      <c r="C58" s="469">
        <f>IF(D11="","-",+C57+1)</f>
        <v>2051</v>
      </c>
      <c r="D58" s="482">
        <f>IF(F57+SUM(E$17:E57)=D$10,F57,D$10-SUM(E$17:E57))</f>
        <v>842.61930237496745</v>
      </c>
      <c r="E58" s="481">
        <f>IF(+I14&lt;F57,I14,D58)</f>
        <v>581.5</v>
      </c>
      <c r="F58" s="482">
        <f t="shared" si="30"/>
        <v>261.11930237496745</v>
      </c>
      <c r="G58" s="483">
        <f t="shared" si="28"/>
        <v>644.26971797154567</v>
      </c>
      <c r="H58" s="452">
        <f t="shared" si="29"/>
        <v>644.26971797154567</v>
      </c>
      <c r="I58" s="472">
        <f t="shared" si="31"/>
        <v>0</v>
      </c>
      <c r="J58" s="472"/>
      <c r="K58" s="484"/>
      <c r="L58" s="475">
        <f t="shared" si="32"/>
        <v>0</v>
      </c>
      <c r="M58" s="484"/>
      <c r="N58" s="475">
        <f t="shared" si="33"/>
        <v>0</v>
      </c>
      <c r="O58" s="475">
        <f t="shared" si="34"/>
        <v>0</v>
      </c>
      <c r="P58" s="241"/>
    </row>
    <row r="59" spans="2:16" ht="12.5">
      <c r="B59" s="160" t="str">
        <f t="shared" si="35"/>
        <v/>
      </c>
      <c r="C59" s="469">
        <f>IF(D11="","-",+C58+1)</f>
        <v>2052</v>
      </c>
      <c r="D59" s="482">
        <f>IF(F58+SUM(E$17:E58)=D$10,F58,D$10-SUM(E$17:E58))</f>
        <v>261.11930237496745</v>
      </c>
      <c r="E59" s="481">
        <f>IF(+I14&lt;F58,I14,D59)</f>
        <v>261.11930237496745</v>
      </c>
      <c r="F59" s="482">
        <f t="shared" si="30"/>
        <v>0</v>
      </c>
      <c r="G59" s="483">
        <f t="shared" si="28"/>
        <v>275.96918159135754</v>
      </c>
      <c r="H59" s="452">
        <f t="shared" si="29"/>
        <v>275.96918159135754</v>
      </c>
      <c r="I59" s="472">
        <f t="shared" si="31"/>
        <v>0</v>
      </c>
      <c r="J59" s="472"/>
      <c r="K59" s="484"/>
      <c r="L59" s="475">
        <f t="shared" si="32"/>
        <v>0</v>
      </c>
      <c r="M59" s="484"/>
      <c r="N59" s="475">
        <f t="shared" si="33"/>
        <v>0</v>
      </c>
      <c r="O59" s="475">
        <f t="shared" si="34"/>
        <v>0</v>
      </c>
      <c r="P59" s="241"/>
    </row>
    <row r="60" spans="2:16" ht="12.5">
      <c r="B60" s="160" t="str">
        <f t="shared" si="35"/>
        <v/>
      </c>
      <c r="C60" s="469">
        <f>IF(D11="","-",+C59+1)</f>
        <v>2053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0"/>
        <v>0</v>
      </c>
      <c r="G60" s="483">
        <f t="shared" si="28"/>
        <v>0</v>
      </c>
      <c r="H60" s="452">
        <f t="shared" si="29"/>
        <v>0</v>
      </c>
      <c r="I60" s="472">
        <f t="shared" si="31"/>
        <v>0</v>
      </c>
      <c r="J60" s="472"/>
      <c r="K60" s="484"/>
      <c r="L60" s="475">
        <f t="shared" si="32"/>
        <v>0</v>
      </c>
      <c r="M60" s="484"/>
      <c r="N60" s="475">
        <f t="shared" si="33"/>
        <v>0</v>
      </c>
      <c r="O60" s="475">
        <f t="shared" si="34"/>
        <v>0</v>
      </c>
      <c r="P60" s="241"/>
    </row>
    <row r="61" spans="2:16" ht="12.5">
      <c r="B61" s="160" t="str">
        <f t="shared" si="35"/>
        <v/>
      </c>
      <c r="C61" s="469">
        <f>IF(D11="","-",+C60+1)</f>
        <v>2054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0"/>
        <v>0</v>
      </c>
      <c r="G61" s="483">
        <f t="shared" si="28"/>
        <v>0</v>
      </c>
      <c r="H61" s="452">
        <f t="shared" si="29"/>
        <v>0</v>
      </c>
      <c r="I61" s="472">
        <f t="shared" si="31"/>
        <v>0</v>
      </c>
      <c r="J61" s="472"/>
      <c r="K61" s="484"/>
      <c r="L61" s="475">
        <f t="shared" si="32"/>
        <v>0</v>
      </c>
      <c r="M61" s="484"/>
      <c r="N61" s="475">
        <f t="shared" si="33"/>
        <v>0</v>
      </c>
      <c r="O61" s="475">
        <f t="shared" si="34"/>
        <v>0</v>
      </c>
      <c r="P61" s="241"/>
    </row>
    <row r="62" spans="2:16" ht="12.5">
      <c r="B62" s="160" t="str">
        <f t="shared" si="35"/>
        <v/>
      </c>
      <c r="C62" s="469">
        <f>IF(D11="","-",+C61+1)</f>
        <v>2055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0"/>
        <v>0</v>
      </c>
      <c r="G62" s="483">
        <f t="shared" si="28"/>
        <v>0</v>
      </c>
      <c r="H62" s="452">
        <f t="shared" si="29"/>
        <v>0</v>
      </c>
      <c r="I62" s="472">
        <f t="shared" si="31"/>
        <v>0</v>
      </c>
      <c r="J62" s="472"/>
      <c r="K62" s="484"/>
      <c r="L62" s="475">
        <f t="shared" si="32"/>
        <v>0</v>
      </c>
      <c r="M62" s="484"/>
      <c r="N62" s="475">
        <f t="shared" si="33"/>
        <v>0</v>
      </c>
      <c r="O62" s="475">
        <f t="shared" si="34"/>
        <v>0</v>
      </c>
      <c r="P62" s="241"/>
    </row>
    <row r="63" spans="2:16" ht="12.5">
      <c r="B63" s="160" t="str">
        <f t="shared" si="35"/>
        <v/>
      </c>
      <c r="C63" s="469">
        <f>IF(D11="","-",+C62+1)</f>
        <v>2056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0"/>
        <v>0</v>
      </c>
      <c r="G63" s="483">
        <f t="shared" si="28"/>
        <v>0</v>
      </c>
      <c r="H63" s="452">
        <f t="shared" si="29"/>
        <v>0</v>
      </c>
      <c r="I63" s="472">
        <f t="shared" si="31"/>
        <v>0</v>
      </c>
      <c r="J63" s="472"/>
      <c r="K63" s="484"/>
      <c r="L63" s="475">
        <f t="shared" si="32"/>
        <v>0</v>
      </c>
      <c r="M63" s="484"/>
      <c r="N63" s="475">
        <f t="shared" si="33"/>
        <v>0</v>
      </c>
      <c r="O63" s="475">
        <f t="shared" si="34"/>
        <v>0</v>
      </c>
      <c r="P63" s="241"/>
    </row>
    <row r="64" spans="2:16" ht="12.5">
      <c r="B64" s="160" t="str">
        <f t="shared" si="35"/>
        <v/>
      </c>
      <c r="C64" s="469">
        <f>IF(D11="","-",+C63+1)</f>
        <v>2057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0"/>
        <v>0</v>
      </c>
      <c r="G64" s="483">
        <f t="shared" si="28"/>
        <v>0</v>
      </c>
      <c r="H64" s="452">
        <f t="shared" si="29"/>
        <v>0</v>
      </c>
      <c r="I64" s="472">
        <f t="shared" si="31"/>
        <v>0</v>
      </c>
      <c r="J64" s="472"/>
      <c r="K64" s="484"/>
      <c r="L64" s="475">
        <f t="shared" si="32"/>
        <v>0</v>
      </c>
      <c r="M64" s="484"/>
      <c r="N64" s="475">
        <f t="shared" si="33"/>
        <v>0</v>
      </c>
      <c r="O64" s="475">
        <f t="shared" si="34"/>
        <v>0</v>
      </c>
      <c r="P64" s="241"/>
    </row>
    <row r="65" spans="2:16" ht="12.5">
      <c r="B65" s="160" t="str">
        <f t="shared" si="35"/>
        <v/>
      </c>
      <c r="C65" s="469">
        <f>IF(D11="","-",+C64+1)</f>
        <v>2058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0"/>
        <v>0</v>
      </c>
      <c r="G65" s="483">
        <f t="shared" si="28"/>
        <v>0</v>
      </c>
      <c r="H65" s="452">
        <f t="shared" si="29"/>
        <v>0</v>
      </c>
      <c r="I65" s="472">
        <f t="shared" si="31"/>
        <v>0</v>
      </c>
      <c r="J65" s="472"/>
      <c r="K65" s="484"/>
      <c r="L65" s="475">
        <f t="shared" si="32"/>
        <v>0</v>
      </c>
      <c r="M65" s="484"/>
      <c r="N65" s="475">
        <f t="shared" si="33"/>
        <v>0</v>
      </c>
      <c r="O65" s="475">
        <f t="shared" si="34"/>
        <v>0</v>
      </c>
      <c r="P65" s="241"/>
    </row>
    <row r="66" spans="2:16" ht="12.5">
      <c r="B66" s="160" t="str">
        <f t="shared" si="35"/>
        <v/>
      </c>
      <c r="C66" s="469">
        <f>IF(D11="","-",+C65+1)</f>
        <v>2059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0"/>
        <v>0</v>
      </c>
      <c r="G66" s="483">
        <f t="shared" si="28"/>
        <v>0</v>
      </c>
      <c r="H66" s="452">
        <f t="shared" si="29"/>
        <v>0</v>
      </c>
      <c r="I66" s="472">
        <f t="shared" si="31"/>
        <v>0</v>
      </c>
      <c r="J66" s="472"/>
      <c r="K66" s="484"/>
      <c r="L66" s="475">
        <f t="shared" si="32"/>
        <v>0</v>
      </c>
      <c r="M66" s="484"/>
      <c r="N66" s="475">
        <f t="shared" si="33"/>
        <v>0</v>
      </c>
      <c r="O66" s="475">
        <f t="shared" si="34"/>
        <v>0</v>
      </c>
      <c r="P66" s="241"/>
    </row>
    <row r="67" spans="2:16" ht="12.5">
      <c r="B67" s="160" t="str">
        <f t="shared" si="35"/>
        <v/>
      </c>
      <c r="C67" s="469">
        <f>IF(D11="","-",+C66+1)</f>
        <v>2060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0"/>
        <v>0</v>
      </c>
      <c r="G67" s="483">
        <f t="shared" si="28"/>
        <v>0</v>
      </c>
      <c r="H67" s="452">
        <f t="shared" si="29"/>
        <v>0</v>
      </c>
      <c r="I67" s="472">
        <f t="shared" si="31"/>
        <v>0</v>
      </c>
      <c r="J67" s="472"/>
      <c r="K67" s="484"/>
      <c r="L67" s="475">
        <f t="shared" si="32"/>
        <v>0</v>
      </c>
      <c r="M67" s="484"/>
      <c r="N67" s="475">
        <f t="shared" si="33"/>
        <v>0</v>
      </c>
      <c r="O67" s="475">
        <f t="shared" si="34"/>
        <v>0</v>
      </c>
      <c r="P67" s="241"/>
    </row>
    <row r="68" spans="2:16" ht="12.5">
      <c r="B68" s="160" t="str">
        <f t="shared" si="35"/>
        <v/>
      </c>
      <c r="C68" s="469">
        <f>IF(D11="","-",+C67+1)</f>
        <v>2061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0"/>
        <v>0</v>
      </c>
      <c r="G68" s="483">
        <f t="shared" si="28"/>
        <v>0</v>
      </c>
      <c r="H68" s="452">
        <f t="shared" si="29"/>
        <v>0</v>
      </c>
      <c r="I68" s="472">
        <f t="shared" si="31"/>
        <v>0</v>
      </c>
      <c r="J68" s="472"/>
      <c r="K68" s="484"/>
      <c r="L68" s="475">
        <f t="shared" si="32"/>
        <v>0</v>
      </c>
      <c r="M68" s="484"/>
      <c r="N68" s="475">
        <f t="shared" si="33"/>
        <v>0</v>
      </c>
      <c r="O68" s="475">
        <f t="shared" si="34"/>
        <v>0</v>
      </c>
      <c r="P68" s="241"/>
    </row>
    <row r="69" spans="2:16" ht="12.5">
      <c r="B69" s="160" t="str">
        <f t="shared" si="35"/>
        <v/>
      </c>
      <c r="C69" s="469">
        <f>IF(D11="","-",+C68+1)</f>
        <v>2062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0"/>
        <v>0</v>
      </c>
      <c r="G69" s="483">
        <f t="shared" si="28"/>
        <v>0</v>
      </c>
      <c r="H69" s="452">
        <f t="shared" si="29"/>
        <v>0</v>
      </c>
      <c r="I69" s="472">
        <f t="shared" si="31"/>
        <v>0</v>
      </c>
      <c r="J69" s="472"/>
      <c r="K69" s="484"/>
      <c r="L69" s="475">
        <f t="shared" si="32"/>
        <v>0</v>
      </c>
      <c r="M69" s="484"/>
      <c r="N69" s="475">
        <f t="shared" si="33"/>
        <v>0</v>
      </c>
      <c r="O69" s="475">
        <f t="shared" si="34"/>
        <v>0</v>
      </c>
      <c r="P69" s="241"/>
    </row>
    <row r="70" spans="2:16" ht="12.5">
      <c r="B70" s="160" t="str">
        <f t="shared" si="35"/>
        <v/>
      </c>
      <c r="C70" s="469">
        <f>IF(D11="","-",+C69+1)</f>
        <v>2063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0"/>
        <v>0</v>
      </c>
      <c r="G70" s="483">
        <f t="shared" si="28"/>
        <v>0</v>
      </c>
      <c r="H70" s="452">
        <f t="shared" si="29"/>
        <v>0</v>
      </c>
      <c r="I70" s="472">
        <f t="shared" si="31"/>
        <v>0</v>
      </c>
      <c r="J70" s="472"/>
      <c r="K70" s="484"/>
      <c r="L70" s="475">
        <f t="shared" si="32"/>
        <v>0</v>
      </c>
      <c r="M70" s="484"/>
      <c r="N70" s="475">
        <f t="shared" si="33"/>
        <v>0</v>
      </c>
      <c r="O70" s="475">
        <f t="shared" si="34"/>
        <v>0</v>
      </c>
      <c r="P70" s="241"/>
    </row>
    <row r="71" spans="2:16" ht="12.5">
      <c r="B71" s="160" t="str">
        <f t="shared" si="35"/>
        <v/>
      </c>
      <c r="C71" s="469">
        <f>IF(D11="","-",+C70+1)</f>
        <v>2064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0"/>
        <v>0</v>
      </c>
      <c r="G71" s="483">
        <f t="shared" si="28"/>
        <v>0</v>
      </c>
      <c r="H71" s="452">
        <f t="shared" si="29"/>
        <v>0</v>
      </c>
      <c r="I71" s="472">
        <f t="shared" si="31"/>
        <v>0</v>
      </c>
      <c r="J71" s="472"/>
      <c r="K71" s="484"/>
      <c r="L71" s="475">
        <f t="shared" si="32"/>
        <v>0</v>
      </c>
      <c r="M71" s="484"/>
      <c r="N71" s="475">
        <f t="shared" si="33"/>
        <v>0</v>
      </c>
      <c r="O71" s="475">
        <f t="shared" si="34"/>
        <v>0</v>
      </c>
      <c r="P71" s="241"/>
    </row>
    <row r="72" spans="2:16" ht="13" thickBot="1">
      <c r="B72" s="160" t="str">
        <f t="shared" si="35"/>
        <v/>
      </c>
      <c r="C72" s="486">
        <f>IF(D11="","-",+C71+1)</f>
        <v>2065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0"/>
        <v>0</v>
      </c>
      <c r="G72" s="487">
        <f t="shared" si="28"/>
        <v>0</v>
      </c>
      <c r="H72" s="487">
        <f t="shared" si="29"/>
        <v>0</v>
      </c>
      <c r="I72" s="490">
        <f t="shared" si="31"/>
        <v>0</v>
      </c>
      <c r="J72" s="472"/>
      <c r="K72" s="491"/>
      <c r="L72" s="492">
        <f t="shared" si="32"/>
        <v>0</v>
      </c>
      <c r="M72" s="491"/>
      <c r="N72" s="492">
        <f t="shared" si="33"/>
        <v>0</v>
      </c>
      <c r="O72" s="492">
        <f t="shared" si="34"/>
        <v>0</v>
      </c>
      <c r="P72" s="241"/>
    </row>
    <row r="73" spans="2:16" ht="12.5">
      <c r="C73" s="344" t="s">
        <v>77</v>
      </c>
      <c r="D73" s="345"/>
      <c r="E73" s="345">
        <f>SUM(E17:E72)</f>
        <v>22097</v>
      </c>
      <c r="F73" s="345"/>
      <c r="G73" s="345">
        <f>SUM(G17:G72)</f>
        <v>78118.709716362238</v>
      </c>
      <c r="H73" s="345">
        <f>SUM(H17:H72)</f>
        <v>78118.709716362238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13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2505.5656529283688</v>
      </c>
      <c r="N87" s="505">
        <f>IF(J92&lt;D11,0,VLOOKUP(J92,C17:O72,11))</f>
        <v>2505.5656529283688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2741.2404187045827</v>
      </c>
      <c r="N88" s="509">
        <f>IF(J92&lt;D11,0,VLOOKUP(J92,C99:P154,7))</f>
        <v>2741.2404187045827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CoffeyvilleT to Dearing 138 kv Rebuild - 1.1 mi*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235.67476577621392</v>
      </c>
      <c r="N89" s="514">
        <f>+N88-N87</f>
        <v>235.67476577621392</v>
      </c>
      <c r="O89" s="515">
        <f>+O88-O87</f>
        <v>0</v>
      </c>
      <c r="P89" s="231"/>
    </row>
    <row r="90" spans="1:16" ht="13.5" thickBot="1">
      <c r="C90" s="493"/>
      <c r="D90" s="516" t="str">
        <f>D8</f>
        <v>DOES NOT MEET SPP $100,000 MINIMUM INVESTMENT FOR REGIONAL BPU SHARING.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TP2008013</v>
      </c>
      <c r="E91" s="519" t="str">
        <f>E9</f>
        <v xml:space="preserve">  SPP Project ID = 295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22097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2010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6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582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587">
        <f>D93</f>
        <v>2010</v>
      </c>
      <c r="D99" s="588">
        <v>0</v>
      </c>
      <c r="E99" s="589">
        <v>0</v>
      </c>
      <c r="F99" s="589">
        <v>0</v>
      </c>
      <c r="G99" s="589">
        <v>0</v>
      </c>
      <c r="H99" s="590">
        <v>0</v>
      </c>
      <c r="I99" s="589">
        <v>0</v>
      </c>
      <c r="J99" s="591">
        <v>0</v>
      </c>
      <c r="K99" s="475"/>
      <c r="L99" s="564">
        <f t="shared" ref="L99:L104" si="36">H99</f>
        <v>0</v>
      </c>
      <c r="M99" s="565">
        <f t="shared" ref="M99:M104" si="37">IF(L99&lt;&gt;0,+H99-L99,0)</f>
        <v>0</v>
      </c>
      <c r="N99" s="564">
        <f t="shared" ref="N99:N104" si="38">I99</f>
        <v>0</v>
      </c>
      <c r="O99" s="474">
        <f t="shared" ref="O99:O104" si="39">IF(N99&lt;&gt;0,+I99-N99,0)</f>
        <v>0</v>
      </c>
      <c r="P99" s="474">
        <f t="shared" ref="P99:P104" si="40">+O99-M99</f>
        <v>0</v>
      </c>
    </row>
    <row r="100" spans="1:16" ht="12.5">
      <c r="C100" s="469">
        <f>IF(D91="","-",+C99+1)</f>
        <v>2011</v>
      </c>
      <c r="D100" s="592">
        <v>0</v>
      </c>
      <c r="E100" s="593">
        <v>0</v>
      </c>
      <c r="F100" s="593">
        <v>0</v>
      </c>
      <c r="G100" s="593">
        <v>0</v>
      </c>
      <c r="H100" s="594">
        <v>0</v>
      </c>
      <c r="I100" s="593">
        <v>0</v>
      </c>
      <c r="J100" s="595">
        <v>0</v>
      </c>
      <c r="K100" s="475"/>
      <c r="L100" s="537">
        <f t="shared" si="36"/>
        <v>0</v>
      </c>
      <c r="M100" s="538">
        <f t="shared" si="37"/>
        <v>0</v>
      </c>
      <c r="N100" s="537">
        <f t="shared" si="38"/>
        <v>0</v>
      </c>
      <c r="O100" s="475">
        <f t="shared" si="39"/>
        <v>0</v>
      </c>
      <c r="P100" s="475">
        <f t="shared" si="40"/>
        <v>0</v>
      </c>
    </row>
    <row r="101" spans="1:16" ht="12.5">
      <c r="C101" s="469">
        <f>IF(D92="","-",+C100+1)</f>
        <v>2012</v>
      </c>
      <c r="D101" s="575">
        <v>22097</v>
      </c>
      <c r="E101" s="576">
        <v>212.5</v>
      </c>
      <c r="F101" s="577">
        <v>21884.5</v>
      </c>
      <c r="G101" s="577">
        <v>21990.75</v>
      </c>
      <c r="H101" s="579">
        <v>3375.9899363381005</v>
      </c>
      <c r="I101" s="580">
        <v>3375.9899363381005</v>
      </c>
      <c r="J101" s="475">
        <v>0</v>
      </c>
      <c r="K101" s="475"/>
      <c r="L101" s="537">
        <f t="shared" si="36"/>
        <v>3375.9899363381005</v>
      </c>
      <c r="M101" s="538">
        <f t="shared" si="37"/>
        <v>0</v>
      </c>
      <c r="N101" s="537">
        <f t="shared" si="38"/>
        <v>3375.9899363381005</v>
      </c>
      <c r="O101" s="475">
        <f t="shared" si="39"/>
        <v>0</v>
      </c>
      <c r="P101" s="475">
        <f t="shared" si="40"/>
        <v>0</v>
      </c>
    </row>
    <row r="102" spans="1:16" ht="12.5">
      <c r="B102" s="160" t="str">
        <f t="shared" ref="B102:B133" si="41">IF(D102=F101,"","IU")</f>
        <v/>
      </c>
      <c r="C102" s="469">
        <f>IF(D93="","-",+C101+1)</f>
        <v>2013</v>
      </c>
      <c r="D102" s="575">
        <v>21884.5</v>
      </c>
      <c r="E102" s="576">
        <v>425</v>
      </c>
      <c r="F102" s="577">
        <v>21459.5</v>
      </c>
      <c r="G102" s="577">
        <v>21672</v>
      </c>
      <c r="H102" s="579">
        <v>3544.458879858515</v>
      </c>
      <c r="I102" s="580">
        <v>3544.458879858515</v>
      </c>
      <c r="J102" s="475">
        <v>0</v>
      </c>
      <c r="K102" s="475"/>
      <c r="L102" s="537">
        <f t="shared" si="36"/>
        <v>3544.458879858515</v>
      </c>
      <c r="M102" s="538">
        <f t="shared" si="37"/>
        <v>0</v>
      </c>
      <c r="N102" s="537">
        <f t="shared" si="38"/>
        <v>3544.458879858515</v>
      </c>
      <c r="O102" s="475">
        <f t="shared" si="39"/>
        <v>0</v>
      </c>
      <c r="P102" s="475">
        <f t="shared" si="40"/>
        <v>0</v>
      </c>
    </row>
    <row r="103" spans="1:16" ht="12.5">
      <c r="B103" s="160" t="str">
        <f t="shared" si="41"/>
        <v/>
      </c>
      <c r="C103" s="469">
        <f>IF(D93="","-",+C102+1)</f>
        <v>2014</v>
      </c>
      <c r="D103" s="575">
        <v>21459.5</v>
      </c>
      <c r="E103" s="576">
        <v>425</v>
      </c>
      <c r="F103" s="577">
        <v>21034.5</v>
      </c>
      <c r="G103" s="577">
        <v>21247</v>
      </c>
      <c r="H103" s="579">
        <v>3412.2413474199548</v>
      </c>
      <c r="I103" s="580">
        <v>3412.2413474199548</v>
      </c>
      <c r="J103" s="475">
        <v>0</v>
      </c>
      <c r="K103" s="475"/>
      <c r="L103" s="537">
        <f t="shared" si="36"/>
        <v>3412.2413474199548</v>
      </c>
      <c r="M103" s="538">
        <f t="shared" si="37"/>
        <v>0</v>
      </c>
      <c r="N103" s="537">
        <f t="shared" si="38"/>
        <v>3412.2413474199548</v>
      </c>
      <c r="O103" s="475">
        <f t="shared" si="39"/>
        <v>0</v>
      </c>
      <c r="P103" s="475">
        <f t="shared" si="40"/>
        <v>0</v>
      </c>
    </row>
    <row r="104" spans="1:16" ht="12.5">
      <c r="B104" s="160" t="str">
        <f t="shared" si="41"/>
        <v/>
      </c>
      <c r="C104" s="469">
        <f>IF(D93="","-",+C103+1)</f>
        <v>2015</v>
      </c>
      <c r="D104" s="575">
        <v>21034.5</v>
      </c>
      <c r="E104" s="576">
        <v>425</v>
      </c>
      <c r="F104" s="577">
        <v>20609.5</v>
      </c>
      <c r="G104" s="577">
        <v>20822</v>
      </c>
      <c r="H104" s="579">
        <v>3265.9944828697971</v>
      </c>
      <c r="I104" s="580">
        <v>3265.9944828697971</v>
      </c>
      <c r="J104" s="475">
        <f t="shared" ref="J104:J132" si="42">+I104-H104</f>
        <v>0</v>
      </c>
      <c r="K104" s="475"/>
      <c r="L104" s="537">
        <f t="shared" si="36"/>
        <v>3265.9944828697971</v>
      </c>
      <c r="M104" s="538">
        <f t="shared" si="37"/>
        <v>0</v>
      </c>
      <c r="N104" s="537">
        <f t="shared" si="38"/>
        <v>3265.9944828697971</v>
      </c>
      <c r="O104" s="475">
        <f t="shared" si="39"/>
        <v>0</v>
      </c>
      <c r="P104" s="475">
        <f t="shared" si="40"/>
        <v>0</v>
      </c>
    </row>
    <row r="105" spans="1:16" ht="12.5">
      <c r="B105" s="160" t="str">
        <f t="shared" si="41"/>
        <v/>
      </c>
      <c r="C105" s="469">
        <f>IF(D93="","-",+C104+1)</f>
        <v>2016</v>
      </c>
      <c r="D105" s="575">
        <v>20609.5</v>
      </c>
      <c r="E105" s="576">
        <v>480</v>
      </c>
      <c r="F105" s="577">
        <v>20129.5</v>
      </c>
      <c r="G105" s="577">
        <v>20369.5</v>
      </c>
      <c r="H105" s="579">
        <v>3105.9493466960757</v>
      </c>
      <c r="I105" s="580">
        <v>3105.9493466960757</v>
      </c>
      <c r="J105" s="475">
        <f t="shared" si="42"/>
        <v>0</v>
      </c>
      <c r="K105" s="475"/>
      <c r="L105" s="537">
        <f>H105</f>
        <v>3105.9493466960757</v>
      </c>
      <c r="M105" s="538">
        <f>IF(L105&lt;&gt;0,+H105-L105,0)</f>
        <v>0</v>
      </c>
      <c r="N105" s="537">
        <f>I105</f>
        <v>3105.9493466960757</v>
      </c>
      <c r="O105" s="475">
        <f t="shared" ref="O105:O109" si="43">IF(N105&lt;&gt;0,+I105-N105,0)</f>
        <v>0</v>
      </c>
      <c r="P105" s="475">
        <f>+O105-M105</f>
        <v>0</v>
      </c>
    </row>
    <row r="106" spans="1:16" ht="12.5">
      <c r="B106" s="160" t="str">
        <f t="shared" si="41"/>
        <v/>
      </c>
      <c r="C106" s="469">
        <f>IF(D93="","-",+C105+1)</f>
        <v>2017</v>
      </c>
      <c r="D106" s="575">
        <v>20129.5</v>
      </c>
      <c r="E106" s="576">
        <v>480</v>
      </c>
      <c r="F106" s="577">
        <v>19649.5</v>
      </c>
      <c r="G106" s="577">
        <v>19889.5</v>
      </c>
      <c r="H106" s="579">
        <v>3003.0332263920673</v>
      </c>
      <c r="I106" s="580">
        <v>3003.0332263920673</v>
      </c>
      <c r="J106" s="475">
        <f t="shared" si="42"/>
        <v>0</v>
      </c>
      <c r="K106" s="475"/>
      <c r="L106" s="537">
        <f>H106</f>
        <v>3003.0332263920673</v>
      </c>
      <c r="M106" s="538">
        <f>IF(L106&lt;&gt;0,+H106-L106,0)</f>
        <v>0</v>
      </c>
      <c r="N106" s="537">
        <f>I106</f>
        <v>3003.0332263920673</v>
      </c>
      <c r="O106" s="475">
        <f t="shared" si="43"/>
        <v>0</v>
      </c>
      <c r="P106" s="475">
        <f>+O106-M106</f>
        <v>0</v>
      </c>
    </row>
    <row r="107" spans="1:16" ht="12.5">
      <c r="B107" s="160" t="str">
        <f t="shared" si="41"/>
        <v/>
      </c>
      <c r="C107" s="469">
        <f>IF(D93="","-",+C106+1)</f>
        <v>2018</v>
      </c>
      <c r="D107" s="575">
        <v>19649.5</v>
      </c>
      <c r="E107" s="576">
        <v>514</v>
      </c>
      <c r="F107" s="577">
        <v>19135.5</v>
      </c>
      <c r="G107" s="577">
        <v>19392.5</v>
      </c>
      <c r="H107" s="579">
        <v>2506.299479691007</v>
      </c>
      <c r="I107" s="580">
        <v>2506.299479691007</v>
      </c>
      <c r="J107" s="475">
        <f t="shared" si="42"/>
        <v>0</v>
      </c>
      <c r="K107" s="475"/>
      <c r="L107" s="537">
        <f>H107</f>
        <v>2506.299479691007</v>
      </c>
      <c r="M107" s="538">
        <f>IF(L107&lt;&gt;0,+H107-L107,0)</f>
        <v>0</v>
      </c>
      <c r="N107" s="537">
        <f>I107</f>
        <v>2506.299479691007</v>
      </c>
      <c r="O107" s="475">
        <f t="shared" si="43"/>
        <v>0</v>
      </c>
      <c r="P107" s="475">
        <f>+O107-M107</f>
        <v>0</v>
      </c>
    </row>
    <row r="108" spans="1:16" ht="12.5">
      <c r="B108" s="160" t="str">
        <f t="shared" si="41"/>
        <v/>
      </c>
      <c r="C108" s="469">
        <f>IF(D93="","-",+C107+1)</f>
        <v>2019</v>
      </c>
      <c r="D108" s="575">
        <v>19135.5</v>
      </c>
      <c r="E108" s="576">
        <v>539</v>
      </c>
      <c r="F108" s="577">
        <v>18596.5</v>
      </c>
      <c r="G108" s="577">
        <v>18866</v>
      </c>
      <c r="H108" s="579">
        <v>2484.3492160371716</v>
      </c>
      <c r="I108" s="580">
        <v>2484.3492160371716</v>
      </c>
      <c r="J108" s="475">
        <f t="shared" si="42"/>
        <v>0</v>
      </c>
      <c r="K108" s="475"/>
      <c r="L108" s="537">
        <f>H108</f>
        <v>2484.3492160371716</v>
      </c>
      <c r="M108" s="538">
        <f>IF(L108&lt;&gt;0,+H108-L108,0)</f>
        <v>0</v>
      </c>
      <c r="N108" s="537">
        <f>I108</f>
        <v>2484.3492160371716</v>
      </c>
      <c r="O108" s="475">
        <f t="shared" si="43"/>
        <v>0</v>
      </c>
      <c r="P108" s="475">
        <f t="shared" ref="P108:P130" si="44">+O108-M108</f>
        <v>0</v>
      </c>
    </row>
    <row r="109" spans="1:16" ht="12.5">
      <c r="B109" s="160" t="str">
        <f t="shared" si="41"/>
        <v/>
      </c>
      <c r="C109" s="469">
        <f>IF(D93="","-",+C108+1)</f>
        <v>2020</v>
      </c>
      <c r="D109" s="575">
        <v>18596.5</v>
      </c>
      <c r="E109" s="576">
        <v>514</v>
      </c>
      <c r="F109" s="577">
        <v>18082.5</v>
      </c>
      <c r="G109" s="577">
        <v>18339.5</v>
      </c>
      <c r="H109" s="579">
        <v>2628.4939297021565</v>
      </c>
      <c r="I109" s="580">
        <v>2628.4939297021565</v>
      </c>
      <c r="J109" s="475">
        <f t="shared" si="42"/>
        <v>0</v>
      </c>
      <c r="K109" s="475"/>
      <c r="L109" s="537">
        <f>H109</f>
        <v>2628.4939297021565</v>
      </c>
      <c r="M109" s="538">
        <f>IF(L109&lt;&gt;0,+H109-L109,0)</f>
        <v>0</v>
      </c>
      <c r="N109" s="537">
        <f>I109</f>
        <v>2628.4939297021565</v>
      </c>
      <c r="O109" s="475">
        <f t="shared" si="43"/>
        <v>0</v>
      </c>
      <c r="P109" s="475">
        <f t="shared" si="44"/>
        <v>0</v>
      </c>
    </row>
    <row r="110" spans="1:16" ht="12.5">
      <c r="B110" s="160" t="str">
        <f t="shared" si="41"/>
        <v/>
      </c>
      <c r="C110" s="469">
        <f>IF(D93="","-",+C109+1)</f>
        <v>2021</v>
      </c>
      <c r="D110" s="575">
        <v>18082.5</v>
      </c>
      <c r="E110" s="576">
        <v>567</v>
      </c>
      <c r="F110" s="577">
        <v>17515.5</v>
      </c>
      <c r="G110" s="577">
        <v>17799</v>
      </c>
      <c r="H110" s="579">
        <v>2528.1410385336903</v>
      </c>
      <c r="I110" s="580">
        <v>2528.1410385336903</v>
      </c>
      <c r="J110" s="475">
        <f t="shared" si="42"/>
        <v>0</v>
      </c>
      <c r="K110" s="475"/>
      <c r="L110" s="537">
        <f t="shared" ref="L110:L111" si="45">H110</f>
        <v>2528.1410385336903</v>
      </c>
      <c r="M110" s="538">
        <f t="shared" ref="M110:M111" si="46">IF(L110&lt;&gt;0,+H110-L110,0)</f>
        <v>0</v>
      </c>
      <c r="N110" s="537">
        <f t="shared" ref="N110:N111" si="47">I110</f>
        <v>2528.1410385336903</v>
      </c>
      <c r="O110" s="475">
        <f t="shared" ref="O110:O111" si="48">IF(N110&lt;&gt;0,+I110-N110,0)</f>
        <v>0</v>
      </c>
      <c r="P110" s="475">
        <f t="shared" ref="P110:P111" si="49">+O110-M110</f>
        <v>0</v>
      </c>
    </row>
    <row r="111" spans="1:16" ht="12.5">
      <c r="B111" s="160" t="str">
        <f t="shared" si="41"/>
        <v/>
      </c>
      <c r="C111" s="469">
        <f>IF(D93="","-",+C110+1)</f>
        <v>2022</v>
      </c>
      <c r="D111" s="575">
        <v>17515.5</v>
      </c>
      <c r="E111" s="576">
        <v>567</v>
      </c>
      <c r="F111" s="577">
        <v>16948.5</v>
      </c>
      <c r="G111" s="577">
        <v>17232</v>
      </c>
      <c r="H111" s="579">
        <v>2465.6674743531971</v>
      </c>
      <c r="I111" s="580">
        <v>2465.6674743531971</v>
      </c>
      <c r="J111" s="475">
        <f t="shared" si="42"/>
        <v>0</v>
      </c>
      <c r="K111" s="475"/>
      <c r="L111" s="537">
        <f t="shared" si="45"/>
        <v>2465.6674743531971</v>
      </c>
      <c r="M111" s="538">
        <f t="shared" si="46"/>
        <v>0</v>
      </c>
      <c r="N111" s="537">
        <f t="shared" si="47"/>
        <v>2465.6674743531971</v>
      </c>
      <c r="O111" s="475">
        <f t="shared" si="48"/>
        <v>0</v>
      </c>
      <c r="P111" s="475">
        <f t="shared" si="49"/>
        <v>0</v>
      </c>
    </row>
    <row r="112" spans="1:16" ht="12.5">
      <c r="B112" s="160" t="str">
        <f t="shared" si="41"/>
        <v/>
      </c>
      <c r="C112" s="469">
        <f>IF(D93="","-",+C111+1)</f>
        <v>2023</v>
      </c>
      <c r="D112" s="575">
        <v>16948.5</v>
      </c>
      <c r="E112" s="576">
        <v>582</v>
      </c>
      <c r="F112" s="577">
        <v>16366.5</v>
      </c>
      <c r="G112" s="577">
        <v>16657.5</v>
      </c>
      <c r="H112" s="579">
        <v>2484.7371362712865</v>
      </c>
      <c r="I112" s="580">
        <v>2484.7371362712865</v>
      </c>
      <c r="J112" s="475">
        <f t="shared" si="42"/>
        <v>0</v>
      </c>
      <c r="K112" s="475"/>
      <c r="L112" s="537">
        <f t="shared" ref="L112" si="50">H112</f>
        <v>2484.7371362712865</v>
      </c>
      <c r="M112" s="538">
        <f t="shared" ref="M112" si="51">IF(L112&lt;&gt;0,+H112-L112,0)</f>
        <v>0</v>
      </c>
      <c r="N112" s="537">
        <f t="shared" ref="N112" si="52">I112</f>
        <v>2484.7371362712865</v>
      </c>
      <c r="O112" s="475">
        <f t="shared" ref="O112" si="53">IF(N112&lt;&gt;0,+I112-N112,0)</f>
        <v>0</v>
      </c>
      <c r="P112" s="475">
        <f t="shared" ref="P112" si="54">+O112-M112</f>
        <v>0</v>
      </c>
    </row>
    <row r="113" spans="2:16" ht="12.5">
      <c r="B113" s="160" t="str">
        <f t="shared" si="41"/>
        <v/>
      </c>
      <c r="C113" s="469">
        <f>IF(D93="","-",+C112+1)</f>
        <v>2024</v>
      </c>
      <c r="D113" s="344">
        <f>IF(F112+SUM(E$101:E112)=D$92,F112,D$92-SUM(E$101:E112))</f>
        <v>16366.5</v>
      </c>
      <c r="E113" s="483">
        <f>IF(+J96&lt;F112,J96,D113)</f>
        <v>582</v>
      </c>
      <c r="F113" s="482">
        <f t="shared" ref="F113:F133" si="55">+D113-E113</f>
        <v>15784.5</v>
      </c>
      <c r="G113" s="482">
        <f t="shared" ref="G113:G132" si="56">+(F113+D113)/2</f>
        <v>16075.5</v>
      </c>
      <c r="H113" s="483">
        <f t="shared" ref="H113:H153" si="57">(D113+F113)/2*J$94+E113</f>
        <v>2741.2404187045827</v>
      </c>
      <c r="I113" s="539">
        <f t="shared" ref="I113:I153" si="58">+J$95*G113+E113</f>
        <v>2741.2404187045827</v>
      </c>
      <c r="J113" s="475">
        <f t="shared" si="42"/>
        <v>0</v>
      </c>
      <c r="K113" s="475"/>
      <c r="L113" s="484"/>
      <c r="M113" s="475">
        <f t="shared" ref="M113:M130" si="59">IF(L113&lt;&gt;0,+H115-L113,0)</f>
        <v>0</v>
      </c>
      <c r="N113" s="484"/>
      <c r="O113" s="475">
        <f t="shared" ref="O113:O154" si="60">IF(N113&lt;&gt;0,+I113-N113,0)</f>
        <v>0</v>
      </c>
      <c r="P113" s="475">
        <f t="shared" si="44"/>
        <v>0</v>
      </c>
    </row>
    <row r="114" spans="2:16" ht="12.5">
      <c r="B114" s="160" t="str">
        <f t="shared" si="41"/>
        <v/>
      </c>
      <c r="C114" s="469">
        <f>IF(D93="","-",+C113+1)</f>
        <v>2025</v>
      </c>
      <c r="D114" s="344">
        <f>IF(F113+SUM(E$101:E113)=D$92,F113,D$92-SUM(E$101:E113))</f>
        <v>15784.5</v>
      </c>
      <c r="E114" s="483">
        <f>IF(+J96&lt;F113,J96,D114)</f>
        <v>582</v>
      </c>
      <c r="F114" s="482">
        <f t="shared" si="55"/>
        <v>15202.5</v>
      </c>
      <c r="G114" s="482">
        <f t="shared" si="56"/>
        <v>15493.5</v>
      </c>
      <c r="H114" s="483">
        <f t="shared" si="57"/>
        <v>2663.0669296257943</v>
      </c>
      <c r="I114" s="539">
        <f t="shared" si="58"/>
        <v>2663.0669296257943</v>
      </c>
      <c r="J114" s="475">
        <f t="shared" si="42"/>
        <v>0</v>
      </c>
      <c r="K114" s="475"/>
      <c r="L114" s="484"/>
      <c r="M114" s="475">
        <f t="shared" si="59"/>
        <v>0</v>
      </c>
      <c r="N114" s="484"/>
      <c r="O114" s="475">
        <f t="shared" si="60"/>
        <v>0</v>
      </c>
      <c r="P114" s="475">
        <f t="shared" si="44"/>
        <v>0</v>
      </c>
    </row>
    <row r="115" spans="2:16" ht="12.5">
      <c r="B115" s="160" t="str">
        <f t="shared" si="41"/>
        <v/>
      </c>
      <c r="C115" s="469">
        <f>IF(D93="","-",+C114+1)</f>
        <v>2026</v>
      </c>
      <c r="D115" s="344">
        <f>IF(F114+SUM(E$101:E114)=D$92,F114,D$92-SUM(E$101:E114))</f>
        <v>15202.5</v>
      </c>
      <c r="E115" s="483">
        <f>IF(+J96&lt;F114,J96,D115)</f>
        <v>582</v>
      </c>
      <c r="F115" s="482">
        <f t="shared" si="55"/>
        <v>14620.5</v>
      </c>
      <c r="G115" s="482">
        <f t="shared" si="56"/>
        <v>14911.5</v>
      </c>
      <c r="H115" s="483">
        <f t="shared" si="57"/>
        <v>2584.8934405470054</v>
      </c>
      <c r="I115" s="539">
        <f t="shared" si="58"/>
        <v>2584.8934405470054</v>
      </c>
      <c r="J115" s="475">
        <f t="shared" si="42"/>
        <v>0</v>
      </c>
      <c r="K115" s="475"/>
      <c r="L115" s="484"/>
      <c r="M115" s="475">
        <f t="shared" si="59"/>
        <v>0</v>
      </c>
      <c r="N115" s="484"/>
      <c r="O115" s="475">
        <f t="shared" si="60"/>
        <v>0</v>
      </c>
      <c r="P115" s="475">
        <f t="shared" si="44"/>
        <v>0</v>
      </c>
    </row>
    <row r="116" spans="2:16" ht="12.5">
      <c r="B116" s="160" t="str">
        <f t="shared" si="41"/>
        <v/>
      </c>
      <c r="C116" s="469">
        <f>IF(D93="","-",+C115+1)</f>
        <v>2027</v>
      </c>
      <c r="D116" s="344">
        <f>IF(F115+SUM(E$101:E115)=D$92,F115,D$92-SUM(E$101:E115))</f>
        <v>14620.5</v>
      </c>
      <c r="E116" s="483">
        <f>IF(+J96&lt;F115,J96,D116)</f>
        <v>582</v>
      </c>
      <c r="F116" s="482">
        <f t="shared" si="55"/>
        <v>14038.5</v>
      </c>
      <c r="G116" s="482">
        <f t="shared" si="56"/>
        <v>14329.5</v>
      </c>
      <c r="H116" s="483">
        <f t="shared" si="57"/>
        <v>2506.719951468217</v>
      </c>
      <c r="I116" s="539">
        <f t="shared" si="58"/>
        <v>2506.719951468217</v>
      </c>
      <c r="J116" s="475">
        <f t="shared" si="42"/>
        <v>0</v>
      </c>
      <c r="K116" s="475"/>
      <c r="L116" s="484"/>
      <c r="M116" s="475">
        <f t="shared" si="59"/>
        <v>0</v>
      </c>
      <c r="N116" s="484"/>
      <c r="O116" s="475">
        <f t="shared" si="60"/>
        <v>0</v>
      </c>
      <c r="P116" s="475">
        <f t="shared" si="44"/>
        <v>0</v>
      </c>
    </row>
    <row r="117" spans="2:16" ht="12.5">
      <c r="B117" s="160" t="str">
        <f t="shared" si="41"/>
        <v/>
      </c>
      <c r="C117" s="469">
        <f>IF(D93="","-",+C116+1)</f>
        <v>2028</v>
      </c>
      <c r="D117" s="344">
        <f>IF(F116+SUM(E$101:E116)=D$92,F116,D$92-SUM(E$101:E116))</f>
        <v>14038.5</v>
      </c>
      <c r="E117" s="483">
        <f>IF(+J96&lt;F116,J96,D117)</f>
        <v>582</v>
      </c>
      <c r="F117" s="482">
        <f t="shared" si="55"/>
        <v>13456.5</v>
      </c>
      <c r="G117" s="482">
        <f t="shared" si="56"/>
        <v>13747.5</v>
      </c>
      <c r="H117" s="483">
        <f t="shared" si="57"/>
        <v>2428.5464623894281</v>
      </c>
      <c r="I117" s="539">
        <f t="shared" si="58"/>
        <v>2428.5464623894281</v>
      </c>
      <c r="J117" s="475">
        <f t="shared" si="42"/>
        <v>0</v>
      </c>
      <c r="K117" s="475"/>
      <c r="L117" s="484"/>
      <c r="M117" s="475">
        <f t="shared" si="59"/>
        <v>0</v>
      </c>
      <c r="N117" s="484"/>
      <c r="O117" s="475">
        <f t="shared" si="60"/>
        <v>0</v>
      </c>
      <c r="P117" s="475">
        <f t="shared" si="44"/>
        <v>0</v>
      </c>
    </row>
    <row r="118" spans="2:16" ht="12.5">
      <c r="B118" s="160" t="str">
        <f t="shared" si="41"/>
        <v/>
      </c>
      <c r="C118" s="469">
        <f>IF(D93="","-",+C117+1)</f>
        <v>2029</v>
      </c>
      <c r="D118" s="344">
        <f>IF(F117+SUM(E$101:E117)=D$92,F117,D$92-SUM(E$101:E117))</f>
        <v>13456.5</v>
      </c>
      <c r="E118" s="483">
        <f>IF(+J96&lt;F117,J96,D118)</f>
        <v>582</v>
      </c>
      <c r="F118" s="482">
        <f t="shared" si="55"/>
        <v>12874.5</v>
      </c>
      <c r="G118" s="482">
        <f t="shared" si="56"/>
        <v>13165.5</v>
      </c>
      <c r="H118" s="483">
        <f t="shared" si="57"/>
        <v>2350.3729733106393</v>
      </c>
      <c r="I118" s="539">
        <f t="shared" si="58"/>
        <v>2350.3729733106393</v>
      </c>
      <c r="J118" s="475">
        <f t="shared" si="42"/>
        <v>0</v>
      </c>
      <c r="K118" s="475"/>
      <c r="L118" s="484"/>
      <c r="M118" s="475">
        <f t="shared" si="59"/>
        <v>0</v>
      </c>
      <c r="N118" s="484"/>
      <c r="O118" s="475">
        <f t="shared" si="60"/>
        <v>0</v>
      </c>
      <c r="P118" s="475">
        <f t="shared" si="44"/>
        <v>0</v>
      </c>
    </row>
    <row r="119" spans="2:16" ht="12.5">
      <c r="B119" s="160" t="str">
        <f t="shared" si="41"/>
        <v/>
      </c>
      <c r="C119" s="469">
        <f>IF(D93="","-",+C118+1)</f>
        <v>2030</v>
      </c>
      <c r="D119" s="344">
        <f>IF(F118+SUM(E$101:E118)=D$92,F118,D$92-SUM(E$101:E118))</f>
        <v>12874.5</v>
      </c>
      <c r="E119" s="483">
        <f t="shared" ref="E119:E154" si="61">IF(+J$96&lt;F118,J$96,D119)</f>
        <v>582</v>
      </c>
      <c r="F119" s="482">
        <f t="shared" si="55"/>
        <v>12292.5</v>
      </c>
      <c r="G119" s="482">
        <f t="shared" si="56"/>
        <v>12583.5</v>
      </c>
      <c r="H119" s="483">
        <f t="shared" si="57"/>
        <v>2272.1994842318509</v>
      </c>
      <c r="I119" s="539">
        <f t="shared" si="58"/>
        <v>2272.1994842318509</v>
      </c>
      <c r="J119" s="475">
        <f t="shared" si="42"/>
        <v>0</v>
      </c>
      <c r="K119" s="475"/>
      <c r="L119" s="484"/>
      <c r="M119" s="475">
        <f t="shared" si="59"/>
        <v>0</v>
      </c>
      <c r="N119" s="484"/>
      <c r="O119" s="475">
        <f t="shared" si="60"/>
        <v>0</v>
      </c>
      <c r="P119" s="475">
        <f t="shared" si="44"/>
        <v>0</v>
      </c>
    </row>
    <row r="120" spans="2:16" ht="12.5">
      <c r="B120" s="160" t="str">
        <f t="shared" si="41"/>
        <v/>
      </c>
      <c r="C120" s="469">
        <f>IF(D93="","-",+C119+1)</f>
        <v>2031</v>
      </c>
      <c r="D120" s="344">
        <f>IF(F119+SUM(E$101:E119)=D$92,F119,D$92-SUM(E$101:E119))</f>
        <v>12292.5</v>
      </c>
      <c r="E120" s="483">
        <f t="shared" si="61"/>
        <v>582</v>
      </c>
      <c r="F120" s="482">
        <f t="shared" si="55"/>
        <v>11710.5</v>
      </c>
      <c r="G120" s="482">
        <f t="shared" si="56"/>
        <v>12001.5</v>
      </c>
      <c r="H120" s="483">
        <f t="shared" si="57"/>
        <v>2194.0259951530625</v>
      </c>
      <c r="I120" s="539">
        <f t="shared" si="58"/>
        <v>2194.0259951530625</v>
      </c>
      <c r="J120" s="475">
        <f t="shared" si="42"/>
        <v>0</v>
      </c>
      <c r="K120" s="475"/>
      <c r="L120" s="484"/>
      <c r="M120" s="475">
        <f t="shared" si="59"/>
        <v>0</v>
      </c>
      <c r="N120" s="484"/>
      <c r="O120" s="475">
        <f t="shared" si="60"/>
        <v>0</v>
      </c>
      <c r="P120" s="475">
        <f t="shared" si="44"/>
        <v>0</v>
      </c>
    </row>
    <row r="121" spans="2:16" ht="12.5">
      <c r="B121" s="160" t="str">
        <f t="shared" si="41"/>
        <v/>
      </c>
      <c r="C121" s="469">
        <f>IF(D93="","-",+C120+1)</f>
        <v>2032</v>
      </c>
      <c r="D121" s="344">
        <f>IF(F120+SUM(E$101:E120)=D$92,F120,D$92-SUM(E$101:E120))</f>
        <v>11710.5</v>
      </c>
      <c r="E121" s="483">
        <f t="shared" si="61"/>
        <v>582</v>
      </c>
      <c r="F121" s="482">
        <f t="shared" si="55"/>
        <v>11128.5</v>
      </c>
      <c r="G121" s="482">
        <f t="shared" si="56"/>
        <v>11419.5</v>
      </c>
      <c r="H121" s="483">
        <f t="shared" si="57"/>
        <v>2115.8525060742736</v>
      </c>
      <c r="I121" s="539">
        <f t="shared" si="58"/>
        <v>2115.8525060742736</v>
      </c>
      <c r="J121" s="475">
        <f t="shared" si="42"/>
        <v>0</v>
      </c>
      <c r="K121" s="475"/>
      <c r="L121" s="484"/>
      <c r="M121" s="475">
        <f t="shared" si="59"/>
        <v>0</v>
      </c>
      <c r="N121" s="484"/>
      <c r="O121" s="475">
        <f t="shared" si="60"/>
        <v>0</v>
      </c>
      <c r="P121" s="475">
        <f t="shared" si="44"/>
        <v>0</v>
      </c>
    </row>
    <row r="122" spans="2:16" ht="12.5">
      <c r="B122" s="160" t="str">
        <f t="shared" si="41"/>
        <v/>
      </c>
      <c r="C122" s="469">
        <f>IF(D93="","-",+C121+1)</f>
        <v>2033</v>
      </c>
      <c r="D122" s="344">
        <f>IF(F121+SUM(E$101:E121)=D$92,F121,D$92-SUM(E$101:E121))</f>
        <v>11128.5</v>
      </c>
      <c r="E122" s="483">
        <f t="shared" si="61"/>
        <v>582</v>
      </c>
      <c r="F122" s="482">
        <f t="shared" si="55"/>
        <v>10546.5</v>
      </c>
      <c r="G122" s="482">
        <f t="shared" si="56"/>
        <v>10837.5</v>
      </c>
      <c r="H122" s="483">
        <f t="shared" si="57"/>
        <v>2037.6790169954847</v>
      </c>
      <c r="I122" s="539">
        <f t="shared" si="58"/>
        <v>2037.6790169954847</v>
      </c>
      <c r="J122" s="475">
        <f t="shared" si="42"/>
        <v>0</v>
      </c>
      <c r="K122" s="475"/>
      <c r="L122" s="484"/>
      <c r="M122" s="475">
        <f t="shared" si="59"/>
        <v>0</v>
      </c>
      <c r="N122" s="484"/>
      <c r="O122" s="475">
        <f t="shared" si="60"/>
        <v>0</v>
      </c>
      <c r="P122" s="475">
        <f t="shared" si="44"/>
        <v>0</v>
      </c>
    </row>
    <row r="123" spans="2:16" ht="12.5">
      <c r="B123" s="160" t="str">
        <f t="shared" si="41"/>
        <v/>
      </c>
      <c r="C123" s="469">
        <f>IF(D93="","-",+C122+1)</f>
        <v>2034</v>
      </c>
      <c r="D123" s="344">
        <f>IF(F122+SUM(E$101:E122)=D$92,F122,D$92-SUM(E$101:E122))</f>
        <v>10546.5</v>
      </c>
      <c r="E123" s="483">
        <f t="shared" si="61"/>
        <v>582</v>
      </c>
      <c r="F123" s="482">
        <f t="shared" si="55"/>
        <v>9964.5</v>
      </c>
      <c r="G123" s="482">
        <f t="shared" si="56"/>
        <v>10255.5</v>
      </c>
      <c r="H123" s="483">
        <f t="shared" si="57"/>
        <v>1959.5055279166961</v>
      </c>
      <c r="I123" s="539">
        <f t="shared" si="58"/>
        <v>1959.5055279166961</v>
      </c>
      <c r="J123" s="475">
        <f t="shared" si="42"/>
        <v>0</v>
      </c>
      <c r="K123" s="475"/>
      <c r="L123" s="484"/>
      <c r="M123" s="475">
        <f t="shared" si="59"/>
        <v>0</v>
      </c>
      <c r="N123" s="484"/>
      <c r="O123" s="475">
        <f t="shared" si="60"/>
        <v>0</v>
      </c>
      <c r="P123" s="475">
        <f t="shared" si="44"/>
        <v>0</v>
      </c>
    </row>
    <row r="124" spans="2:16" ht="12.5">
      <c r="B124" s="160" t="str">
        <f t="shared" si="41"/>
        <v/>
      </c>
      <c r="C124" s="469">
        <f>IF(D93="","-",+C123+1)</f>
        <v>2035</v>
      </c>
      <c r="D124" s="344">
        <f>IF(F123+SUM(E$101:E123)=D$92,F123,D$92-SUM(E$101:E123))</f>
        <v>9964.5</v>
      </c>
      <c r="E124" s="483">
        <f t="shared" si="61"/>
        <v>582</v>
      </c>
      <c r="F124" s="482">
        <f t="shared" si="55"/>
        <v>9382.5</v>
      </c>
      <c r="G124" s="482">
        <f t="shared" si="56"/>
        <v>9673.5</v>
      </c>
      <c r="H124" s="483">
        <f t="shared" si="57"/>
        <v>1881.3320388379075</v>
      </c>
      <c r="I124" s="539">
        <f t="shared" si="58"/>
        <v>1881.3320388379075</v>
      </c>
      <c r="J124" s="475">
        <f t="shared" si="42"/>
        <v>0</v>
      </c>
      <c r="K124" s="475"/>
      <c r="L124" s="484"/>
      <c r="M124" s="475">
        <f t="shared" si="59"/>
        <v>0</v>
      </c>
      <c r="N124" s="484"/>
      <c r="O124" s="475">
        <f t="shared" si="60"/>
        <v>0</v>
      </c>
      <c r="P124" s="475">
        <f t="shared" si="44"/>
        <v>0</v>
      </c>
    </row>
    <row r="125" spans="2:16" ht="12.5">
      <c r="B125" s="160" t="str">
        <f t="shared" si="41"/>
        <v/>
      </c>
      <c r="C125" s="469">
        <f>IF(D93="","-",+C124+1)</f>
        <v>2036</v>
      </c>
      <c r="D125" s="344">
        <f>IF(F124+SUM(E$101:E124)=D$92,F124,D$92-SUM(E$101:E124))</f>
        <v>9382.5</v>
      </c>
      <c r="E125" s="483">
        <f t="shared" si="61"/>
        <v>582</v>
      </c>
      <c r="F125" s="482">
        <f t="shared" si="55"/>
        <v>8800.5</v>
      </c>
      <c r="G125" s="482">
        <f t="shared" si="56"/>
        <v>9091.5</v>
      </c>
      <c r="H125" s="483">
        <f t="shared" si="57"/>
        <v>1803.1585497591188</v>
      </c>
      <c r="I125" s="539">
        <f t="shared" si="58"/>
        <v>1803.1585497591188</v>
      </c>
      <c r="J125" s="475">
        <f t="shared" si="42"/>
        <v>0</v>
      </c>
      <c r="K125" s="475"/>
      <c r="L125" s="484"/>
      <c r="M125" s="475">
        <f t="shared" si="59"/>
        <v>0</v>
      </c>
      <c r="N125" s="484"/>
      <c r="O125" s="475">
        <f t="shared" si="60"/>
        <v>0</v>
      </c>
      <c r="P125" s="475">
        <f t="shared" si="44"/>
        <v>0</v>
      </c>
    </row>
    <row r="126" spans="2:16" ht="12.5">
      <c r="B126" s="160" t="str">
        <f t="shared" si="41"/>
        <v/>
      </c>
      <c r="C126" s="469">
        <f>IF(D93="","-",+C125+1)</f>
        <v>2037</v>
      </c>
      <c r="D126" s="344">
        <f>IF(F125+SUM(E$101:E125)=D$92,F125,D$92-SUM(E$101:E125))</f>
        <v>8800.5</v>
      </c>
      <c r="E126" s="483">
        <f t="shared" si="61"/>
        <v>582</v>
      </c>
      <c r="F126" s="482">
        <f t="shared" si="55"/>
        <v>8218.5</v>
      </c>
      <c r="G126" s="482">
        <f t="shared" si="56"/>
        <v>8509.5</v>
      </c>
      <c r="H126" s="483">
        <f t="shared" si="57"/>
        <v>1724.9850606803302</v>
      </c>
      <c r="I126" s="539">
        <f t="shared" si="58"/>
        <v>1724.9850606803302</v>
      </c>
      <c r="J126" s="475">
        <f t="shared" si="42"/>
        <v>0</v>
      </c>
      <c r="K126" s="475"/>
      <c r="L126" s="484"/>
      <c r="M126" s="475">
        <f t="shared" si="59"/>
        <v>0</v>
      </c>
      <c r="N126" s="484"/>
      <c r="O126" s="475">
        <f t="shared" si="60"/>
        <v>0</v>
      </c>
      <c r="P126" s="475">
        <f t="shared" si="44"/>
        <v>0</v>
      </c>
    </row>
    <row r="127" spans="2:16" ht="12.5">
      <c r="B127" s="160" t="str">
        <f t="shared" si="41"/>
        <v/>
      </c>
      <c r="C127" s="469">
        <f>IF(D93="","-",+C126+1)</f>
        <v>2038</v>
      </c>
      <c r="D127" s="344">
        <f>IF(F126+SUM(E$101:E126)=D$92,F126,D$92-SUM(E$101:E126))</f>
        <v>8218.5</v>
      </c>
      <c r="E127" s="483">
        <f t="shared" si="61"/>
        <v>582</v>
      </c>
      <c r="F127" s="482">
        <f t="shared" si="55"/>
        <v>7636.5</v>
      </c>
      <c r="G127" s="482">
        <f t="shared" si="56"/>
        <v>7927.5</v>
      </c>
      <c r="H127" s="483">
        <f t="shared" si="57"/>
        <v>1646.8115716015416</v>
      </c>
      <c r="I127" s="539">
        <f t="shared" si="58"/>
        <v>1646.8115716015416</v>
      </c>
      <c r="J127" s="475">
        <f t="shared" si="42"/>
        <v>0</v>
      </c>
      <c r="K127" s="475"/>
      <c r="L127" s="484"/>
      <c r="M127" s="475">
        <f t="shared" si="59"/>
        <v>0</v>
      </c>
      <c r="N127" s="484"/>
      <c r="O127" s="475">
        <f t="shared" si="60"/>
        <v>0</v>
      </c>
      <c r="P127" s="475">
        <f t="shared" si="44"/>
        <v>0</v>
      </c>
    </row>
    <row r="128" spans="2:16" ht="12.5">
      <c r="B128" s="160" t="str">
        <f t="shared" si="41"/>
        <v/>
      </c>
      <c r="C128" s="469">
        <f>IF(D93="","-",+C127+1)</f>
        <v>2039</v>
      </c>
      <c r="D128" s="344">
        <f>IF(F127+SUM(E$101:E127)=D$92,F127,D$92-SUM(E$101:E127))</f>
        <v>7636.5</v>
      </c>
      <c r="E128" s="483">
        <f t="shared" si="61"/>
        <v>582</v>
      </c>
      <c r="F128" s="482">
        <f t="shared" si="55"/>
        <v>7054.5</v>
      </c>
      <c r="G128" s="482">
        <f t="shared" si="56"/>
        <v>7345.5</v>
      </c>
      <c r="H128" s="483">
        <f t="shared" si="57"/>
        <v>1568.6380825227529</v>
      </c>
      <c r="I128" s="539">
        <f t="shared" si="58"/>
        <v>1568.6380825227529</v>
      </c>
      <c r="J128" s="475">
        <f t="shared" si="42"/>
        <v>0</v>
      </c>
      <c r="K128" s="475"/>
      <c r="L128" s="484"/>
      <c r="M128" s="475">
        <f t="shared" si="59"/>
        <v>0</v>
      </c>
      <c r="N128" s="484"/>
      <c r="O128" s="475">
        <f t="shared" si="60"/>
        <v>0</v>
      </c>
      <c r="P128" s="475">
        <f t="shared" si="44"/>
        <v>0</v>
      </c>
    </row>
    <row r="129" spans="2:16" ht="12.5">
      <c r="B129" s="160" t="str">
        <f t="shared" si="41"/>
        <v/>
      </c>
      <c r="C129" s="469">
        <f>IF(D93="","-",+C128+1)</f>
        <v>2040</v>
      </c>
      <c r="D129" s="344">
        <f>IF(F128+SUM(E$101:E128)=D$92,F128,D$92-SUM(E$101:E128))</f>
        <v>7054.5</v>
      </c>
      <c r="E129" s="483">
        <f t="shared" si="61"/>
        <v>582</v>
      </c>
      <c r="F129" s="482">
        <f t="shared" si="55"/>
        <v>6472.5</v>
      </c>
      <c r="G129" s="482">
        <f t="shared" si="56"/>
        <v>6763.5</v>
      </c>
      <c r="H129" s="483">
        <f t="shared" si="57"/>
        <v>1490.4645934439641</v>
      </c>
      <c r="I129" s="539">
        <f t="shared" si="58"/>
        <v>1490.4645934439641</v>
      </c>
      <c r="J129" s="475">
        <f t="shared" si="42"/>
        <v>0</v>
      </c>
      <c r="K129" s="475"/>
      <c r="L129" s="484"/>
      <c r="M129" s="475">
        <f t="shared" si="59"/>
        <v>0</v>
      </c>
      <c r="N129" s="484"/>
      <c r="O129" s="475">
        <f t="shared" si="60"/>
        <v>0</v>
      </c>
      <c r="P129" s="475">
        <f t="shared" si="44"/>
        <v>0</v>
      </c>
    </row>
    <row r="130" spans="2:16" ht="12.5">
      <c r="B130" s="160" t="str">
        <f t="shared" si="41"/>
        <v/>
      </c>
      <c r="C130" s="469">
        <f>IF(D93="","-",+C129+1)</f>
        <v>2041</v>
      </c>
      <c r="D130" s="344">
        <f>IF(F129+SUM(E$101:E129)=D$92,F129,D$92-SUM(E$101:E129))</f>
        <v>6472.5</v>
      </c>
      <c r="E130" s="483">
        <f t="shared" si="61"/>
        <v>582</v>
      </c>
      <c r="F130" s="482">
        <f t="shared" si="55"/>
        <v>5890.5</v>
      </c>
      <c r="G130" s="482">
        <f t="shared" si="56"/>
        <v>6181.5</v>
      </c>
      <c r="H130" s="483">
        <f t="shared" si="57"/>
        <v>1412.2911043651757</v>
      </c>
      <c r="I130" s="539">
        <f t="shared" si="58"/>
        <v>1412.2911043651757</v>
      </c>
      <c r="J130" s="475">
        <f t="shared" si="42"/>
        <v>0</v>
      </c>
      <c r="K130" s="475"/>
      <c r="L130" s="484"/>
      <c r="M130" s="475">
        <f t="shared" si="59"/>
        <v>0</v>
      </c>
      <c r="N130" s="484"/>
      <c r="O130" s="475">
        <f t="shared" si="60"/>
        <v>0</v>
      </c>
      <c r="P130" s="475">
        <f t="shared" si="44"/>
        <v>0</v>
      </c>
    </row>
    <row r="131" spans="2:16" ht="12.5">
      <c r="B131" s="160" t="str">
        <f t="shared" si="41"/>
        <v/>
      </c>
      <c r="C131" s="469">
        <f>IF(D93="","-",+C130+1)</f>
        <v>2042</v>
      </c>
      <c r="D131" s="344">
        <f>IF(F130+SUM(E$101:E130)=D$92,F130,D$92-SUM(E$101:E130))</f>
        <v>5890.5</v>
      </c>
      <c r="E131" s="483">
        <f t="shared" si="61"/>
        <v>582</v>
      </c>
      <c r="F131" s="482">
        <f t="shared" si="55"/>
        <v>5308.5</v>
      </c>
      <c r="G131" s="482">
        <f t="shared" si="56"/>
        <v>5599.5</v>
      </c>
      <c r="H131" s="483">
        <f t="shared" si="57"/>
        <v>1334.1176152863868</v>
      </c>
      <c r="I131" s="539">
        <f t="shared" si="58"/>
        <v>1334.1176152863868</v>
      </c>
      <c r="J131" s="475">
        <f t="shared" si="42"/>
        <v>0</v>
      </c>
      <c r="K131" s="475"/>
      <c r="L131" s="484"/>
      <c r="M131" s="475">
        <f t="shared" ref="M131:M154" si="62">IF(L541&lt;&gt;0,+H541-L541,0)</f>
        <v>0</v>
      </c>
      <c r="N131" s="484"/>
      <c r="O131" s="475">
        <f t="shared" si="60"/>
        <v>0</v>
      </c>
      <c r="P131" s="475">
        <f t="shared" ref="P131:P154" si="63">+O541-M541</f>
        <v>0</v>
      </c>
    </row>
    <row r="132" spans="2:16" ht="12.5">
      <c r="B132" s="160" t="str">
        <f t="shared" si="41"/>
        <v/>
      </c>
      <c r="C132" s="469">
        <f>IF(D93="","-",+C131+1)</f>
        <v>2043</v>
      </c>
      <c r="D132" s="344">
        <f>IF(F131+SUM(E$101:E131)=D$92,F131,D$92-SUM(E$101:E131))</f>
        <v>5308.5</v>
      </c>
      <c r="E132" s="483">
        <f t="shared" si="61"/>
        <v>582</v>
      </c>
      <c r="F132" s="482">
        <f t="shared" si="55"/>
        <v>4726.5</v>
      </c>
      <c r="G132" s="482">
        <f t="shared" si="56"/>
        <v>5017.5</v>
      </c>
      <c r="H132" s="483">
        <f t="shared" si="57"/>
        <v>1255.9441262075982</v>
      </c>
      <c r="I132" s="539">
        <f t="shared" si="58"/>
        <v>1255.9441262075982</v>
      </c>
      <c r="J132" s="475">
        <f t="shared" si="42"/>
        <v>0</v>
      </c>
      <c r="K132" s="475"/>
      <c r="L132" s="484"/>
      <c r="M132" s="475">
        <f t="shared" si="62"/>
        <v>0</v>
      </c>
      <c r="N132" s="484"/>
      <c r="O132" s="475">
        <f t="shared" si="60"/>
        <v>0</v>
      </c>
      <c r="P132" s="475">
        <f t="shared" si="63"/>
        <v>0</v>
      </c>
    </row>
    <row r="133" spans="2:16" ht="12.5">
      <c r="B133" s="160" t="str">
        <f t="shared" si="41"/>
        <v/>
      </c>
      <c r="C133" s="469">
        <f>IF(D93="","-",+C132+1)</f>
        <v>2044</v>
      </c>
      <c r="D133" s="344">
        <f>IF(F132+SUM(E$101:E132)=D$92,F132,D$92-SUM(E$101:E132))</f>
        <v>4726.5</v>
      </c>
      <c r="E133" s="483">
        <f t="shared" si="61"/>
        <v>582</v>
      </c>
      <c r="F133" s="482">
        <f t="shared" si="55"/>
        <v>4144.5</v>
      </c>
      <c r="G133" s="482">
        <f t="shared" ref="G133:G154" si="64">+(F133+D133)/2</f>
        <v>4435.5</v>
      </c>
      <c r="H133" s="483">
        <f t="shared" si="57"/>
        <v>1177.7706371288095</v>
      </c>
      <c r="I133" s="539">
        <f t="shared" si="58"/>
        <v>1177.7706371288095</v>
      </c>
      <c r="J133" s="475">
        <f t="shared" ref="J133:J154" si="65">+I541-H541</f>
        <v>0</v>
      </c>
      <c r="K133" s="475"/>
      <c r="L133" s="484"/>
      <c r="M133" s="475">
        <f t="shared" si="62"/>
        <v>0</v>
      </c>
      <c r="N133" s="484"/>
      <c r="O133" s="475">
        <f t="shared" si="60"/>
        <v>0</v>
      </c>
      <c r="P133" s="475">
        <f t="shared" si="63"/>
        <v>0</v>
      </c>
    </row>
    <row r="134" spans="2:16" ht="12.5">
      <c r="B134" s="160" t="str">
        <f t="shared" ref="B134:B154" si="66">IF(D134=F133,"","IU")</f>
        <v/>
      </c>
      <c r="C134" s="469">
        <f>IF(D93="","-",+C133+1)</f>
        <v>2045</v>
      </c>
      <c r="D134" s="344">
        <f>IF(F133+SUM(E$101:E133)=D$92,F133,D$92-SUM(E$101:E133))</f>
        <v>4144.5</v>
      </c>
      <c r="E134" s="483">
        <f t="shared" si="61"/>
        <v>582</v>
      </c>
      <c r="F134" s="482">
        <f t="shared" ref="F134:F154" si="67">+D134-E134</f>
        <v>3562.5</v>
      </c>
      <c r="G134" s="482">
        <f t="shared" si="64"/>
        <v>3853.5</v>
      </c>
      <c r="H134" s="483">
        <f t="shared" si="57"/>
        <v>1099.5971480500207</v>
      </c>
      <c r="I134" s="539">
        <f t="shared" si="58"/>
        <v>1099.5971480500207</v>
      </c>
      <c r="J134" s="475">
        <f t="shared" si="65"/>
        <v>0</v>
      </c>
      <c r="K134" s="475"/>
      <c r="L134" s="484"/>
      <c r="M134" s="475">
        <f t="shared" si="62"/>
        <v>0</v>
      </c>
      <c r="N134" s="484"/>
      <c r="O134" s="475">
        <f t="shared" si="60"/>
        <v>0</v>
      </c>
      <c r="P134" s="475">
        <f t="shared" si="63"/>
        <v>0</v>
      </c>
    </row>
    <row r="135" spans="2:16" ht="12.5">
      <c r="B135" s="160" t="str">
        <f t="shared" si="66"/>
        <v/>
      </c>
      <c r="C135" s="469">
        <f>IF(D93="","-",+C134+1)</f>
        <v>2046</v>
      </c>
      <c r="D135" s="344">
        <f>IF(F134+SUM(E$101:E134)=D$92,F134,D$92-SUM(E$101:E134))</f>
        <v>3562.5</v>
      </c>
      <c r="E135" s="483">
        <f t="shared" si="61"/>
        <v>582</v>
      </c>
      <c r="F135" s="482">
        <f t="shared" si="67"/>
        <v>2980.5</v>
      </c>
      <c r="G135" s="482">
        <f t="shared" si="64"/>
        <v>3271.5</v>
      </c>
      <c r="H135" s="483">
        <f t="shared" si="57"/>
        <v>1021.4236589712322</v>
      </c>
      <c r="I135" s="539">
        <f t="shared" si="58"/>
        <v>1021.4236589712322</v>
      </c>
      <c r="J135" s="475">
        <f t="shared" si="65"/>
        <v>0</v>
      </c>
      <c r="K135" s="475"/>
      <c r="L135" s="484"/>
      <c r="M135" s="475">
        <f t="shared" si="62"/>
        <v>0</v>
      </c>
      <c r="N135" s="484"/>
      <c r="O135" s="475">
        <f t="shared" si="60"/>
        <v>0</v>
      </c>
      <c r="P135" s="475">
        <f t="shared" si="63"/>
        <v>0</v>
      </c>
    </row>
    <row r="136" spans="2:16" ht="12.5">
      <c r="B136" s="160" t="str">
        <f t="shared" si="66"/>
        <v/>
      </c>
      <c r="C136" s="469">
        <f>IF(D93="","-",+C135+1)</f>
        <v>2047</v>
      </c>
      <c r="D136" s="344">
        <f>IF(F135+SUM(E$101:E135)=D$92,F135,D$92-SUM(E$101:E135))</f>
        <v>2980.5</v>
      </c>
      <c r="E136" s="483">
        <f t="shared" si="61"/>
        <v>582</v>
      </c>
      <c r="F136" s="482">
        <f t="shared" si="67"/>
        <v>2398.5</v>
      </c>
      <c r="G136" s="482">
        <f t="shared" si="64"/>
        <v>2689.5</v>
      </c>
      <c r="H136" s="483">
        <f t="shared" si="57"/>
        <v>943.25016989244352</v>
      </c>
      <c r="I136" s="539">
        <f t="shared" si="58"/>
        <v>943.25016989244352</v>
      </c>
      <c r="J136" s="475">
        <f t="shared" si="65"/>
        <v>0</v>
      </c>
      <c r="K136" s="475"/>
      <c r="L136" s="484"/>
      <c r="M136" s="475">
        <f t="shared" si="62"/>
        <v>0</v>
      </c>
      <c r="N136" s="484"/>
      <c r="O136" s="475">
        <f t="shared" si="60"/>
        <v>0</v>
      </c>
      <c r="P136" s="475">
        <f t="shared" si="63"/>
        <v>0</v>
      </c>
    </row>
    <row r="137" spans="2:16" ht="12.5">
      <c r="B137" s="160" t="str">
        <f t="shared" si="66"/>
        <v/>
      </c>
      <c r="C137" s="469">
        <f>IF(D93="","-",+C136+1)</f>
        <v>2048</v>
      </c>
      <c r="D137" s="344">
        <f>IF(F136+SUM(E$101:E136)=D$92,F136,D$92-SUM(E$101:E136))</f>
        <v>2398.5</v>
      </c>
      <c r="E137" s="483">
        <f t="shared" si="61"/>
        <v>582</v>
      </c>
      <c r="F137" s="482">
        <f t="shared" si="67"/>
        <v>1816.5</v>
      </c>
      <c r="G137" s="482">
        <f t="shared" si="64"/>
        <v>2107.5</v>
      </c>
      <c r="H137" s="483">
        <f t="shared" si="57"/>
        <v>865.07668081365478</v>
      </c>
      <c r="I137" s="539">
        <f t="shared" si="58"/>
        <v>865.07668081365478</v>
      </c>
      <c r="J137" s="475">
        <f t="shared" si="65"/>
        <v>0</v>
      </c>
      <c r="K137" s="475"/>
      <c r="L137" s="484"/>
      <c r="M137" s="475">
        <f t="shared" si="62"/>
        <v>0</v>
      </c>
      <c r="N137" s="484"/>
      <c r="O137" s="475">
        <f t="shared" si="60"/>
        <v>0</v>
      </c>
      <c r="P137" s="475">
        <f t="shared" si="63"/>
        <v>0</v>
      </c>
    </row>
    <row r="138" spans="2:16" ht="12.5">
      <c r="B138" s="160" t="str">
        <f t="shared" si="66"/>
        <v/>
      </c>
      <c r="C138" s="469">
        <f>IF(D93="","-",+C137+1)</f>
        <v>2049</v>
      </c>
      <c r="D138" s="344">
        <f>IF(F137+SUM(E$101:E137)=D$92,F137,D$92-SUM(E$101:E137))</f>
        <v>1816.5</v>
      </c>
      <c r="E138" s="483">
        <f t="shared" si="61"/>
        <v>582</v>
      </c>
      <c r="F138" s="482">
        <f t="shared" si="67"/>
        <v>1234.5</v>
      </c>
      <c r="G138" s="482">
        <f t="shared" si="64"/>
        <v>1525.5</v>
      </c>
      <c r="H138" s="483">
        <f t="shared" si="57"/>
        <v>786.90319173486614</v>
      </c>
      <c r="I138" s="539">
        <f t="shared" si="58"/>
        <v>786.90319173486614</v>
      </c>
      <c r="J138" s="475">
        <f t="shared" si="65"/>
        <v>0</v>
      </c>
      <c r="K138" s="475"/>
      <c r="L138" s="484"/>
      <c r="M138" s="475">
        <f t="shared" si="62"/>
        <v>0</v>
      </c>
      <c r="N138" s="484"/>
      <c r="O138" s="475">
        <f t="shared" si="60"/>
        <v>0</v>
      </c>
      <c r="P138" s="475">
        <f t="shared" si="63"/>
        <v>0</v>
      </c>
    </row>
    <row r="139" spans="2:16" ht="12.5">
      <c r="B139" s="160" t="str">
        <f t="shared" si="66"/>
        <v/>
      </c>
      <c r="C139" s="469">
        <f>IF(D93="","-",+C138+1)</f>
        <v>2050</v>
      </c>
      <c r="D139" s="344">
        <f>IF(F138+SUM(E$101:E138)=D$92,F138,D$92-SUM(E$101:E138))</f>
        <v>1234.5</v>
      </c>
      <c r="E139" s="483">
        <f t="shared" si="61"/>
        <v>582</v>
      </c>
      <c r="F139" s="482">
        <f t="shared" si="67"/>
        <v>652.5</v>
      </c>
      <c r="G139" s="482">
        <f t="shared" si="64"/>
        <v>943.5</v>
      </c>
      <c r="H139" s="483">
        <f t="shared" si="57"/>
        <v>708.72970265607751</v>
      </c>
      <c r="I139" s="539">
        <f t="shared" si="58"/>
        <v>708.72970265607751</v>
      </c>
      <c r="J139" s="475">
        <f t="shared" si="65"/>
        <v>0</v>
      </c>
      <c r="K139" s="475"/>
      <c r="L139" s="484"/>
      <c r="M139" s="475">
        <f t="shared" si="62"/>
        <v>0</v>
      </c>
      <c r="N139" s="484"/>
      <c r="O139" s="475">
        <f t="shared" si="60"/>
        <v>0</v>
      </c>
      <c r="P139" s="475">
        <f t="shared" si="63"/>
        <v>0</v>
      </c>
    </row>
    <row r="140" spans="2:16" ht="12.5">
      <c r="B140" s="160" t="str">
        <f t="shared" si="66"/>
        <v/>
      </c>
      <c r="C140" s="469">
        <f>IF(D93="","-",+C139+1)</f>
        <v>2051</v>
      </c>
      <c r="D140" s="344">
        <f>IF(F139+SUM(E$101:E139)=D$92,F139,D$92-SUM(E$101:E139))</f>
        <v>652.5</v>
      </c>
      <c r="E140" s="483">
        <f t="shared" si="61"/>
        <v>582</v>
      </c>
      <c r="F140" s="482">
        <f t="shared" si="67"/>
        <v>70.5</v>
      </c>
      <c r="G140" s="482">
        <f t="shared" si="64"/>
        <v>361.5</v>
      </c>
      <c r="H140" s="483">
        <f t="shared" si="57"/>
        <v>630.55621357728887</v>
      </c>
      <c r="I140" s="539">
        <f t="shared" si="58"/>
        <v>630.55621357728887</v>
      </c>
      <c r="J140" s="475">
        <f t="shared" si="65"/>
        <v>0</v>
      </c>
      <c r="K140" s="475"/>
      <c r="L140" s="484"/>
      <c r="M140" s="475">
        <f t="shared" si="62"/>
        <v>0</v>
      </c>
      <c r="N140" s="484"/>
      <c r="O140" s="475">
        <f t="shared" si="60"/>
        <v>0</v>
      </c>
      <c r="P140" s="475">
        <f t="shared" si="63"/>
        <v>0</v>
      </c>
    </row>
    <row r="141" spans="2:16" ht="12.5">
      <c r="B141" s="160" t="str">
        <f t="shared" si="66"/>
        <v/>
      </c>
      <c r="C141" s="469">
        <f>IF(D93="","-",+C140+1)</f>
        <v>2052</v>
      </c>
      <c r="D141" s="344">
        <f>IF(F140+SUM(E$101:E140)=D$92,F140,D$92-SUM(E$101:E140))</f>
        <v>70.5</v>
      </c>
      <c r="E141" s="483">
        <f t="shared" si="61"/>
        <v>70.5</v>
      </c>
      <c r="F141" s="482">
        <f t="shared" si="67"/>
        <v>0</v>
      </c>
      <c r="G141" s="482">
        <f t="shared" si="64"/>
        <v>35.25</v>
      </c>
      <c r="H141" s="483">
        <f t="shared" si="57"/>
        <v>75.234734518947249</v>
      </c>
      <c r="I141" s="539">
        <f t="shared" si="58"/>
        <v>75.234734518947249</v>
      </c>
      <c r="J141" s="475">
        <f t="shared" si="65"/>
        <v>0</v>
      </c>
      <c r="K141" s="475"/>
      <c r="L141" s="484"/>
      <c r="M141" s="475">
        <f t="shared" si="62"/>
        <v>0</v>
      </c>
      <c r="N141" s="484"/>
      <c r="O141" s="475">
        <f t="shared" si="60"/>
        <v>0</v>
      </c>
      <c r="P141" s="475">
        <f t="shared" si="63"/>
        <v>0</v>
      </c>
    </row>
    <row r="142" spans="2:16" ht="12.5">
      <c r="B142" s="160" t="str">
        <f t="shared" si="66"/>
        <v/>
      </c>
      <c r="C142" s="469">
        <f>IF(D93="","-",+C141+1)</f>
        <v>2053</v>
      </c>
      <c r="D142" s="344">
        <f>IF(F141+SUM(E$101:E141)=D$92,F141,D$92-SUM(E$101:E141))</f>
        <v>0</v>
      </c>
      <c r="E142" s="483">
        <f t="shared" si="61"/>
        <v>0</v>
      </c>
      <c r="F142" s="482">
        <f t="shared" si="67"/>
        <v>0</v>
      </c>
      <c r="G142" s="482">
        <f t="shared" si="64"/>
        <v>0</v>
      </c>
      <c r="H142" s="483">
        <f t="shared" si="57"/>
        <v>0</v>
      </c>
      <c r="I142" s="539">
        <f t="shared" si="58"/>
        <v>0</v>
      </c>
      <c r="J142" s="475">
        <f t="shared" si="65"/>
        <v>0</v>
      </c>
      <c r="K142" s="475"/>
      <c r="L142" s="484"/>
      <c r="M142" s="475">
        <f t="shared" si="62"/>
        <v>0</v>
      </c>
      <c r="N142" s="484"/>
      <c r="O142" s="475">
        <f t="shared" si="60"/>
        <v>0</v>
      </c>
      <c r="P142" s="475">
        <f t="shared" si="63"/>
        <v>0</v>
      </c>
    </row>
    <row r="143" spans="2:16" ht="12.5">
      <c r="B143" s="160" t="str">
        <f t="shared" si="66"/>
        <v/>
      </c>
      <c r="C143" s="469">
        <f>IF(D93="","-",+C142+1)</f>
        <v>2054</v>
      </c>
      <c r="D143" s="344">
        <f>IF(F142+SUM(E$101:E142)=D$92,F142,D$92-SUM(E$101:E142))</f>
        <v>0</v>
      </c>
      <c r="E143" s="483">
        <f t="shared" si="61"/>
        <v>0</v>
      </c>
      <c r="F143" s="482">
        <f t="shared" si="67"/>
        <v>0</v>
      </c>
      <c r="G143" s="482">
        <f t="shared" si="64"/>
        <v>0</v>
      </c>
      <c r="H143" s="483">
        <f t="shared" si="57"/>
        <v>0</v>
      </c>
      <c r="I143" s="539">
        <f t="shared" si="58"/>
        <v>0</v>
      </c>
      <c r="J143" s="475">
        <f t="shared" si="65"/>
        <v>0</v>
      </c>
      <c r="K143" s="475"/>
      <c r="L143" s="484"/>
      <c r="M143" s="475">
        <f t="shared" si="62"/>
        <v>0</v>
      </c>
      <c r="N143" s="484"/>
      <c r="O143" s="475">
        <f t="shared" si="60"/>
        <v>0</v>
      </c>
      <c r="P143" s="475">
        <f t="shared" si="63"/>
        <v>0</v>
      </c>
    </row>
    <row r="144" spans="2:16" ht="12.5">
      <c r="B144" s="160" t="str">
        <f t="shared" si="66"/>
        <v/>
      </c>
      <c r="C144" s="469">
        <f>IF(D93="","-",+C143+1)</f>
        <v>2055</v>
      </c>
      <c r="D144" s="344">
        <f>IF(F143+SUM(E$101:E143)=D$92,F143,D$92-SUM(E$101:E143))</f>
        <v>0</v>
      </c>
      <c r="E144" s="483">
        <f t="shared" si="61"/>
        <v>0</v>
      </c>
      <c r="F144" s="482">
        <f t="shared" si="67"/>
        <v>0</v>
      </c>
      <c r="G144" s="482">
        <f t="shared" si="64"/>
        <v>0</v>
      </c>
      <c r="H144" s="483">
        <f t="shared" si="57"/>
        <v>0</v>
      </c>
      <c r="I144" s="539">
        <f t="shared" si="58"/>
        <v>0</v>
      </c>
      <c r="J144" s="475">
        <f t="shared" si="65"/>
        <v>0</v>
      </c>
      <c r="K144" s="475"/>
      <c r="L144" s="484"/>
      <c r="M144" s="475">
        <f t="shared" si="62"/>
        <v>0</v>
      </c>
      <c r="N144" s="484"/>
      <c r="O144" s="475">
        <f t="shared" si="60"/>
        <v>0</v>
      </c>
      <c r="P144" s="475">
        <f t="shared" si="63"/>
        <v>0</v>
      </c>
    </row>
    <row r="145" spans="2:16" ht="12.5">
      <c r="B145" s="160" t="str">
        <f t="shared" si="66"/>
        <v/>
      </c>
      <c r="C145" s="469">
        <f>IF(D93="","-",+C144+1)</f>
        <v>2056</v>
      </c>
      <c r="D145" s="344">
        <f>IF(F144+SUM(E$101:E144)=D$92,F144,D$92-SUM(E$101:E144))</f>
        <v>0</v>
      </c>
      <c r="E145" s="483">
        <f t="shared" si="61"/>
        <v>0</v>
      </c>
      <c r="F145" s="482">
        <f t="shared" si="67"/>
        <v>0</v>
      </c>
      <c r="G145" s="482">
        <f t="shared" si="64"/>
        <v>0</v>
      </c>
      <c r="H145" s="483">
        <f t="shared" si="57"/>
        <v>0</v>
      </c>
      <c r="I145" s="539">
        <f t="shared" si="58"/>
        <v>0</v>
      </c>
      <c r="J145" s="475">
        <f t="shared" si="65"/>
        <v>0</v>
      </c>
      <c r="K145" s="475"/>
      <c r="L145" s="484"/>
      <c r="M145" s="475">
        <f t="shared" si="62"/>
        <v>0</v>
      </c>
      <c r="N145" s="484"/>
      <c r="O145" s="475">
        <f t="shared" si="60"/>
        <v>0</v>
      </c>
      <c r="P145" s="475">
        <f t="shared" si="63"/>
        <v>0</v>
      </c>
    </row>
    <row r="146" spans="2:16" ht="12.5">
      <c r="B146" s="160" t="str">
        <f t="shared" si="66"/>
        <v/>
      </c>
      <c r="C146" s="469">
        <f>IF(D93="","-",+C145+1)</f>
        <v>2057</v>
      </c>
      <c r="D146" s="344">
        <f>IF(F145+SUM(E$101:E145)=D$92,F145,D$92-SUM(E$101:E145))</f>
        <v>0</v>
      </c>
      <c r="E146" s="483">
        <f t="shared" si="61"/>
        <v>0</v>
      </c>
      <c r="F146" s="482">
        <f t="shared" si="67"/>
        <v>0</v>
      </c>
      <c r="G146" s="482">
        <f t="shared" si="64"/>
        <v>0</v>
      </c>
      <c r="H146" s="483">
        <f t="shared" si="57"/>
        <v>0</v>
      </c>
      <c r="I146" s="539">
        <f t="shared" si="58"/>
        <v>0</v>
      </c>
      <c r="J146" s="475">
        <f t="shared" si="65"/>
        <v>0</v>
      </c>
      <c r="K146" s="475"/>
      <c r="L146" s="484"/>
      <c r="M146" s="475">
        <f t="shared" si="62"/>
        <v>0</v>
      </c>
      <c r="N146" s="484"/>
      <c r="O146" s="475">
        <f t="shared" si="60"/>
        <v>0</v>
      </c>
      <c r="P146" s="475">
        <f t="shared" si="63"/>
        <v>0</v>
      </c>
    </row>
    <row r="147" spans="2:16" ht="12.5">
      <c r="B147" s="160" t="str">
        <f t="shared" si="66"/>
        <v/>
      </c>
      <c r="C147" s="469">
        <f>IF(D93="","-",+C146+1)</f>
        <v>2058</v>
      </c>
      <c r="D147" s="344">
        <f>IF(F146+SUM(E$101:E146)=D$92,F146,D$92-SUM(E$101:E146))</f>
        <v>0</v>
      </c>
      <c r="E147" s="483">
        <f t="shared" si="61"/>
        <v>0</v>
      </c>
      <c r="F147" s="482">
        <f t="shared" si="67"/>
        <v>0</v>
      </c>
      <c r="G147" s="482">
        <f t="shared" si="64"/>
        <v>0</v>
      </c>
      <c r="H147" s="483">
        <f t="shared" si="57"/>
        <v>0</v>
      </c>
      <c r="I147" s="539">
        <f t="shared" si="58"/>
        <v>0</v>
      </c>
      <c r="J147" s="475">
        <f t="shared" si="65"/>
        <v>0</v>
      </c>
      <c r="K147" s="475"/>
      <c r="L147" s="484"/>
      <c r="M147" s="475">
        <f t="shared" si="62"/>
        <v>0</v>
      </c>
      <c r="N147" s="484"/>
      <c r="O147" s="475">
        <f t="shared" si="60"/>
        <v>0</v>
      </c>
      <c r="P147" s="475">
        <f t="shared" si="63"/>
        <v>0</v>
      </c>
    </row>
    <row r="148" spans="2:16" ht="12.5">
      <c r="B148" s="160" t="str">
        <f t="shared" si="66"/>
        <v/>
      </c>
      <c r="C148" s="469">
        <f>IF(D93="","-",+C147+1)</f>
        <v>2059</v>
      </c>
      <c r="D148" s="344">
        <f>IF(F147+SUM(E$101:E147)=D$92,F147,D$92-SUM(E$101:E147))</f>
        <v>0</v>
      </c>
      <c r="E148" s="483">
        <f t="shared" si="61"/>
        <v>0</v>
      </c>
      <c r="F148" s="482">
        <f t="shared" si="67"/>
        <v>0</v>
      </c>
      <c r="G148" s="482">
        <f t="shared" si="64"/>
        <v>0</v>
      </c>
      <c r="H148" s="483">
        <f t="shared" si="57"/>
        <v>0</v>
      </c>
      <c r="I148" s="539">
        <f t="shared" si="58"/>
        <v>0</v>
      </c>
      <c r="J148" s="475">
        <f t="shared" si="65"/>
        <v>0</v>
      </c>
      <c r="K148" s="475"/>
      <c r="L148" s="484"/>
      <c r="M148" s="475">
        <f t="shared" si="62"/>
        <v>0</v>
      </c>
      <c r="N148" s="484"/>
      <c r="O148" s="475">
        <f t="shared" si="60"/>
        <v>0</v>
      </c>
      <c r="P148" s="475">
        <f t="shared" si="63"/>
        <v>0</v>
      </c>
    </row>
    <row r="149" spans="2:16" ht="12.5">
      <c r="B149" s="160" t="str">
        <f t="shared" si="66"/>
        <v/>
      </c>
      <c r="C149" s="469">
        <f>IF(D93="","-",+C148+1)</f>
        <v>2060</v>
      </c>
      <c r="D149" s="344">
        <f>IF(F148+SUM(E$101:E148)=D$92,F148,D$92-SUM(E$101:E148))</f>
        <v>0</v>
      </c>
      <c r="E149" s="483">
        <f t="shared" si="61"/>
        <v>0</v>
      </c>
      <c r="F149" s="482">
        <f t="shared" si="67"/>
        <v>0</v>
      </c>
      <c r="G149" s="482">
        <f t="shared" si="64"/>
        <v>0</v>
      </c>
      <c r="H149" s="483">
        <f t="shared" si="57"/>
        <v>0</v>
      </c>
      <c r="I149" s="539">
        <f t="shared" si="58"/>
        <v>0</v>
      </c>
      <c r="J149" s="475">
        <f t="shared" si="65"/>
        <v>0</v>
      </c>
      <c r="K149" s="475"/>
      <c r="L149" s="484"/>
      <c r="M149" s="475">
        <f t="shared" si="62"/>
        <v>0</v>
      </c>
      <c r="N149" s="484"/>
      <c r="O149" s="475">
        <f t="shared" si="60"/>
        <v>0</v>
      </c>
      <c r="P149" s="475">
        <f t="shared" si="63"/>
        <v>0</v>
      </c>
    </row>
    <row r="150" spans="2:16" ht="12.5">
      <c r="B150" s="160" t="str">
        <f t="shared" si="66"/>
        <v/>
      </c>
      <c r="C150" s="469">
        <f>IF(D93="","-",+C149+1)</f>
        <v>2061</v>
      </c>
      <c r="D150" s="344">
        <f>IF(F149+SUM(E$101:E149)=D$92,F149,D$92-SUM(E$101:E149))</f>
        <v>0</v>
      </c>
      <c r="E150" s="483">
        <f t="shared" si="61"/>
        <v>0</v>
      </c>
      <c r="F150" s="482">
        <f t="shared" si="67"/>
        <v>0</v>
      </c>
      <c r="G150" s="482">
        <f t="shared" si="64"/>
        <v>0</v>
      </c>
      <c r="H150" s="483">
        <f t="shared" si="57"/>
        <v>0</v>
      </c>
      <c r="I150" s="539">
        <f t="shared" si="58"/>
        <v>0</v>
      </c>
      <c r="J150" s="475">
        <f t="shared" si="65"/>
        <v>0</v>
      </c>
      <c r="K150" s="475"/>
      <c r="L150" s="484"/>
      <c r="M150" s="475">
        <f t="shared" si="62"/>
        <v>0</v>
      </c>
      <c r="N150" s="484"/>
      <c r="O150" s="475">
        <f t="shared" si="60"/>
        <v>0</v>
      </c>
      <c r="P150" s="475">
        <f t="shared" si="63"/>
        <v>0</v>
      </c>
    </row>
    <row r="151" spans="2:16" ht="12.5">
      <c r="B151" s="160" t="str">
        <f t="shared" si="66"/>
        <v/>
      </c>
      <c r="C151" s="469">
        <f>IF(D93="","-",+C150+1)</f>
        <v>2062</v>
      </c>
      <c r="D151" s="344">
        <f>IF(F150+SUM(E$101:E150)=D$92,F150,D$92-SUM(E$101:E150))</f>
        <v>0</v>
      </c>
      <c r="E151" s="483">
        <f t="shared" si="61"/>
        <v>0</v>
      </c>
      <c r="F151" s="482">
        <f t="shared" si="67"/>
        <v>0</v>
      </c>
      <c r="G151" s="482">
        <f t="shared" si="64"/>
        <v>0</v>
      </c>
      <c r="H151" s="483">
        <f t="shared" si="57"/>
        <v>0</v>
      </c>
      <c r="I151" s="539">
        <f t="shared" si="58"/>
        <v>0</v>
      </c>
      <c r="J151" s="475">
        <f t="shared" si="65"/>
        <v>0</v>
      </c>
      <c r="K151" s="475"/>
      <c r="L151" s="484"/>
      <c r="M151" s="475">
        <f t="shared" si="62"/>
        <v>0</v>
      </c>
      <c r="N151" s="484"/>
      <c r="O151" s="475">
        <f t="shared" si="60"/>
        <v>0</v>
      </c>
      <c r="P151" s="475">
        <f t="shared" si="63"/>
        <v>0</v>
      </c>
    </row>
    <row r="152" spans="2:16" ht="12.5">
      <c r="B152" s="160" t="str">
        <f t="shared" si="66"/>
        <v/>
      </c>
      <c r="C152" s="469">
        <f>IF(D93="","-",+C151+1)</f>
        <v>2063</v>
      </c>
      <c r="D152" s="344">
        <f>IF(F151+SUM(E$101:E151)=D$92,F151,D$92-SUM(E$101:E151))</f>
        <v>0</v>
      </c>
      <c r="E152" s="483">
        <f t="shared" si="61"/>
        <v>0</v>
      </c>
      <c r="F152" s="482">
        <f t="shared" si="67"/>
        <v>0</v>
      </c>
      <c r="G152" s="482">
        <f t="shared" si="64"/>
        <v>0</v>
      </c>
      <c r="H152" s="483">
        <f t="shared" si="57"/>
        <v>0</v>
      </c>
      <c r="I152" s="539">
        <f t="shared" si="58"/>
        <v>0</v>
      </c>
      <c r="J152" s="475">
        <f t="shared" si="65"/>
        <v>0</v>
      </c>
      <c r="K152" s="475"/>
      <c r="L152" s="484"/>
      <c r="M152" s="475">
        <f t="shared" si="62"/>
        <v>0</v>
      </c>
      <c r="N152" s="484"/>
      <c r="O152" s="475">
        <f t="shared" si="60"/>
        <v>0</v>
      </c>
      <c r="P152" s="475">
        <f t="shared" si="63"/>
        <v>0</v>
      </c>
    </row>
    <row r="153" spans="2:16" ht="12.5">
      <c r="B153" s="160" t="str">
        <f t="shared" si="66"/>
        <v/>
      </c>
      <c r="C153" s="469">
        <f>IF(D93="","-",+C152+1)</f>
        <v>2064</v>
      </c>
      <c r="D153" s="344">
        <f>IF(F152+SUM(E$101:E152)=D$92,F152,D$92-SUM(E$101:E152))</f>
        <v>0</v>
      </c>
      <c r="E153" s="483">
        <f t="shared" si="61"/>
        <v>0</v>
      </c>
      <c r="F153" s="482">
        <f t="shared" si="67"/>
        <v>0</v>
      </c>
      <c r="G153" s="482">
        <f t="shared" si="64"/>
        <v>0</v>
      </c>
      <c r="H153" s="483">
        <f t="shared" si="57"/>
        <v>0</v>
      </c>
      <c r="I153" s="539">
        <f t="shared" si="58"/>
        <v>0</v>
      </c>
      <c r="J153" s="475">
        <f t="shared" si="65"/>
        <v>0</v>
      </c>
      <c r="K153" s="475"/>
      <c r="L153" s="484"/>
      <c r="M153" s="475">
        <f t="shared" si="62"/>
        <v>0</v>
      </c>
      <c r="N153" s="484"/>
      <c r="O153" s="475">
        <f t="shared" si="60"/>
        <v>0</v>
      </c>
      <c r="P153" s="475">
        <f t="shared" si="63"/>
        <v>0</v>
      </c>
    </row>
    <row r="154" spans="2:16" ht="13" thickBot="1">
      <c r="B154" s="160" t="str">
        <f t="shared" si="66"/>
        <v/>
      </c>
      <c r="C154" s="486">
        <f>IF(D93="","-",+C153+1)</f>
        <v>2065</v>
      </c>
      <c r="D154" s="540">
        <f>IF(F153+SUM(E$101:E153)=D$92,F153,D$92-SUM(E$101:E153))</f>
        <v>0</v>
      </c>
      <c r="E154" s="541">
        <f t="shared" si="61"/>
        <v>0</v>
      </c>
      <c r="F154" s="487">
        <f t="shared" si="67"/>
        <v>0</v>
      </c>
      <c r="G154" s="487">
        <f t="shared" si="64"/>
        <v>0</v>
      </c>
      <c r="H154" s="489">
        <f t="shared" ref="H154" si="68">+J$94*G154+E154</f>
        <v>0</v>
      </c>
      <c r="I154" s="542">
        <f t="shared" ref="I154" si="69">+J$95*G154+E154</f>
        <v>0</v>
      </c>
      <c r="J154" s="492">
        <f t="shared" si="65"/>
        <v>0</v>
      </c>
      <c r="K154" s="475"/>
      <c r="L154" s="491"/>
      <c r="M154" s="492">
        <f t="shared" si="62"/>
        <v>0</v>
      </c>
      <c r="N154" s="491"/>
      <c r="O154" s="475">
        <f t="shared" si="60"/>
        <v>0</v>
      </c>
      <c r="P154" s="492">
        <f t="shared" si="63"/>
        <v>0</v>
      </c>
    </row>
    <row r="155" spans="2:16" ht="12.5">
      <c r="C155" s="344" t="s">
        <v>77</v>
      </c>
      <c r="D155" s="345"/>
      <c r="E155" s="345">
        <f>SUM(E101:E154)</f>
        <v>22097</v>
      </c>
      <c r="F155" s="345"/>
      <c r="G155" s="345"/>
      <c r="H155" s="345">
        <f>SUM(H101:H154)</f>
        <v>82085.743080628192</v>
      </c>
      <c r="I155" s="345">
        <f>SUM(I101:I154)</f>
        <v>82085.743080628192</v>
      </c>
      <c r="J155" s="345">
        <f>SUM(J101:J154)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47" priority="3" stopIfTrue="1" operator="equal">
      <formula>$I$10</formula>
    </cfRule>
  </conditionalFormatting>
  <conditionalFormatting sqref="C100:C154">
    <cfRule type="cellIs" dxfId="46" priority="1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59"/>
  <dimension ref="A1:P162"/>
  <sheetViews>
    <sheetView topLeftCell="A65"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14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109554.31648480284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109554.31648480284</v>
      </c>
      <c r="O6" s="231"/>
      <c r="P6" s="231"/>
    </row>
    <row r="7" spans="1:16" ht="13.5" thickBot="1">
      <c r="C7" s="428" t="s">
        <v>46</v>
      </c>
      <c r="D7" s="596" t="s">
        <v>239</v>
      </c>
      <c r="E7" s="597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569" t="s">
        <v>238</v>
      </c>
      <c r="E9" s="574" t="s">
        <v>288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1035552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2013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27251.36842105263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7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2013</v>
      </c>
      <c r="D17" s="578">
        <v>5562500</v>
      </c>
      <c r="E17" s="598">
        <v>89142.628205128203</v>
      </c>
      <c r="F17" s="578">
        <v>5473357.371794872</v>
      </c>
      <c r="G17" s="598">
        <v>870775.06277038739</v>
      </c>
      <c r="H17" s="599">
        <v>870775.06277038739</v>
      </c>
      <c r="I17" s="472">
        <v>0</v>
      </c>
      <c r="J17" s="346"/>
      <c r="K17" s="551">
        <f t="shared" ref="K17:K22" si="0">G17</f>
        <v>870775.06277038739</v>
      </c>
      <c r="L17" s="600">
        <f t="shared" ref="L17:L22" si="1">IF(K17&lt;&gt;0,+G17-K17,0)</f>
        <v>0</v>
      </c>
      <c r="M17" s="551">
        <f t="shared" ref="M17:M22" si="2">H17</f>
        <v>870775.06277038739</v>
      </c>
      <c r="N17" s="474">
        <f t="shared" ref="N17:N22" si="3">IF(M17&lt;&gt;0,+H17-M17,0)</f>
        <v>0</v>
      </c>
      <c r="O17" s="472">
        <f t="shared" ref="O17:O22" si="4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2014</v>
      </c>
      <c r="D18" s="583">
        <v>5473357</v>
      </c>
      <c r="E18" s="582">
        <v>19910</v>
      </c>
      <c r="F18" s="583">
        <v>5453447</v>
      </c>
      <c r="G18" s="582">
        <v>770625</v>
      </c>
      <c r="H18" s="584">
        <v>770625</v>
      </c>
      <c r="I18" s="472">
        <f>H18-G18</f>
        <v>0</v>
      </c>
      <c r="J18" s="346"/>
      <c r="K18" s="473">
        <f t="shared" si="0"/>
        <v>770625</v>
      </c>
      <c r="L18" s="600">
        <f t="shared" si="1"/>
        <v>0</v>
      </c>
      <c r="M18" s="473">
        <f t="shared" si="2"/>
        <v>770625</v>
      </c>
      <c r="N18" s="475">
        <f t="shared" si="3"/>
        <v>0</v>
      </c>
      <c r="O18" s="472">
        <f t="shared" si="4"/>
        <v>0</v>
      </c>
      <c r="P18" s="241"/>
    </row>
    <row r="19" spans="2:16" ht="12.5">
      <c r="B19" s="160" t="str">
        <f>IF(D19=F18,"","IU")</f>
        <v/>
      </c>
      <c r="C19" s="469">
        <f>IF(D11="","-",+C18+1)</f>
        <v>2015</v>
      </c>
      <c r="D19" s="583">
        <v>5453447</v>
      </c>
      <c r="E19" s="582">
        <f t="shared" ref="E19:E72" si="5">IF(+$I$14&lt;F18,$I$14,D19)</f>
        <v>27251.36842105263</v>
      </c>
      <c r="F19" s="583">
        <v>5433533</v>
      </c>
      <c r="G19" s="582">
        <v>769045</v>
      </c>
      <c r="H19" s="584">
        <v>769045</v>
      </c>
      <c r="I19" s="472">
        <f t="shared" ref="I19:I72" si="6">H19-G19</f>
        <v>0</v>
      </c>
      <c r="J19" s="346"/>
      <c r="K19" s="473">
        <f t="shared" si="0"/>
        <v>769045</v>
      </c>
      <c r="L19" s="600">
        <f t="shared" si="1"/>
        <v>0</v>
      </c>
      <c r="M19" s="473">
        <f t="shared" si="2"/>
        <v>769045</v>
      </c>
      <c r="N19" s="475">
        <f t="shared" si="3"/>
        <v>0</v>
      </c>
      <c r="O19" s="472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2016</v>
      </c>
      <c r="D20" s="583">
        <v>906584.91025641025</v>
      </c>
      <c r="E20" s="582">
        <v>19914.461538461539</v>
      </c>
      <c r="F20" s="583">
        <v>886670.44871794875</v>
      </c>
      <c r="G20" s="582">
        <v>136209.46153846153</v>
      </c>
      <c r="H20" s="584">
        <v>136209.46153846153</v>
      </c>
      <c r="I20" s="472">
        <f t="shared" si="6"/>
        <v>0</v>
      </c>
      <c r="J20" s="346"/>
      <c r="K20" s="473">
        <f t="shared" si="0"/>
        <v>136209.46153846153</v>
      </c>
      <c r="L20" s="600">
        <f t="shared" si="1"/>
        <v>0</v>
      </c>
      <c r="M20" s="473">
        <f t="shared" si="2"/>
        <v>136209.46153846153</v>
      </c>
      <c r="N20" s="475">
        <f t="shared" si="3"/>
        <v>0</v>
      </c>
      <c r="O20" s="472">
        <f t="shared" si="4"/>
        <v>0</v>
      </c>
      <c r="P20" s="241"/>
    </row>
    <row r="21" spans="2:16" ht="12.5">
      <c r="B21" s="160" t="str">
        <f t="shared" si="7"/>
        <v>IU</v>
      </c>
      <c r="C21" s="469">
        <f>IF(D11="","-",+C20+1)</f>
        <v>2017</v>
      </c>
      <c r="D21" s="583">
        <v>884072.91025641025</v>
      </c>
      <c r="E21" s="582">
        <v>22512</v>
      </c>
      <c r="F21" s="583">
        <v>861560.91025641025</v>
      </c>
      <c r="G21" s="582">
        <v>132155</v>
      </c>
      <c r="H21" s="584">
        <v>132155</v>
      </c>
      <c r="I21" s="472">
        <f t="shared" si="6"/>
        <v>0</v>
      </c>
      <c r="J21" s="346"/>
      <c r="K21" s="473">
        <f t="shared" si="0"/>
        <v>132155</v>
      </c>
      <c r="L21" s="600">
        <f t="shared" si="1"/>
        <v>0</v>
      </c>
      <c r="M21" s="473">
        <f t="shared" si="2"/>
        <v>132155</v>
      </c>
      <c r="N21" s="475">
        <f t="shared" si="3"/>
        <v>0</v>
      </c>
      <c r="O21" s="472">
        <f t="shared" si="4"/>
        <v>0</v>
      </c>
      <c r="P21" s="241"/>
    </row>
    <row r="22" spans="2:16" ht="12.5">
      <c r="B22" s="160" t="str">
        <f t="shared" si="7"/>
        <v>IU</v>
      </c>
      <c r="C22" s="469">
        <f>IF(D11="","-",+C21+1)</f>
        <v>2018</v>
      </c>
      <c r="D22" s="583">
        <v>861060.64358974365</v>
      </c>
      <c r="E22" s="582">
        <v>23012.266666666666</v>
      </c>
      <c r="F22" s="583">
        <v>838048.37692307692</v>
      </c>
      <c r="G22" s="582">
        <v>124754.01488848326</v>
      </c>
      <c r="H22" s="584">
        <v>124754.01488848326</v>
      </c>
      <c r="I22" s="472">
        <f t="shared" si="6"/>
        <v>0</v>
      </c>
      <c r="J22" s="346"/>
      <c r="K22" s="473">
        <f t="shared" si="0"/>
        <v>124754.01488848326</v>
      </c>
      <c r="L22" s="600">
        <f t="shared" si="1"/>
        <v>0</v>
      </c>
      <c r="M22" s="473">
        <f t="shared" si="2"/>
        <v>124754.01488848326</v>
      </c>
      <c r="N22" s="475">
        <f t="shared" si="3"/>
        <v>0</v>
      </c>
      <c r="O22" s="472">
        <f t="shared" si="4"/>
        <v>0</v>
      </c>
      <c r="P22" s="241"/>
    </row>
    <row r="23" spans="2:16" ht="12.5">
      <c r="B23" s="160" t="str">
        <f t="shared" si="7"/>
        <v>IU</v>
      </c>
      <c r="C23" s="469">
        <f>IF(D11="","-",+C22+1)</f>
        <v>2019</v>
      </c>
      <c r="D23" s="583">
        <v>835171.8435897436</v>
      </c>
      <c r="E23" s="582">
        <v>25888.799999999999</v>
      </c>
      <c r="F23" s="583">
        <v>809283.04358974355</v>
      </c>
      <c r="G23" s="582">
        <v>117695.9465116283</v>
      </c>
      <c r="H23" s="584">
        <v>117695.9465116283</v>
      </c>
      <c r="I23" s="472">
        <f t="shared" si="6"/>
        <v>0</v>
      </c>
      <c r="J23" s="472"/>
      <c r="K23" s="473">
        <f t="shared" ref="K23" si="8">G23</f>
        <v>117695.9465116283</v>
      </c>
      <c r="L23" s="600">
        <f t="shared" ref="L23" si="9">IF(K23&lt;&gt;0,+G23-K23,0)</f>
        <v>0</v>
      </c>
      <c r="M23" s="473">
        <f t="shared" ref="M23" si="10">H23</f>
        <v>117695.9465116283</v>
      </c>
      <c r="N23" s="475">
        <f t="shared" ref="N23:N72" si="11">IF(M23&lt;&gt;0,+H23-M23,0)</f>
        <v>0</v>
      </c>
      <c r="O23" s="475">
        <f t="shared" ref="O23:O72" si="12">+N23-L23</f>
        <v>0</v>
      </c>
      <c r="P23" s="241"/>
    </row>
    <row r="24" spans="2:16" ht="12.5">
      <c r="B24" s="160" t="str">
        <f t="shared" si="7"/>
        <v>IU</v>
      </c>
      <c r="C24" s="469">
        <f>IF(D11="","-",+C23+1)</f>
        <v>2020</v>
      </c>
      <c r="D24" s="583">
        <v>815036.1102564102</v>
      </c>
      <c r="E24" s="582">
        <v>24656</v>
      </c>
      <c r="F24" s="583">
        <v>790380.1102564102</v>
      </c>
      <c r="G24" s="582">
        <v>111352.31037205369</v>
      </c>
      <c r="H24" s="584">
        <v>111352.31037205369</v>
      </c>
      <c r="I24" s="472">
        <f t="shared" si="6"/>
        <v>0</v>
      </c>
      <c r="J24" s="472"/>
      <c r="K24" s="473">
        <f t="shared" ref="K24" si="13">G24</f>
        <v>111352.31037205369</v>
      </c>
      <c r="L24" s="600">
        <f t="shared" ref="L24" si="14">IF(K24&lt;&gt;0,+G24-K24,0)</f>
        <v>0</v>
      </c>
      <c r="M24" s="473">
        <f t="shared" ref="M24" si="15">H24</f>
        <v>111352.31037205369</v>
      </c>
      <c r="N24" s="475">
        <f t="shared" si="11"/>
        <v>0</v>
      </c>
      <c r="O24" s="475">
        <f t="shared" si="12"/>
        <v>0</v>
      </c>
      <c r="P24" s="241"/>
    </row>
    <row r="25" spans="2:16" ht="12.5">
      <c r="B25" s="160" t="str">
        <f t="shared" si="7"/>
        <v>IU</v>
      </c>
      <c r="C25" s="469">
        <f>IF(D11="","-",+C24+1)</f>
        <v>2021</v>
      </c>
      <c r="D25" s="583">
        <v>786433.23893858085</v>
      </c>
      <c r="E25" s="582">
        <v>24082.60465116279</v>
      </c>
      <c r="F25" s="583">
        <v>762350.6342874181</v>
      </c>
      <c r="G25" s="582">
        <v>106280.60465116279</v>
      </c>
      <c r="H25" s="584">
        <v>106280.60465116279</v>
      </c>
      <c r="I25" s="472">
        <f t="shared" si="6"/>
        <v>0</v>
      </c>
      <c r="J25" s="472"/>
      <c r="K25" s="473">
        <f t="shared" ref="K25" si="16">G25</f>
        <v>106280.60465116279</v>
      </c>
      <c r="L25" s="600">
        <f t="shared" ref="L25" si="17">IF(K25&lt;&gt;0,+G25-K25,0)</f>
        <v>0</v>
      </c>
      <c r="M25" s="473">
        <f t="shared" ref="M25" si="18">H25</f>
        <v>106280.60465116279</v>
      </c>
      <c r="N25" s="475">
        <f t="shared" si="11"/>
        <v>0</v>
      </c>
      <c r="O25" s="475">
        <f t="shared" si="12"/>
        <v>0</v>
      </c>
      <c r="P25" s="241"/>
    </row>
    <row r="26" spans="2:16" ht="12.5">
      <c r="B26" s="160" t="str">
        <f t="shared" si="7"/>
        <v>IU</v>
      </c>
      <c r="C26" s="469">
        <f>IF(D11="","-",+C25+1)</f>
        <v>2022</v>
      </c>
      <c r="D26" s="583">
        <v>761777.23893858085</v>
      </c>
      <c r="E26" s="582">
        <v>24656</v>
      </c>
      <c r="F26" s="583">
        <v>737121.23893858085</v>
      </c>
      <c r="G26" s="582">
        <v>104126</v>
      </c>
      <c r="H26" s="584">
        <v>104126</v>
      </c>
      <c r="I26" s="472">
        <f t="shared" si="6"/>
        <v>0</v>
      </c>
      <c r="J26" s="472"/>
      <c r="K26" s="473">
        <f t="shared" ref="K26" si="19">G26</f>
        <v>104126</v>
      </c>
      <c r="L26" s="600">
        <f t="shared" ref="L26" si="20">IF(K26&lt;&gt;0,+G26-K26,0)</f>
        <v>0</v>
      </c>
      <c r="M26" s="473">
        <f t="shared" ref="M26" si="21">H26</f>
        <v>104126</v>
      </c>
      <c r="N26" s="475">
        <f t="shared" si="11"/>
        <v>0</v>
      </c>
      <c r="O26" s="475">
        <f t="shared" si="12"/>
        <v>0</v>
      </c>
      <c r="P26" s="241"/>
    </row>
    <row r="27" spans="2:16" ht="12.5">
      <c r="B27" s="160" t="str">
        <f t="shared" si="7"/>
        <v>IU</v>
      </c>
      <c r="C27" s="469">
        <f>IF(D11="","-",+C26+1)</f>
        <v>2023</v>
      </c>
      <c r="D27" s="583">
        <v>735224.62355396547</v>
      </c>
      <c r="E27" s="582">
        <v>26552.615384615383</v>
      </c>
      <c r="F27" s="583">
        <v>708672.0081693501</v>
      </c>
      <c r="G27" s="582">
        <v>111138.61538461538</v>
      </c>
      <c r="H27" s="584">
        <v>111138.61538461538</v>
      </c>
      <c r="I27" s="472">
        <f t="shared" si="6"/>
        <v>0</v>
      </c>
      <c r="J27" s="472"/>
      <c r="K27" s="473">
        <f t="shared" ref="K27" si="22">G27</f>
        <v>111138.61538461538</v>
      </c>
      <c r="L27" s="600">
        <f t="shared" ref="L27" si="23">IF(K27&lt;&gt;0,+G27-K27,0)</f>
        <v>0</v>
      </c>
      <c r="M27" s="473">
        <f t="shared" ref="M27" si="24">H27</f>
        <v>111138.61538461538</v>
      </c>
      <c r="N27" s="475">
        <f t="shared" si="11"/>
        <v>0</v>
      </c>
      <c r="O27" s="475">
        <f t="shared" si="12"/>
        <v>0</v>
      </c>
      <c r="P27" s="241"/>
    </row>
    <row r="28" spans="2:16" ht="12.5">
      <c r="B28" s="160" t="str">
        <f t="shared" si="7"/>
        <v/>
      </c>
      <c r="C28" s="469">
        <f>IF(D11="","-",+C27+1)</f>
        <v>2024</v>
      </c>
      <c r="D28" s="583">
        <v>708672.0081693501</v>
      </c>
      <c r="E28" s="582">
        <v>26552.615384615383</v>
      </c>
      <c r="F28" s="583">
        <v>682119.39278473472</v>
      </c>
      <c r="G28" s="582">
        <v>109554.31648480284</v>
      </c>
      <c r="H28" s="584">
        <v>109554.31648480284</v>
      </c>
      <c r="I28" s="472">
        <f t="shared" si="6"/>
        <v>0</v>
      </c>
      <c r="J28" s="472"/>
      <c r="K28" s="473">
        <f t="shared" ref="K28" si="25">G28</f>
        <v>109554.31648480284</v>
      </c>
      <c r="L28" s="600">
        <f t="shared" ref="L28" si="26">IF(K28&lt;&gt;0,+G28-K28,0)</f>
        <v>0</v>
      </c>
      <c r="M28" s="473">
        <f t="shared" ref="M28" si="27">H28</f>
        <v>109554.31648480284</v>
      </c>
      <c r="N28" s="475">
        <f t="shared" ref="N28" si="28">IF(M28&lt;&gt;0,+H28-M28,0)</f>
        <v>0</v>
      </c>
      <c r="O28" s="475">
        <f t="shared" ref="O28" si="29">+N28-L28</f>
        <v>0</v>
      </c>
      <c r="P28" s="241"/>
    </row>
    <row r="29" spans="2:16" ht="12.5">
      <c r="B29" s="160" t="str">
        <f t="shared" si="7"/>
        <v>IU</v>
      </c>
      <c r="C29" s="469">
        <f>IF(D11="","-",+C28+1)</f>
        <v>2025</v>
      </c>
      <c r="D29" s="482">
        <f>IF(F28+SUM(E$17:E28)=D$10,F28,D$10-SUM(E$17:E28))</f>
        <v>681420.6397482974</v>
      </c>
      <c r="E29" s="481">
        <f t="shared" si="5"/>
        <v>27251.36842105263</v>
      </c>
      <c r="F29" s="482">
        <f t="shared" ref="F29:F72" si="30">+D29-E29</f>
        <v>654169.27132724482</v>
      </c>
      <c r="G29" s="483">
        <f t="shared" ref="G29:G72" si="31">(D29+F29)/2*I$12+E29</f>
        <v>103206.49192862201</v>
      </c>
      <c r="H29" s="452">
        <f t="shared" ref="H29:H72" si="32">+(D29+F29)/2*I$13+E29</f>
        <v>103206.49192862201</v>
      </c>
      <c r="I29" s="472">
        <f t="shared" si="6"/>
        <v>0</v>
      </c>
      <c r="J29" s="472"/>
      <c r="K29" s="484"/>
      <c r="L29" s="475">
        <f t="shared" ref="L29:L72" si="33">IF(K29&lt;&gt;0,+G29-K29,0)</f>
        <v>0</v>
      </c>
      <c r="M29" s="484"/>
      <c r="N29" s="475">
        <f t="shared" si="11"/>
        <v>0</v>
      </c>
      <c r="O29" s="475">
        <f t="shared" si="12"/>
        <v>0</v>
      </c>
      <c r="P29" s="241"/>
    </row>
    <row r="30" spans="2:16" ht="12.5">
      <c r="B30" s="160" t="str">
        <f t="shared" si="7"/>
        <v/>
      </c>
      <c r="C30" s="469">
        <f>IF(D11="","-",+C29+1)</f>
        <v>2026</v>
      </c>
      <c r="D30" s="482">
        <f>IF(F29+SUM(E$17:E29)=D$10,F29,D$10-SUM(E$17:E29))</f>
        <v>654169.27132724482</v>
      </c>
      <c r="E30" s="481">
        <f t="shared" si="5"/>
        <v>27251.36842105263</v>
      </c>
      <c r="F30" s="482">
        <f t="shared" si="30"/>
        <v>626917.90290619223</v>
      </c>
      <c r="G30" s="483">
        <f t="shared" si="31"/>
        <v>100106.916172611</v>
      </c>
      <c r="H30" s="452">
        <f t="shared" si="32"/>
        <v>100106.916172611</v>
      </c>
      <c r="I30" s="472">
        <f t="shared" si="6"/>
        <v>0</v>
      </c>
      <c r="J30" s="472"/>
      <c r="K30" s="484"/>
      <c r="L30" s="475">
        <f t="shared" si="33"/>
        <v>0</v>
      </c>
      <c r="M30" s="484"/>
      <c r="N30" s="475">
        <f t="shared" si="11"/>
        <v>0</v>
      </c>
      <c r="O30" s="475">
        <f t="shared" si="12"/>
        <v>0</v>
      </c>
      <c r="P30" s="241"/>
    </row>
    <row r="31" spans="2:16" ht="12.5">
      <c r="B31" s="160" t="str">
        <f t="shared" si="7"/>
        <v/>
      </c>
      <c r="C31" s="469">
        <f>IF(D11="","-",+C30+1)</f>
        <v>2027</v>
      </c>
      <c r="D31" s="482">
        <f>IF(F30+SUM(E$17:E30)=D$10,F30,D$10-SUM(E$17:E30))</f>
        <v>626917.90290619223</v>
      </c>
      <c r="E31" s="481">
        <f t="shared" si="5"/>
        <v>27251.36842105263</v>
      </c>
      <c r="F31" s="482">
        <f t="shared" si="30"/>
        <v>599666.53448513965</v>
      </c>
      <c r="G31" s="483">
        <f t="shared" si="31"/>
        <v>97007.340416599996</v>
      </c>
      <c r="H31" s="452">
        <f t="shared" si="32"/>
        <v>97007.340416599996</v>
      </c>
      <c r="I31" s="472">
        <f t="shared" si="6"/>
        <v>0</v>
      </c>
      <c r="J31" s="472"/>
      <c r="K31" s="484"/>
      <c r="L31" s="475">
        <f t="shared" si="33"/>
        <v>0</v>
      </c>
      <c r="M31" s="484"/>
      <c r="N31" s="475">
        <f t="shared" si="11"/>
        <v>0</v>
      </c>
      <c r="O31" s="475">
        <f t="shared" si="12"/>
        <v>0</v>
      </c>
      <c r="P31" s="241"/>
    </row>
    <row r="32" spans="2:16" ht="12.5">
      <c r="B32" s="160" t="str">
        <f t="shared" si="7"/>
        <v/>
      </c>
      <c r="C32" s="469">
        <f>IF(D11="","-",+C31+1)</f>
        <v>2028</v>
      </c>
      <c r="D32" s="482">
        <f>IF(F31+SUM(E$17:E31)=D$10,F31,D$10-SUM(E$17:E31))</f>
        <v>599666.53448513965</v>
      </c>
      <c r="E32" s="481">
        <f t="shared" si="5"/>
        <v>27251.36842105263</v>
      </c>
      <c r="F32" s="482">
        <f t="shared" si="30"/>
        <v>572415.16606408707</v>
      </c>
      <c r="G32" s="483">
        <f t="shared" si="31"/>
        <v>93907.764660588989</v>
      </c>
      <c r="H32" s="452">
        <f t="shared" si="32"/>
        <v>93907.764660588989</v>
      </c>
      <c r="I32" s="472">
        <f t="shared" si="6"/>
        <v>0</v>
      </c>
      <c r="J32" s="472"/>
      <c r="K32" s="484"/>
      <c r="L32" s="475">
        <f t="shared" si="33"/>
        <v>0</v>
      </c>
      <c r="M32" s="484"/>
      <c r="N32" s="475">
        <f t="shared" si="11"/>
        <v>0</v>
      </c>
      <c r="O32" s="475">
        <f t="shared" si="12"/>
        <v>0</v>
      </c>
      <c r="P32" s="241"/>
    </row>
    <row r="33" spans="2:16" ht="12.5">
      <c r="B33" s="160" t="str">
        <f t="shared" si="7"/>
        <v/>
      </c>
      <c r="C33" s="469">
        <f>IF(D11="","-",+C32+1)</f>
        <v>2029</v>
      </c>
      <c r="D33" s="482">
        <f>IF(F32+SUM(E$17:E32)=D$10,F32,D$10-SUM(E$17:E32))</f>
        <v>572415.16606408707</v>
      </c>
      <c r="E33" s="481">
        <f t="shared" si="5"/>
        <v>27251.36842105263</v>
      </c>
      <c r="F33" s="482">
        <f t="shared" si="30"/>
        <v>545163.79764303449</v>
      </c>
      <c r="G33" s="483">
        <f t="shared" si="31"/>
        <v>90808.188904577983</v>
      </c>
      <c r="H33" s="452">
        <f t="shared" si="32"/>
        <v>90808.188904577983</v>
      </c>
      <c r="I33" s="472">
        <f t="shared" si="6"/>
        <v>0</v>
      </c>
      <c r="J33" s="472"/>
      <c r="K33" s="484"/>
      <c r="L33" s="475">
        <f t="shared" si="33"/>
        <v>0</v>
      </c>
      <c r="M33" s="484"/>
      <c r="N33" s="475">
        <f t="shared" si="11"/>
        <v>0</v>
      </c>
      <c r="O33" s="475">
        <f t="shared" si="12"/>
        <v>0</v>
      </c>
      <c r="P33" s="241"/>
    </row>
    <row r="34" spans="2:16" ht="12.5">
      <c r="B34" s="160" t="str">
        <f t="shared" si="7"/>
        <v/>
      </c>
      <c r="C34" s="469">
        <f>IF(D11="","-",+C33+1)</f>
        <v>2030</v>
      </c>
      <c r="D34" s="482">
        <f>IF(F33+SUM(E$17:E33)=D$10,F33,D$10-SUM(E$17:E33))</f>
        <v>545163.79764303449</v>
      </c>
      <c r="E34" s="481">
        <f t="shared" si="5"/>
        <v>27251.36842105263</v>
      </c>
      <c r="F34" s="482">
        <f t="shared" si="30"/>
        <v>517912.42922198185</v>
      </c>
      <c r="G34" s="483">
        <f t="shared" si="31"/>
        <v>87708.613148566976</v>
      </c>
      <c r="H34" s="452">
        <f t="shared" si="32"/>
        <v>87708.613148566976</v>
      </c>
      <c r="I34" s="472">
        <f t="shared" si="6"/>
        <v>0</v>
      </c>
      <c r="J34" s="472"/>
      <c r="K34" s="484"/>
      <c r="L34" s="475">
        <f t="shared" si="33"/>
        <v>0</v>
      </c>
      <c r="M34" s="484"/>
      <c r="N34" s="475">
        <f t="shared" si="11"/>
        <v>0</v>
      </c>
      <c r="O34" s="475">
        <f t="shared" si="12"/>
        <v>0</v>
      </c>
      <c r="P34" s="241"/>
    </row>
    <row r="35" spans="2:16" ht="12.5">
      <c r="B35" s="160" t="str">
        <f t="shared" si="7"/>
        <v/>
      </c>
      <c r="C35" s="469">
        <f>IF(D11="","-",+C34+1)</f>
        <v>2031</v>
      </c>
      <c r="D35" s="482">
        <f>IF(F34+SUM(E$17:E34)=D$10,F34,D$10-SUM(E$17:E34))</f>
        <v>517912.42922198185</v>
      </c>
      <c r="E35" s="481">
        <f t="shared" si="5"/>
        <v>27251.36842105263</v>
      </c>
      <c r="F35" s="482">
        <f t="shared" si="30"/>
        <v>490661.0608009292</v>
      </c>
      <c r="G35" s="483">
        <f t="shared" si="31"/>
        <v>84609.037392555954</v>
      </c>
      <c r="H35" s="452">
        <f t="shared" si="32"/>
        <v>84609.037392555954</v>
      </c>
      <c r="I35" s="472">
        <f t="shared" si="6"/>
        <v>0</v>
      </c>
      <c r="J35" s="472"/>
      <c r="K35" s="484"/>
      <c r="L35" s="475">
        <f t="shared" si="33"/>
        <v>0</v>
      </c>
      <c r="M35" s="484"/>
      <c r="N35" s="475">
        <f t="shared" si="11"/>
        <v>0</v>
      </c>
      <c r="O35" s="475">
        <f t="shared" si="12"/>
        <v>0</v>
      </c>
      <c r="P35" s="241"/>
    </row>
    <row r="36" spans="2:16" ht="12.5">
      <c r="B36" s="160" t="str">
        <f t="shared" si="7"/>
        <v/>
      </c>
      <c r="C36" s="469">
        <f>IF(D11="","-",+C35+1)</f>
        <v>2032</v>
      </c>
      <c r="D36" s="482">
        <f>IF(F35+SUM(E$17:E35)=D$10,F35,D$10-SUM(E$17:E35))</f>
        <v>490661.0608009292</v>
      </c>
      <c r="E36" s="481">
        <f t="shared" si="5"/>
        <v>27251.36842105263</v>
      </c>
      <c r="F36" s="482">
        <f t="shared" si="30"/>
        <v>463409.69237987656</v>
      </c>
      <c r="G36" s="483">
        <f t="shared" si="31"/>
        <v>81509.461636544947</v>
      </c>
      <c r="H36" s="452">
        <f t="shared" si="32"/>
        <v>81509.461636544947</v>
      </c>
      <c r="I36" s="472">
        <f t="shared" si="6"/>
        <v>0</v>
      </c>
      <c r="J36" s="472"/>
      <c r="K36" s="484"/>
      <c r="L36" s="475">
        <f t="shared" si="33"/>
        <v>0</v>
      </c>
      <c r="M36" s="484"/>
      <c r="N36" s="475">
        <f t="shared" si="11"/>
        <v>0</v>
      </c>
      <c r="O36" s="475">
        <f t="shared" si="12"/>
        <v>0</v>
      </c>
      <c r="P36" s="241"/>
    </row>
    <row r="37" spans="2:16" ht="12.5">
      <c r="B37" s="160" t="str">
        <f t="shared" si="7"/>
        <v/>
      </c>
      <c r="C37" s="469">
        <f>IF(D11="","-",+C36+1)</f>
        <v>2033</v>
      </c>
      <c r="D37" s="482">
        <f>IF(F36+SUM(E$17:E36)=D$10,F36,D$10-SUM(E$17:E36))</f>
        <v>463409.69237987656</v>
      </c>
      <c r="E37" s="481">
        <f t="shared" si="5"/>
        <v>27251.36842105263</v>
      </c>
      <c r="F37" s="482">
        <f t="shared" si="30"/>
        <v>436158.32395882392</v>
      </c>
      <c r="G37" s="483">
        <f t="shared" si="31"/>
        <v>78409.885880533911</v>
      </c>
      <c r="H37" s="452">
        <f t="shared" si="32"/>
        <v>78409.885880533911</v>
      </c>
      <c r="I37" s="472">
        <f t="shared" si="6"/>
        <v>0</v>
      </c>
      <c r="J37" s="472"/>
      <c r="K37" s="484"/>
      <c r="L37" s="475">
        <f t="shared" si="33"/>
        <v>0</v>
      </c>
      <c r="M37" s="484"/>
      <c r="N37" s="475">
        <f t="shared" si="11"/>
        <v>0</v>
      </c>
      <c r="O37" s="475">
        <f t="shared" si="12"/>
        <v>0</v>
      </c>
      <c r="P37" s="241"/>
    </row>
    <row r="38" spans="2:16" ht="12.5">
      <c r="B38" s="160" t="str">
        <f t="shared" si="7"/>
        <v/>
      </c>
      <c r="C38" s="469">
        <f>IF(D11="","-",+C37+1)</f>
        <v>2034</v>
      </c>
      <c r="D38" s="482">
        <f>IF(F37+SUM(E$17:E37)=D$10,F37,D$10-SUM(E$17:E37))</f>
        <v>436158.32395882392</v>
      </c>
      <c r="E38" s="481">
        <f t="shared" si="5"/>
        <v>27251.36842105263</v>
      </c>
      <c r="F38" s="482">
        <f t="shared" si="30"/>
        <v>408906.95553777128</v>
      </c>
      <c r="G38" s="483">
        <f t="shared" si="31"/>
        <v>75310.310124522905</v>
      </c>
      <c r="H38" s="452">
        <f t="shared" si="32"/>
        <v>75310.310124522905</v>
      </c>
      <c r="I38" s="472">
        <f t="shared" si="6"/>
        <v>0</v>
      </c>
      <c r="J38" s="472"/>
      <c r="K38" s="484"/>
      <c r="L38" s="475">
        <f t="shared" si="33"/>
        <v>0</v>
      </c>
      <c r="M38" s="484"/>
      <c r="N38" s="475">
        <f t="shared" si="11"/>
        <v>0</v>
      </c>
      <c r="O38" s="475">
        <f t="shared" si="12"/>
        <v>0</v>
      </c>
      <c r="P38" s="241"/>
    </row>
    <row r="39" spans="2:16" ht="12.5">
      <c r="B39" s="160" t="str">
        <f t="shared" si="7"/>
        <v/>
      </c>
      <c r="C39" s="469">
        <f>IF(D11="","-",+C38+1)</f>
        <v>2035</v>
      </c>
      <c r="D39" s="482">
        <f>IF(F38+SUM(E$17:E38)=D$10,F38,D$10-SUM(E$17:E38))</f>
        <v>408906.95553777128</v>
      </c>
      <c r="E39" s="481">
        <f t="shared" si="5"/>
        <v>27251.36842105263</v>
      </c>
      <c r="F39" s="482">
        <f t="shared" si="30"/>
        <v>381655.58711671864</v>
      </c>
      <c r="G39" s="483">
        <f t="shared" si="31"/>
        <v>72210.734368511883</v>
      </c>
      <c r="H39" s="452">
        <f t="shared" si="32"/>
        <v>72210.734368511883</v>
      </c>
      <c r="I39" s="472">
        <f t="shared" si="6"/>
        <v>0</v>
      </c>
      <c r="J39" s="472"/>
      <c r="K39" s="484"/>
      <c r="L39" s="475">
        <f t="shared" si="33"/>
        <v>0</v>
      </c>
      <c r="M39" s="484"/>
      <c r="N39" s="475">
        <f t="shared" si="11"/>
        <v>0</v>
      </c>
      <c r="O39" s="475">
        <f t="shared" si="12"/>
        <v>0</v>
      </c>
      <c r="P39" s="241"/>
    </row>
    <row r="40" spans="2:16" ht="12.5">
      <c r="B40" s="160" t="str">
        <f t="shared" si="7"/>
        <v/>
      </c>
      <c r="C40" s="469">
        <f>IF(D11="","-",+C39+1)</f>
        <v>2036</v>
      </c>
      <c r="D40" s="482">
        <f>IF(F39+SUM(E$17:E39)=D$10,F39,D$10-SUM(E$17:E39))</f>
        <v>381655.58711671864</v>
      </c>
      <c r="E40" s="481">
        <f t="shared" si="5"/>
        <v>27251.36842105263</v>
      </c>
      <c r="F40" s="482">
        <f t="shared" si="30"/>
        <v>354404.218695666</v>
      </c>
      <c r="G40" s="483">
        <f t="shared" si="31"/>
        <v>69111.158612500876</v>
      </c>
      <c r="H40" s="452">
        <f t="shared" si="32"/>
        <v>69111.158612500876</v>
      </c>
      <c r="I40" s="472">
        <f t="shared" si="6"/>
        <v>0</v>
      </c>
      <c r="J40" s="472"/>
      <c r="K40" s="484"/>
      <c r="L40" s="475">
        <f t="shared" si="33"/>
        <v>0</v>
      </c>
      <c r="M40" s="484"/>
      <c r="N40" s="475">
        <f t="shared" si="11"/>
        <v>0</v>
      </c>
      <c r="O40" s="475">
        <f t="shared" si="12"/>
        <v>0</v>
      </c>
      <c r="P40" s="241"/>
    </row>
    <row r="41" spans="2:16" ht="12.5">
      <c r="B41" s="160" t="str">
        <f t="shared" si="7"/>
        <v/>
      </c>
      <c r="C41" s="469">
        <f>IF(D11="","-",+C40+1)</f>
        <v>2037</v>
      </c>
      <c r="D41" s="482">
        <f>IF(F40+SUM(E$17:E40)=D$10,F40,D$10-SUM(E$17:E40))</f>
        <v>354404.218695666</v>
      </c>
      <c r="E41" s="481">
        <f t="shared" si="5"/>
        <v>27251.36842105263</v>
      </c>
      <c r="F41" s="482">
        <f t="shared" si="30"/>
        <v>327152.85027461336</v>
      </c>
      <c r="G41" s="483">
        <f t="shared" si="31"/>
        <v>66011.582856489855</v>
      </c>
      <c r="H41" s="452">
        <f t="shared" si="32"/>
        <v>66011.582856489855</v>
      </c>
      <c r="I41" s="472">
        <f t="shared" si="6"/>
        <v>0</v>
      </c>
      <c r="J41" s="472"/>
      <c r="K41" s="484"/>
      <c r="L41" s="475">
        <f t="shared" si="33"/>
        <v>0</v>
      </c>
      <c r="M41" s="484"/>
      <c r="N41" s="475">
        <f t="shared" si="11"/>
        <v>0</v>
      </c>
      <c r="O41" s="475">
        <f t="shared" si="12"/>
        <v>0</v>
      </c>
      <c r="P41" s="241"/>
    </row>
    <row r="42" spans="2:16" ht="12.5">
      <c r="B42" s="160" t="str">
        <f t="shared" si="7"/>
        <v/>
      </c>
      <c r="C42" s="469">
        <f>IF(D11="","-",+C41+1)</f>
        <v>2038</v>
      </c>
      <c r="D42" s="482">
        <f>IF(F41+SUM(E$17:E41)=D$10,F41,D$10-SUM(E$17:E41))</f>
        <v>327152.85027461336</v>
      </c>
      <c r="E42" s="481">
        <f t="shared" si="5"/>
        <v>27251.36842105263</v>
      </c>
      <c r="F42" s="482">
        <f t="shared" si="30"/>
        <v>299901.48185356072</v>
      </c>
      <c r="G42" s="483">
        <f t="shared" si="31"/>
        <v>62912.007100478848</v>
      </c>
      <c r="H42" s="452">
        <f t="shared" si="32"/>
        <v>62912.007100478848</v>
      </c>
      <c r="I42" s="472">
        <f t="shared" si="6"/>
        <v>0</v>
      </c>
      <c r="J42" s="472"/>
      <c r="K42" s="484"/>
      <c r="L42" s="475">
        <f t="shared" si="33"/>
        <v>0</v>
      </c>
      <c r="M42" s="484"/>
      <c r="N42" s="475">
        <f t="shared" si="11"/>
        <v>0</v>
      </c>
      <c r="O42" s="475">
        <f t="shared" si="12"/>
        <v>0</v>
      </c>
      <c r="P42" s="241"/>
    </row>
    <row r="43" spans="2:16" ht="12.5">
      <c r="B43" s="160" t="str">
        <f t="shared" si="7"/>
        <v/>
      </c>
      <c r="C43" s="469">
        <f>IF(D11="","-",+C42+1)</f>
        <v>2039</v>
      </c>
      <c r="D43" s="482">
        <f>IF(F42+SUM(E$17:E42)=D$10,F42,D$10-SUM(E$17:E42))</f>
        <v>299901.48185356072</v>
      </c>
      <c r="E43" s="481">
        <f t="shared" si="5"/>
        <v>27251.36842105263</v>
      </c>
      <c r="F43" s="482">
        <f t="shared" si="30"/>
        <v>272650.11343250808</v>
      </c>
      <c r="G43" s="483">
        <f t="shared" si="31"/>
        <v>59812.431344467826</v>
      </c>
      <c r="H43" s="452">
        <f t="shared" si="32"/>
        <v>59812.431344467826</v>
      </c>
      <c r="I43" s="472">
        <f t="shared" si="6"/>
        <v>0</v>
      </c>
      <c r="J43" s="472"/>
      <c r="K43" s="484"/>
      <c r="L43" s="475">
        <f t="shared" si="33"/>
        <v>0</v>
      </c>
      <c r="M43" s="484"/>
      <c r="N43" s="475">
        <f t="shared" si="11"/>
        <v>0</v>
      </c>
      <c r="O43" s="475">
        <f t="shared" si="12"/>
        <v>0</v>
      </c>
      <c r="P43" s="241"/>
    </row>
    <row r="44" spans="2:16" ht="12.5">
      <c r="B44" s="160" t="str">
        <f t="shared" si="7"/>
        <v/>
      </c>
      <c r="C44" s="469">
        <f>IF(D11="","-",+C43+1)</f>
        <v>2040</v>
      </c>
      <c r="D44" s="482">
        <f>IF(F43+SUM(E$17:E43)=D$10,F43,D$10-SUM(E$17:E43))</f>
        <v>272650.11343250808</v>
      </c>
      <c r="E44" s="481">
        <f t="shared" si="5"/>
        <v>27251.36842105263</v>
      </c>
      <c r="F44" s="482">
        <f t="shared" si="30"/>
        <v>245398.74501145544</v>
      </c>
      <c r="G44" s="483">
        <f t="shared" si="31"/>
        <v>56712.855588456812</v>
      </c>
      <c r="H44" s="452">
        <f t="shared" si="32"/>
        <v>56712.855588456812</v>
      </c>
      <c r="I44" s="472">
        <f t="shared" si="6"/>
        <v>0</v>
      </c>
      <c r="J44" s="472"/>
      <c r="K44" s="484"/>
      <c r="L44" s="475">
        <f t="shared" si="33"/>
        <v>0</v>
      </c>
      <c r="M44" s="484"/>
      <c r="N44" s="475">
        <f t="shared" si="11"/>
        <v>0</v>
      </c>
      <c r="O44" s="475">
        <f t="shared" si="12"/>
        <v>0</v>
      </c>
      <c r="P44" s="241"/>
    </row>
    <row r="45" spans="2:16" ht="12.5">
      <c r="B45" s="160" t="str">
        <f t="shared" si="7"/>
        <v/>
      </c>
      <c r="C45" s="469">
        <f>IF(D11="","-",+C44+1)</f>
        <v>2041</v>
      </c>
      <c r="D45" s="482">
        <f>IF(F44+SUM(E$17:E44)=D$10,F44,D$10-SUM(E$17:E44))</f>
        <v>245398.74501145544</v>
      </c>
      <c r="E45" s="481">
        <f t="shared" si="5"/>
        <v>27251.36842105263</v>
      </c>
      <c r="F45" s="482">
        <f t="shared" si="30"/>
        <v>218147.3765904028</v>
      </c>
      <c r="G45" s="483">
        <f t="shared" si="31"/>
        <v>53613.279832445798</v>
      </c>
      <c r="H45" s="452">
        <f t="shared" si="32"/>
        <v>53613.279832445798</v>
      </c>
      <c r="I45" s="472">
        <f t="shared" si="6"/>
        <v>0</v>
      </c>
      <c r="J45" s="472"/>
      <c r="K45" s="484"/>
      <c r="L45" s="475">
        <f t="shared" si="33"/>
        <v>0</v>
      </c>
      <c r="M45" s="484"/>
      <c r="N45" s="475">
        <f t="shared" si="11"/>
        <v>0</v>
      </c>
      <c r="O45" s="475">
        <f t="shared" si="12"/>
        <v>0</v>
      </c>
      <c r="P45" s="241"/>
    </row>
    <row r="46" spans="2:16" ht="12.5">
      <c r="B46" s="160" t="str">
        <f t="shared" si="7"/>
        <v/>
      </c>
      <c r="C46" s="469">
        <f>IF(D11="","-",+C45+1)</f>
        <v>2042</v>
      </c>
      <c r="D46" s="482">
        <f>IF(F45+SUM(E$17:E45)=D$10,F45,D$10-SUM(E$17:E45))</f>
        <v>218147.3765904028</v>
      </c>
      <c r="E46" s="481">
        <f t="shared" si="5"/>
        <v>27251.36842105263</v>
      </c>
      <c r="F46" s="482">
        <f t="shared" si="30"/>
        <v>190896.00816935016</v>
      </c>
      <c r="G46" s="483">
        <f t="shared" si="31"/>
        <v>50513.704076434777</v>
      </c>
      <c r="H46" s="452">
        <f t="shared" si="32"/>
        <v>50513.704076434777</v>
      </c>
      <c r="I46" s="472">
        <f t="shared" si="6"/>
        <v>0</v>
      </c>
      <c r="J46" s="472"/>
      <c r="K46" s="484"/>
      <c r="L46" s="475">
        <f t="shared" si="33"/>
        <v>0</v>
      </c>
      <c r="M46" s="484"/>
      <c r="N46" s="475">
        <f t="shared" si="11"/>
        <v>0</v>
      </c>
      <c r="O46" s="475">
        <f t="shared" si="12"/>
        <v>0</v>
      </c>
      <c r="P46" s="241"/>
    </row>
    <row r="47" spans="2:16" ht="12.5">
      <c r="B47" s="160" t="str">
        <f t="shared" si="7"/>
        <v/>
      </c>
      <c r="C47" s="469">
        <f>IF(D11="","-",+C46+1)</f>
        <v>2043</v>
      </c>
      <c r="D47" s="482">
        <f>IF(F46+SUM(E$17:E46)=D$10,F46,D$10-SUM(E$17:E46))</f>
        <v>190896.00816935016</v>
      </c>
      <c r="E47" s="481">
        <f t="shared" si="5"/>
        <v>27251.36842105263</v>
      </c>
      <c r="F47" s="482">
        <f t="shared" si="30"/>
        <v>163644.63974829752</v>
      </c>
      <c r="G47" s="483">
        <f t="shared" si="31"/>
        <v>47414.12832042377</v>
      </c>
      <c r="H47" s="452">
        <f t="shared" si="32"/>
        <v>47414.12832042377</v>
      </c>
      <c r="I47" s="472">
        <f t="shared" si="6"/>
        <v>0</v>
      </c>
      <c r="J47" s="472"/>
      <c r="K47" s="484"/>
      <c r="L47" s="475">
        <f t="shared" si="33"/>
        <v>0</v>
      </c>
      <c r="M47" s="484"/>
      <c r="N47" s="475">
        <f t="shared" si="11"/>
        <v>0</v>
      </c>
      <c r="O47" s="475">
        <f t="shared" si="12"/>
        <v>0</v>
      </c>
      <c r="P47" s="241"/>
    </row>
    <row r="48" spans="2:16" ht="12.5">
      <c r="B48" s="160" t="str">
        <f t="shared" si="7"/>
        <v/>
      </c>
      <c r="C48" s="469">
        <f>IF(D11="","-",+C47+1)</f>
        <v>2044</v>
      </c>
      <c r="D48" s="482">
        <f>IF(F47+SUM(E$17:E47)=D$10,F47,D$10-SUM(E$17:E47))</f>
        <v>163644.63974829752</v>
      </c>
      <c r="E48" s="481">
        <f t="shared" si="5"/>
        <v>27251.36842105263</v>
      </c>
      <c r="F48" s="482">
        <f t="shared" si="30"/>
        <v>136393.27132724487</v>
      </c>
      <c r="G48" s="483">
        <f t="shared" si="31"/>
        <v>44314.552564412748</v>
      </c>
      <c r="H48" s="452">
        <f t="shared" si="32"/>
        <v>44314.552564412748</v>
      </c>
      <c r="I48" s="472">
        <f t="shared" si="6"/>
        <v>0</v>
      </c>
      <c r="J48" s="472"/>
      <c r="K48" s="484"/>
      <c r="L48" s="475">
        <f t="shared" si="33"/>
        <v>0</v>
      </c>
      <c r="M48" s="484"/>
      <c r="N48" s="475">
        <f t="shared" si="11"/>
        <v>0</v>
      </c>
      <c r="O48" s="475">
        <f t="shared" si="12"/>
        <v>0</v>
      </c>
      <c r="P48" s="241"/>
    </row>
    <row r="49" spans="2:16" ht="12.5">
      <c r="B49" s="160" t="str">
        <f t="shared" si="7"/>
        <v/>
      </c>
      <c r="C49" s="469">
        <f>IF(D11="","-",+C48+1)</f>
        <v>2045</v>
      </c>
      <c r="D49" s="482">
        <f>IF(F48+SUM(E$17:E48)=D$10,F48,D$10-SUM(E$17:E48))</f>
        <v>136393.27132724487</v>
      </c>
      <c r="E49" s="481">
        <f t="shared" si="5"/>
        <v>27251.36842105263</v>
      </c>
      <c r="F49" s="482">
        <f t="shared" si="30"/>
        <v>109141.90290619225</v>
      </c>
      <c r="G49" s="483">
        <f t="shared" si="31"/>
        <v>41214.976808401734</v>
      </c>
      <c r="H49" s="452">
        <f t="shared" si="32"/>
        <v>41214.976808401734</v>
      </c>
      <c r="I49" s="472">
        <f t="shared" si="6"/>
        <v>0</v>
      </c>
      <c r="J49" s="472"/>
      <c r="K49" s="484"/>
      <c r="L49" s="475">
        <f t="shared" si="33"/>
        <v>0</v>
      </c>
      <c r="M49" s="484"/>
      <c r="N49" s="475">
        <f t="shared" si="11"/>
        <v>0</v>
      </c>
      <c r="O49" s="475">
        <f t="shared" si="12"/>
        <v>0</v>
      </c>
      <c r="P49" s="241"/>
    </row>
    <row r="50" spans="2:16" ht="12.5">
      <c r="B50" s="160" t="str">
        <f t="shared" si="7"/>
        <v/>
      </c>
      <c r="C50" s="469">
        <f>IF(D11="","-",+C49+1)</f>
        <v>2046</v>
      </c>
      <c r="D50" s="482">
        <f>IF(F49+SUM(E$17:E49)=D$10,F49,D$10-SUM(E$17:E49))</f>
        <v>109141.90290619225</v>
      </c>
      <c r="E50" s="481">
        <f t="shared" si="5"/>
        <v>27251.36842105263</v>
      </c>
      <c r="F50" s="482">
        <f t="shared" si="30"/>
        <v>81890.534485139622</v>
      </c>
      <c r="G50" s="483">
        <f t="shared" si="31"/>
        <v>38115.40105239072</v>
      </c>
      <c r="H50" s="452">
        <f t="shared" si="32"/>
        <v>38115.40105239072</v>
      </c>
      <c r="I50" s="472">
        <f t="shared" si="6"/>
        <v>0</v>
      </c>
      <c r="J50" s="472"/>
      <c r="K50" s="484"/>
      <c r="L50" s="475">
        <f t="shared" si="33"/>
        <v>0</v>
      </c>
      <c r="M50" s="484"/>
      <c r="N50" s="475">
        <f t="shared" si="11"/>
        <v>0</v>
      </c>
      <c r="O50" s="475">
        <f t="shared" si="12"/>
        <v>0</v>
      </c>
      <c r="P50" s="241"/>
    </row>
    <row r="51" spans="2:16" ht="12.5">
      <c r="B51" s="160" t="str">
        <f t="shared" si="7"/>
        <v/>
      </c>
      <c r="C51" s="469">
        <f>IF(D11="","-",+C50+1)</f>
        <v>2047</v>
      </c>
      <c r="D51" s="482">
        <f>IF(F50+SUM(E$17:E50)=D$10,F50,D$10-SUM(E$17:E50))</f>
        <v>81890.534485139622</v>
      </c>
      <c r="E51" s="481">
        <f t="shared" si="5"/>
        <v>27251.36842105263</v>
      </c>
      <c r="F51" s="482">
        <f t="shared" si="30"/>
        <v>54639.166064086996</v>
      </c>
      <c r="G51" s="483">
        <f t="shared" si="31"/>
        <v>35015.825296379706</v>
      </c>
      <c r="H51" s="452">
        <f t="shared" si="32"/>
        <v>35015.825296379706</v>
      </c>
      <c r="I51" s="472">
        <f t="shared" si="6"/>
        <v>0</v>
      </c>
      <c r="J51" s="472"/>
      <c r="K51" s="484"/>
      <c r="L51" s="475">
        <f t="shared" si="33"/>
        <v>0</v>
      </c>
      <c r="M51" s="484"/>
      <c r="N51" s="475">
        <f t="shared" si="11"/>
        <v>0</v>
      </c>
      <c r="O51" s="475">
        <f t="shared" si="12"/>
        <v>0</v>
      </c>
      <c r="P51" s="241"/>
    </row>
    <row r="52" spans="2:16" ht="12.5">
      <c r="B52" s="160" t="str">
        <f t="shared" si="7"/>
        <v/>
      </c>
      <c r="C52" s="469">
        <f>IF(D11="","-",+C51+1)</f>
        <v>2048</v>
      </c>
      <c r="D52" s="482">
        <f>IF(F51+SUM(E$17:E51)=D$10,F51,D$10-SUM(E$17:E51))</f>
        <v>54639.166064086996</v>
      </c>
      <c r="E52" s="481">
        <f t="shared" si="5"/>
        <v>27251.36842105263</v>
      </c>
      <c r="F52" s="482">
        <f t="shared" si="30"/>
        <v>27387.797643034366</v>
      </c>
      <c r="G52" s="483">
        <f t="shared" si="31"/>
        <v>31916.249540368692</v>
      </c>
      <c r="H52" s="452">
        <f t="shared" si="32"/>
        <v>31916.249540368692</v>
      </c>
      <c r="I52" s="472">
        <f t="shared" si="6"/>
        <v>0</v>
      </c>
      <c r="J52" s="472"/>
      <c r="K52" s="484"/>
      <c r="L52" s="475">
        <f t="shared" si="33"/>
        <v>0</v>
      </c>
      <c r="M52" s="484"/>
      <c r="N52" s="475">
        <f t="shared" si="11"/>
        <v>0</v>
      </c>
      <c r="O52" s="475">
        <f t="shared" si="12"/>
        <v>0</v>
      </c>
      <c r="P52" s="241"/>
    </row>
    <row r="53" spans="2:16" ht="12.5">
      <c r="B53" s="160" t="str">
        <f t="shared" si="7"/>
        <v/>
      </c>
      <c r="C53" s="469">
        <f>IF(D11="","-",+C52+1)</f>
        <v>2049</v>
      </c>
      <c r="D53" s="482">
        <f>IF(F52+SUM(E$17:E52)=D$10,F52,D$10-SUM(E$17:E52))</f>
        <v>27387.797643034366</v>
      </c>
      <c r="E53" s="481">
        <f t="shared" si="5"/>
        <v>27251.36842105263</v>
      </c>
      <c r="F53" s="482">
        <f t="shared" si="30"/>
        <v>136.42922198173619</v>
      </c>
      <c r="G53" s="483">
        <f t="shared" si="31"/>
        <v>28816.673784357678</v>
      </c>
      <c r="H53" s="452">
        <f t="shared" si="32"/>
        <v>28816.673784357678</v>
      </c>
      <c r="I53" s="472">
        <f t="shared" si="6"/>
        <v>0</v>
      </c>
      <c r="J53" s="472"/>
      <c r="K53" s="484"/>
      <c r="L53" s="475">
        <f t="shared" si="33"/>
        <v>0</v>
      </c>
      <c r="M53" s="484"/>
      <c r="N53" s="475">
        <f t="shared" si="11"/>
        <v>0</v>
      </c>
      <c r="O53" s="475">
        <f t="shared" si="12"/>
        <v>0</v>
      </c>
      <c r="P53" s="241"/>
    </row>
    <row r="54" spans="2:16" ht="12.5">
      <c r="B54" s="160" t="str">
        <f t="shared" si="7"/>
        <v/>
      </c>
      <c r="C54" s="469">
        <f>IF(D11="","-",+C53+1)</f>
        <v>2050</v>
      </c>
      <c r="D54" s="482">
        <f>IF(F53+SUM(E$17:E53)=D$10,F53,D$10-SUM(E$17:E53))</f>
        <v>136.42922198173619</v>
      </c>
      <c r="E54" s="481">
        <f t="shared" si="5"/>
        <v>136.42922198173619</v>
      </c>
      <c r="F54" s="482">
        <f t="shared" si="30"/>
        <v>0</v>
      </c>
      <c r="G54" s="483">
        <f t="shared" si="31"/>
        <v>144.18796463150622</v>
      </c>
      <c r="H54" s="452">
        <f t="shared" si="32"/>
        <v>144.18796463150622</v>
      </c>
      <c r="I54" s="472">
        <f t="shared" si="6"/>
        <v>0</v>
      </c>
      <c r="J54" s="472"/>
      <c r="K54" s="484"/>
      <c r="L54" s="475">
        <f t="shared" si="33"/>
        <v>0</v>
      </c>
      <c r="M54" s="484"/>
      <c r="N54" s="475">
        <f t="shared" si="11"/>
        <v>0</v>
      </c>
      <c r="O54" s="475">
        <f t="shared" si="12"/>
        <v>0</v>
      </c>
      <c r="P54" s="241"/>
    </row>
    <row r="55" spans="2:16" ht="12.5">
      <c r="B55" s="160" t="str">
        <f t="shared" si="7"/>
        <v/>
      </c>
      <c r="C55" s="469">
        <f>IF(D11="","-",+C54+1)</f>
        <v>2051</v>
      </c>
      <c r="D55" s="482">
        <f>IF(F54+SUM(E$17:E54)=D$10,F54,D$10-SUM(E$17:E54))</f>
        <v>0</v>
      </c>
      <c r="E55" s="481">
        <f t="shared" si="5"/>
        <v>0</v>
      </c>
      <c r="F55" s="482">
        <f t="shared" si="30"/>
        <v>0</v>
      </c>
      <c r="G55" s="483">
        <f t="shared" si="31"/>
        <v>0</v>
      </c>
      <c r="H55" s="452">
        <f t="shared" si="32"/>
        <v>0</v>
      </c>
      <c r="I55" s="472">
        <f t="shared" si="6"/>
        <v>0</v>
      </c>
      <c r="J55" s="472"/>
      <c r="K55" s="484"/>
      <c r="L55" s="475">
        <f t="shared" si="33"/>
        <v>0</v>
      </c>
      <c r="M55" s="484"/>
      <c r="N55" s="475">
        <f t="shared" si="11"/>
        <v>0</v>
      </c>
      <c r="O55" s="475">
        <f t="shared" si="12"/>
        <v>0</v>
      </c>
      <c r="P55" s="241"/>
    </row>
    <row r="56" spans="2:16" ht="12.5">
      <c r="B56" s="160" t="str">
        <f t="shared" si="7"/>
        <v/>
      </c>
      <c r="C56" s="469">
        <f>IF(D11="","-",+C55+1)</f>
        <v>2052</v>
      </c>
      <c r="D56" s="482">
        <f>IF(F55+SUM(E$17:E55)=D$10,F55,D$10-SUM(E$17:E55))</f>
        <v>0</v>
      </c>
      <c r="E56" s="481">
        <f t="shared" si="5"/>
        <v>0</v>
      </c>
      <c r="F56" s="482">
        <f t="shared" si="30"/>
        <v>0</v>
      </c>
      <c r="G56" s="483">
        <f t="shared" si="31"/>
        <v>0</v>
      </c>
      <c r="H56" s="452">
        <f t="shared" si="32"/>
        <v>0</v>
      </c>
      <c r="I56" s="472">
        <f t="shared" si="6"/>
        <v>0</v>
      </c>
      <c r="J56" s="472"/>
      <c r="K56" s="484"/>
      <c r="L56" s="475">
        <f t="shared" si="33"/>
        <v>0</v>
      </c>
      <c r="M56" s="484"/>
      <c r="N56" s="475">
        <f t="shared" si="11"/>
        <v>0</v>
      </c>
      <c r="O56" s="475">
        <f t="shared" si="12"/>
        <v>0</v>
      </c>
      <c r="P56" s="241"/>
    </row>
    <row r="57" spans="2:16" ht="12.5">
      <c r="B57" s="160" t="str">
        <f t="shared" si="7"/>
        <v/>
      </c>
      <c r="C57" s="469">
        <f>IF(D11="","-",+C56+1)</f>
        <v>2053</v>
      </c>
      <c r="D57" s="482">
        <f>IF(F56+SUM(E$17:E56)=D$10,F56,D$10-SUM(E$17:E56))</f>
        <v>0</v>
      </c>
      <c r="E57" s="481">
        <f t="shared" si="5"/>
        <v>0</v>
      </c>
      <c r="F57" s="482">
        <f t="shared" si="30"/>
        <v>0</v>
      </c>
      <c r="G57" s="483">
        <f t="shared" si="31"/>
        <v>0</v>
      </c>
      <c r="H57" s="452">
        <f t="shared" si="32"/>
        <v>0</v>
      </c>
      <c r="I57" s="472">
        <f t="shared" si="6"/>
        <v>0</v>
      </c>
      <c r="J57" s="472"/>
      <c r="K57" s="484"/>
      <c r="L57" s="475">
        <f t="shared" si="33"/>
        <v>0</v>
      </c>
      <c r="M57" s="484"/>
      <c r="N57" s="475">
        <f t="shared" si="11"/>
        <v>0</v>
      </c>
      <c r="O57" s="475">
        <f t="shared" si="12"/>
        <v>0</v>
      </c>
      <c r="P57" s="241"/>
    </row>
    <row r="58" spans="2:16" ht="12.5">
      <c r="B58" s="160" t="str">
        <f t="shared" si="7"/>
        <v/>
      </c>
      <c r="C58" s="469">
        <f>IF(D11="","-",+C57+1)</f>
        <v>2054</v>
      </c>
      <c r="D58" s="482">
        <f>IF(F57+SUM(E$17:E57)=D$10,F57,D$10-SUM(E$17:E57))</f>
        <v>0</v>
      </c>
      <c r="E58" s="481">
        <f t="shared" si="5"/>
        <v>0</v>
      </c>
      <c r="F58" s="482">
        <f t="shared" si="30"/>
        <v>0</v>
      </c>
      <c r="G58" s="483">
        <f t="shared" si="31"/>
        <v>0</v>
      </c>
      <c r="H58" s="452">
        <f t="shared" si="32"/>
        <v>0</v>
      </c>
      <c r="I58" s="472">
        <f t="shared" si="6"/>
        <v>0</v>
      </c>
      <c r="J58" s="472"/>
      <c r="K58" s="484"/>
      <c r="L58" s="475">
        <f t="shared" si="33"/>
        <v>0</v>
      </c>
      <c r="M58" s="484"/>
      <c r="N58" s="475">
        <f t="shared" si="11"/>
        <v>0</v>
      </c>
      <c r="O58" s="475">
        <f t="shared" si="12"/>
        <v>0</v>
      </c>
      <c r="P58" s="241"/>
    </row>
    <row r="59" spans="2:16" ht="12.5">
      <c r="B59" s="160" t="str">
        <f t="shared" si="7"/>
        <v/>
      </c>
      <c r="C59" s="469">
        <f>IF(D11="","-",+C58+1)</f>
        <v>2055</v>
      </c>
      <c r="D59" s="482">
        <f>IF(F58+SUM(E$17:E58)=D$10,F58,D$10-SUM(E$17:E58))</f>
        <v>0</v>
      </c>
      <c r="E59" s="481">
        <f t="shared" si="5"/>
        <v>0</v>
      </c>
      <c r="F59" s="482">
        <f t="shared" si="30"/>
        <v>0</v>
      </c>
      <c r="G59" s="483">
        <f t="shared" si="31"/>
        <v>0</v>
      </c>
      <c r="H59" s="452">
        <f t="shared" si="32"/>
        <v>0</v>
      </c>
      <c r="I59" s="472">
        <f t="shared" si="6"/>
        <v>0</v>
      </c>
      <c r="J59" s="472"/>
      <c r="K59" s="484"/>
      <c r="L59" s="475">
        <f t="shared" si="33"/>
        <v>0</v>
      </c>
      <c r="M59" s="484"/>
      <c r="N59" s="475">
        <f t="shared" si="11"/>
        <v>0</v>
      </c>
      <c r="O59" s="475">
        <f t="shared" si="12"/>
        <v>0</v>
      </c>
      <c r="P59" s="241"/>
    </row>
    <row r="60" spans="2:16" ht="12.5">
      <c r="B60" s="160" t="str">
        <f t="shared" si="7"/>
        <v/>
      </c>
      <c r="C60" s="469">
        <f>IF(D11="","-",+C59+1)</f>
        <v>2056</v>
      </c>
      <c r="D60" s="482">
        <f>IF(F59+SUM(E$17:E59)=D$10,F59,D$10-SUM(E$17:E59))</f>
        <v>0</v>
      </c>
      <c r="E60" s="481">
        <f t="shared" si="5"/>
        <v>0</v>
      </c>
      <c r="F60" s="482">
        <f t="shared" si="30"/>
        <v>0</v>
      </c>
      <c r="G60" s="483">
        <f t="shared" si="31"/>
        <v>0</v>
      </c>
      <c r="H60" s="452">
        <f t="shared" si="32"/>
        <v>0</v>
      </c>
      <c r="I60" s="472">
        <f t="shared" si="6"/>
        <v>0</v>
      </c>
      <c r="J60" s="472"/>
      <c r="K60" s="484"/>
      <c r="L60" s="475">
        <f t="shared" si="33"/>
        <v>0</v>
      </c>
      <c r="M60" s="484"/>
      <c r="N60" s="475">
        <f t="shared" si="11"/>
        <v>0</v>
      </c>
      <c r="O60" s="475">
        <f t="shared" si="12"/>
        <v>0</v>
      </c>
      <c r="P60" s="241"/>
    </row>
    <row r="61" spans="2:16" ht="12.5">
      <c r="B61" s="160" t="str">
        <f t="shared" si="7"/>
        <v/>
      </c>
      <c r="C61" s="469">
        <f>IF(D11="","-",+C60+1)</f>
        <v>2057</v>
      </c>
      <c r="D61" s="482">
        <f>IF(F60+SUM(E$17:E60)=D$10,F60,D$10-SUM(E$17:E60))</f>
        <v>0</v>
      </c>
      <c r="E61" s="481">
        <f t="shared" si="5"/>
        <v>0</v>
      </c>
      <c r="F61" s="482">
        <f t="shared" si="30"/>
        <v>0</v>
      </c>
      <c r="G61" s="483">
        <f t="shared" si="31"/>
        <v>0</v>
      </c>
      <c r="H61" s="452">
        <f t="shared" si="32"/>
        <v>0</v>
      </c>
      <c r="I61" s="472">
        <f t="shared" si="6"/>
        <v>0</v>
      </c>
      <c r="J61" s="472"/>
      <c r="K61" s="484"/>
      <c r="L61" s="475">
        <f t="shared" si="33"/>
        <v>0</v>
      </c>
      <c r="M61" s="484"/>
      <c r="N61" s="475">
        <f t="shared" si="11"/>
        <v>0</v>
      </c>
      <c r="O61" s="475">
        <f t="shared" si="12"/>
        <v>0</v>
      </c>
      <c r="P61" s="241"/>
    </row>
    <row r="62" spans="2:16" ht="12.5">
      <c r="B62" s="160" t="str">
        <f t="shared" si="7"/>
        <v/>
      </c>
      <c r="C62" s="469">
        <f>IF(D11="","-",+C61+1)</f>
        <v>2058</v>
      </c>
      <c r="D62" s="482">
        <f>IF(F61+SUM(E$17:E61)=D$10,F61,D$10-SUM(E$17:E61))</f>
        <v>0</v>
      </c>
      <c r="E62" s="481">
        <f t="shared" si="5"/>
        <v>0</v>
      </c>
      <c r="F62" s="482">
        <f t="shared" si="30"/>
        <v>0</v>
      </c>
      <c r="G62" s="483">
        <f t="shared" si="31"/>
        <v>0</v>
      </c>
      <c r="H62" s="452">
        <f t="shared" si="32"/>
        <v>0</v>
      </c>
      <c r="I62" s="472">
        <f t="shared" si="6"/>
        <v>0</v>
      </c>
      <c r="J62" s="472"/>
      <c r="K62" s="484"/>
      <c r="L62" s="475">
        <f t="shared" si="33"/>
        <v>0</v>
      </c>
      <c r="M62" s="484"/>
      <c r="N62" s="475">
        <f t="shared" si="11"/>
        <v>0</v>
      </c>
      <c r="O62" s="475">
        <f t="shared" si="12"/>
        <v>0</v>
      </c>
      <c r="P62" s="241"/>
    </row>
    <row r="63" spans="2:16" ht="12.5">
      <c r="B63" s="160" t="str">
        <f t="shared" si="7"/>
        <v/>
      </c>
      <c r="C63" s="469">
        <f>IF(D11="","-",+C62+1)</f>
        <v>2059</v>
      </c>
      <c r="D63" s="482">
        <f>IF(F62+SUM(E$17:E62)=D$10,F62,D$10-SUM(E$17:E62))</f>
        <v>0</v>
      </c>
      <c r="E63" s="481">
        <f t="shared" si="5"/>
        <v>0</v>
      </c>
      <c r="F63" s="482">
        <f t="shared" si="30"/>
        <v>0</v>
      </c>
      <c r="G63" s="483">
        <f t="shared" si="31"/>
        <v>0</v>
      </c>
      <c r="H63" s="452">
        <f t="shared" si="32"/>
        <v>0</v>
      </c>
      <c r="I63" s="472">
        <f t="shared" si="6"/>
        <v>0</v>
      </c>
      <c r="J63" s="472"/>
      <c r="K63" s="484"/>
      <c r="L63" s="475">
        <f t="shared" si="33"/>
        <v>0</v>
      </c>
      <c r="M63" s="484"/>
      <c r="N63" s="475">
        <f t="shared" si="11"/>
        <v>0</v>
      </c>
      <c r="O63" s="475">
        <f t="shared" si="12"/>
        <v>0</v>
      </c>
      <c r="P63" s="241"/>
    </row>
    <row r="64" spans="2:16" ht="12.5">
      <c r="B64" s="160" t="str">
        <f t="shared" si="7"/>
        <v/>
      </c>
      <c r="C64" s="469">
        <f>IF(D11="","-",+C63+1)</f>
        <v>2060</v>
      </c>
      <c r="D64" s="482">
        <f>IF(F63+SUM(E$17:E63)=D$10,F63,D$10-SUM(E$17:E63))</f>
        <v>0</v>
      </c>
      <c r="E64" s="481">
        <f t="shared" si="5"/>
        <v>0</v>
      </c>
      <c r="F64" s="482">
        <f t="shared" si="30"/>
        <v>0</v>
      </c>
      <c r="G64" s="483">
        <f t="shared" si="31"/>
        <v>0</v>
      </c>
      <c r="H64" s="452">
        <f t="shared" si="32"/>
        <v>0</v>
      </c>
      <c r="I64" s="472">
        <f t="shared" si="6"/>
        <v>0</v>
      </c>
      <c r="J64" s="472"/>
      <c r="K64" s="484"/>
      <c r="L64" s="475">
        <f t="shared" si="33"/>
        <v>0</v>
      </c>
      <c r="M64" s="484"/>
      <c r="N64" s="475">
        <f t="shared" si="11"/>
        <v>0</v>
      </c>
      <c r="O64" s="475">
        <f t="shared" si="12"/>
        <v>0</v>
      </c>
      <c r="P64" s="241"/>
    </row>
    <row r="65" spans="2:16" ht="12.5">
      <c r="B65" s="160" t="str">
        <f t="shared" si="7"/>
        <v/>
      </c>
      <c r="C65" s="469">
        <f>IF(D11="","-",+C64+1)</f>
        <v>2061</v>
      </c>
      <c r="D65" s="482">
        <f>IF(F64+SUM(E$17:E64)=D$10,F64,D$10-SUM(E$17:E64))</f>
        <v>0</v>
      </c>
      <c r="E65" s="481">
        <f t="shared" si="5"/>
        <v>0</v>
      </c>
      <c r="F65" s="482">
        <f t="shared" si="30"/>
        <v>0</v>
      </c>
      <c r="G65" s="483">
        <f t="shared" si="31"/>
        <v>0</v>
      </c>
      <c r="H65" s="452">
        <f t="shared" si="32"/>
        <v>0</v>
      </c>
      <c r="I65" s="472">
        <f t="shared" si="6"/>
        <v>0</v>
      </c>
      <c r="J65" s="472"/>
      <c r="K65" s="484"/>
      <c r="L65" s="475">
        <f t="shared" si="33"/>
        <v>0</v>
      </c>
      <c r="M65" s="484"/>
      <c r="N65" s="475">
        <f t="shared" si="11"/>
        <v>0</v>
      </c>
      <c r="O65" s="475">
        <f t="shared" si="12"/>
        <v>0</v>
      </c>
      <c r="P65" s="241"/>
    </row>
    <row r="66" spans="2:16" ht="12.5">
      <c r="B66" s="160" t="str">
        <f t="shared" si="7"/>
        <v/>
      </c>
      <c r="C66" s="469">
        <f>IF(D11="","-",+C65+1)</f>
        <v>2062</v>
      </c>
      <c r="D66" s="482">
        <f>IF(F65+SUM(E$17:E65)=D$10,F65,D$10-SUM(E$17:E65))</f>
        <v>0</v>
      </c>
      <c r="E66" s="481">
        <f t="shared" si="5"/>
        <v>0</v>
      </c>
      <c r="F66" s="482">
        <f t="shared" si="30"/>
        <v>0</v>
      </c>
      <c r="G66" s="483">
        <f t="shared" si="31"/>
        <v>0</v>
      </c>
      <c r="H66" s="452">
        <f t="shared" si="32"/>
        <v>0</v>
      </c>
      <c r="I66" s="472">
        <f t="shared" si="6"/>
        <v>0</v>
      </c>
      <c r="J66" s="472"/>
      <c r="K66" s="484"/>
      <c r="L66" s="475">
        <f t="shared" si="33"/>
        <v>0</v>
      </c>
      <c r="M66" s="484"/>
      <c r="N66" s="475">
        <f t="shared" si="11"/>
        <v>0</v>
      </c>
      <c r="O66" s="475">
        <f t="shared" si="12"/>
        <v>0</v>
      </c>
      <c r="P66" s="241"/>
    </row>
    <row r="67" spans="2:16" ht="12.5">
      <c r="B67" s="160" t="str">
        <f t="shared" si="7"/>
        <v/>
      </c>
      <c r="C67" s="469">
        <f>IF(D11="","-",+C66+1)</f>
        <v>2063</v>
      </c>
      <c r="D67" s="482">
        <f>IF(F66+SUM(E$17:E66)=D$10,F66,D$10-SUM(E$17:E66))</f>
        <v>0</v>
      </c>
      <c r="E67" s="481">
        <f t="shared" si="5"/>
        <v>0</v>
      </c>
      <c r="F67" s="482">
        <f t="shared" si="30"/>
        <v>0</v>
      </c>
      <c r="G67" s="483">
        <f t="shared" si="31"/>
        <v>0</v>
      </c>
      <c r="H67" s="452">
        <f t="shared" si="32"/>
        <v>0</v>
      </c>
      <c r="I67" s="472">
        <f t="shared" si="6"/>
        <v>0</v>
      </c>
      <c r="J67" s="472"/>
      <c r="K67" s="484"/>
      <c r="L67" s="475">
        <f t="shared" si="33"/>
        <v>0</v>
      </c>
      <c r="M67" s="484"/>
      <c r="N67" s="475">
        <f t="shared" si="11"/>
        <v>0</v>
      </c>
      <c r="O67" s="475">
        <f t="shared" si="12"/>
        <v>0</v>
      </c>
      <c r="P67" s="241"/>
    </row>
    <row r="68" spans="2:16" ht="12.5">
      <c r="B68" s="160" t="str">
        <f t="shared" si="7"/>
        <v/>
      </c>
      <c r="C68" s="469">
        <f>IF(D11="","-",+C67+1)</f>
        <v>2064</v>
      </c>
      <c r="D68" s="482">
        <f>IF(F67+SUM(E$17:E67)=D$10,F67,D$10-SUM(E$17:E67))</f>
        <v>0</v>
      </c>
      <c r="E68" s="481">
        <f t="shared" si="5"/>
        <v>0</v>
      </c>
      <c r="F68" s="482">
        <f t="shared" si="30"/>
        <v>0</v>
      </c>
      <c r="G68" s="483">
        <f t="shared" si="31"/>
        <v>0</v>
      </c>
      <c r="H68" s="452">
        <f t="shared" si="32"/>
        <v>0</v>
      </c>
      <c r="I68" s="472">
        <f t="shared" si="6"/>
        <v>0</v>
      </c>
      <c r="J68" s="472"/>
      <c r="K68" s="484"/>
      <c r="L68" s="475">
        <f t="shared" si="33"/>
        <v>0</v>
      </c>
      <c r="M68" s="484"/>
      <c r="N68" s="475">
        <f t="shared" si="11"/>
        <v>0</v>
      </c>
      <c r="O68" s="475">
        <f t="shared" si="12"/>
        <v>0</v>
      </c>
      <c r="P68" s="241"/>
    </row>
    <row r="69" spans="2:16" ht="12.5">
      <c r="B69" s="160" t="str">
        <f t="shared" si="7"/>
        <v/>
      </c>
      <c r="C69" s="469">
        <f>IF(D11="","-",+C68+1)</f>
        <v>2065</v>
      </c>
      <c r="D69" s="482">
        <f>IF(F68+SUM(E$17:E68)=D$10,F68,D$10-SUM(E$17:E68))</f>
        <v>0</v>
      </c>
      <c r="E69" s="481">
        <f t="shared" si="5"/>
        <v>0</v>
      </c>
      <c r="F69" s="482">
        <f t="shared" si="30"/>
        <v>0</v>
      </c>
      <c r="G69" s="483">
        <f t="shared" si="31"/>
        <v>0</v>
      </c>
      <c r="H69" s="452">
        <f t="shared" si="32"/>
        <v>0</v>
      </c>
      <c r="I69" s="472">
        <f t="shared" si="6"/>
        <v>0</v>
      </c>
      <c r="J69" s="472"/>
      <c r="K69" s="484"/>
      <c r="L69" s="475">
        <f t="shared" si="33"/>
        <v>0</v>
      </c>
      <c r="M69" s="484"/>
      <c r="N69" s="475">
        <f t="shared" si="11"/>
        <v>0</v>
      </c>
      <c r="O69" s="475">
        <f t="shared" si="12"/>
        <v>0</v>
      </c>
      <c r="P69" s="241"/>
    </row>
    <row r="70" spans="2:16" ht="12.5">
      <c r="B70" s="160" t="str">
        <f t="shared" si="7"/>
        <v/>
      </c>
      <c r="C70" s="469">
        <f>IF(D11="","-",+C69+1)</f>
        <v>2066</v>
      </c>
      <c r="D70" s="482">
        <f>IF(F69+SUM(E$17:E69)=D$10,F69,D$10-SUM(E$17:E69))</f>
        <v>0</v>
      </c>
      <c r="E70" s="481">
        <f t="shared" si="5"/>
        <v>0</v>
      </c>
      <c r="F70" s="482">
        <f t="shared" si="30"/>
        <v>0</v>
      </c>
      <c r="G70" s="483">
        <f t="shared" si="31"/>
        <v>0</v>
      </c>
      <c r="H70" s="452">
        <f t="shared" si="32"/>
        <v>0</v>
      </c>
      <c r="I70" s="472">
        <f t="shared" si="6"/>
        <v>0</v>
      </c>
      <c r="J70" s="472"/>
      <c r="K70" s="484"/>
      <c r="L70" s="475">
        <f t="shared" si="33"/>
        <v>0</v>
      </c>
      <c r="M70" s="484"/>
      <c r="N70" s="475">
        <f t="shared" si="11"/>
        <v>0</v>
      </c>
      <c r="O70" s="475">
        <f t="shared" si="12"/>
        <v>0</v>
      </c>
      <c r="P70" s="241"/>
    </row>
    <row r="71" spans="2:16" ht="12.5">
      <c r="B71" s="160" t="str">
        <f t="shared" si="7"/>
        <v/>
      </c>
      <c r="C71" s="469">
        <f>IF(D11="","-",+C70+1)</f>
        <v>2067</v>
      </c>
      <c r="D71" s="482">
        <f>IF(F70+SUM(E$17:E70)=D$10,F70,D$10-SUM(E$17:E70))</f>
        <v>0</v>
      </c>
      <c r="E71" s="481">
        <f t="shared" si="5"/>
        <v>0</v>
      </c>
      <c r="F71" s="482">
        <f t="shared" si="30"/>
        <v>0</v>
      </c>
      <c r="G71" s="483">
        <f t="shared" si="31"/>
        <v>0</v>
      </c>
      <c r="H71" s="452">
        <f t="shared" si="32"/>
        <v>0</v>
      </c>
      <c r="I71" s="472">
        <f t="shared" si="6"/>
        <v>0</v>
      </c>
      <c r="J71" s="472"/>
      <c r="K71" s="484"/>
      <c r="L71" s="475">
        <f t="shared" si="33"/>
        <v>0</v>
      </c>
      <c r="M71" s="484"/>
      <c r="N71" s="475">
        <f t="shared" si="11"/>
        <v>0</v>
      </c>
      <c r="O71" s="475">
        <f t="shared" si="12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2068</v>
      </c>
      <c r="D72" s="487">
        <f>IF(F71+SUM(E$17:E71)=D$10,F71,D$10-SUM(E$17:E71))</f>
        <v>0</v>
      </c>
      <c r="E72" s="488">
        <f t="shared" si="5"/>
        <v>0</v>
      </c>
      <c r="F72" s="487">
        <f t="shared" si="30"/>
        <v>0</v>
      </c>
      <c r="G72" s="487">
        <f t="shared" si="31"/>
        <v>0</v>
      </c>
      <c r="H72" s="487">
        <f t="shared" si="32"/>
        <v>0</v>
      </c>
      <c r="I72" s="492">
        <f t="shared" si="6"/>
        <v>0</v>
      </c>
      <c r="J72" s="487"/>
      <c r="K72" s="491"/>
      <c r="L72" s="492">
        <f t="shared" si="33"/>
        <v>0</v>
      </c>
      <c r="M72" s="491"/>
      <c r="N72" s="492">
        <f t="shared" si="11"/>
        <v>0</v>
      </c>
      <c r="O72" s="492">
        <f t="shared" si="12"/>
        <v>0</v>
      </c>
      <c r="P72" s="241"/>
    </row>
    <row r="73" spans="2:16" ht="12.5">
      <c r="C73" s="344" t="s">
        <v>77</v>
      </c>
      <c r="D73" s="345"/>
      <c r="E73" s="345">
        <f>SUM(E17:E72)</f>
        <v>1035551.9999999993</v>
      </c>
      <c r="F73" s="345"/>
      <c r="G73" s="345">
        <f>SUM(G17:G72)</f>
        <v>5114145.0919784717</v>
      </c>
      <c r="H73" s="345">
        <f>SUM(H17:H72)</f>
        <v>5114145.0919784717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14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109554.31648480284</v>
      </c>
      <c r="N87" s="505">
        <f>IF(J92&lt;D11,0,VLOOKUP(J92,C17:O72,11))</f>
        <v>109554.31648480284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130407.16465946536</v>
      </c>
      <c r="N88" s="509">
        <f>IF(J92&lt;D11,0,VLOOKUP(J92,C99:P154,7))</f>
        <v>130407.16465946536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Ashdown West - Craig Junction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20852.848174662518</v>
      </c>
      <c r="N89" s="514">
        <f>+N88-N87</f>
        <v>20852.848174662518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TP2009092</v>
      </c>
      <c r="E91" s="519" t="str">
        <f>E9</f>
        <v xml:space="preserve">  SPP Project ID = 770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+D10</f>
        <v>1035552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711">
        <f>D11</f>
        <v>2013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+D12</f>
        <v>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27251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2013</v>
      </c>
      <c r="D99" s="581">
        <v>0</v>
      </c>
      <c r="E99" s="582">
        <v>16595</v>
      </c>
      <c r="F99" s="583">
        <v>1018741</v>
      </c>
      <c r="G99" s="601">
        <v>509371</v>
      </c>
      <c r="H99" s="602">
        <v>89910</v>
      </c>
      <c r="I99" s="603">
        <v>89910</v>
      </c>
      <c r="J99" s="475">
        <v>0</v>
      </c>
      <c r="K99" s="475"/>
      <c r="L99" s="473">
        <f t="shared" ref="L99:L104" si="34">H99</f>
        <v>89910</v>
      </c>
      <c r="M99" s="346">
        <f t="shared" ref="M99:M104" si="35">IF(L99&lt;&gt;0,+H99-L99,0)</f>
        <v>0</v>
      </c>
      <c r="N99" s="473">
        <f t="shared" ref="N99:N104" si="36">I99</f>
        <v>89910</v>
      </c>
      <c r="O99" s="472">
        <f t="shared" ref="O99:O104" si="37">IF(N99&lt;&gt;0,+I99-N99,0)</f>
        <v>0</v>
      </c>
      <c r="P99" s="475">
        <f t="shared" ref="P99:P104" si="38">+O99-M99</f>
        <v>0</v>
      </c>
    </row>
    <row r="100" spans="1:16" ht="12.5">
      <c r="B100" s="160" t="str">
        <f>IF(D100=F99,"","IU")</f>
        <v>IU</v>
      </c>
      <c r="C100" s="469">
        <f>IF(D93="","-",+C99+1)</f>
        <v>2014</v>
      </c>
      <c r="D100" s="581">
        <v>1018957</v>
      </c>
      <c r="E100" s="582">
        <v>19914</v>
      </c>
      <c r="F100" s="583">
        <v>999043</v>
      </c>
      <c r="G100" s="583">
        <v>1009000</v>
      </c>
      <c r="H100" s="582">
        <v>161775</v>
      </c>
      <c r="I100" s="584">
        <v>161775</v>
      </c>
      <c r="J100" s="475">
        <f>+I100-H100</f>
        <v>0</v>
      </c>
      <c r="K100" s="475"/>
      <c r="L100" s="473">
        <f t="shared" si="34"/>
        <v>161775</v>
      </c>
      <c r="M100" s="346">
        <f t="shared" si="35"/>
        <v>0</v>
      </c>
      <c r="N100" s="473">
        <f t="shared" si="36"/>
        <v>161775</v>
      </c>
      <c r="O100" s="472">
        <f t="shared" si="37"/>
        <v>0</v>
      </c>
      <c r="P100" s="475">
        <f t="shared" si="38"/>
        <v>0</v>
      </c>
    </row>
    <row r="101" spans="1:16" ht="12.5">
      <c r="B101" s="160" t="str">
        <f t="shared" ref="B101:B154" si="39">IF(D101=F100,"","IU")</f>
        <v/>
      </c>
      <c r="C101" s="469">
        <f>IF(D93="","-",+C100+1)</f>
        <v>2015</v>
      </c>
      <c r="D101" s="581">
        <v>999043</v>
      </c>
      <c r="E101" s="582">
        <v>19914</v>
      </c>
      <c r="F101" s="583">
        <v>979129</v>
      </c>
      <c r="G101" s="583">
        <v>989086</v>
      </c>
      <c r="H101" s="582">
        <v>154866.83205665913</v>
      </c>
      <c r="I101" s="584">
        <v>154866.83205665913</v>
      </c>
      <c r="J101" s="475">
        <f>+I101-H101</f>
        <v>0</v>
      </c>
      <c r="K101" s="475"/>
      <c r="L101" s="473">
        <f t="shared" si="34"/>
        <v>154866.83205665913</v>
      </c>
      <c r="M101" s="346">
        <f t="shared" si="35"/>
        <v>0</v>
      </c>
      <c r="N101" s="473">
        <f t="shared" si="36"/>
        <v>154866.83205665913</v>
      </c>
      <c r="O101" s="472">
        <f t="shared" si="37"/>
        <v>0</v>
      </c>
      <c r="P101" s="475">
        <f t="shared" si="38"/>
        <v>0</v>
      </c>
    </row>
    <row r="102" spans="1:16" ht="12.5">
      <c r="B102" s="160" t="str">
        <f t="shared" si="39"/>
        <v/>
      </c>
      <c r="C102" s="469">
        <f>IF(D93="","-",+C101+1)</f>
        <v>2016</v>
      </c>
      <c r="D102" s="581">
        <v>979129</v>
      </c>
      <c r="E102" s="582">
        <v>22512</v>
      </c>
      <c r="F102" s="583">
        <v>956617</v>
      </c>
      <c r="G102" s="583">
        <v>967873</v>
      </c>
      <c r="H102" s="582">
        <v>147286.07261026395</v>
      </c>
      <c r="I102" s="584">
        <v>147286.07261026395</v>
      </c>
      <c r="J102" s="475">
        <f t="shared" ref="J102:J154" si="40">+I102-H102</f>
        <v>0</v>
      </c>
      <c r="K102" s="475"/>
      <c r="L102" s="473">
        <f t="shared" si="34"/>
        <v>147286.07261026395</v>
      </c>
      <c r="M102" s="346">
        <f t="shared" si="35"/>
        <v>0</v>
      </c>
      <c r="N102" s="473">
        <f t="shared" si="36"/>
        <v>147286.07261026395</v>
      </c>
      <c r="O102" s="472">
        <f t="shared" si="37"/>
        <v>0</v>
      </c>
      <c r="P102" s="475">
        <f t="shared" si="38"/>
        <v>0</v>
      </c>
    </row>
    <row r="103" spans="1:16" ht="12.5">
      <c r="B103" s="160" t="str">
        <f t="shared" si="39"/>
        <v/>
      </c>
      <c r="C103" s="469">
        <f>IF(D93="","-",+C102+1)</f>
        <v>2017</v>
      </c>
      <c r="D103" s="581">
        <v>956617</v>
      </c>
      <c r="E103" s="582">
        <v>22512</v>
      </c>
      <c r="F103" s="583">
        <v>934105</v>
      </c>
      <c r="G103" s="583">
        <v>945361</v>
      </c>
      <c r="H103" s="582">
        <v>142433.42657860837</v>
      </c>
      <c r="I103" s="584">
        <v>142433.42657860837</v>
      </c>
      <c r="J103" s="475">
        <f t="shared" si="40"/>
        <v>0</v>
      </c>
      <c r="K103" s="475"/>
      <c r="L103" s="473">
        <f t="shared" si="34"/>
        <v>142433.42657860837</v>
      </c>
      <c r="M103" s="346">
        <f t="shared" si="35"/>
        <v>0</v>
      </c>
      <c r="N103" s="473">
        <f t="shared" si="36"/>
        <v>142433.42657860837</v>
      </c>
      <c r="O103" s="472">
        <f t="shared" si="37"/>
        <v>0</v>
      </c>
      <c r="P103" s="475">
        <f t="shared" si="38"/>
        <v>0</v>
      </c>
    </row>
    <row r="104" spans="1:16" ht="12.5">
      <c r="B104" s="160" t="str">
        <f t="shared" si="39"/>
        <v/>
      </c>
      <c r="C104" s="469">
        <f>IF(D93="","-",+C103+1)</f>
        <v>2018</v>
      </c>
      <c r="D104" s="581">
        <v>934105</v>
      </c>
      <c r="E104" s="582">
        <v>24083</v>
      </c>
      <c r="F104" s="583">
        <v>910022</v>
      </c>
      <c r="G104" s="583">
        <v>922063.5</v>
      </c>
      <c r="H104" s="582">
        <v>118811.71632291189</v>
      </c>
      <c r="I104" s="584">
        <v>118811.71632291189</v>
      </c>
      <c r="J104" s="475">
        <f t="shared" si="40"/>
        <v>0</v>
      </c>
      <c r="K104" s="475"/>
      <c r="L104" s="473">
        <f t="shared" si="34"/>
        <v>118811.71632291189</v>
      </c>
      <c r="M104" s="346">
        <f t="shared" si="35"/>
        <v>0</v>
      </c>
      <c r="N104" s="473">
        <f t="shared" si="36"/>
        <v>118811.71632291189</v>
      </c>
      <c r="O104" s="472">
        <f t="shared" si="37"/>
        <v>0</v>
      </c>
      <c r="P104" s="475">
        <f t="shared" si="38"/>
        <v>0</v>
      </c>
    </row>
    <row r="105" spans="1:16" ht="12.5">
      <c r="B105" s="160" t="str">
        <f t="shared" si="39"/>
        <v/>
      </c>
      <c r="C105" s="469">
        <f>IF(D93="","-",+C104+1)</f>
        <v>2019</v>
      </c>
      <c r="D105" s="581">
        <v>910022</v>
      </c>
      <c r="E105" s="582">
        <v>25257</v>
      </c>
      <c r="F105" s="583">
        <v>884765</v>
      </c>
      <c r="G105" s="583">
        <v>897393.5</v>
      </c>
      <c r="H105" s="582">
        <v>117790.85676358812</v>
      </c>
      <c r="I105" s="584">
        <v>117790.85676358812</v>
      </c>
      <c r="J105" s="475">
        <f t="shared" si="40"/>
        <v>0</v>
      </c>
      <c r="K105" s="475"/>
      <c r="L105" s="473">
        <f t="shared" ref="L105" si="41">H105</f>
        <v>117790.85676358812</v>
      </c>
      <c r="M105" s="346">
        <f t="shared" ref="M105" si="42">IF(L105&lt;&gt;0,+H105-L105,0)</f>
        <v>0</v>
      </c>
      <c r="N105" s="473">
        <f t="shared" ref="N105" si="43">I105</f>
        <v>117790.85676358812</v>
      </c>
      <c r="O105" s="475">
        <f t="shared" ref="O105:O130" si="44">IF(N105&lt;&gt;0,+I105-N105,0)</f>
        <v>0</v>
      </c>
      <c r="P105" s="475">
        <f t="shared" ref="P105:P130" si="45">+O105-M105</f>
        <v>0</v>
      </c>
    </row>
    <row r="106" spans="1:16" ht="12.5">
      <c r="B106" s="160" t="str">
        <f t="shared" si="39"/>
        <v/>
      </c>
      <c r="C106" s="469">
        <f>IF(D93="","-",+C105+1)</f>
        <v>2020</v>
      </c>
      <c r="D106" s="581">
        <v>884765</v>
      </c>
      <c r="E106" s="582">
        <v>24083</v>
      </c>
      <c r="F106" s="583">
        <v>860682</v>
      </c>
      <c r="G106" s="583">
        <v>872723.5</v>
      </c>
      <c r="H106" s="582">
        <v>124705.62019457563</v>
      </c>
      <c r="I106" s="584">
        <v>124705.62019457563</v>
      </c>
      <c r="J106" s="475">
        <f t="shared" si="40"/>
        <v>0</v>
      </c>
      <c r="K106" s="475"/>
      <c r="L106" s="473">
        <f t="shared" ref="L106" si="46">H106</f>
        <v>124705.62019457563</v>
      </c>
      <c r="M106" s="346">
        <f t="shared" ref="M106" si="47">IF(L106&lt;&gt;0,+H106-L106,0)</f>
        <v>0</v>
      </c>
      <c r="N106" s="473">
        <f t="shared" ref="N106" si="48">I106</f>
        <v>124705.62019457563</v>
      </c>
      <c r="O106" s="475">
        <f t="shared" si="44"/>
        <v>0</v>
      </c>
      <c r="P106" s="475">
        <f t="shared" si="45"/>
        <v>0</v>
      </c>
    </row>
    <row r="107" spans="1:16" ht="12.5">
      <c r="B107" s="160" t="str">
        <f t="shared" si="39"/>
        <v/>
      </c>
      <c r="C107" s="469">
        <f>IF(D93="","-",+C106+1)</f>
        <v>2021</v>
      </c>
      <c r="D107" s="581">
        <v>860682</v>
      </c>
      <c r="E107" s="582">
        <v>25257</v>
      </c>
      <c r="F107" s="583">
        <v>835425</v>
      </c>
      <c r="G107" s="583">
        <v>848053.5</v>
      </c>
      <c r="H107" s="582">
        <v>121759.37640510849</v>
      </c>
      <c r="I107" s="584">
        <v>121759.37640510849</v>
      </c>
      <c r="J107" s="475">
        <f t="shared" si="40"/>
        <v>0</v>
      </c>
      <c r="K107" s="475"/>
      <c r="L107" s="473">
        <f t="shared" ref="L107" si="49">H107</f>
        <v>121759.37640510849</v>
      </c>
      <c r="M107" s="346">
        <f t="shared" ref="M107" si="50">IF(L107&lt;&gt;0,+H107-L107,0)</f>
        <v>0</v>
      </c>
      <c r="N107" s="473">
        <f t="shared" ref="N107" si="51">I107</f>
        <v>121759.37640510849</v>
      </c>
      <c r="O107" s="475">
        <f t="shared" si="44"/>
        <v>0</v>
      </c>
      <c r="P107" s="475">
        <f t="shared" si="45"/>
        <v>0</v>
      </c>
    </row>
    <row r="108" spans="1:16" ht="12.5">
      <c r="B108" s="160" t="str">
        <f t="shared" si="39"/>
        <v/>
      </c>
      <c r="C108" s="469">
        <f>IF(D93="","-",+C107+1)</f>
        <v>2022</v>
      </c>
      <c r="D108" s="581">
        <v>835425</v>
      </c>
      <c r="E108" s="582">
        <v>26553</v>
      </c>
      <c r="F108" s="583">
        <v>808872</v>
      </c>
      <c r="G108" s="583">
        <v>822148.5</v>
      </c>
      <c r="H108" s="582">
        <v>117139.50278773616</v>
      </c>
      <c r="I108" s="584">
        <v>117139.50278773616</v>
      </c>
      <c r="J108" s="475">
        <f t="shared" si="40"/>
        <v>0</v>
      </c>
      <c r="K108" s="475"/>
      <c r="L108" s="473">
        <f t="shared" ref="L108" si="52">H108</f>
        <v>117139.50278773616</v>
      </c>
      <c r="M108" s="346">
        <f t="shared" ref="M108" si="53">IF(L108&lt;&gt;0,+H108-L108,0)</f>
        <v>0</v>
      </c>
      <c r="N108" s="473">
        <f t="shared" ref="N108" si="54">I108</f>
        <v>117139.50278773616</v>
      </c>
      <c r="O108" s="475">
        <f t="shared" ref="O108" si="55">IF(N108&lt;&gt;0,+I108-N108,0)</f>
        <v>0</v>
      </c>
      <c r="P108" s="475">
        <f t="shared" ref="P108" si="56">+O108-M108</f>
        <v>0</v>
      </c>
    </row>
    <row r="109" spans="1:16" ht="12.5">
      <c r="B109" s="160" t="str">
        <f t="shared" si="39"/>
        <v/>
      </c>
      <c r="C109" s="469">
        <f>IF(D93="","-",+C108+1)</f>
        <v>2023</v>
      </c>
      <c r="D109" s="581">
        <v>808872</v>
      </c>
      <c r="E109" s="582">
        <v>27251</v>
      </c>
      <c r="F109" s="583">
        <v>781621</v>
      </c>
      <c r="G109" s="583">
        <v>795246.5</v>
      </c>
      <c r="H109" s="582">
        <v>118089.66414766702</v>
      </c>
      <c r="I109" s="584">
        <v>118089.66414766702</v>
      </c>
      <c r="J109" s="475">
        <f t="shared" si="40"/>
        <v>0</v>
      </c>
      <c r="K109" s="475"/>
      <c r="L109" s="473">
        <f t="shared" ref="L109" si="57">H109</f>
        <v>118089.66414766702</v>
      </c>
      <c r="M109" s="346">
        <f t="shared" ref="M109" si="58">IF(L109&lt;&gt;0,+H109-L109,0)</f>
        <v>0</v>
      </c>
      <c r="N109" s="473">
        <f t="shared" ref="N109" si="59">I109</f>
        <v>118089.66414766702</v>
      </c>
      <c r="O109" s="475">
        <f t="shared" ref="O109" si="60">IF(N109&lt;&gt;0,+I109-N109,0)</f>
        <v>0</v>
      </c>
      <c r="P109" s="475">
        <f t="shared" ref="P109" si="61">+O109-M109</f>
        <v>0</v>
      </c>
    </row>
    <row r="110" spans="1:16" ht="12.5">
      <c r="B110" s="160" t="str">
        <f t="shared" si="39"/>
        <v/>
      </c>
      <c r="C110" s="469">
        <f>IF(D93="","-",+C109+1)</f>
        <v>2024</v>
      </c>
      <c r="D110" s="344">
        <f>IF(F109+SUM(E$99:E109)=D$92,F109,D$92-SUM(E$99:E109))</f>
        <v>781621</v>
      </c>
      <c r="E110" s="481">
        <f t="shared" ref="E110:E154" si="62">IF(+J$96&lt;F109,J$96,D110)</f>
        <v>27251</v>
      </c>
      <c r="F110" s="482">
        <f t="shared" ref="F110:F154" si="63">+D110-E110</f>
        <v>754370</v>
      </c>
      <c r="G110" s="482">
        <f t="shared" ref="G110:G154" si="64">+(F110+D110)/2</f>
        <v>767995.5</v>
      </c>
      <c r="H110" s="483">
        <f t="shared" ref="H110:H152" si="65">(D110+F110)/2*J$94+E110</f>
        <v>130407.16465946536</v>
      </c>
      <c r="I110" s="539">
        <f t="shared" ref="I110:I152" si="66">+J$95*G110+E110</f>
        <v>130407.16465946536</v>
      </c>
      <c r="J110" s="475">
        <f t="shared" si="40"/>
        <v>0</v>
      </c>
      <c r="K110" s="475"/>
      <c r="L110" s="484"/>
      <c r="M110" s="475">
        <f t="shared" ref="M110:M130" si="67">IF(L110&lt;&gt;0,+H110-L110,0)</f>
        <v>0</v>
      </c>
      <c r="N110" s="484"/>
      <c r="O110" s="475">
        <f t="shared" si="44"/>
        <v>0</v>
      </c>
      <c r="P110" s="475">
        <f t="shared" si="45"/>
        <v>0</v>
      </c>
    </row>
    <row r="111" spans="1:16" ht="12.5">
      <c r="B111" s="160" t="str">
        <f t="shared" si="39"/>
        <v/>
      </c>
      <c r="C111" s="469">
        <f>IF(D93="","-",+C110+1)</f>
        <v>2025</v>
      </c>
      <c r="D111" s="344">
        <f>IF(F110+SUM(E$99:E110)=D$92,F110,D$92-SUM(E$99:E110))</f>
        <v>754370</v>
      </c>
      <c r="E111" s="481">
        <f t="shared" si="62"/>
        <v>27251</v>
      </c>
      <c r="F111" s="482">
        <f t="shared" si="63"/>
        <v>727119</v>
      </c>
      <c r="G111" s="482">
        <f t="shared" si="64"/>
        <v>740744.5</v>
      </c>
      <c r="H111" s="483">
        <f t="shared" si="65"/>
        <v>126746.84549986731</v>
      </c>
      <c r="I111" s="539">
        <f t="shared" si="66"/>
        <v>126746.84549986731</v>
      </c>
      <c r="J111" s="475">
        <f t="shared" si="40"/>
        <v>0</v>
      </c>
      <c r="K111" s="475"/>
      <c r="L111" s="484"/>
      <c r="M111" s="475">
        <f t="shared" si="67"/>
        <v>0</v>
      </c>
      <c r="N111" s="484"/>
      <c r="O111" s="475">
        <f t="shared" si="44"/>
        <v>0</v>
      </c>
      <c r="P111" s="475">
        <f t="shared" si="45"/>
        <v>0</v>
      </c>
    </row>
    <row r="112" spans="1:16" ht="12.5">
      <c r="B112" s="160" t="str">
        <f t="shared" si="39"/>
        <v/>
      </c>
      <c r="C112" s="469">
        <f>IF(D93="","-",+C111+1)</f>
        <v>2026</v>
      </c>
      <c r="D112" s="344">
        <f>IF(F111+SUM(E$99:E111)=D$92,F111,D$92-SUM(E$99:E111))</f>
        <v>727119</v>
      </c>
      <c r="E112" s="481">
        <f t="shared" si="62"/>
        <v>27251</v>
      </c>
      <c r="F112" s="482">
        <f t="shared" si="63"/>
        <v>699868</v>
      </c>
      <c r="G112" s="482">
        <f t="shared" si="64"/>
        <v>713493.5</v>
      </c>
      <c r="H112" s="483">
        <f t="shared" si="65"/>
        <v>123086.52634026925</v>
      </c>
      <c r="I112" s="539">
        <f t="shared" si="66"/>
        <v>123086.52634026925</v>
      </c>
      <c r="J112" s="475">
        <f t="shared" si="40"/>
        <v>0</v>
      </c>
      <c r="K112" s="475"/>
      <c r="L112" s="484"/>
      <c r="M112" s="475">
        <f t="shared" si="67"/>
        <v>0</v>
      </c>
      <c r="N112" s="484"/>
      <c r="O112" s="475">
        <f t="shared" si="44"/>
        <v>0</v>
      </c>
      <c r="P112" s="475">
        <f t="shared" si="45"/>
        <v>0</v>
      </c>
    </row>
    <row r="113" spans="2:16" ht="12.5">
      <c r="B113" s="160" t="str">
        <f t="shared" si="39"/>
        <v/>
      </c>
      <c r="C113" s="469">
        <f>IF(D93="","-",+C112+1)</f>
        <v>2027</v>
      </c>
      <c r="D113" s="344">
        <f>IF(F112+SUM(E$99:E112)=D$92,F112,D$92-SUM(E$99:E112))</f>
        <v>699868</v>
      </c>
      <c r="E113" s="481">
        <f t="shared" si="62"/>
        <v>27251</v>
      </c>
      <c r="F113" s="482">
        <f t="shared" si="63"/>
        <v>672617</v>
      </c>
      <c r="G113" s="482">
        <f t="shared" si="64"/>
        <v>686242.5</v>
      </c>
      <c r="H113" s="483">
        <f t="shared" si="65"/>
        <v>119426.20718067119</v>
      </c>
      <c r="I113" s="539">
        <f t="shared" si="66"/>
        <v>119426.20718067119</v>
      </c>
      <c r="J113" s="475">
        <f t="shared" si="40"/>
        <v>0</v>
      </c>
      <c r="K113" s="475"/>
      <c r="L113" s="484"/>
      <c r="M113" s="475">
        <f t="shared" si="67"/>
        <v>0</v>
      </c>
      <c r="N113" s="484"/>
      <c r="O113" s="475">
        <f t="shared" si="44"/>
        <v>0</v>
      </c>
      <c r="P113" s="475">
        <f t="shared" si="45"/>
        <v>0</v>
      </c>
    </row>
    <row r="114" spans="2:16" ht="12.5">
      <c r="B114" s="160" t="str">
        <f t="shared" si="39"/>
        <v/>
      </c>
      <c r="C114" s="469">
        <f>IF(D93="","-",+C113+1)</f>
        <v>2028</v>
      </c>
      <c r="D114" s="344">
        <f>IF(F113+SUM(E$99:E113)=D$92,F113,D$92-SUM(E$99:E113))</f>
        <v>672617</v>
      </c>
      <c r="E114" s="481">
        <f t="shared" si="62"/>
        <v>27251</v>
      </c>
      <c r="F114" s="482">
        <f t="shared" si="63"/>
        <v>645366</v>
      </c>
      <c r="G114" s="482">
        <f t="shared" si="64"/>
        <v>658991.5</v>
      </c>
      <c r="H114" s="483">
        <f t="shared" si="65"/>
        <v>115765.88802107313</v>
      </c>
      <c r="I114" s="539">
        <f t="shared" si="66"/>
        <v>115765.88802107313</v>
      </c>
      <c r="J114" s="475">
        <f t="shared" si="40"/>
        <v>0</v>
      </c>
      <c r="K114" s="475"/>
      <c r="L114" s="484"/>
      <c r="M114" s="475">
        <f t="shared" si="67"/>
        <v>0</v>
      </c>
      <c r="N114" s="484"/>
      <c r="O114" s="475">
        <f t="shared" si="44"/>
        <v>0</v>
      </c>
      <c r="P114" s="475">
        <f t="shared" si="45"/>
        <v>0</v>
      </c>
    </row>
    <row r="115" spans="2:16" ht="12.5">
      <c r="B115" s="160" t="str">
        <f t="shared" si="39"/>
        <v/>
      </c>
      <c r="C115" s="469">
        <f>IF(D93="","-",+C114+1)</f>
        <v>2029</v>
      </c>
      <c r="D115" s="344">
        <f>IF(F114+SUM(E$99:E114)=D$92,F114,D$92-SUM(E$99:E114))</f>
        <v>645366</v>
      </c>
      <c r="E115" s="481">
        <f t="shared" si="62"/>
        <v>27251</v>
      </c>
      <c r="F115" s="482">
        <f t="shared" si="63"/>
        <v>618115</v>
      </c>
      <c r="G115" s="482">
        <f t="shared" si="64"/>
        <v>631740.5</v>
      </c>
      <c r="H115" s="483">
        <f t="shared" si="65"/>
        <v>112105.56886147507</v>
      </c>
      <c r="I115" s="539">
        <f t="shared" si="66"/>
        <v>112105.56886147507</v>
      </c>
      <c r="J115" s="475">
        <f t="shared" si="40"/>
        <v>0</v>
      </c>
      <c r="K115" s="475"/>
      <c r="L115" s="484"/>
      <c r="M115" s="475">
        <f t="shared" si="67"/>
        <v>0</v>
      </c>
      <c r="N115" s="484"/>
      <c r="O115" s="475">
        <f t="shared" si="44"/>
        <v>0</v>
      </c>
      <c r="P115" s="475">
        <f t="shared" si="45"/>
        <v>0</v>
      </c>
    </row>
    <row r="116" spans="2:16" ht="12.5">
      <c r="B116" s="160" t="str">
        <f t="shared" si="39"/>
        <v/>
      </c>
      <c r="C116" s="469">
        <f>IF(D93="","-",+C115+1)</f>
        <v>2030</v>
      </c>
      <c r="D116" s="344">
        <f>IF(F115+SUM(E$99:E115)=D$92,F115,D$92-SUM(E$99:E115))</f>
        <v>618115</v>
      </c>
      <c r="E116" s="481">
        <f t="shared" si="62"/>
        <v>27251</v>
      </c>
      <c r="F116" s="482">
        <f t="shared" si="63"/>
        <v>590864</v>
      </c>
      <c r="G116" s="482">
        <f t="shared" si="64"/>
        <v>604489.5</v>
      </c>
      <c r="H116" s="483">
        <f t="shared" si="65"/>
        <v>108445.24970187701</v>
      </c>
      <c r="I116" s="539">
        <f t="shared" si="66"/>
        <v>108445.24970187701</v>
      </c>
      <c r="J116" s="475">
        <f t="shared" si="40"/>
        <v>0</v>
      </c>
      <c r="K116" s="475"/>
      <c r="L116" s="484"/>
      <c r="M116" s="475">
        <f t="shared" si="67"/>
        <v>0</v>
      </c>
      <c r="N116" s="484"/>
      <c r="O116" s="475">
        <f t="shared" si="44"/>
        <v>0</v>
      </c>
      <c r="P116" s="475">
        <f t="shared" si="45"/>
        <v>0</v>
      </c>
    </row>
    <row r="117" spans="2:16" ht="12.5">
      <c r="B117" s="160" t="str">
        <f t="shared" si="39"/>
        <v/>
      </c>
      <c r="C117" s="469">
        <f>IF(D93="","-",+C116+1)</f>
        <v>2031</v>
      </c>
      <c r="D117" s="344">
        <f>IF(F116+SUM(E$99:E116)=D$92,F116,D$92-SUM(E$99:E116))</f>
        <v>590864</v>
      </c>
      <c r="E117" s="481">
        <f t="shared" si="62"/>
        <v>27251</v>
      </c>
      <c r="F117" s="482">
        <f t="shared" si="63"/>
        <v>563613</v>
      </c>
      <c r="G117" s="482">
        <f t="shared" si="64"/>
        <v>577238.5</v>
      </c>
      <c r="H117" s="483">
        <f t="shared" si="65"/>
        <v>104784.93054227895</v>
      </c>
      <c r="I117" s="539">
        <f t="shared" si="66"/>
        <v>104784.93054227895</v>
      </c>
      <c r="J117" s="475">
        <f t="shared" si="40"/>
        <v>0</v>
      </c>
      <c r="K117" s="475"/>
      <c r="L117" s="484"/>
      <c r="M117" s="475">
        <f t="shared" si="67"/>
        <v>0</v>
      </c>
      <c r="N117" s="484"/>
      <c r="O117" s="475">
        <f t="shared" si="44"/>
        <v>0</v>
      </c>
      <c r="P117" s="475">
        <f t="shared" si="45"/>
        <v>0</v>
      </c>
    </row>
    <row r="118" spans="2:16" ht="12.5">
      <c r="B118" s="160" t="str">
        <f t="shared" si="39"/>
        <v/>
      </c>
      <c r="C118" s="469">
        <f>IF(D93="","-",+C117+1)</f>
        <v>2032</v>
      </c>
      <c r="D118" s="344">
        <f>IF(F117+SUM(E$99:E117)=D$92,F117,D$92-SUM(E$99:E117))</f>
        <v>563613</v>
      </c>
      <c r="E118" s="481">
        <f t="shared" si="62"/>
        <v>27251</v>
      </c>
      <c r="F118" s="482">
        <f t="shared" si="63"/>
        <v>536362</v>
      </c>
      <c r="G118" s="482">
        <f t="shared" si="64"/>
        <v>549987.5</v>
      </c>
      <c r="H118" s="483">
        <f t="shared" si="65"/>
        <v>101124.6113826809</v>
      </c>
      <c r="I118" s="539">
        <f t="shared" si="66"/>
        <v>101124.6113826809</v>
      </c>
      <c r="J118" s="475">
        <f t="shared" si="40"/>
        <v>0</v>
      </c>
      <c r="K118" s="475"/>
      <c r="L118" s="484"/>
      <c r="M118" s="475">
        <f t="shared" si="67"/>
        <v>0</v>
      </c>
      <c r="N118" s="484"/>
      <c r="O118" s="475">
        <f t="shared" si="44"/>
        <v>0</v>
      </c>
      <c r="P118" s="475">
        <f t="shared" si="45"/>
        <v>0</v>
      </c>
    </row>
    <row r="119" spans="2:16" ht="12.5">
      <c r="B119" s="160" t="str">
        <f t="shared" si="39"/>
        <v/>
      </c>
      <c r="C119" s="469">
        <f>IF(D93="","-",+C118+1)</f>
        <v>2033</v>
      </c>
      <c r="D119" s="344">
        <f>IF(F118+SUM(E$99:E118)=D$92,F118,D$92-SUM(E$99:E118))</f>
        <v>536362</v>
      </c>
      <c r="E119" s="481">
        <f t="shared" si="62"/>
        <v>27251</v>
      </c>
      <c r="F119" s="482">
        <f t="shared" si="63"/>
        <v>509111</v>
      </c>
      <c r="G119" s="482">
        <f t="shared" si="64"/>
        <v>522736.5</v>
      </c>
      <c r="H119" s="483">
        <f t="shared" si="65"/>
        <v>97464.292223082841</v>
      </c>
      <c r="I119" s="539">
        <f t="shared" si="66"/>
        <v>97464.292223082841</v>
      </c>
      <c r="J119" s="475">
        <f t="shared" si="40"/>
        <v>0</v>
      </c>
      <c r="K119" s="475"/>
      <c r="L119" s="484"/>
      <c r="M119" s="475">
        <f t="shared" si="67"/>
        <v>0</v>
      </c>
      <c r="N119" s="484"/>
      <c r="O119" s="475">
        <f t="shared" si="44"/>
        <v>0</v>
      </c>
      <c r="P119" s="475">
        <f t="shared" si="45"/>
        <v>0</v>
      </c>
    </row>
    <row r="120" spans="2:16" ht="12.5">
      <c r="B120" s="160" t="str">
        <f t="shared" si="39"/>
        <v/>
      </c>
      <c r="C120" s="469">
        <f>IF(D93="","-",+C119+1)</f>
        <v>2034</v>
      </c>
      <c r="D120" s="344">
        <f>IF(F119+SUM(E$99:E119)=D$92,F119,D$92-SUM(E$99:E119))</f>
        <v>509111</v>
      </c>
      <c r="E120" s="481">
        <f t="shared" si="62"/>
        <v>27251</v>
      </c>
      <c r="F120" s="482">
        <f t="shared" si="63"/>
        <v>481860</v>
      </c>
      <c r="G120" s="482">
        <f t="shared" si="64"/>
        <v>495485.5</v>
      </c>
      <c r="H120" s="483">
        <f t="shared" si="65"/>
        <v>93803.97306348478</v>
      </c>
      <c r="I120" s="539">
        <f t="shared" si="66"/>
        <v>93803.97306348478</v>
      </c>
      <c r="J120" s="475">
        <f t="shared" si="40"/>
        <v>0</v>
      </c>
      <c r="K120" s="475"/>
      <c r="L120" s="484"/>
      <c r="M120" s="475">
        <f t="shared" si="67"/>
        <v>0</v>
      </c>
      <c r="N120" s="484"/>
      <c r="O120" s="475">
        <f t="shared" si="44"/>
        <v>0</v>
      </c>
      <c r="P120" s="475">
        <f t="shared" si="45"/>
        <v>0</v>
      </c>
    </row>
    <row r="121" spans="2:16" ht="12.5">
      <c r="B121" s="160" t="str">
        <f t="shared" si="39"/>
        <v/>
      </c>
      <c r="C121" s="469">
        <f>IF(D93="","-",+C120+1)</f>
        <v>2035</v>
      </c>
      <c r="D121" s="344">
        <f>IF(F120+SUM(E$99:E120)=D$92,F120,D$92-SUM(E$99:E120))</f>
        <v>481860</v>
      </c>
      <c r="E121" s="481">
        <f t="shared" si="62"/>
        <v>27251</v>
      </c>
      <c r="F121" s="482">
        <f t="shared" si="63"/>
        <v>454609</v>
      </c>
      <c r="G121" s="482">
        <f t="shared" si="64"/>
        <v>468234.5</v>
      </c>
      <c r="H121" s="483">
        <f t="shared" si="65"/>
        <v>90143.653903886719</v>
      </c>
      <c r="I121" s="539">
        <f t="shared" si="66"/>
        <v>90143.653903886719</v>
      </c>
      <c r="J121" s="475">
        <f t="shared" si="40"/>
        <v>0</v>
      </c>
      <c r="K121" s="475"/>
      <c r="L121" s="484"/>
      <c r="M121" s="475">
        <f t="shared" si="67"/>
        <v>0</v>
      </c>
      <c r="N121" s="484"/>
      <c r="O121" s="475">
        <f t="shared" si="44"/>
        <v>0</v>
      </c>
      <c r="P121" s="475">
        <f t="shared" si="45"/>
        <v>0</v>
      </c>
    </row>
    <row r="122" spans="2:16" ht="12.5">
      <c r="B122" s="160" t="str">
        <f t="shared" si="39"/>
        <v/>
      </c>
      <c r="C122" s="469">
        <f>IF(D93="","-",+C121+1)</f>
        <v>2036</v>
      </c>
      <c r="D122" s="344">
        <f>IF(F121+SUM(E$99:E121)=D$92,F121,D$92-SUM(E$99:E121))</f>
        <v>454609</v>
      </c>
      <c r="E122" s="481">
        <f t="shared" si="62"/>
        <v>27251</v>
      </c>
      <c r="F122" s="482">
        <f t="shared" si="63"/>
        <v>427358</v>
      </c>
      <c r="G122" s="482">
        <f t="shared" si="64"/>
        <v>440983.5</v>
      </c>
      <c r="H122" s="483">
        <f t="shared" si="65"/>
        <v>86483.334744288673</v>
      </c>
      <c r="I122" s="539">
        <f t="shared" si="66"/>
        <v>86483.334744288673</v>
      </c>
      <c r="J122" s="475">
        <f t="shared" si="40"/>
        <v>0</v>
      </c>
      <c r="K122" s="475"/>
      <c r="L122" s="484"/>
      <c r="M122" s="475">
        <f t="shared" si="67"/>
        <v>0</v>
      </c>
      <c r="N122" s="484"/>
      <c r="O122" s="475">
        <f t="shared" si="44"/>
        <v>0</v>
      </c>
      <c r="P122" s="475">
        <f t="shared" si="45"/>
        <v>0</v>
      </c>
    </row>
    <row r="123" spans="2:16" ht="12.5">
      <c r="B123" s="160" t="str">
        <f t="shared" si="39"/>
        <v/>
      </c>
      <c r="C123" s="469">
        <f>IF(D93="","-",+C122+1)</f>
        <v>2037</v>
      </c>
      <c r="D123" s="344">
        <f>IF(F122+SUM(E$99:E122)=D$92,F122,D$92-SUM(E$99:E122))</f>
        <v>427358</v>
      </c>
      <c r="E123" s="481">
        <f t="shared" si="62"/>
        <v>27251</v>
      </c>
      <c r="F123" s="482">
        <f t="shared" si="63"/>
        <v>400107</v>
      </c>
      <c r="G123" s="482">
        <f t="shared" si="64"/>
        <v>413732.5</v>
      </c>
      <c r="H123" s="483">
        <f t="shared" si="65"/>
        <v>82823.015584690613</v>
      </c>
      <c r="I123" s="539">
        <f t="shared" si="66"/>
        <v>82823.015584690613</v>
      </c>
      <c r="J123" s="475">
        <f t="shared" si="40"/>
        <v>0</v>
      </c>
      <c r="K123" s="475"/>
      <c r="L123" s="484"/>
      <c r="M123" s="475">
        <f t="shared" si="67"/>
        <v>0</v>
      </c>
      <c r="N123" s="484"/>
      <c r="O123" s="475">
        <f t="shared" si="44"/>
        <v>0</v>
      </c>
      <c r="P123" s="475">
        <f t="shared" si="45"/>
        <v>0</v>
      </c>
    </row>
    <row r="124" spans="2:16" ht="12.5">
      <c r="B124" s="160" t="str">
        <f t="shared" si="39"/>
        <v/>
      </c>
      <c r="C124" s="469">
        <f>IF(D93="","-",+C123+1)</f>
        <v>2038</v>
      </c>
      <c r="D124" s="344">
        <f>IF(F123+SUM(E$99:E123)=D$92,F123,D$92-SUM(E$99:E123))</f>
        <v>400107</v>
      </c>
      <c r="E124" s="481">
        <f t="shared" si="62"/>
        <v>27251</v>
      </c>
      <c r="F124" s="482">
        <f t="shared" si="63"/>
        <v>372856</v>
      </c>
      <c r="G124" s="482">
        <f t="shared" si="64"/>
        <v>386481.5</v>
      </c>
      <c r="H124" s="483">
        <f t="shared" si="65"/>
        <v>79162.696425092552</v>
      </c>
      <c r="I124" s="539">
        <f t="shared" si="66"/>
        <v>79162.696425092552</v>
      </c>
      <c r="J124" s="475">
        <f t="shared" si="40"/>
        <v>0</v>
      </c>
      <c r="K124" s="475"/>
      <c r="L124" s="484"/>
      <c r="M124" s="475">
        <f t="shared" si="67"/>
        <v>0</v>
      </c>
      <c r="N124" s="484"/>
      <c r="O124" s="475">
        <f t="shared" si="44"/>
        <v>0</v>
      </c>
      <c r="P124" s="475">
        <f t="shared" si="45"/>
        <v>0</v>
      </c>
    </row>
    <row r="125" spans="2:16" ht="12.5">
      <c r="B125" s="160" t="str">
        <f t="shared" si="39"/>
        <v/>
      </c>
      <c r="C125" s="469">
        <f>IF(D93="","-",+C124+1)</f>
        <v>2039</v>
      </c>
      <c r="D125" s="344">
        <f>IF(F124+SUM(E$99:E124)=D$92,F124,D$92-SUM(E$99:E124))</f>
        <v>372856</v>
      </c>
      <c r="E125" s="481">
        <f t="shared" si="62"/>
        <v>27251</v>
      </c>
      <c r="F125" s="482">
        <f t="shared" si="63"/>
        <v>345605</v>
      </c>
      <c r="G125" s="482">
        <f t="shared" si="64"/>
        <v>359230.5</v>
      </c>
      <c r="H125" s="483">
        <f t="shared" si="65"/>
        <v>75502.377265494491</v>
      </c>
      <c r="I125" s="539">
        <f t="shared" si="66"/>
        <v>75502.377265494491</v>
      </c>
      <c r="J125" s="475">
        <f t="shared" si="40"/>
        <v>0</v>
      </c>
      <c r="K125" s="475"/>
      <c r="L125" s="484"/>
      <c r="M125" s="475">
        <f t="shared" si="67"/>
        <v>0</v>
      </c>
      <c r="N125" s="484"/>
      <c r="O125" s="475">
        <f t="shared" si="44"/>
        <v>0</v>
      </c>
      <c r="P125" s="475">
        <f t="shared" si="45"/>
        <v>0</v>
      </c>
    </row>
    <row r="126" spans="2:16" ht="12.5">
      <c r="B126" s="160" t="str">
        <f t="shared" si="39"/>
        <v/>
      </c>
      <c r="C126" s="469">
        <f>IF(D93="","-",+C125+1)</f>
        <v>2040</v>
      </c>
      <c r="D126" s="344">
        <f>IF(F125+SUM(E$99:E125)=D$92,F125,D$92-SUM(E$99:E125))</f>
        <v>345605</v>
      </c>
      <c r="E126" s="481">
        <f t="shared" si="62"/>
        <v>27251</v>
      </c>
      <c r="F126" s="482">
        <f t="shared" si="63"/>
        <v>318354</v>
      </c>
      <c r="G126" s="482">
        <f t="shared" si="64"/>
        <v>331979.5</v>
      </c>
      <c r="H126" s="483">
        <f t="shared" si="65"/>
        <v>71842.058105896431</v>
      </c>
      <c r="I126" s="539">
        <f t="shared" si="66"/>
        <v>71842.058105896431</v>
      </c>
      <c r="J126" s="475">
        <f t="shared" si="40"/>
        <v>0</v>
      </c>
      <c r="K126" s="475"/>
      <c r="L126" s="484"/>
      <c r="M126" s="475">
        <f t="shared" si="67"/>
        <v>0</v>
      </c>
      <c r="N126" s="484"/>
      <c r="O126" s="475">
        <f t="shared" si="44"/>
        <v>0</v>
      </c>
      <c r="P126" s="475">
        <f t="shared" si="45"/>
        <v>0</v>
      </c>
    </row>
    <row r="127" spans="2:16" ht="12.5">
      <c r="B127" s="160" t="str">
        <f t="shared" si="39"/>
        <v/>
      </c>
      <c r="C127" s="469">
        <f>IF(D93="","-",+C126+1)</f>
        <v>2041</v>
      </c>
      <c r="D127" s="344">
        <f>IF(F126+SUM(E$99:E126)=D$92,F126,D$92-SUM(E$99:E126))</f>
        <v>318354</v>
      </c>
      <c r="E127" s="481">
        <f t="shared" si="62"/>
        <v>27251</v>
      </c>
      <c r="F127" s="482">
        <f t="shared" si="63"/>
        <v>291103</v>
      </c>
      <c r="G127" s="482">
        <f t="shared" si="64"/>
        <v>304728.5</v>
      </c>
      <c r="H127" s="483">
        <f t="shared" si="65"/>
        <v>68181.73894629837</v>
      </c>
      <c r="I127" s="539">
        <f t="shared" si="66"/>
        <v>68181.73894629837</v>
      </c>
      <c r="J127" s="475">
        <f t="shared" si="40"/>
        <v>0</v>
      </c>
      <c r="K127" s="475"/>
      <c r="L127" s="484"/>
      <c r="M127" s="475">
        <f t="shared" si="67"/>
        <v>0</v>
      </c>
      <c r="N127" s="484"/>
      <c r="O127" s="475">
        <f t="shared" si="44"/>
        <v>0</v>
      </c>
      <c r="P127" s="475">
        <f t="shared" si="45"/>
        <v>0</v>
      </c>
    </row>
    <row r="128" spans="2:16" ht="12.5">
      <c r="B128" s="160" t="str">
        <f t="shared" si="39"/>
        <v/>
      </c>
      <c r="C128" s="469">
        <f>IF(D93="","-",+C127+1)</f>
        <v>2042</v>
      </c>
      <c r="D128" s="344">
        <f>IF(F127+SUM(E$99:E127)=D$92,F127,D$92-SUM(E$99:E127))</f>
        <v>291103</v>
      </c>
      <c r="E128" s="481">
        <f t="shared" si="62"/>
        <v>27251</v>
      </c>
      <c r="F128" s="482">
        <f t="shared" si="63"/>
        <v>263852</v>
      </c>
      <c r="G128" s="482">
        <f t="shared" si="64"/>
        <v>277477.5</v>
      </c>
      <c r="H128" s="483">
        <f t="shared" si="65"/>
        <v>64521.419786700309</v>
      </c>
      <c r="I128" s="539">
        <f t="shared" si="66"/>
        <v>64521.419786700309</v>
      </c>
      <c r="J128" s="475">
        <f t="shared" si="40"/>
        <v>0</v>
      </c>
      <c r="K128" s="475"/>
      <c r="L128" s="484"/>
      <c r="M128" s="475">
        <f t="shared" si="67"/>
        <v>0</v>
      </c>
      <c r="N128" s="484"/>
      <c r="O128" s="475">
        <f t="shared" si="44"/>
        <v>0</v>
      </c>
      <c r="P128" s="475">
        <f t="shared" si="45"/>
        <v>0</v>
      </c>
    </row>
    <row r="129" spans="2:16" ht="12.5">
      <c r="B129" s="160" t="str">
        <f t="shared" si="39"/>
        <v/>
      </c>
      <c r="C129" s="469">
        <f>IF(D93="","-",+C128+1)</f>
        <v>2043</v>
      </c>
      <c r="D129" s="344">
        <f>IF(F128+SUM(E$99:E128)=D$92,F128,D$92-SUM(E$99:E128))</f>
        <v>263852</v>
      </c>
      <c r="E129" s="481">
        <f t="shared" si="62"/>
        <v>27251</v>
      </c>
      <c r="F129" s="482">
        <f t="shared" si="63"/>
        <v>236601</v>
      </c>
      <c r="G129" s="482">
        <f t="shared" si="64"/>
        <v>250226.5</v>
      </c>
      <c r="H129" s="483">
        <f t="shared" si="65"/>
        <v>60861.100627102256</v>
      </c>
      <c r="I129" s="539">
        <f t="shared" si="66"/>
        <v>60861.100627102256</v>
      </c>
      <c r="J129" s="475">
        <f t="shared" si="40"/>
        <v>0</v>
      </c>
      <c r="K129" s="475"/>
      <c r="L129" s="484"/>
      <c r="M129" s="475">
        <f t="shared" si="67"/>
        <v>0</v>
      </c>
      <c r="N129" s="484"/>
      <c r="O129" s="475">
        <f t="shared" si="44"/>
        <v>0</v>
      </c>
      <c r="P129" s="475">
        <f t="shared" si="45"/>
        <v>0</v>
      </c>
    </row>
    <row r="130" spans="2:16" ht="12.5">
      <c r="B130" s="160" t="str">
        <f t="shared" si="39"/>
        <v/>
      </c>
      <c r="C130" s="469">
        <f>IF(D93="","-",+C129+1)</f>
        <v>2044</v>
      </c>
      <c r="D130" s="344">
        <f>IF(F129+SUM(E$99:E129)=D$92,F129,D$92-SUM(E$99:E129))</f>
        <v>236601</v>
      </c>
      <c r="E130" s="481">
        <f t="shared" si="62"/>
        <v>27251</v>
      </c>
      <c r="F130" s="482">
        <f t="shared" si="63"/>
        <v>209350</v>
      </c>
      <c r="G130" s="482">
        <f t="shared" si="64"/>
        <v>222975.5</v>
      </c>
      <c r="H130" s="483">
        <f t="shared" si="65"/>
        <v>57200.781467504195</v>
      </c>
      <c r="I130" s="539">
        <f t="shared" si="66"/>
        <v>57200.781467504195</v>
      </c>
      <c r="J130" s="475">
        <f t="shared" si="40"/>
        <v>0</v>
      </c>
      <c r="K130" s="475"/>
      <c r="L130" s="484"/>
      <c r="M130" s="475">
        <f t="shared" si="67"/>
        <v>0</v>
      </c>
      <c r="N130" s="484"/>
      <c r="O130" s="475">
        <f t="shared" si="44"/>
        <v>0</v>
      </c>
      <c r="P130" s="475">
        <f t="shared" si="45"/>
        <v>0</v>
      </c>
    </row>
    <row r="131" spans="2:16" ht="12.5">
      <c r="B131" s="160" t="str">
        <f t="shared" si="39"/>
        <v/>
      </c>
      <c r="C131" s="469">
        <f>IF(D93="","-",+C130+1)</f>
        <v>2045</v>
      </c>
      <c r="D131" s="344">
        <f>IF(F130+SUM(E$99:E130)=D$92,F130,D$92-SUM(E$99:E130))</f>
        <v>209350</v>
      </c>
      <c r="E131" s="481">
        <f t="shared" si="62"/>
        <v>27251</v>
      </c>
      <c r="F131" s="482">
        <f t="shared" si="63"/>
        <v>182099</v>
      </c>
      <c r="G131" s="482">
        <f t="shared" si="64"/>
        <v>195724.5</v>
      </c>
      <c r="H131" s="483">
        <f t="shared" si="65"/>
        <v>53540.462307906142</v>
      </c>
      <c r="I131" s="539">
        <f t="shared" si="66"/>
        <v>53540.462307906142</v>
      </c>
      <c r="J131" s="475">
        <f t="shared" si="40"/>
        <v>0</v>
      </c>
      <c r="K131" s="475"/>
      <c r="L131" s="484"/>
      <c r="M131" s="475">
        <f t="shared" ref="M131:M154" si="68">IF(L541&lt;&gt;0,+H541-L541,0)</f>
        <v>0</v>
      </c>
      <c r="N131" s="484"/>
      <c r="O131" s="475">
        <f t="shared" ref="O131:O154" si="69">IF(N541&lt;&gt;0,+I541-N541,0)</f>
        <v>0</v>
      </c>
      <c r="P131" s="475">
        <f t="shared" ref="P131:P154" si="70">+O541-M541</f>
        <v>0</v>
      </c>
    </row>
    <row r="132" spans="2:16" ht="12.5">
      <c r="B132" s="160" t="str">
        <f t="shared" si="39"/>
        <v/>
      </c>
      <c r="C132" s="469">
        <f>IF(D93="","-",+C131+1)</f>
        <v>2046</v>
      </c>
      <c r="D132" s="344">
        <f>IF(F131+SUM(E$99:E131)=D$92,F131,D$92-SUM(E$99:E131))</f>
        <v>182099</v>
      </c>
      <c r="E132" s="481">
        <f t="shared" si="62"/>
        <v>27251</v>
      </c>
      <c r="F132" s="482">
        <f t="shared" si="63"/>
        <v>154848</v>
      </c>
      <c r="G132" s="482">
        <f t="shared" si="64"/>
        <v>168473.5</v>
      </c>
      <c r="H132" s="483">
        <f t="shared" si="65"/>
        <v>49880.143148308081</v>
      </c>
      <c r="I132" s="539">
        <f t="shared" si="66"/>
        <v>49880.143148308081</v>
      </c>
      <c r="J132" s="475">
        <f t="shared" si="40"/>
        <v>0</v>
      </c>
      <c r="K132" s="475"/>
      <c r="L132" s="484"/>
      <c r="M132" s="475">
        <f t="shared" si="68"/>
        <v>0</v>
      </c>
      <c r="N132" s="484"/>
      <c r="O132" s="475">
        <f t="shared" si="69"/>
        <v>0</v>
      </c>
      <c r="P132" s="475">
        <f t="shared" si="70"/>
        <v>0</v>
      </c>
    </row>
    <row r="133" spans="2:16" ht="12.5">
      <c r="B133" s="160" t="str">
        <f t="shared" si="39"/>
        <v/>
      </c>
      <c r="C133" s="469">
        <f>IF(D93="","-",+C132+1)</f>
        <v>2047</v>
      </c>
      <c r="D133" s="344">
        <f>IF(F132+SUM(E$99:E132)=D$92,F132,D$92-SUM(E$99:E132))</f>
        <v>154848</v>
      </c>
      <c r="E133" s="481">
        <f t="shared" si="62"/>
        <v>27251</v>
      </c>
      <c r="F133" s="482">
        <f t="shared" si="63"/>
        <v>127597</v>
      </c>
      <c r="G133" s="482">
        <f t="shared" si="64"/>
        <v>141222.5</v>
      </c>
      <c r="H133" s="483">
        <f t="shared" si="65"/>
        <v>46219.823988710021</v>
      </c>
      <c r="I133" s="539">
        <f t="shared" si="66"/>
        <v>46219.823988710021</v>
      </c>
      <c r="J133" s="475">
        <f t="shared" si="40"/>
        <v>0</v>
      </c>
      <c r="K133" s="475"/>
      <c r="L133" s="484"/>
      <c r="M133" s="475">
        <f t="shared" si="68"/>
        <v>0</v>
      </c>
      <c r="N133" s="484"/>
      <c r="O133" s="475">
        <f t="shared" si="69"/>
        <v>0</v>
      </c>
      <c r="P133" s="475">
        <f t="shared" si="70"/>
        <v>0</v>
      </c>
    </row>
    <row r="134" spans="2:16" ht="12.5">
      <c r="B134" s="160" t="str">
        <f t="shared" si="39"/>
        <v/>
      </c>
      <c r="C134" s="469">
        <f>IF(D93="","-",+C133+1)</f>
        <v>2048</v>
      </c>
      <c r="D134" s="344">
        <f>IF(F133+SUM(E$99:E133)=D$92,F133,D$92-SUM(E$99:E133))</f>
        <v>127597</v>
      </c>
      <c r="E134" s="481">
        <f t="shared" si="62"/>
        <v>27251</v>
      </c>
      <c r="F134" s="482">
        <f t="shared" si="63"/>
        <v>100346</v>
      </c>
      <c r="G134" s="482">
        <f t="shared" si="64"/>
        <v>113971.5</v>
      </c>
      <c r="H134" s="483">
        <f t="shared" si="65"/>
        <v>42559.50482911196</v>
      </c>
      <c r="I134" s="539">
        <f t="shared" si="66"/>
        <v>42559.50482911196</v>
      </c>
      <c r="J134" s="475">
        <f t="shared" si="40"/>
        <v>0</v>
      </c>
      <c r="K134" s="475"/>
      <c r="L134" s="484"/>
      <c r="M134" s="475">
        <f t="shared" si="68"/>
        <v>0</v>
      </c>
      <c r="N134" s="484"/>
      <c r="O134" s="475">
        <f t="shared" si="69"/>
        <v>0</v>
      </c>
      <c r="P134" s="475">
        <f t="shared" si="70"/>
        <v>0</v>
      </c>
    </row>
    <row r="135" spans="2:16" ht="12.5">
      <c r="B135" s="160" t="str">
        <f t="shared" si="39"/>
        <v/>
      </c>
      <c r="C135" s="469">
        <f>IF(D93="","-",+C134+1)</f>
        <v>2049</v>
      </c>
      <c r="D135" s="344">
        <f>IF(F134+SUM(E$99:E134)=D$92,F134,D$92-SUM(E$99:E134))</f>
        <v>100346</v>
      </c>
      <c r="E135" s="481">
        <f t="shared" si="62"/>
        <v>27251</v>
      </c>
      <c r="F135" s="482">
        <f t="shared" si="63"/>
        <v>73095</v>
      </c>
      <c r="G135" s="482">
        <f t="shared" si="64"/>
        <v>86720.5</v>
      </c>
      <c r="H135" s="483">
        <f t="shared" si="65"/>
        <v>38899.185669513907</v>
      </c>
      <c r="I135" s="539">
        <f t="shared" si="66"/>
        <v>38899.185669513907</v>
      </c>
      <c r="J135" s="475">
        <f t="shared" si="40"/>
        <v>0</v>
      </c>
      <c r="K135" s="475"/>
      <c r="L135" s="484"/>
      <c r="M135" s="475">
        <f t="shared" si="68"/>
        <v>0</v>
      </c>
      <c r="N135" s="484"/>
      <c r="O135" s="475">
        <f t="shared" si="69"/>
        <v>0</v>
      </c>
      <c r="P135" s="475">
        <f t="shared" si="70"/>
        <v>0</v>
      </c>
    </row>
    <row r="136" spans="2:16" ht="12.5">
      <c r="B136" s="160" t="str">
        <f t="shared" si="39"/>
        <v/>
      </c>
      <c r="C136" s="469">
        <f>IF(D93="","-",+C135+1)</f>
        <v>2050</v>
      </c>
      <c r="D136" s="344">
        <f>IF(F135+SUM(E$99:E135)=D$92,F135,D$92-SUM(E$99:E135))</f>
        <v>73095</v>
      </c>
      <c r="E136" s="481">
        <f t="shared" si="62"/>
        <v>27251</v>
      </c>
      <c r="F136" s="482">
        <f t="shared" si="63"/>
        <v>45844</v>
      </c>
      <c r="G136" s="482">
        <f t="shared" si="64"/>
        <v>59469.5</v>
      </c>
      <c r="H136" s="483">
        <f t="shared" si="65"/>
        <v>35238.866509915846</v>
      </c>
      <c r="I136" s="539">
        <f t="shared" si="66"/>
        <v>35238.866509915846</v>
      </c>
      <c r="J136" s="475">
        <f t="shared" si="40"/>
        <v>0</v>
      </c>
      <c r="K136" s="475"/>
      <c r="L136" s="484"/>
      <c r="M136" s="475">
        <f t="shared" si="68"/>
        <v>0</v>
      </c>
      <c r="N136" s="484"/>
      <c r="O136" s="475">
        <f t="shared" si="69"/>
        <v>0</v>
      </c>
      <c r="P136" s="475">
        <f t="shared" si="70"/>
        <v>0</v>
      </c>
    </row>
    <row r="137" spans="2:16" ht="12.5">
      <c r="B137" s="160" t="str">
        <f t="shared" si="39"/>
        <v/>
      </c>
      <c r="C137" s="469">
        <f>IF(D93="","-",+C136+1)</f>
        <v>2051</v>
      </c>
      <c r="D137" s="344">
        <f>IF(F136+SUM(E$99:E136)=D$92,F136,D$92-SUM(E$99:E136))</f>
        <v>45844</v>
      </c>
      <c r="E137" s="481">
        <f t="shared" si="62"/>
        <v>27251</v>
      </c>
      <c r="F137" s="482">
        <f t="shared" si="63"/>
        <v>18593</v>
      </c>
      <c r="G137" s="482">
        <f t="shared" si="64"/>
        <v>32218.5</v>
      </c>
      <c r="H137" s="483">
        <f t="shared" si="65"/>
        <v>31578.547350317789</v>
      </c>
      <c r="I137" s="539">
        <f t="shared" si="66"/>
        <v>31578.547350317789</v>
      </c>
      <c r="J137" s="475">
        <f t="shared" si="40"/>
        <v>0</v>
      </c>
      <c r="K137" s="475"/>
      <c r="L137" s="484"/>
      <c r="M137" s="475">
        <f t="shared" si="68"/>
        <v>0</v>
      </c>
      <c r="N137" s="484"/>
      <c r="O137" s="475">
        <f t="shared" si="69"/>
        <v>0</v>
      </c>
      <c r="P137" s="475">
        <f t="shared" si="70"/>
        <v>0</v>
      </c>
    </row>
    <row r="138" spans="2:16" ht="12.5">
      <c r="B138" s="160" t="str">
        <f t="shared" si="39"/>
        <v/>
      </c>
      <c r="C138" s="469">
        <f>IF(D93="","-",+C137+1)</f>
        <v>2052</v>
      </c>
      <c r="D138" s="344">
        <f>IF(F137+SUM(E$99:E137)=D$92,F137,D$92-SUM(E$99:E137))</f>
        <v>18593</v>
      </c>
      <c r="E138" s="481">
        <f t="shared" si="62"/>
        <v>18593</v>
      </c>
      <c r="F138" s="482">
        <f t="shared" si="63"/>
        <v>0</v>
      </c>
      <c r="G138" s="482">
        <f t="shared" si="64"/>
        <v>9296.5</v>
      </c>
      <c r="H138" s="483">
        <f t="shared" si="65"/>
        <v>19841.693885259381</v>
      </c>
      <c r="I138" s="539">
        <f t="shared" si="66"/>
        <v>19841.693885259381</v>
      </c>
      <c r="J138" s="475">
        <f t="shared" si="40"/>
        <v>0</v>
      </c>
      <c r="K138" s="475"/>
      <c r="L138" s="484"/>
      <c r="M138" s="475">
        <f t="shared" si="68"/>
        <v>0</v>
      </c>
      <c r="N138" s="484"/>
      <c r="O138" s="475">
        <f t="shared" si="69"/>
        <v>0</v>
      </c>
      <c r="P138" s="475">
        <f t="shared" si="70"/>
        <v>0</v>
      </c>
    </row>
    <row r="139" spans="2:16" ht="12.5">
      <c r="B139" s="160" t="str">
        <f t="shared" si="39"/>
        <v/>
      </c>
      <c r="C139" s="469">
        <f>IF(D93="","-",+C138+1)</f>
        <v>2053</v>
      </c>
      <c r="D139" s="344">
        <f>IF(F138+SUM(E$99:E138)=D$92,F138,D$92-SUM(E$99:E138))</f>
        <v>0</v>
      </c>
      <c r="E139" s="481">
        <f t="shared" si="62"/>
        <v>0</v>
      </c>
      <c r="F139" s="482">
        <f t="shared" si="63"/>
        <v>0</v>
      </c>
      <c r="G139" s="482">
        <f t="shared" si="64"/>
        <v>0</v>
      </c>
      <c r="H139" s="483">
        <f t="shared" si="65"/>
        <v>0</v>
      </c>
      <c r="I139" s="539">
        <f t="shared" si="66"/>
        <v>0</v>
      </c>
      <c r="J139" s="475">
        <f t="shared" si="40"/>
        <v>0</v>
      </c>
      <c r="K139" s="475"/>
      <c r="L139" s="484"/>
      <c r="M139" s="475">
        <f t="shared" si="68"/>
        <v>0</v>
      </c>
      <c r="N139" s="484"/>
      <c r="O139" s="475">
        <f t="shared" si="69"/>
        <v>0</v>
      </c>
      <c r="P139" s="475">
        <f t="shared" si="70"/>
        <v>0</v>
      </c>
    </row>
    <row r="140" spans="2:16" ht="12.5">
      <c r="B140" s="160" t="str">
        <f t="shared" si="39"/>
        <v/>
      </c>
      <c r="C140" s="469">
        <f>IF(D93="","-",+C139+1)</f>
        <v>2054</v>
      </c>
      <c r="D140" s="344">
        <f>IF(F139+SUM(E$99:E139)=D$92,F139,D$92-SUM(E$99:E139))</f>
        <v>0</v>
      </c>
      <c r="E140" s="481">
        <f t="shared" si="62"/>
        <v>0</v>
      </c>
      <c r="F140" s="482">
        <f t="shared" si="63"/>
        <v>0</v>
      </c>
      <c r="G140" s="482">
        <f t="shared" si="64"/>
        <v>0</v>
      </c>
      <c r="H140" s="483">
        <f t="shared" si="65"/>
        <v>0</v>
      </c>
      <c r="I140" s="539">
        <f t="shared" si="66"/>
        <v>0</v>
      </c>
      <c r="J140" s="475">
        <f t="shared" si="40"/>
        <v>0</v>
      </c>
      <c r="K140" s="475"/>
      <c r="L140" s="484"/>
      <c r="M140" s="475">
        <f t="shared" si="68"/>
        <v>0</v>
      </c>
      <c r="N140" s="484"/>
      <c r="O140" s="475">
        <f t="shared" si="69"/>
        <v>0</v>
      </c>
      <c r="P140" s="475">
        <f t="shared" si="70"/>
        <v>0</v>
      </c>
    </row>
    <row r="141" spans="2:16" ht="12.5">
      <c r="B141" s="160" t="str">
        <f t="shared" si="39"/>
        <v/>
      </c>
      <c r="C141" s="469">
        <f>IF(D93="","-",+C140+1)</f>
        <v>2055</v>
      </c>
      <c r="D141" s="344">
        <f>IF(F140+SUM(E$99:E140)=D$92,F140,D$92-SUM(E$99:E140))</f>
        <v>0</v>
      </c>
      <c r="E141" s="481">
        <f t="shared" si="62"/>
        <v>0</v>
      </c>
      <c r="F141" s="482">
        <f t="shared" si="63"/>
        <v>0</v>
      </c>
      <c r="G141" s="482">
        <f t="shared" si="64"/>
        <v>0</v>
      </c>
      <c r="H141" s="483">
        <f t="shared" si="65"/>
        <v>0</v>
      </c>
      <c r="I141" s="539">
        <f t="shared" si="66"/>
        <v>0</v>
      </c>
      <c r="J141" s="475">
        <f t="shared" si="40"/>
        <v>0</v>
      </c>
      <c r="K141" s="475"/>
      <c r="L141" s="484"/>
      <c r="M141" s="475">
        <f t="shared" si="68"/>
        <v>0</v>
      </c>
      <c r="N141" s="484"/>
      <c r="O141" s="475">
        <f t="shared" si="69"/>
        <v>0</v>
      </c>
      <c r="P141" s="475">
        <f t="shared" si="70"/>
        <v>0</v>
      </c>
    </row>
    <row r="142" spans="2:16" ht="12.5">
      <c r="B142" s="160" t="str">
        <f t="shared" si="39"/>
        <v/>
      </c>
      <c r="C142" s="469">
        <f>IF(D93="","-",+C141+1)</f>
        <v>2056</v>
      </c>
      <c r="D142" s="344">
        <f>IF(F141+SUM(E$99:E141)=D$92,F141,D$92-SUM(E$99:E141))</f>
        <v>0</v>
      </c>
      <c r="E142" s="481">
        <f t="shared" si="62"/>
        <v>0</v>
      </c>
      <c r="F142" s="482">
        <f t="shared" si="63"/>
        <v>0</v>
      </c>
      <c r="G142" s="482">
        <f t="shared" si="64"/>
        <v>0</v>
      </c>
      <c r="H142" s="483">
        <f t="shared" si="65"/>
        <v>0</v>
      </c>
      <c r="I142" s="539">
        <f t="shared" si="66"/>
        <v>0</v>
      </c>
      <c r="J142" s="475">
        <f t="shared" si="40"/>
        <v>0</v>
      </c>
      <c r="K142" s="475"/>
      <c r="L142" s="484"/>
      <c r="M142" s="475">
        <f t="shared" si="68"/>
        <v>0</v>
      </c>
      <c r="N142" s="484"/>
      <c r="O142" s="475">
        <f t="shared" si="69"/>
        <v>0</v>
      </c>
      <c r="P142" s="475">
        <f t="shared" si="70"/>
        <v>0</v>
      </c>
    </row>
    <row r="143" spans="2:16" ht="12.5">
      <c r="B143" s="160" t="str">
        <f t="shared" si="39"/>
        <v/>
      </c>
      <c r="C143" s="469">
        <f>IF(D93="","-",+C142+1)</f>
        <v>2057</v>
      </c>
      <c r="D143" s="344">
        <f>IF(F142+SUM(E$99:E142)=D$92,F142,D$92-SUM(E$99:E142))</f>
        <v>0</v>
      </c>
      <c r="E143" s="481">
        <f t="shared" si="62"/>
        <v>0</v>
      </c>
      <c r="F143" s="482">
        <f t="shared" si="63"/>
        <v>0</v>
      </c>
      <c r="G143" s="482">
        <f t="shared" si="64"/>
        <v>0</v>
      </c>
      <c r="H143" s="483">
        <f t="shared" si="65"/>
        <v>0</v>
      </c>
      <c r="I143" s="539">
        <f t="shared" si="66"/>
        <v>0</v>
      </c>
      <c r="J143" s="475">
        <f t="shared" si="40"/>
        <v>0</v>
      </c>
      <c r="K143" s="475"/>
      <c r="L143" s="484"/>
      <c r="M143" s="475">
        <f t="shared" si="68"/>
        <v>0</v>
      </c>
      <c r="N143" s="484"/>
      <c r="O143" s="475">
        <f t="shared" si="69"/>
        <v>0</v>
      </c>
      <c r="P143" s="475">
        <f t="shared" si="70"/>
        <v>0</v>
      </c>
    </row>
    <row r="144" spans="2:16" ht="12.5">
      <c r="B144" s="160" t="str">
        <f t="shared" si="39"/>
        <v/>
      </c>
      <c r="C144" s="469">
        <f>IF(D93="","-",+C143+1)</f>
        <v>2058</v>
      </c>
      <c r="D144" s="344">
        <f>IF(F143+SUM(E$99:E143)=D$92,F143,D$92-SUM(E$99:E143))</f>
        <v>0</v>
      </c>
      <c r="E144" s="481">
        <f t="shared" si="62"/>
        <v>0</v>
      </c>
      <c r="F144" s="482">
        <f t="shared" si="63"/>
        <v>0</v>
      </c>
      <c r="G144" s="482">
        <f t="shared" si="64"/>
        <v>0</v>
      </c>
      <c r="H144" s="483">
        <f t="shared" si="65"/>
        <v>0</v>
      </c>
      <c r="I144" s="539">
        <f t="shared" si="66"/>
        <v>0</v>
      </c>
      <c r="J144" s="475">
        <f t="shared" si="40"/>
        <v>0</v>
      </c>
      <c r="K144" s="475"/>
      <c r="L144" s="484"/>
      <c r="M144" s="475">
        <f t="shared" si="68"/>
        <v>0</v>
      </c>
      <c r="N144" s="484"/>
      <c r="O144" s="475">
        <f t="shared" si="69"/>
        <v>0</v>
      </c>
      <c r="P144" s="475">
        <f t="shared" si="70"/>
        <v>0</v>
      </c>
    </row>
    <row r="145" spans="2:16" ht="12.5">
      <c r="B145" s="160" t="str">
        <f t="shared" si="39"/>
        <v/>
      </c>
      <c r="C145" s="469">
        <f>IF(D93="","-",+C144+1)</f>
        <v>2059</v>
      </c>
      <c r="D145" s="344">
        <f>IF(F144+SUM(E$99:E144)=D$92,F144,D$92-SUM(E$99:E144))</f>
        <v>0</v>
      </c>
      <c r="E145" s="481">
        <f t="shared" si="62"/>
        <v>0</v>
      </c>
      <c r="F145" s="482">
        <f t="shared" si="63"/>
        <v>0</v>
      </c>
      <c r="G145" s="482">
        <f t="shared" si="64"/>
        <v>0</v>
      </c>
      <c r="H145" s="483">
        <f t="shared" si="65"/>
        <v>0</v>
      </c>
      <c r="I145" s="539">
        <f t="shared" si="66"/>
        <v>0</v>
      </c>
      <c r="J145" s="475">
        <f t="shared" si="40"/>
        <v>0</v>
      </c>
      <c r="K145" s="475"/>
      <c r="L145" s="484"/>
      <c r="M145" s="475">
        <f t="shared" si="68"/>
        <v>0</v>
      </c>
      <c r="N145" s="484"/>
      <c r="O145" s="475">
        <f t="shared" si="69"/>
        <v>0</v>
      </c>
      <c r="P145" s="475">
        <f t="shared" si="70"/>
        <v>0</v>
      </c>
    </row>
    <row r="146" spans="2:16" ht="12.5">
      <c r="B146" s="160" t="str">
        <f t="shared" si="39"/>
        <v/>
      </c>
      <c r="C146" s="469">
        <f>IF(D93="","-",+C145+1)</f>
        <v>2060</v>
      </c>
      <c r="D146" s="344">
        <f>IF(F145+SUM(E$99:E145)=D$92,F145,D$92-SUM(E$99:E145))</f>
        <v>0</v>
      </c>
      <c r="E146" s="481">
        <f t="shared" si="62"/>
        <v>0</v>
      </c>
      <c r="F146" s="482">
        <f t="shared" si="63"/>
        <v>0</v>
      </c>
      <c r="G146" s="482">
        <f t="shared" si="64"/>
        <v>0</v>
      </c>
      <c r="H146" s="483">
        <f t="shared" si="65"/>
        <v>0</v>
      </c>
      <c r="I146" s="539">
        <f t="shared" si="66"/>
        <v>0</v>
      </c>
      <c r="J146" s="475">
        <f t="shared" si="40"/>
        <v>0</v>
      </c>
      <c r="K146" s="475"/>
      <c r="L146" s="484"/>
      <c r="M146" s="475">
        <f t="shared" si="68"/>
        <v>0</v>
      </c>
      <c r="N146" s="484"/>
      <c r="O146" s="475">
        <f t="shared" si="69"/>
        <v>0</v>
      </c>
      <c r="P146" s="475">
        <f t="shared" si="70"/>
        <v>0</v>
      </c>
    </row>
    <row r="147" spans="2:16" ht="12.5">
      <c r="B147" s="160" t="str">
        <f t="shared" si="39"/>
        <v/>
      </c>
      <c r="C147" s="469">
        <f>IF(D93="","-",+C146+1)</f>
        <v>2061</v>
      </c>
      <c r="D147" s="344">
        <f>IF(F146+SUM(E$99:E146)=D$92,F146,D$92-SUM(E$99:E146))</f>
        <v>0</v>
      </c>
      <c r="E147" s="481">
        <f t="shared" si="62"/>
        <v>0</v>
      </c>
      <c r="F147" s="482">
        <f t="shared" si="63"/>
        <v>0</v>
      </c>
      <c r="G147" s="482">
        <f t="shared" si="64"/>
        <v>0</v>
      </c>
      <c r="H147" s="483">
        <f t="shared" si="65"/>
        <v>0</v>
      </c>
      <c r="I147" s="539">
        <f t="shared" si="66"/>
        <v>0</v>
      </c>
      <c r="J147" s="475">
        <f t="shared" si="40"/>
        <v>0</v>
      </c>
      <c r="K147" s="475"/>
      <c r="L147" s="484"/>
      <c r="M147" s="475">
        <f t="shared" si="68"/>
        <v>0</v>
      </c>
      <c r="N147" s="484"/>
      <c r="O147" s="475">
        <f t="shared" si="69"/>
        <v>0</v>
      </c>
      <c r="P147" s="475">
        <f t="shared" si="70"/>
        <v>0</v>
      </c>
    </row>
    <row r="148" spans="2:16" ht="12.5">
      <c r="B148" s="160" t="str">
        <f t="shared" si="39"/>
        <v/>
      </c>
      <c r="C148" s="469">
        <f>IF(D93="","-",+C147+1)</f>
        <v>2062</v>
      </c>
      <c r="D148" s="344">
        <f>IF(F147+SUM(E$99:E147)=D$92,F147,D$92-SUM(E$99:E147))</f>
        <v>0</v>
      </c>
      <c r="E148" s="481">
        <f t="shared" si="62"/>
        <v>0</v>
      </c>
      <c r="F148" s="482">
        <f t="shared" si="63"/>
        <v>0</v>
      </c>
      <c r="G148" s="482">
        <f t="shared" si="64"/>
        <v>0</v>
      </c>
      <c r="H148" s="483">
        <f t="shared" si="65"/>
        <v>0</v>
      </c>
      <c r="I148" s="539">
        <f t="shared" si="66"/>
        <v>0</v>
      </c>
      <c r="J148" s="475">
        <f t="shared" si="40"/>
        <v>0</v>
      </c>
      <c r="K148" s="475"/>
      <c r="L148" s="484"/>
      <c r="M148" s="475">
        <f t="shared" si="68"/>
        <v>0</v>
      </c>
      <c r="N148" s="484"/>
      <c r="O148" s="475">
        <f t="shared" si="69"/>
        <v>0</v>
      </c>
      <c r="P148" s="475">
        <f t="shared" si="70"/>
        <v>0</v>
      </c>
    </row>
    <row r="149" spans="2:16" ht="12.5">
      <c r="B149" s="160" t="str">
        <f t="shared" si="39"/>
        <v/>
      </c>
      <c r="C149" s="469">
        <f>IF(D93="","-",+C148+1)</f>
        <v>2063</v>
      </c>
      <c r="D149" s="344">
        <f>IF(F148+SUM(E$99:E148)=D$92,F148,D$92-SUM(E$99:E148))</f>
        <v>0</v>
      </c>
      <c r="E149" s="481">
        <f t="shared" si="62"/>
        <v>0</v>
      </c>
      <c r="F149" s="482">
        <f t="shared" si="63"/>
        <v>0</v>
      </c>
      <c r="G149" s="482">
        <f t="shared" si="64"/>
        <v>0</v>
      </c>
      <c r="H149" s="483">
        <f t="shared" si="65"/>
        <v>0</v>
      </c>
      <c r="I149" s="539">
        <f t="shared" si="66"/>
        <v>0</v>
      </c>
      <c r="J149" s="475">
        <f t="shared" si="40"/>
        <v>0</v>
      </c>
      <c r="K149" s="475"/>
      <c r="L149" s="484"/>
      <c r="M149" s="475">
        <f t="shared" si="68"/>
        <v>0</v>
      </c>
      <c r="N149" s="484"/>
      <c r="O149" s="475">
        <f t="shared" si="69"/>
        <v>0</v>
      </c>
      <c r="P149" s="475">
        <f t="shared" si="70"/>
        <v>0</v>
      </c>
    </row>
    <row r="150" spans="2:16" ht="12.5">
      <c r="B150" s="160" t="str">
        <f t="shared" si="39"/>
        <v/>
      </c>
      <c r="C150" s="469">
        <f>IF(D93="","-",+C149+1)</f>
        <v>2064</v>
      </c>
      <c r="D150" s="344">
        <f>IF(F149+SUM(E$99:E149)=D$92,F149,D$92-SUM(E$99:E149))</f>
        <v>0</v>
      </c>
      <c r="E150" s="481">
        <f t="shared" si="62"/>
        <v>0</v>
      </c>
      <c r="F150" s="482">
        <f t="shared" si="63"/>
        <v>0</v>
      </c>
      <c r="G150" s="482">
        <f t="shared" si="64"/>
        <v>0</v>
      </c>
      <c r="H150" s="483">
        <f t="shared" si="65"/>
        <v>0</v>
      </c>
      <c r="I150" s="539">
        <f t="shared" si="66"/>
        <v>0</v>
      </c>
      <c r="J150" s="475">
        <f t="shared" si="40"/>
        <v>0</v>
      </c>
      <c r="K150" s="475"/>
      <c r="L150" s="484"/>
      <c r="M150" s="475">
        <f t="shared" si="68"/>
        <v>0</v>
      </c>
      <c r="N150" s="484"/>
      <c r="O150" s="475">
        <f t="shared" si="69"/>
        <v>0</v>
      </c>
      <c r="P150" s="475">
        <f t="shared" si="70"/>
        <v>0</v>
      </c>
    </row>
    <row r="151" spans="2:16" ht="12.5">
      <c r="B151" s="160" t="str">
        <f t="shared" si="39"/>
        <v/>
      </c>
      <c r="C151" s="469">
        <f>IF(D93="","-",+C150+1)</f>
        <v>2065</v>
      </c>
      <c r="D151" s="344">
        <f>IF(F150+SUM(E$99:E150)=D$92,F150,D$92-SUM(E$99:E150))</f>
        <v>0</v>
      </c>
      <c r="E151" s="481">
        <f t="shared" si="62"/>
        <v>0</v>
      </c>
      <c r="F151" s="482">
        <f t="shared" si="63"/>
        <v>0</v>
      </c>
      <c r="G151" s="482">
        <f t="shared" si="64"/>
        <v>0</v>
      </c>
      <c r="H151" s="483">
        <f t="shared" si="65"/>
        <v>0</v>
      </c>
      <c r="I151" s="539">
        <f t="shared" si="66"/>
        <v>0</v>
      </c>
      <c r="J151" s="475">
        <f t="shared" si="40"/>
        <v>0</v>
      </c>
      <c r="K151" s="475"/>
      <c r="L151" s="484"/>
      <c r="M151" s="475">
        <f t="shared" si="68"/>
        <v>0</v>
      </c>
      <c r="N151" s="484"/>
      <c r="O151" s="475">
        <f t="shared" si="69"/>
        <v>0</v>
      </c>
      <c r="P151" s="475">
        <f t="shared" si="70"/>
        <v>0</v>
      </c>
    </row>
    <row r="152" spans="2:16" ht="12.5">
      <c r="B152" s="160" t="str">
        <f t="shared" si="39"/>
        <v/>
      </c>
      <c r="C152" s="469">
        <f>IF(D93="","-",+C151+1)</f>
        <v>2066</v>
      </c>
      <c r="D152" s="344">
        <f>IF(F151+SUM(E$99:E151)=D$92,F151,D$92-SUM(E$99:E151))</f>
        <v>0</v>
      </c>
      <c r="E152" s="481">
        <f t="shared" si="62"/>
        <v>0</v>
      </c>
      <c r="F152" s="482">
        <f t="shared" si="63"/>
        <v>0</v>
      </c>
      <c r="G152" s="482">
        <f t="shared" si="64"/>
        <v>0</v>
      </c>
      <c r="H152" s="483">
        <f t="shared" si="65"/>
        <v>0</v>
      </c>
      <c r="I152" s="539">
        <f t="shared" si="66"/>
        <v>0</v>
      </c>
      <c r="J152" s="475">
        <f t="shared" si="40"/>
        <v>0</v>
      </c>
      <c r="K152" s="475"/>
      <c r="L152" s="484"/>
      <c r="M152" s="475">
        <f t="shared" si="68"/>
        <v>0</v>
      </c>
      <c r="N152" s="484"/>
      <c r="O152" s="475">
        <f t="shared" si="69"/>
        <v>0</v>
      </c>
      <c r="P152" s="475">
        <f t="shared" si="70"/>
        <v>0</v>
      </c>
    </row>
    <row r="153" spans="2:16" ht="12.5">
      <c r="B153" s="160" t="str">
        <f t="shared" si="39"/>
        <v/>
      </c>
      <c r="C153" s="469">
        <f>IF(D93="","-",+C152+1)</f>
        <v>2067</v>
      </c>
      <c r="D153" s="344">
        <f>IF(F152+SUM(E$99:E152)=D$92,F152,D$92-SUM(E$99:E152))</f>
        <v>0</v>
      </c>
      <c r="E153" s="481">
        <f t="shared" si="62"/>
        <v>0</v>
      </c>
      <c r="F153" s="482">
        <f t="shared" si="63"/>
        <v>0</v>
      </c>
      <c r="G153" s="482">
        <f t="shared" si="64"/>
        <v>0</v>
      </c>
      <c r="H153" s="485">
        <f t="shared" ref="H153:H154" si="71">+J$94*G153+E153</f>
        <v>0</v>
      </c>
      <c r="I153" s="539">
        <f t="shared" ref="I153:I154" si="72">+J$95*G153+E153</f>
        <v>0</v>
      </c>
      <c r="J153" s="475">
        <f t="shared" si="40"/>
        <v>0</v>
      </c>
      <c r="K153" s="475"/>
      <c r="L153" s="484"/>
      <c r="M153" s="475">
        <f t="shared" si="68"/>
        <v>0</v>
      </c>
      <c r="N153" s="484"/>
      <c r="O153" s="475">
        <f t="shared" si="69"/>
        <v>0</v>
      </c>
      <c r="P153" s="475">
        <f t="shared" si="70"/>
        <v>0</v>
      </c>
    </row>
    <row r="154" spans="2:16" ht="13" thickBot="1">
      <c r="B154" s="160" t="str">
        <f t="shared" si="39"/>
        <v/>
      </c>
      <c r="C154" s="486">
        <f>IF(D93="","-",+C153+1)</f>
        <v>2068</v>
      </c>
      <c r="D154" s="573">
        <f>IF(F153+SUM(E$99:E153)=D$92,F153,D$92-SUM(E$99:E153))</f>
        <v>0</v>
      </c>
      <c r="E154" s="488">
        <f t="shared" si="62"/>
        <v>0</v>
      </c>
      <c r="F154" s="487">
        <f t="shared" si="63"/>
        <v>0</v>
      </c>
      <c r="G154" s="487">
        <f t="shared" si="64"/>
        <v>0</v>
      </c>
      <c r="H154" s="489">
        <f t="shared" si="71"/>
        <v>0</v>
      </c>
      <c r="I154" s="542">
        <f t="shared" si="72"/>
        <v>0</v>
      </c>
      <c r="J154" s="492">
        <f t="shared" si="40"/>
        <v>0</v>
      </c>
      <c r="K154" s="492"/>
      <c r="L154" s="491"/>
      <c r="M154" s="492">
        <f t="shared" si="68"/>
        <v>0</v>
      </c>
      <c r="N154" s="491"/>
      <c r="O154" s="492">
        <f t="shared" si="69"/>
        <v>0</v>
      </c>
      <c r="P154" s="492">
        <f t="shared" si="70"/>
        <v>0</v>
      </c>
    </row>
    <row r="155" spans="2:16" ht="12.5">
      <c r="C155" s="344" t="s">
        <v>77</v>
      </c>
      <c r="D155" s="345"/>
      <c r="E155" s="345">
        <f>SUM(E99:E154)</f>
        <v>1035552</v>
      </c>
      <c r="F155" s="345"/>
      <c r="G155" s="345"/>
      <c r="H155" s="345">
        <f>SUM(H99:H154)</f>
        <v>3702209.7298893426</v>
      </c>
      <c r="I155" s="345">
        <f>SUM(I99:I154)</f>
        <v>3702209.7298893426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45" priority="1" stopIfTrue="1" operator="equal">
      <formula>$I$10</formula>
    </cfRule>
  </conditionalFormatting>
  <conditionalFormatting sqref="C99:C154">
    <cfRule type="cellIs" dxfId="4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64"/>
  <dimension ref="A1:P162"/>
  <sheetViews>
    <sheetView topLeftCell="A48" zoomScaleNormal="100" zoomScaleSheetLayoutView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15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263246.12801581901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263246.12801581901</v>
      </c>
      <c r="O6" s="231"/>
      <c r="P6" s="231"/>
    </row>
    <row r="7" spans="1:16" ht="13.5" thickBot="1">
      <c r="C7" s="428" t="s">
        <v>46</v>
      </c>
      <c r="D7" s="596" t="s">
        <v>250</v>
      </c>
      <c r="E7" s="597"/>
      <c r="F7" s="597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569" t="s">
        <v>249</v>
      </c>
      <c r="E9" s="574" t="s">
        <v>258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2246629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2014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59121.815789473687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2014</v>
      </c>
      <c r="D17" s="581">
        <v>2295000</v>
      </c>
      <c r="E17" s="604">
        <v>36778.846153846156</v>
      </c>
      <c r="F17" s="581">
        <v>2258221.153846154</v>
      </c>
      <c r="G17" s="604">
        <v>347642.78736560291</v>
      </c>
      <c r="H17" s="584">
        <v>347642.78736560291</v>
      </c>
      <c r="I17" s="472">
        <v>0</v>
      </c>
      <c r="J17" s="472"/>
      <c r="K17" s="473">
        <f t="shared" ref="K17:K22" si="0">G17</f>
        <v>347642.78736560291</v>
      </c>
      <c r="L17" s="600">
        <f t="shared" ref="L17:L22" si="1">IF(K17&lt;&gt;0,+G17-K17,0)</f>
        <v>0</v>
      </c>
      <c r="M17" s="473">
        <f t="shared" ref="M17:M22" si="2">H17</f>
        <v>347642.78736560291</v>
      </c>
      <c r="N17" s="475">
        <f>IF(M17&lt;&gt;0,+H17-M17,0)</f>
        <v>0</v>
      </c>
      <c r="O17" s="472">
        <f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2015</v>
      </c>
      <c r="D18" s="581">
        <v>2258221.153846154</v>
      </c>
      <c r="E18" s="582">
        <v>43204.395576923074</v>
      </c>
      <c r="F18" s="581">
        <v>2215016.7582692308</v>
      </c>
      <c r="G18" s="582">
        <v>348592.42580485216</v>
      </c>
      <c r="H18" s="584">
        <v>348592.42580485216</v>
      </c>
      <c r="I18" s="472">
        <v>0</v>
      </c>
      <c r="J18" s="472"/>
      <c r="K18" s="473">
        <f t="shared" si="0"/>
        <v>348592.42580485216</v>
      </c>
      <c r="L18" s="600">
        <f t="shared" si="1"/>
        <v>0</v>
      </c>
      <c r="M18" s="473">
        <f t="shared" si="2"/>
        <v>348592.42580485216</v>
      </c>
      <c r="N18" s="475">
        <f>IF(M18&lt;&gt;0,+H18-M18,0)</f>
        <v>0</v>
      </c>
      <c r="O18" s="472">
        <f>+N18-L18</f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2016</v>
      </c>
      <c r="D19" s="581">
        <v>2166645.3282692307</v>
      </c>
      <c r="E19" s="582">
        <v>43204.395576923074</v>
      </c>
      <c r="F19" s="581">
        <v>2123440.9326923075</v>
      </c>
      <c r="G19" s="582">
        <v>321714.3955769231</v>
      </c>
      <c r="H19" s="584">
        <v>321714.3955769231</v>
      </c>
      <c r="I19" s="472">
        <f>H19-G19</f>
        <v>0</v>
      </c>
      <c r="J19" s="472"/>
      <c r="K19" s="473">
        <f t="shared" si="0"/>
        <v>321714.3955769231</v>
      </c>
      <c r="L19" s="600">
        <f t="shared" si="1"/>
        <v>0</v>
      </c>
      <c r="M19" s="473">
        <f t="shared" si="2"/>
        <v>321714.3955769231</v>
      </c>
      <c r="N19" s="475">
        <f>IF(M19&lt;&gt;0,+H19-M19,0)</f>
        <v>0</v>
      </c>
      <c r="O19" s="472">
        <f>+N19-L19</f>
        <v>0</v>
      </c>
      <c r="P19" s="241"/>
    </row>
    <row r="20" spans="2:16" ht="12.5">
      <c r="B20" s="160" t="str">
        <f t="shared" ref="B20:B72" si="3">IF(D20=F19,"","IU")</f>
        <v/>
      </c>
      <c r="C20" s="469">
        <f>IF(D11="","-",+C19+1)</f>
        <v>2017</v>
      </c>
      <c r="D20" s="581">
        <v>2123440.9326923075</v>
      </c>
      <c r="E20" s="582">
        <v>48839.751521739126</v>
      </c>
      <c r="F20" s="581">
        <v>2074601.1811705683</v>
      </c>
      <c r="G20" s="582">
        <v>312854.75152173912</v>
      </c>
      <c r="H20" s="584">
        <v>312854.75152173912</v>
      </c>
      <c r="I20" s="472">
        <f t="shared" ref="I20:I72" si="4">H20-G20</f>
        <v>0</v>
      </c>
      <c r="J20" s="472"/>
      <c r="K20" s="473">
        <f t="shared" si="0"/>
        <v>312854.75152173912</v>
      </c>
      <c r="L20" s="600">
        <f t="shared" si="1"/>
        <v>0</v>
      </c>
      <c r="M20" s="473">
        <f t="shared" si="2"/>
        <v>312854.75152173912</v>
      </c>
      <c r="N20" s="475">
        <f>IF(M20&lt;&gt;0,+H20-M20,0)</f>
        <v>0</v>
      </c>
      <c r="O20" s="472">
        <f>+N20-L20</f>
        <v>0</v>
      </c>
      <c r="P20" s="241"/>
    </row>
    <row r="21" spans="2:16" ht="12.5">
      <c r="B21" s="160" t="str">
        <f t="shared" si="3"/>
        <v/>
      </c>
      <c r="C21" s="469">
        <f>IF(D11="","-",+C20+1)</f>
        <v>2018</v>
      </c>
      <c r="D21" s="581">
        <v>2074601.1811705683</v>
      </c>
      <c r="E21" s="582">
        <v>49925.079333333328</v>
      </c>
      <c r="F21" s="581">
        <v>2024676.101837235</v>
      </c>
      <c r="G21" s="582">
        <v>295387.63187355472</v>
      </c>
      <c r="H21" s="584">
        <v>295387.63187355472</v>
      </c>
      <c r="I21" s="472">
        <f t="shared" si="4"/>
        <v>0</v>
      </c>
      <c r="J21" s="472"/>
      <c r="K21" s="473">
        <f t="shared" si="0"/>
        <v>295387.63187355472</v>
      </c>
      <c r="L21" s="600">
        <f t="shared" si="1"/>
        <v>0</v>
      </c>
      <c r="M21" s="473">
        <f t="shared" si="2"/>
        <v>295387.63187355472</v>
      </c>
      <c r="N21" s="475">
        <f>IF(M21&lt;&gt;0,+H21-M21,0)</f>
        <v>0</v>
      </c>
      <c r="O21" s="472">
        <f>+N21-L21</f>
        <v>0</v>
      </c>
      <c r="P21" s="241"/>
    </row>
    <row r="22" spans="2:16" ht="12.5">
      <c r="B22" s="160" t="str">
        <f t="shared" si="3"/>
        <v/>
      </c>
      <c r="C22" s="469">
        <f>IF(D11="","-",+C21+1)</f>
        <v>2019</v>
      </c>
      <c r="D22" s="581">
        <v>2024676.101837235</v>
      </c>
      <c r="E22" s="582">
        <v>56165.714249999997</v>
      </c>
      <c r="F22" s="581">
        <v>1968510.3875872351</v>
      </c>
      <c r="G22" s="582">
        <v>279098.59002601594</v>
      </c>
      <c r="H22" s="584">
        <v>279098.59002601594</v>
      </c>
      <c r="I22" s="472">
        <f t="shared" si="4"/>
        <v>0</v>
      </c>
      <c r="J22" s="472"/>
      <c r="K22" s="473">
        <f t="shared" si="0"/>
        <v>279098.59002601594</v>
      </c>
      <c r="L22" s="600">
        <f t="shared" si="1"/>
        <v>0</v>
      </c>
      <c r="M22" s="473">
        <f t="shared" si="2"/>
        <v>279098.59002601594</v>
      </c>
      <c r="N22" s="475">
        <f t="shared" ref="N22:N72" si="5">IF(M22&lt;&gt;0,+H22-M22,0)</f>
        <v>0</v>
      </c>
      <c r="O22" s="475">
        <f t="shared" ref="O22:O72" si="6">+N22-L22</f>
        <v>0</v>
      </c>
      <c r="P22" s="241"/>
    </row>
    <row r="23" spans="2:16" ht="12.5">
      <c r="B23" s="160" t="str">
        <f t="shared" si="3"/>
        <v>IU</v>
      </c>
      <c r="C23" s="469">
        <f>IF(D11="","-",+C22+1)</f>
        <v>2020</v>
      </c>
      <c r="D23" s="581">
        <v>1974751.0225039017</v>
      </c>
      <c r="E23" s="582">
        <v>53491.156428571427</v>
      </c>
      <c r="F23" s="581">
        <v>1921259.8660753304</v>
      </c>
      <c r="G23" s="582">
        <v>263885.04985844565</v>
      </c>
      <c r="H23" s="584">
        <v>263885.04985844565</v>
      </c>
      <c r="I23" s="472">
        <f t="shared" si="4"/>
        <v>0</v>
      </c>
      <c r="J23" s="472"/>
      <c r="K23" s="473">
        <f t="shared" ref="K23" si="7">G23</f>
        <v>263885.04985844565</v>
      </c>
      <c r="L23" s="600">
        <f t="shared" ref="L23" si="8">IF(K23&lt;&gt;0,+G23-K23,0)</f>
        <v>0</v>
      </c>
      <c r="M23" s="473">
        <f t="shared" ref="M23" si="9">H23</f>
        <v>263885.04985844565</v>
      </c>
      <c r="N23" s="475">
        <f t="shared" si="5"/>
        <v>0</v>
      </c>
      <c r="O23" s="475">
        <f t="shared" si="6"/>
        <v>0</v>
      </c>
      <c r="P23" s="241"/>
    </row>
    <row r="24" spans="2:16" ht="12.5">
      <c r="B24" s="160" t="str">
        <f t="shared" si="3"/>
        <v>IU</v>
      </c>
      <c r="C24" s="469">
        <f>IF(D11="","-",+C23+1)</f>
        <v>2021</v>
      </c>
      <c r="D24" s="581">
        <v>1915019.2311586635</v>
      </c>
      <c r="E24" s="582">
        <v>52247.176046511624</v>
      </c>
      <c r="F24" s="581">
        <v>1862772.0551121519</v>
      </c>
      <c r="G24" s="582">
        <v>253094.17604651162</v>
      </c>
      <c r="H24" s="584">
        <v>253094.17604651162</v>
      </c>
      <c r="I24" s="472">
        <f t="shared" si="4"/>
        <v>0</v>
      </c>
      <c r="J24" s="472"/>
      <c r="K24" s="473">
        <f t="shared" ref="K24" si="10">G24</f>
        <v>253094.17604651162</v>
      </c>
      <c r="L24" s="600">
        <f t="shared" ref="L24" si="11">IF(K24&lt;&gt;0,+G24-K24,0)</f>
        <v>0</v>
      </c>
      <c r="M24" s="473">
        <f t="shared" ref="M24" si="12">H24</f>
        <v>253094.17604651162</v>
      </c>
      <c r="N24" s="475">
        <f t="shared" si="5"/>
        <v>0</v>
      </c>
      <c r="O24" s="475">
        <f t="shared" si="6"/>
        <v>0</v>
      </c>
      <c r="P24" s="241"/>
    </row>
    <row r="25" spans="2:16" ht="12.5">
      <c r="B25" s="160" t="str">
        <f t="shared" si="3"/>
        <v/>
      </c>
      <c r="C25" s="469">
        <f>IF(D11="","-",+C24+1)</f>
        <v>2022</v>
      </c>
      <c r="D25" s="581">
        <v>1862772.0551121519</v>
      </c>
      <c r="E25" s="582">
        <v>53491.156428571427</v>
      </c>
      <c r="F25" s="581">
        <v>1809280.8986835806</v>
      </c>
      <c r="G25" s="582">
        <v>248552.15642857144</v>
      </c>
      <c r="H25" s="584">
        <v>248552.15642857144</v>
      </c>
      <c r="I25" s="472">
        <f t="shared" si="4"/>
        <v>0</v>
      </c>
      <c r="J25" s="472"/>
      <c r="K25" s="473">
        <f t="shared" ref="K25" si="13">G25</f>
        <v>248552.15642857144</v>
      </c>
      <c r="L25" s="600">
        <f t="shared" ref="L25" si="14">IF(K25&lt;&gt;0,+G25-K25,0)</f>
        <v>0</v>
      </c>
      <c r="M25" s="473">
        <f t="shared" ref="M25" si="15">H25</f>
        <v>248552.15642857144</v>
      </c>
      <c r="N25" s="475">
        <f t="shared" si="5"/>
        <v>0</v>
      </c>
      <c r="O25" s="475">
        <f t="shared" si="6"/>
        <v>0</v>
      </c>
      <c r="P25" s="241"/>
    </row>
    <row r="26" spans="2:16" ht="12.5">
      <c r="B26" s="160" t="str">
        <f t="shared" si="3"/>
        <v>IU</v>
      </c>
      <c r="C26" s="469">
        <f>IF(D11="","-",+C25+1)</f>
        <v>2023</v>
      </c>
      <c r="D26" s="581">
        <v>1809281.3286835807</v>
      </c>
      <c r="E26" s="582">
        <v>57605.871794871797</v>
      </c>
      <c r="F26" s="581">
        <v>1751675.456888709</v>
      </c>
      <c r="G26" s="582">
        <v>266683.87179487181</v>
      </c>
      <c r="H26" s="584">
        <v>266683.87179487181</v>
      </c>
      <c r="I26" s="472">
        <f t="shared" si="4"/>
        <v>0</v>
      </c>
      <c r="J26" s="472"/>
      <c r="K26" s="473">
        <f t="shared" ref="K26" si="16">G26</f>
        <v>266683.87179487181</v>
      </c>
      <c r="L26" s="600">
        <f t="shared" ref="L26" si="17">IF(K26&lt;&gt;0,+G26-K26,0)</f>
        <v>0</v>
      </c>
      <c r="M26" s="473">
        <f t="shared" ref="M26" si="18">H26</f>
        <v>266683.87179487181</v>
      </c>
      <c r="N26" s="475">
        <f t="shared" si="5"/>
        <v>0</v>
      </c>
      <c r="O26" s="475">
        <f t="shared" si="6"/>
        <v>0</v>
      </c>
      <c r="P26" s="241"/>
    </row>
    <row r="27" spans="2:16" ht="12.5">
      <c r="B27" s="160" t="str">
        <f t="shared" si="3"/>
        <v/>
      </c>
      <c r="C27" s="469">
        <f>IF(D11="","-",+C26+1)</f>
        <v>2024</v>
      </c>
      <c r="D27" s="581">
        <v>1751675.456888709</v>
      </c>
      <c r="E27" s="582">
        <v>57605.871794871797</v>
      </c>
      <c r="F27" s="581">
        <v>1694069.5850938372</v>
      </c>
      <c r="G27" s="582">
        <v>263246.12801581901</v>
      </c>
      <c r="H27" s="584">
        <v>263246.12801581901</v>
      </c>
      <c r="I27" s="472">
        <f t="shared" si="4"/>
        <v>0</v>
      </c>
      <c r="J27" s="472"/>
      <c r="K27" s="473">
        <f t="shared" ref="K27" si="19">G27</f>
        <v>263246.12801581901</v>
      </c>
      <c r="L27" s="600">
        <f t="shared" ref="L27" si="20">IF(K27&lt;&gt;0,+G27-K27,0)</f>
        <v>0</v>
      </c>
      <c r="M27" s="473">
        <f t="shared" ref="M27" si="21">H27</f>
        <v>263246.12801581901</v>
      </c>
      <c r="N27" s="475">
        <f t="shared" ref="N27" si="22">IF(M27&lt;&gt;0,+H27-M27,0)</f>
        <v>0</v>
      </c>
      <c r="O27" s="475">
        <f t="shared" ref="O27" si="23">+N27-L27</f>
        <v>0</v>
      </c>
      <c r="P27" s="241"/>
    </row>
    <row r="28" spans="2:16" ht="12.5">
      <c r="B28" s="160" t="str">
        <f t="shared" si="3"/>
        <v/>
      </c>
      <c r="C28" s="469">
        <f>IF(D11="","-",+C27+1)</f>
        <v>2025</v>
      </c>
      <c r="D28" s="482">
        <f>IF(F27+SUM(E$17:E27)=D$10,F27,D$10-SUM(E$17:E27))</f>
        <v>1694069.5850938372</v>
      </c>
      <c r="E28" s="481">
        <f t="shared" ref="E28:E72" si="24">IF(+$I$14&lt;F27,$I$14,D28)</f>
        <v>59121.815789473687</v>
      </c>
      <c r="F28" s="482">
        <f t="shared" ref="F28:F72" si="25">+D28-E28</f>
        <v>1634947.7693043635</v>
      </c>
      <c r="G28" s="483">
        <f t="shared" ref="G28:G72" si="26">(D28+F28)/2*I$12+E28</f>
        <v>248443.34496195291</v>
      </c>
      <c r="H28" s="452">
        <f t="shared" ref="H28:H72" si="27">+(D28+F28)/2*I$13+E28</f>
        <v>248443.34496195291</v>
      </c>
      <c r="I28" s="472">
        <f t="shared" si="4"/>
        <v>0</v>
      </c>
      <c r="J28" s="472"/>
      <c r="K28" s="484"/>
      <c r="L28" s="475">
        <f t="shared" ref="L28:L72" si="28">IF(K28&lt;&gt;0,+G28-K28,0)</f>
        <v>0</v>
      </c>
      <c r="M28" s="484"/>
      <c r="N28" s="475">
        <f t="shared" si="5"/>
        <v>0</v>
      </c>
      <c r="O28" s="475">
        <f t="shared" si="6"/>
        <v>0</v>
      </c>
      <c r="P28" s="241"/>
    </row>
    <row r="29" spans="2:16" ht="12.5">
      <c r="B29" s="160" t="str">
        <f t="shared" si="3"/>
        <v/>
      </c>
      <c r="C29" s="469">
        <f>IF(D11="","-",+C28+1)</f>
        <v>2026</v>
      </c>
      <c r="D29" s="482">
        <f>IF(F28+SUM(E$17:E28)=D$10,F28,D$10-SUM(E$17:E28))</f>
        <v>1634947.7693043635</v>
      </c>
      <c r="E29" s="481">
        <f t="shared" si="24"/>
        <v>59121.815789473687</v>
      </c>
      <c r="F29" s="482">
        <f t="shared" si="25"/>
        <v>1575825.9535148898</v>
      </c>
      <c r="G29" s="483">
        <f t="shared" si="26"/>
        <v>241718.81854401229</v>
      </c>
      <c r="H29" s="452">
        <f t="shared" si="27"/>
        <v>241718.81854401229</v>
      </c>
      <c r="I29" s="472">
        <f t="shared" si="4"/>
        <v>0</v>
      </c>
      <c r="J29" s="472"/>
      <c r="K29" s="484"/>
      <c r="L29" s="475">
        <f t="shared" si="28"/>
        <v>0</v>
      </c>
      <c r="M29" s="484"/>
      <c r="N29" s="475">
        <f t="shared" si="5"/>
        <v>0</v>
      </c>
      <c r="O29" s="475">
        <f t="shared" si="6"/>
        <v>0</v>
      </c>
      <c r="P29" s="241"/>
    </row>
    <row r="30" spans="2:16" ht="12.5">
      <c r="B30" s="160" t="str">
        <f t="shared" si="3"/>
        <v/>
      </c>
      <c r="C30" s="469">
        <f>IF(D11="","-",+C29+1)</f>
        <v>2027</v>
      </c>
      <c r="D30" s="482">
        <f>IF(F29+SUM(E$17:E29)=D$10,F29,D$10-SUM(E$17:E29))</f>
        <v>1575825.9535148898</v>
      </c>
      <c r="E30" s="481">
        <f t="shared" si="24"/>
        <v>59121.815789473687</v>
      </c>
      <c r="F30" s="482">
        <f t="shared" si="25"/>
        <v>1516704.1377254161</v>
      </c>
      <c r="G30" s="483">
        <f t="shared" si="26"/>
        <v>234994.29212607164</v>
      </c>
      <c r="H30" s="452">
        <f t="shared" si="27"/>
        <v>234994.29212607164</v>
      </c>
      <c r="I30" s="472">
        <f t="shared" si="4"/>
        <v>0</v>
      </c>
      <c r="J30" s="472"/>
      <c r="K30" s="484"/>
      <c r="L30" s="475">
        <f t="shared" si="28"/>
        <v>0</v>
      </c>
      <c r="M30" s="484"/>
      <c r="N30" s="475">
        <f t="shared" si="5"/>
        <v>0</v>
      </c>
      <c r="O30" s="475">
        <f t="shared" si="6"/>
        <v>0</v>
      </c>
      <c r="P30" s="241"/>
    </row>
    <row r="31" spans="2:16" ht="12.5">
      <c r="B31" s="160" t="str">
        <f t="shared" si="3"/>
        <v/>
      </c>
      <c r="C31" s="469">
        <f>IF(D11="","-",+C30+1)</f>
        <v>2028</v>
      </c>
      <c r="D31" s="482">
        <f>IF(F30+SUM(E$17:E30)=D$10,F30,D$10-SUM(E$17:E30))</f>
        <v>1516704.1377254161</v>
      </c>
      <c r="E31" s="481">
        <f t="shared" si="24"/>
        <v>59121.815789473687</v>
      </c>
      <c r="F31" s="482">
        <f t="shared" si="25"/>
        <v>1457582.3219359424</v>
      </c>
      <c r="G31" s="483">
        <f t="shared" si="26"/>
        <v>228269.76570813099</v>
      </c>
      <c r="H31" s="452">
        <f t="shared" si="27"/>
        <v>228269.76570813099</v>
      </c>
      <c r="I31" s="472">
        <f t="shared" si="4"/>
        <v>0</v>
      </c>
      <c r="J31" s="472"/>
      <c r="K31" s="484"/>
      <c r="L31" s="475">
        <f t="shared" si="28"/>
        <v>0</v>
      </c>
      <c r="M31" s="484"/>
      <c r="N31" s="475">
        <f t="shared" si="5"/>
        <v>0</v>
      </c>
      <c r="O31" s="475">
        <f t="shared" si="6"/>
        <v>0</v>
      </c>
      <c r="P31" s="241"/>
    </row>
    <row r="32" spans="2:16" ht="12.5">
      <c r="B32" s="160" t="str">
        <f t="shared" si="3"/>
        <v/>
      </c>
      <c r="C32" s="469">
        <f>IF(D11="","-",+C31+1)</f>
        <v>2029</v>
      </c>
      <c r="D32" s="482">
        <f>IF(F31+SUM(E$17:E31)=D$10,F31,D$10-SUM(E$17:E31))</f>
        <v>1457582.3219359424</v>
      </c>
      <c r="E32" s="481">
        <f t="shared" si="24"/>
        <v>59121.815789473687</v>
      </c>
      <c r="F32" s="482">
        <f t="shared" si="25"/>
        <v>1398460.5061464687</v>
      </c>
      <c r="G32" s="483">
        <f t="shared" si="26"/>
        <v>221545.23929019034</v>
      </c>
      <c r="H32" s="452">
        <f t="shared" si="27"/>
        <v>221545.23929019034</v>
      </c>
      <c r="I32" s="472">
        <f t="shared" si="4"/>
        <v>0</v>
      </c>
      <c r="J32" s="472"/>
      <c r="K32" s="484"/>
      <c r="L32" s="475">
        <f t="shared" si="28"/>
        <v>0</v>
      </c>
      <c r="M32" s="484"/>
      <c r="N32" s="475">
        <f t="shared" si="5"/>
        <v>0</v>
      </c>
      <c r="O32" s="475">
        <f t="shared" si="6"/>
        <v>0</v>
      </c>
      <c r="P32" s="241"/>
    </row>
    <row r="33" spans="2:16" ht="12.5">
      <c r="B33" s="160" t="str">
        <f t="shared" si="3"/>
        <v/>
      </c>
      <c r="C33" s="469">
        <f>IF(D11="","-",+C32+1)</f>
        <v>2030</v>
      </c>
      <c r="D33" s="482">
        <f>IF(F32+SUM(E$17:E32)=D$10,F32,D$10-SUM(E$17:E32))</f>
        <v>1398460.5061464687</v>
      </c>
      <c r="E33" s="481">
        <f t="shared" si="24"/>
        <v>59121.815789473687</v>
      </c>
      <c r="F33" s="482">
        <f t="shared" si="25"/>
        <v>1339338.690356995</v>
      </c>
      <c r="G33" s="483">
        <f t="shared" si="26"/>
        <v>214820.71287224969</v>
      </c>
      <c r="H33" s="452">
        <f t="shared" si="27"/>
        <v>214820.71287224969</v>
      </c>
      <c r="I33" s="472">
        <f t="shared" si="4"/>
        <v>0</v>
      </c>
      <c r="J33" s="472"/>
      <c r="K33" s="484"/>
      <c r="L33" s="475">
        <f t="shared" si="28"/>
        <v>0</v>
      </c>
      <c r="M33" s="484"/>
      <c r="N33" s="475">
        <f t="shared" si="5"/>
        <v>0</v>
      </c>
      <c r="O33" s="475">
        <f t="shared" si="6"/>
        <v>0</v>
      </c>
      <c r="P33" s="241"/>
    </row>
    <row r="34" spans="2:16" ht="12.5">
      <c r="B34" s="160" t="str">
        <f t="shared" si="3"/>
        <v/>
      </c>
      <c r="C34" s="469">
        <f>IF(D11="","-",+C33+1)</f>
        <v>2031</v>
      </c>
      <c r="D34" s="482">
        <f>IF(F33+SUM(E$17:E33)=D$10,F33,D$10-SUM(E$17:E33))</f>
        <v>1339338.690356995</v>
      </c>
      <c r="E34" s="481">
        <f t="shared" si="24"/>
        <v>59121.815789473687</v>
      </c>
      <c r="F34" s="482">
        <f t="shared" si="25"/>
        <v>1280216.8745675213</v>
      </c>
      <c r="G34" s="483">
        <f t="shared" si="26"/>
        <v>208096.18645430903</v>
      </c>
      <c r="H34" s="452">
        <f t="shared" si="27"/>
        <v>208096.18645430903</v>
      </c>
      <c r="I34" s="472">
        <f t="shared" si="4"/>
        <v>0</v>
      </c>
      <c r="J34" s="472"/>
      <c r="K34" s="484"/>
      <c r="L34" s="475">
        <f t="shared" si="28"/>
        <v>0</v>
      </c>
      <c r="M34" s="484"/>
      <c r="N34" s="475">
        <f t="shared" si="5"/>
        <v>0</v>
      </c>
      <c r="O34" s="475">
        <f t="shared" si="6"/>
        <v>0</v>
      </c>
      <c r="P34" s="241"/>
    </row>
    <row r="35" spans="2:16" ht="12.5">
      <c r="B35" s="160" t="str">
        <f t="shared" si="3"/>
        <v/>
      </c>
      <c r="C35" s="469">
        <f>IF(D11="","-",+C34+1)</f>
        <v>2032</v>
      </c>
      <c r="D35" s="482">
        <f>IF(F34+SUM(E$17:E34)=D$10,F34,D$10-SUM(E$17:E34))</f>
        <v>1280216.8745675213</v>
      </c>
      <c r="E35" s="481">
        <f t="shared" si="24"/>
        <v>59121.815789473687</v>
      </c>
      <c r="F35" s="482">
        <f t="shared" si="25"/>
        <v>1221095.0587780476</v>
      </c>
      <c r="G35" s="483">
        <f t="shared" si="26"/>
        <v>201371.66003636841</v>
      </c>
      <c r="H35" s="452">
        <f t="shared" si="27"/>
        <v>201371.66003636841</v>
      </c>
      <c r="I35" s="472">
        <f t="shared" si="4"/>
        <v>0</v>
      </c>
      <c r="J35" s="472"/>
      <c r="K35" s="484"/>
      <c r="L35" s="475">
        <f t="shared" si="28"/>
        <v>0</v>
      </c>
      <c r="M35" s="484"/>
      <c r="N35" s="475">
        <f t="shared" si="5"/>
        <v>0</v>
      </c>
      <c r="O35" s="475">
        <f t="shared" si="6"/>
        <v>0</v>
      </c>
      <c r="P35" s="241"/>
    </row>
    <row r="36" spans="2:16" ht="12.5">
      <c r="B36" s="160" t="str">
        <f t="shared" si="3"/>
        <v/>
      </c>
      <c r="C36" s="469">
        <f>IF(D11="","-",+C35+1)</f>
        <v>2033</v>
      </c>
      <c r="D36" s="482">
        <f>IF(F35+SUM(E$17:E35)=D$10,F35,D$10-SUM(E$17:E35))</f>
        <v>1221095.0587780476</v>
      </c>
      <c r="E36" s="481">
        <f t="shared" si="24"/>
        <v>59121.815789473687</v>
      </c>
      <c r="F36" s="482">
        <f t="shared" si="25"/>
        <v>1161973.2429885739</v>
      </c>
      <c r="G36" s="483">
        <f t="shared" si="26"/>
        <v>194647.13361842776</v>
      </c>
      <c r="H36" s="452">
        <f t="shared" si="27"/>
        <v>194647.13361842776</v>
      </c>
      <c r="I36" s="472">
        <f t="shared" si="4"/>
        <v>0</v>
      </c>
      <c r="J36" s="472"/>
      <c r="K36" s="484"/>
      <c r="L36" s="475">
        <f t="shared" si="28"/>
        <v>0</v>
      </c>
      <c r="M36" s="484"/>
      <c r="N36" s="475">
        <f t="shared" si="5"/>
        <v>0</v>
      </c>
      <c r="O36" s="475">
        <f t="shared" si="6"/>
        <v>0</v>
      </c>
      <c r="P36" s="241"/>
    </row>
    <row r="37" spans="2:16" ht="12.5">
      <c r="B37" s="160" t="str">
        <f t="shared" si="3"/>
        <v/>
      </c>
      <c r="C37" s="469">
        <f>IF(D11="","-",+C36+1)</f>
        <v>2034</v>
      </c>
      <c r="D37" s="482">
        <f>IF(F36+SUM(E$17:E36)=D$10,F36,D$10-SUM(E$17:E36))</f>
        <v>1161973.2429885739</v>
      </c>
      <c r="E37" s="481">
        <f t="shared" si="24"/>
        <v>59121.815789473687</v>
      </c>
      <c r="F37" s="482">
        <f t="shared" si="25"/>
        <v>1102851.4271991001</v>
      </c>
      <c r="G37" s="483">
        <f t="shared" si="26"/>
        <v>187922.60720048711</v>
      </c>
      <c r="H37" s="452">
        <f t="shared" si="27"/>
        <v>187922.60720048711</v>
      </c>
      <c r="I37" s="472">
        <f t="shared" si="4"/>
        <v>0</v>
      </c>
      <c r="J37" s="472"/>
      <c r="K37" s="484"/>
      <c r="L37" s="475">
        <f t="shared" si="28"/>
        <v>0</v>
      </c>
      <c r="M37" s="484"/>
      <c r="N37" s="475">
        <f t="shared" si="5"/>
        <v>0</v>
      </c>
      <c r="O37" s="475">
        <f t="shared" si="6"/>
        <v>0</v>
      </c>
      <c r="P37" s="241"/>
    </row>
    <row r="38" spans="2:16" ht="12.5">
      <c r="B38" s="160" t="str">
        <f t="shared" si="3"/>
        <v/>
      </c>
      <c r="C38" s="469">
        <f>IF(D11="","-",+C37+1)</f>
        <v>2035</v>
      </c>
      <c r="D38" s="482">
        <f>IF(F37+SUM(E$17:E37)=D$10,F37,D$10-SUM(E$17:E37))</f>
        <v>1102851.4271991001</v>
      </c>
      <c r="E38" s="481">
        <f t="shared" si="24"/>
        <v>59121.815789473687</v>
      </c>
      <c r="F38" s="482">
        <f t="shared" si="25"/>
        <v>1043729.6114096264</v>
      </c>
      <c r="G38" s="483">
        <f t="shared" si="26"/>
        <v>181198.08078254646</v>
      </c>
      <c r="H38" s="452">
        <f t="shared" si="27"/>
        <v>181198.08078254646</v>
      </c>
      <c r="I38" s="472">
        <f t="shared" si="4"/>
        <v>0</v>
      </c>
      <c r="J38" s="472"/>
      <c r="K38" s="484"/>
      <c r="L38" s="475">
        <f t="shared" si="28"/>
        <v>0</v>
      </c>
      <c r="M38" s="484"/>
      <c r="N38" s="475">
        <f t="shared" si="5"/>
        <v>0</v>
      </c>
      <c r="O38" s="475">
        <f t="shared" si="6"/>
        <v>0</v>
      </c>
      <c r="P38" s="241"/>
    </row>
    <row r="39" spans="2:16" ht="12.5">
      <c r="B39" s="160" t="str">
        <f t="shared" si="3"/>
        <v/>
      </c>
      <c r="C39" s="469">
        <f>IF(D11="","-",+C38+1)</f>
        <v>2036</v>
      </c>
      <c r="D39" s="482">
        <f>IF(F38+SUM(E$17:E38)=D$10,F38,D$10-SUM(E$17:E38))</f>
        <v>1043729.6114096264</v>
      </c>
      <c r="E39" s="481">
        <f t="shared" si="24"/>
        <v>59121.815789473687</v>
      </c>
      <c r="F39" s="482">
        <f t="shared" si="25"/>
        <v>984607.79562015273</v>
      </c>
      <c r="G39" s="483">
        <f t="shared" si="26"/>
        <v>174473.55436460581</v>
      </c>
      <c r="H39" s="452">
        <f t="shared" si="27"/>
        <v>174473.55436460581</v>
      </c>
      <c r="I39" s="472">
        <f t="shared" si="4"/>
        <v>0</v>
      </c>
      <c r="J39" s="472"/>
      <c r="K39" s="484"/>
      <c r="L39" s="475">
        <f t="shared" si="28"/>
        <v>0</v>
      </c>
      <c r="M39" s="484"/>
      <c r="N39" s="475">
        <f t="shared" si="5"/>
        <v>0</v>
      </c>
      <c r="O39" s="475">
        <f t="shared" si="6"/>
        <v>0</v>
      </c>
      <c r="P39" s="241"/>
    </row>
    <row r="40" spans="2:16" ht="12.5">
      <c r="B40" s="160" t="str">
        <f t="shared" si="3"/>
        <v/>
      </c>
      <c r="C40" s="469">
        <f>IF(D11="","-",+C39+1)</f>
        <v>2037</v>
      </c>
      <c r="D40" s="482">
        <f>IF(F39+SUM(E$17:E39)=D$10,F39,D$10-SUM(E$17:E39))</f>
        <v>984607.79562015273</v>
      </c>
      <c r="E40" s="481">
        <f t="shared" si="24"/>
        <v>59121.815789473687</v>
      </c>
      <c r="F40" s="482">
        <f t="shared" si="25"/>
        <v>925485.97983067902</v>
      </c>
      <c r="G40" s="483">
        <f t="shared" si="26"/>
        <v>167749.02794666518</v>
      </c>
      <c r="H40" s="452">
        <f t="shared" si="27"/>
        <v>167749.02794666518</v>
      </c>
      <c r="I40" s="472">
        <f t="shared" si="4"/>
        <v>0</v>
      </c>
      <c r="J40" s="472"/>
      <c r="K40" s="484"/>
      <c r="L40" s="475">
        <f t="shared" si="28"/>
        <v>0</v>
      </c>
      <c r="M40" s="484"/>
      <c r="N40" s="475">
        <f t="shared" si="5"/>
        <v>0</v>
      </c>
      <c r="O40" s="475">
        <f t="shared" si="6"/>
        <v>0</v>
      </c>
      <c r="P40" s="241"/>
    </row>
    <row r="41" spans="2:16" ht="12.5">
      <c r="B41" s="160" t="str">
        <f t="shared" si="3"/>
        <v/>
      </c>
      <c r="C41" s="469">
        <f>IF(D11="","-",+C40+1)</f>
        <v>2038</v>
      </c>
      <c r="D41" s="482">
        <f>IF(F40+SUM(E$17:E40)=D$10,F40,D$10-SUM(E$17:E40))</f>
        <v>925485.97983067902</v>
      </c>
      <c r="E41" s="481">
        <f t="shared" si="24"/>
        <v>59121.815789473687</v>
      </c>
      <c r="F41" s="482">
        <f t="shared" si="25"/>
        <v>866364.16404120531</v>
      </c>
      <c r="G41" s="483">
        <f t="shared" si="26"/>
        <v>161024.50152872453</v>
      </c>
      <c r="H41" s="452">
        <f t="shared" si="27"/>
        <v>161024.50152872453</v>
      </c>
      <c r="I41" s="472">
        <f t="shared" si="4"/>
        <v>0</v>
      </c>
      <c r="J41" s="472"/>
      <c r="K41" s="484"/>
      <c r="L41" s="475">
        <f t="shared" si="28"/>
        <v>0</v>
      </c>
      <c r="M41" s="484"/>
      <c r="N41" s="475">
        <f t="shared" si="5"/>
        <v>0</v>
      </c>
      <c r="O41" s="475">
        <f t="shared" si="6"/>
        <v>0</v>
      </c>
      <c r="P41" s="241"/>
    </row>
    <row r="42" spans="2:16" ht="12.5">
      <c r="B42" s="160" t="str">
        <f t="shared" si="3"/>
        <v/>
      </c>
      <c r="C42" s="469">
        <f>IF(D11="","-",+C41+1)</f>
        <v>2039</v>
      </c>
      <c r="D42" s="482">
        <f>IF(F41+SUM(E$17:E41)=D$10,F41,D$10-SUM(E$17:E41))</f>
        <v>866364.16404120531</v>
      </c>
      <c r="E42" s="481">
        <f t="shared" si="24"/>
        <v>59121.815789473687</v>
      </c>
      <c r="F42" s="482">
        <f t="shared" si="25"/>
        <v>807242.3482517316</v>
      </c>
      <c r="G42" s="483">
        <f t="shared" si="26"/>
        <v>154299.97511078388</v>
      </c>
      <c r="H42" s="452">
        <f t="shared" si="27"/>
        <v>154299.97511078388</v>
      </c>
      <c r="I42" s="472">
        <f t="shared" si="4"/>
        <v>0</v>
      </c>
      <c r="J42" s="472"/>
      <c r="K42" s="484"/>
      <c r="L42" s="475">
        <f t="shared" si="28"/>
        <v>0</v>
      </c>
      <c r="M42" s="484"/>
      <c r="N42" s="475">
        <f t="shared" si="5"/>
        <v>0</v>
      </c>
      <c r="O42" s="475">
        <f t="shared" si="6"/>
        <v>0</v>
      </c>
      <c r="P42" s="241"/>
    </row>
    <row r="43" spans="2:16" ht="12.5">
      <c r="B43" s="160" t="str">
        <f t="shared" si="3"/>
        <v/>
      </c>
      <c r="C43" s="469">
        <f>IF(D11="","-",+C42+1)</f>
        <v>2040</v>
      </c>
      <c r="D43" s="482">
        <f>IF(F42+SUM(E$17:E42)=D$10,F42,D$10-SUM(E$17:E42))</f>
        <v>807242.3482517316</v>
      </c>
      <c r="E43" s="481">
        <f t="shared" si="24"/>
        <v>59121.815789473687</v>
      </c>
      <c r="F43" s="482">
        <f t="shared" si="25"/>
        <v>748120.53246225789</v>
      </c>
      <c r="G43" s="483">
        <f t="shared" si="26"/>
        <v>147575.44869284323</v>
      </c>
      <c r="H43" s="452">
        <f t="shared" si="27"/>
        <v>147575.44869284323</v>
      </c>
      <c r="I43" s="472">
        <f t="shared" si="4"/>
        <v>0</v>
      </c>
      <c r="J43" s="472"/>
      <c r="K43" s="484"/>
      <c r="L43" s="475">
        <f t="shared" si="28"/>
        <v>0</v>
      </c>
      <c r="M43" s="484"/>
      <c r="N43" s="475">
        <f t="shared" si="5"/>
        <v>0</v>
      </c>
      <c r="O43" s="475">
        <f t="shared" si="6"/>
        <v>0</v>
      </c>
      <c r="P43" s="241"/>
    </row>
    <row r="44" spans="2:16" ht="12.5">
      <c r="B44" s="160" t="str">
        <f t="shared" si="3"/>
        <v/>
      </c>
      <c r="C44" s="469">
        <f>IF(D11="","-",+C43+1)</f>
        <v>2041</v>
      </c>
      <c r="D44" s="482">
        <f>IF(F43+SUM(E$17:E43)=D$10,F43,D$10-SUM(E$17:E43))</f>
        <v>748120.53246225789</v>
      </c>
      <c r="E44" s="481">
        <f t="shared" si="24"/>
        <v>59121.815789473687</v>
      </c>
      <c r="F44" s="482">
        <f t="shared" si="25"/>
        <v>688998.71667278418</v>
      </c>
      <c r="G44" s="483">
        <f t="shared" si="26"/>
        <v>140850.92227490258</v>
      </c>
      <c r="H44" s="452">
        <f t="shared" si="27"/>
        <v>140850.92227490258</v>
      </c>
      <c r="I44" s="472">
        <f t="shared" si="4"/>
        <v>0</v>
      </c>
      <c r="J44" s="472"/>
      <c r="K44" s="484"/>
      <c r="L44" s="475">
        <f t="shared" si="28"/>
        <v>0</v>
      </c>
      <c r="M44" s="484"/>
      <c r="N44" s="475">
        <f t="shared" si="5"/>
        <v>0</v>
      </c>
      <c r="O44" s="475">
        <f t="shared" si="6"/>
        <v>0</v>
      </c>
      <c r="P44" s="241"/>
    </row>
    <row r="45" spans="2:16" ht="12.5">
      <c r="B45" s="160" t="str">
        <f t="shared" si="3"/>
        <v/>
      </c>
      <c r="C45" s="469">
        <f>IF(D11="","-",+C44+1)</f>
        <v>2042</v>
      </c>
      <c r="D45" s="482">
        <f>IF(F44+SUM(E$17:E44)=D$10,F44,D$10-SUM(E$17:E44))</f>
        <v>688998.71667278418</v>
      </c>
      <c r="E45" s="481">
        <f t="shared" si="24"/>
        <v>59121.815789473687</v>
      </c>
      <c r="F45" s="482">
        <f t="shared" si="25"/>
        <v>629876.90088331047</v>
      </c>
      <c r="G45" s="483">
        <f t="shared" si="26"/>
        <v>134126.39585696193</v>
      </c>
      <c r="H45" s="452">
        <f t="shared" si="27"/>
        <v>134126.39585696193</v>
      </c>
      <c r="I45" s="472">
        <f t="shared" si="4"/>
        <v>0</v>
      </c>
      <c r="J45" s="472"/>
      <c r="K45" s="484"/>
      <c r="L45" s="475">
        <f t="shared" si="28"/>
        <v>0</v>
      </c>
      <c r="M45" s="484"/>
      <c r="N45" s="475">
        <f t="shared" si="5"/>
        <v>0</v>
      </c>
      <c r="O45" s="475">
        <f t="shared" si="6"/>
        <v>0</v>
      </c>
      <c r="P45" s="241"/>
    </row>
    <row r="46" spans="2:16" ht="12.5">
      <c r="B46" s="160" t="str">
        <f t="shared" si="3"/>
        <v/>
      </c>
      <c r="C46" s="469">
        <f>IF(D11="","-",+C45+1)</f>
        <v>2043</v>
      </c>
      <c r="D46" s="482">
        <f>IF(F45+SUM(E$17:E45)=D$10,F45,D$10-SUM(E$17:E45))</f>
        <v>629876.90088331047</v>
      </c>
      <c r="E46" s="481">
        <f t="shared" si="24"/>
        <v>59121.815789473687</v>
      </c>
      <c r="F46" s="482">
        <f t="shared" si="25"/>
        <v>570755.08509383677</v>
      </c>
      <c r="G46" s="483">
        <f t="shared" si="26"/>
        <v>127401.86943902128</v>
      </c>
      <c r="H46" s="452">
        <f t="shared" si="27"/>
        <v>127401.86943902128</v>
      </c>
      <c r="I46" s="472">
        <f t="shared" si="4"/>
        <v>0</v>
      </c>
      <c r="J46" s="472"/>
      <c r="K46" s="484"/>
      <c r="L46" s="475">
        <f t="shared" si="28"/>
        <v>0</v>
      </c>
      <c r="M46" s="484"/>
      <c r="N46" s="475">
        <f t="shared" si="5"/>
        <v>0</v>
      </c>
      <c r="O46" s="475">
        <f t="shared" si="6"/>
        <v>0</v>
      </c>
      <c r="P46" s="241"/>
    </row>
    <row r="47" spans="2:16" ht="12.5">
      <c r="B47" s="160" t="str">
        <f t="shared" si="3"/>
        <v/>
      </c>
      <c r="C47" s="469">
        <f>IF(D11="","-",+C46+1)</f>
        <v>2044</v>
      </c>
      <c r="D47" s="482">
        <f>IF(F46+SUM(E$17:E46)=D$10,F46,D$10-SUM(E$17:E46))</f>
        <v>570755.08509383677</v>
      </c>
      <c r="E47" s="481">
        <f t="shared" si="24"/>
        <v>59121.815789473687</v>
      </c>
      <c r="F47" s="482">
        <f t="shared" si="25"/>
        <v>511633.26930436306</v>
      </c>
      <c r="G47" s="483">
        <f t="shared" si="26"/>
        <v>120677.34302108064</v>
      </c>
      <c r="H47" s="452">
        <f t="shared" si="27"/>
        <v>120677.34302108064</v>
      </c>
      <c r="I47" s="472">
        <f t="shared" si="4"/>
        <v>0</v>
      </c>
      <c r="J47" s="472"/>
      <c r="K47" s="484"/>
      <c r="L47" s="475">
        <f t="shared" si="28"/>
        <v>0</v>
      </c>
      <c r="M47" s="484"/>
      <c r="N47" s="475">
        <f t="shared" si="5"/>
        <v>0</v>
      </c>
      <c r="O47" s="475">
        <f t="shared" si="6"/>
        <v>0</v>
      </c>
      <c r="P47" s="241"/>
    </row>
    <row r="48" spans="2:16" ht="12.5">
      <c r="B48" s="160" t="str">
        <f t="shared" si="3"/>
        <v/>
      </c>
      <c r="C48" s="469">
        <f>IF(D11="","-",+C47+1)</f>
        <v>2045</v>
      </c>
      <c r="D48" s="482">
        <f>IF(F47+SUM(E$17:E47)=D$10,F47,D$10-SUM(E$17:E47))</f>
        <v>511633.26930436306</v>
      </c>
      <c r="E48" s="481">
        <f t="shared" si="24"/>
        <v>59121.815789473687</v>
      </c>
      <c r="F48" s="482">
        <f t="shared" si="25"/>
        <v>452511.45351488935</v>
      </c>
      <c r="G48" s="483">
        <f t="shared" si="26"/>
        <v>113952.81660314</v>
      </c>
      <c r="H48" s="452">
        <f t="shared" si="27"/>
        <v>113952.81660314</v>
      </c>
      <c r="I48" s="472">
        <f t="shared" si="4"/>
        <v>0</v>
      </c>
      <c r="J48" s="472"/>
      <c r="K48" s="484"/>
      <c r="L48" s="475">
        <f t="shared" si="28"/>
        <v>0</v>
      </c>
      <c r="M48" s="484"/>
      <c r="N48" s="475">
        <f t="shared" si="5"/>
        <v>0</v>
      </c>
      <c r="O48" s="475">
        <f t="shared" si="6"/>
        <v>0</v>
      </c>
      <c r="P48" s="241"/>
    </row>
    <row r="49" spans="2:16" ht="12.5">
      <c r="B49" s="160" t="str">
        <f t="shared" si="3"/>
        <v/>
      </c>
      <c r="C49" s="469">
        <f>IF(D11="","-",+C48+1)</f>
        <v>2046</v>
      </c>
      <c r="D49" s="482">
        <f>IF(F48+SUM(E$17:E48)=D$10,F48,D$10-SUM(E$17:E48))</f>
        <v>452511.45351488935</v>
      </c>
      <c r="E49" s="481">
        <f t="shared" si="24"/>
        <v>59121.815789473687</v>
      </c>
      <c r="F49" s="482">
        <f t="shared" si="25"/>
        <v>393389.63772541564</v>
      </c>
      <c r="G49" s="483">
        <f t="shared" si="26"/>
        <v>107228.29018519935</v>
      </c>
      <c r="H49" s="452">
        <f t="shared" si="27"/>
        <v>107228.29018519935</v>
      </c>
      <c r="I49" s="472">
        <f t="shared" si="4"/>
        <v>0</v>
      </c>
      <c r="J49" s="472"/>
      <c r="K49" s="484"/>
      <c r="L49" s="475">
        <f t="shared" si="28"/>
        <v>0</v>
      </c>
      <c r="M49" s="484"/>
      <c r="N49" s="475">
        <f t="shared" si="5"/>
        <v>0</v>
      </c>
      <c r="O49" s="475">
        <f t="shared" si="6"/>
        <v>0</v>
      </c>
      <c r="P49" s="241"/>
    </row>
    <row r="50" spans="2:16" ht="12.5">
      <c r="B50" s="160" t="str">
        <f t="shared" si="3"/>
        <v/>
      </c>
      <c r="C50" s="469">
        <f>IF(D11="","-",+C49+1)</f>
        <v>2047</v>
      </c>
      <c r="D50" s="482">
        <f>IF(F49+SUM(E$17:E49)=D$10,F49,D$10-SUM(E$17:E49))</f>
        <v>393389.63772541564</v>
      </c>
      <c r="E50" s="481">
        <f t="shared" si="24"/>
        <v>59121.815789473687</v>
      </c>
      <c r="F50" s="482">
        <f t="shared" si="25"/>
        <v>334267.82193594193</v>
      </c>
      <c r="G50" s="483">
        <f t="shared" si="26"/>
        <v>100503.7637672587</v>
      </c>
      <c r="H50" s="452">
        <f t="shared" si="27"/>
        <v>100503.7637672587</v>
      </c>
      <c r="I50" s="472">
        <f t="shared" si="4"/>
        <v>0</v>
      </c>
      <c r="J50" s="472"/>
      <c r="K50" s="484"/>
      <c r="L50" s="475">
        <f t="shared" si="28"/>
        <v>0</v>
      </c>
      <c r="M50" s="484"/>
      <c r="N50" s="475">
        <f t="shared" si="5"/>
        <v>0</v>
      </c>
      <c r="O50" s="475">
        <f t="shared" si="6"/>
        <v>0</v>
      </c>
      <c r="P50" s="241"/>
    </row>
    <row r="51" spans="2:16" ht="12.5">
      <c r="B51" s="160" t="str">
        <f t="shared" si="3"/>
        <v/>
      </c>
      <c r="C51" s="469">
        <f>IF(D11="","-",+C50+1)</f>
        <v>2048</v>
      </c>
      <c r="D51" s="482">
        <f>IF(F50+SUM(E$17:E50)=D$10,F50,D$10-SUM(E$17:E50))</f>
        <v>334267.82193594193</v>
      </c>
      <c r="E51" s="481">
        <f t="shared" si="24"/>
        <v>59121.815789473687</v>
      </c>
      <c r="F51" s="482">
        <f t="shared" si="25"/>
        <v>275146.00614646822</v>
      </c>
      <c r="G51" s="483">
        <f t="shared" si="26"/>
        <v>93779.237349318049</v>
      </c>
      <c r="H51" s="452">
        <f t="shared" si="27"/>
        <v>93779.237349318049</v>
      </c>
      <c r="I51" s="472">
        <f t="shared" si="4"/>
        <v>0</v>
      </c>
      <c r="J51" s="472"/>
      <c r="K51" s="484"/>
      <c r="L51" s="475">
        <f t="shared" si="28"/>
        <v>0</v>
      </c>
      <c r="M51" s="484"/>
      <c r="N51" s="475">
        <f t="shared" si="5"/>
        <v>0</v>
      </c>
      <c r="O51" s="475">
        <f t="shared" si="6"/>
        <v>0</v>
      </c>
      <c r="P51" s="241"/>
    </row>
    <row r="52" spans="2:16" ht="12.5">
      <c r="B52" s="160" t="str">
        <f t="shared" si="3"/>
        <v/>
      </c>
      <c r="C52" s="469">
        <f>IF(D11="","-",+C51+1)</f>
        <v>2049</v>
      </c>
      <c r="D52" s="482">
        <f>IF(F51+SUM(E$17:E51)=D$10,F51,D$10-SUM(E$17:E51))</f>
        <v>275146.00614646822</v>
      </c>
      <c r="E52" s="481">
        <f t="shared" si="24"/>
        <v>59121.815789473687</v>
      </c>
      <c r="F52" s="482">
        <f t="shared" si="25"/>
        <v>216024.19035699454</v>
      </c>
      <c r="G52" s="483">
        <f t="shared" si="26"/>
        <v>87054.710931377413</v>
      </c>
      <c r="H52" s="452">
        <f t="shared" si="27"/>
        <v>87054.710931377413</v>
      </c>
      <c r="I52" s="472">
        <f t="shared" si="4"/>
        <v>0</v>
      </c>
      <c r="J52" s="472"/>
      <c r="K52" s="484"/>
      <c r="L52" s="475">
        <f t="shared" si="28"/>
        <v>0</v>
      </c>
      <c r="M52" s="484"/>
      <c r="N52" s="475">
        <f t="shared" si="5"/>
        <v>0</v>
      </c>
      <c r="O52" s="475">
        <f t="shared" si="6"/>
        <v>0</v>
      </c>
      <c r="P52" s="241"/>
    </row>
    <row r="53" spans="2:16" ht="12.5">
      <c r="B53" s="160" t="str">
        <f t="shared" si="3"/>
        <v/>
      </c>
      <c r="C53" s="469">
        <f>IF(D11="","-",+C52+1)</f>
        <v>2050</v>
      </c>
      <c r="D53" s="482">
        <f>IF(F52+SUM(E$17:E52)=D$10,F52,D$10-SUM(E$17:E52))</f>
        <v>216024.19035699454</v>
      </c>
      <c r="E53" s="481">
        <f t="shared" si="24"/>
        <v>59121.815789473687</v>
      </c>
      <c r="F53" s="482">
        <f t="shared" si="25"/>
        <v>156902.37456752086</v>
      </c>
      <c r="G53" s="483">
        <f t="shared" si="26"/>
        <v>80330.184513436776</v>
      </c>
      <c r="H53" s="452">
        <f t="shared" si="27"/>
        <v>80330.184513436776</v>
      </c>
      <c r="I53" s="472">
        <f t="shared" si="4"/>
        <v>0</v>
      </c>
      <c r="J53" s="472"/>
      <c r="K53" s="484"/>
      <c r="L53" s="475">
        <f t="shared" si="28"/>
        <v>0</v>
      </c>
      <c r="M53" s="484"/>
      <c r="N53" s="475">
        <f t="shared" si="5"/>
        <v>0</v>
      </c>
      <c r="O53" s="475">
        <f t="shared" si="6"/>
        <v>0</v>
      </c>
      <c r="P53" s="241"/>
    </row>
    <row r="54" spans="2:16" ht="12.5">
      <c r="B54" s="160" t="str">
        <f t="shared" si="3"/>
        <v/>
      </c>
      <c r="C54" s="469">
        <f>IF(D11="","-",+C53+1)</f>
        <v>2051</v>
      </c>
      <c r="D54" s="482">
        <f>IF(F53+SUM(E$17:E53)=D$10,F53,D$10-SUM(E$17:E53))</f>
        <v>156902.37456752086</v>
      </c>
      <c r="E54" s="481">
        <f t="shared" si="24"/>
        <v>59121.815789473687</v>
      </c>
      <c r="F54" s="482">
        <f t="shared" si="25"/>
        <v>97780.558778047183</v>
      </c>
      <c r="G54" s="483">
        <f t="shared" si="26"/>
        <v>73605.658095496125</v>
      </c>
      <c r="H54" s="452">
        <f t="shared" si="27"/>
        <v>73605.658095496125</v>
      </c>
      <c r="I54" s="472">
        <f t="shared" si="4"/>
        <v>0</v>
      </c>
      <c r="J54" s="472"/>
      <c r="K54" s="484"/>
      <c r="L54" s="475">
        <f t="shared" si="28"/>
        <v>0</v>
      </c>
      <c r="M54" s="484"/>
      <c r="N54" s="475">
        <f t="shared" si="5"/>
        <v>0</v>
      </c>
      <c r="O54" s="475">
        <f t="shared" si="6"/>
        <v>0</v>
      </c>
      <c r="P54" s="241"/>
    </row>
    <row r="55" spans="2:16" ht="12.5">
      <c r="B55" s="160" t="str">
        <f t="shared" si="3"/>
        <v/>
      </c>
      <c r="C55" s="469">
        <f>IF(D11="","-",+C54+1)</f>
        <v>2052</v>
      </c>
      <c r="D55" s="482">
        <f>IF(F54+SUM(E$17:E54)=D$10,F54,D$10-SUM(E$17:E54))</f>
        <v>97780.558778047183</v>
      </c>
      <c r="E55" s="481">
        <f t="shared" si="24"/>
        <v>59121.815789473687</v>
      </c>
      <c r="F55" s="482">
        <f t="shared" si="25"/>
        <v>38658.742988573496</v>
      </c>
      <c r="G55" s="483">
        <f t="shared" si="26"/>
        <v>66881.131677555473</v>
      </c>
      <c r="H55" s="452">
        <f t="shared" si="27"/>
        <v>66881.131677555473</v>
      </c>
      <c r="I55" s="472">
        <f t="shared" si="4"/>
        <v>0</v>
      </c>
      <c r="J55" s="472"/>
      <c r="K55" s="484"/>
      <c r="L55" s="475">
        <f t="shared" si="28"/>
        <v>0</v>
      </c>
      <c r="M55" s="484"/>
      <c r="N55" s="475">
        <f t="shared" si="5"/>
        <v>0</v>
      </c>
      <c r="O55" s="475">
        <f t="shared" si="6"/>
        <v>0</v>
      </c>
      <c r="P55" s="241"/>
    </row>
    <row r="56" spans="2:16" ht="12.5">
      <c r="B56" s="160" t="str">
        <f t="shared" si="3"/>
        <v/>
      </c>
      <c r="C56" s="469">
        <f>IF(D11="","-",+C55+1)</f>
        <v>2053</v>
      </c>
      <c r="D56" s="482">
        <f>IF(F55+SUM(E$17:E55)=D$10,F55,D$10-SUM(E$17:E55))</f>
        <v>38658.742988573496</v>
      </c>
      <c r="E56" s="481">
        <f t="shared" si="24"/>
        <v>38658.742988573496</v>
      </c>
      <c r="F56" s="482">
        <f t="shared" si="25"/>
        <v>0</v>
      </c>
      <c r="G56" s="483">
        <f t="shared" si="26"/>
        <v>40857.26932812923</v>
      </c>
      <c r="H56" s="452">
        <f t="shared" si="27"/>
        <v>40857.26932812923</v>
      </c>
      <c r="I56" s="472">
        <f t="shared" si="4"/>
        <v>0</v>
      </c>
      <c r="J56" s="472"/>
      <c r="K56" s="484"/>
      <c r="L56" s="475">
        <f t="shared" si="28"/>
        <v>0</v>
      </c>
      <c r="M56" s="484"/>
      <c r="N56" s="475">
        <f t="shared" si="5"/>
        <v>0</v>
      </c>
      <c r="O56" s="475">
        <f t="shared" si="6"/>
        <v>0</v>
      </c>
      <c r="P56" s="241"/>
    </row>
    <row r="57" spans="2:16" ht="12.5">
      <c r="B57" s="160" t="str">
        <f t="shared" si="3"/>
        <v/>
      </c>
      <c r="C57" s="469">
        <f>IF(D11="","-",+C56+1)</f>
        <v>2054</v>
      </c>
      <c r="D57" s="482">
        <f>IF(F56+SUM(E$17:E56)=D$10,F56,D$10-SUM(E$17:E56))</f>
        <v>0</v>
      </c>
      <c r="E57" s="481">
        <f t="shared" si="24"/>
        <v>0</v>
      </c>
      <c r="F57" s="482">
        <f t="shared" si="25"/>
        <v>0</v>
      </c>
      <c r="G57" s="483">
        <f t="shared" si="26"/>
        <v>0</v>
      </c>
      <c r="H57" s="452">
        <f t="shared" si="27"/>
        <v>0</v>
      </c>
      <c r="I57" s="472">
        <f t="shared" si="4"/>
        <v>0</v>
      </c>
      <c r="J57" s="472"/>
      <c r="K57" s="484"/>
      <c r="L57" s="475">
        <f t="shared" si="28"/>
        <v>0</v>
      </c>
      <c r="M57" s="484"/>
      <c r="N57" s="475">
        <f t="shared" si="5"/>
        <v>0</v>
      </c>
      <c r="O57" s="475">
        <f t="shared" si="6"/>
        <v>0</v>
      </c>
      <c r="P57" s="241"/>
    </row>
    <row r="58" spans="2:16" ht="12.5">
      <c r="B58" s="160" t="str">
        <f t="shared" si="3"/>
        <v/>
      </c>
      <c r="C58" s="469">
        <f>IF(D11="","-",+C57+1)</f>
        <v>2055</v>
      </c>
      <c r="D58" s="482">
        <f>IF(F57+SUM(E$17:E57)=D$10,F57,D$10-SUM(E$17:E57))</f>
        <v>0</v>
      </c>
      <c r="E58" s="481">
        <f t="shared" si="24"/>
        <v>0</v>
      </c>
      <c r="F58" s="482">
        <f t="shared" si="25"/>
        <v>0</v>
      </c>
      <c r="G58" s="483">
        <f t="shared" si="26"/>
        <v>0</v>
      </c>
      <c r="H58" s="452">
        <f t="shared" si="27"/>
        <v>0</v>
      </c>
      <c r="I58" s="472">
        <f t="shared" si="4"/>
        <v>0</v>
      </c>
      <c r="J58" s="472"/>
      <c r="K58" s="484"/>
      <c r="L58" s="475">
        <f t="shared" si="28"/>
        <v>0</v>
      </c>
      <c r="M58" s="484"/>
      <c r="N58" s="475">
        <f t="shared" si="5"/>
        <v>0</v>
      </c>
      <c r="O58" s="475">
        <f t="shared" si="6"/>
        <v>0</v>
      </c>
      <c r="P58" s="241"/>
    </row>
    <row r="59" spans="2:16" ht="12.5">
      <c r="B59" s="160" t="str">
        <f t="shared" si="3"/>
        <v/>
      </c>
      <c r="C59" s="469">
        <f>IF(D11="","-",+C58+1)</f>
        <v>2056</v>
      </c>
      <c r="D59" s="482">
        <f>IF(F58+SUM(E$17:E58)=D$10,F58,D$10-SUM(E$17:E58))</f>
        <v>0</v>
      </c>
      <c r="E59" s="481">
        <f t="shared" si="24"/>
        <v>0</v>
      </c>
      <c r="F59" s="482">
        <f t="shared" si="25"/>
        <v>0</v>
      </c>
      <c r="G59" s="483">
        <f t="shared" si="26"/>
        <v>0</v>
      </c>
      <c r="H59" s="452">
        <f t="shared" si="27"/>
        <v>0</v>
      </c>
      <c r="I59" s="472">
        <f t="shared" si="4"/>
        <v>0</v>
      </c>
      <c r="J59" s="472"/>
      <c r="K59" s="484"/>
      <c r="L59" s="475">
        <f t="shared" si="28"/>
        <v>0</v>
      </c>
      <c r="M59" s="484"/>
      <c r="N59" s="475">
        <f t="shared" si="5"/>
        <v>0</v>
      </c>
      <c r="O59" s="475">
        <f t="shared" si="6"/>
        <v>0</v>
      </c>
      <c r="P59" s="241"/>
    </row>
    <row r="60" spans="2:16" ht="12.5">
      <c r="B60" s="160" t="str">
        <f t="shared" si="3"/>
        <v/>
      </c>
      <c r="C60" s="469">
        <f>IF(D11="","-",+C59+1)</f>
        <v>2057</v>
      </c>
      <c r="D60" s="482">
        <f>IF(F59+SUM(E$17:E59)=D$10,F59,D$10-SUM(E$17:E59))</f>
        <v>0</v>
      </c>
      <c r="E60" s="481">
        <f t="shared" si="24"/>
        <v>0</v>
      </c>
      <c r="F60" s="482">
        <f t="shared" si="25"/>
        <v>0</v>
      </c>
      <c r="G60" s="483">
        <f t="shared" si="26"/>
        <v>0</v>
      </c>
      <c r="H60" s="452">
        <f t="shared" si="27"/>
        <v>0</v>
      </c>
      <c r="I60" s="472">
        <f t="shared" si="4"/>
        <v>0</v>
      </c>
      <c r="J60" s="472"/>
      <c r="K60" s="484"/>
      <c r="L60" s="475">
        <f t="shared" si="28"/>
        <v>0</v>
      </c>
      <c r="M60" s="484"/>
      <c r="N60" s="475">
        <f t="shared" si="5"/>
        <v>0</v>
      </c>
      <c r="O60" s="475">
        <f t="shared" si="6"/>
        <v>0</v>
      </c>
      <c r="P60" s="241"/>
    </row>
    <row r="61" spans="2:16" ht="12.5">
      <c r="B61" s="160" t="str">
        <f t="shared" si="3"/>
        <v/>
      </c>
      <c r="C61" s="469">
        <f>IF(D11="","-",+C60+1)</f>
        <v>2058</v>
      </c>
      <c r="D61" s="482">
        <f>IF(F60+SUM(E$17:E60)=D$10,F60,D$10-SUM(E$17:E60))</f>
        <v>0</v>
      </c>
      <c r="E61" s="481">
        <f t="shared" si="24"/>
        <v>0</v>
      </c>
      <c r="F61" s="482">
        <f t="shared" si="25"/>
        <v>0</v>
      </c>
      <c r="G61" s="483">
        <f t="shared" si="26"/>
        <v>0</v>
      </c>
      <c r="H61" s="452">
        <f t="shared" si="27"/>
        <v>0</v>
      </c>
      <c r="I61" s="472">
        <f t="shared" si="4"/>
        <v>0</v>
      </c>
      <c r="J61" s="472"/>
      <c r="K61" s="484"/>
      <c r="L61" s="475">
        <f t="shared" si="28"/>
        <v>0</v>
      </c>
      <c r="M61" s="484"/>
      <c r="N61" s="475">
        <f t="shared" si="5"/>
        <v>0</v>
      </c>
      <c r="O61" s="475">
        <f t="shared" si="6"/>
        <v>0</v>
      </c>
      <c r="P61" s="241"/>
    </row>
    <row r="62" spans="2:16" ht="12.5">
      <c r="B62" s="160" t="str">
        <f t="shared" si="3"/>
        <v/>
      </c>
      <c r="C62" s="469">
        <f>IF(D11="","-",+C61+1)</f>
        <v>2059</v>
      </c>
      <c r="D62" s="482">
        <f>IF(F61+SUM(E$17:E61)=D$10,F61,D$10-SUM(E$17:E61))</f>
        <v>0</v>
      </c>
      <c r="E62" s="481">
        <f t="shared" si="24"/>
        <v>0</v>
      </c>
      <c r="F62" s="482">
        <f t="shared" si="25"/>
        <v>0</v>
      </c>
      <c r="G62" s="483">
        <f t="shared" si="26"/>
        <v>0</v>
      </c>
      <c r="H62" s="452">
        <f t="shared" si="27"/>
        <v>0</v>
      </c>
      <c r="I62" s="472">
        <f t="shared" si="4"/>
        <v>0</v>
      </c>
      <c r="J62" s="472"/>
      <c r="K62" s="484"/>
      <c r="L62" s="475">
        <f t="shared" si="28"/>
        <v>0</v>
      </c>
      <c r="M62" s="484"/>
      <c r="N62" s="475">
        <f t="shared" si="5"/>
        <v>0</v>
      </c>
      <c r="O62" s="475">
        <f t="shared" si="6"/>
        <v>0</v>
      </c>
      <c r="P62" s="241"/>
    </row>
    <row r="63" spans="2:16" ht="12.5">
      <c r="B63" s="160" t="str">
        <f t="shared" si="3"/>
        <v/>
      </c>
      <c r="C63" s="469">
        <f>IF(D11="","-",+C62+1)</f>
        <v>2060</v>
      </c>
      <c r="D63" s="482">
        <f>IF(F62+SUM(E$17:E62)=D$10,F62,D$10-SUM(E$17:E62))</f>
        <v>0</v>
      </c>
      <c r="E63" s="481">
        <f t="shared" si="24"/>
        <v>0</v>
      </c>
      <c r="F63" s="482">
        <f t="shared" si="25"/>
        <v>0</v>
      </c>
      <c r="G63" s="483">
        <f t="shared" si="26"/>
        <v>0</v>
      </c>
      <c r="H63" s="452">
        <f t="shared" si="27"/>
        <v>0</v>
      </c>
      <c r="I63" s="472">
        <f t="shared" si="4"/>
        <v>0</v>
      </c>
      <c r="J63" s="472"/>
      <c r="K63" s="484"/>
      <c r="L63" s="475">
        <f t="shared" si="28"/>
        <v>0</v>
      </c>
      <c r="M63" s="484"/>
      <c r="N63" s="475">
        <f t="shared" si="5"/>
        <v>0</v>
      </c>
      <c r="O63" s="475">
        <f t="shared" si="6"/>
        <v>0</v>
      </c>
      <c r="P63" s="241"/>
    </row>
    <row r="64" spans="2:16" ht="12.5">
      <c r="B64" s="160" t="str">
        <f t="shared" si="3"/>
        <v/>
      </c>
      <c r="C64" s="469">
        <f>IF(D11="","-",+C63+1)</f>
        <v>2061</v>
      </c>
      <c r="D64" s="482">
        <f>IF(F63+SUM(E$17:E63)=D$10,F63,D$10-SUM(E$17:E63))</f>
        <v>0</v>
      </c>
      <c r="E64" s="481">
        <f t="shared" si="24"/>
        <v>0</v>
      </c>
      <c r="F64" s="482">
        <f t="shared" si="25"/>
        <v>0</v>
      </c>
      <c r="G64" s="483">
        <f t="shared" si="26"/>
        <v>0</v>
      </c>
      <c r="H64" s="452">
        <f t="shared" si="27"/>
        <v>0</v>
      </c>
      <c r="I64" s="472">
        <f t="shared" si="4"/>
        <v>0</v>
      </c>
      <c r="J64" s="472"/>
      <c r="K64" s="484"/>
      <c r="L64" s="475">
        <f t="shared" si="28"/>
        <v>0</v>
      </c>
      <c r="M64" s="484"/>
      <c r="N64" s="475">
        <f t="shared" si="5"/>
        <v>0</v>
      </c>
      <c r="O64" s="475">
        <f t="shared" si="6"/>
        <v>0</v>
      </c>
      <c r="P64" s="241"/>
    </row>
    <row r="65" spans="2:16" ht="12.5">
      <c r="B65" s="160" t="str">
        <f t="shared" si="3"/>
        <v/>
      </c>
      <c r="C65" s="469">
        <f>IF(D11="","-",+C64+1)</f>
        <v>2062</v>
      </c>
      <c r="D65" s="482">
        <f>IF(F64+SUM(E$17:E64)=D$10,F64,D$10-SUM(E$17:E64))</f>
        <v>0</v>
      </c>
      <c r="E65" s="481">
        <f t="shared" si="24"/>
        <v>0</v>
      </c>
      <c r="F65" s="482">
        <f t="shared" si="25"/>
        <v>0</v>
      </c>
      <c r="G65" s="483">
        <f t="shared" si="26"/>
        <v>0</v>
      </c>
      <c r="H65" s="452">
        <f t="shared" si="27"/>
        <v>0</v>
      </c>
      <c r="I65" s="472">
        <f t="shared" si="4"/>
        <v>0</v>
      </c>
      <c r="J65" s="472"/>
      <c r="K65" s="484"/>
      <c r="L65" s="475">
        <f t="shared" si="28"/>
        <v>0</v>
      </c>
      <c r="M65" s="484"/>
      <c r="N65" s="475">
        <f t="shared" si="5"/>
        <v>0</v>
      </c>
      <c r="O65" s="475">
        <f t="shared" si="6"/>
        <v>0</v>
      </c>
      <c r="P65" s="241"/>
    </row>
    <row r="66" spans="2:16" ht="12.5">
      <c r="B66" s="160" t="str">
        <f t="shared" si="3"/>
        <v/>
      </c>
      <c r="C66" s="469">
        <f>IF(D11="","-",+C65+1)</f>
        <v>2063</v>
      </c>
      <c r="D66" s="482">
        <f>IF(F65+SUM(E$17:E65)=D$10,F65,D$10-SUM(E$17:E65))</f>
        <v>0</v>
      </c>
      <c r="E66" s="481">
        <f t="shared" si="24"/>
        <v>0</v>
      </c>
      <c r="F66" s="482">
        <f t="shared" si="25"/>
        <v>0</v>
      </c>
      <c r="G66" s="483">
        <f t="shared" si="26"/>
        <v>0</v>
      </c>
      <c r="H66" s="452">
        <f t="shared" si="27"/>
        <v>0</v>
      </c>
      <c r="I66" s="472">
        <f t="shared" si="4"/>
        <v>0</v>
      </c>
      <c r="J66" s="472"/>
      <c r="K66" s="484"/>
      <c r="L66" s="475">
        <f t="shared" si="28"/>
        <v>0</v>
      </c>
      <c r="M66" s="484"/>
      <c r="N66" s="475">
        <f t="shared" si="5"/>
        <v>0</v>
      </c>
      <c r="O66" s="475">
        <f t="shared" si="6"/>
        <v>0</v>
      </c>
      <c r="P66" s="241"/>
    </row>
    <row r="67" spans="2:16" ht="12.5">
      <c r="B67" s="160" t="str">
        <f t="shared" si="3"/>
        <v/>
      </c>
      <c r="C67" s="469">
        <f>IF(D11="","-",+C66+1)</f>
        <v>2064</v>
      </c>
      <c r="D67" s="482">
        <f>IF(F66+SUM(E$17:E66)=D$10,F66,D$10-SUM(E$17:E66))</f>
        <v>0</v>
      </c>
      <c r="E67" s="481">
        <f t="shared" si="24"/>
        <v>0</v>
      </c>
      <c r="F67" s="482">
        <f t="shared" si="25"/>
        <v>0</v>
      </c>
      <c r="G67" s="483">
        <f t="shared" si="26"/>
        <v>0</v>
      </c>
      <c r="H67" s="452">
        <f t="shared" si="27"/>
        <v>0</v>
      </c>
      <c r="I67" s="472">
        <f t="shared" si="4"/>
        <v>0</v>
      </c>
      <c r="J67" s="472"/>
      <c r="K67" s="484"/>
      <c r="L67" s="475">
        <f t="shared" si="28"/>
        <v>0</v>
      </c>
      <c r="M67" s="484"/>
      <c r="N67" s="475">
        <f t="shared" si="5"/>
        <v>0</v>
      </c>
      <c r="O67" s="475">
        <f t="shared" si="6"/>
        <v>0</v>
      </c>
      <c r="P67" s="241"/>
    </row>
    <row r="68" spans="2:16" ht="12.5">
      <c r="B68" s="160" t="str">
        <f t="shared" si="3"/>
        <v/>
      </c>
      <c r="C68" s="469">
        <f>IF(D11="","-",+C67+1)</f>
        <v>2065</v>
      </c>
      <c r="D68" s="482">
        <f>IF(F67+SUM(E$17:E67)=D$10,F67,D$10-SUM(E$17:E67))</f>
        <v>0</v>
      </c>
      <c r="E68" s="481">
        <f t="shared" si="24"/>
        <v>0</v>
      </c>
      <c r="F68" s="482">
        <f t="shared" si="25"/>
        <v>0</v>
      </c>
      <c r="G68" s="483">
        <f t="shared" si="26"/>
        <v>0</v>
      </c>
      <c r="H68" s="452">
        <f t="shared" si="27"/>
        <v>0</v>
      </c>
      <c r="I68" s="472">
        <f t="shared" si="4"/>
        <v>0</v>
      </c>
      <c r="J68" s="472"/>
      <c r="K68" s="484"/>
      <c r="L68" s="475">
        <f t="shared" si="28"/>
        <v>0</v>
      </c>
      <c r="M68" s="484"/>
      <c r="N68" s="475">
        <f t="shared" si="5"/>
        <v>0</v>
      </c>
      <c r="O68" s="475">
        <f t="shared" si="6"/>
        <v>0</v>
      </c>
      <c r="P68" s="241"/>
    </row>
    <row r="69" spans="2:16" ht="12.5">
      <c r="B69" s="160" t="str">
        <f t="shared" si="3"/>
        <v/>
      </c>
      <c r="C69" s="469">
        <f>IF(D11="","-",+C68+1)</f>
        <v>2066</v>
      </c>
      <c r="D69" s="482">
        <f>IF(F68+SUM(E$17:E68)=D$10,F68,D$10-SUM(E$17:E68))</f>
        <v>0</v>
      </c>
      <c r="E69" s="481">
        <f t="shared" si="24"/>
        <v>0</v>
      </c>
      <c r="F69" s="482">
        <f t="shared" si="25"/>
        <v>0</v>
      </c>
      <c r="G69" s="483">
        <f t="shared" si="26"/>
        <v>0</v>
      </c>
      <c r="H69" s="452">
        <f t="shared" si="27"/>
        <v>0</v>
      </c>
      <c r="I69" s="472">
        <f t="shared" si="4"/>
        <v>0</v>
      </c>
      <c r="J69" s="472"/>
      <c r="K69" s="484"/>
      <c r="L69" s="475">
        <f t="shared" si="28"/>
        <v>0</v>
      </c>
      <c r="M69" s="484"/>
      <c r="N69" s="475">
        <f t="shared" si="5"/>
        <v>0</v>
      </c>
      <c r="O69" s="475">
        <f t="shared" si="6"/>
        <v>0</v>
      </c>
      <c r="P69" s="241"/>
    </row>
    <row r="70" spans="2:16" ht="12.5">
      <c r="B70" s="160" t="str">
        <f t="shared" si="3"/>
        <v/>
      </c>
      <c r="C70" s="469">
        <f>IF(D11="","-",+C69+1)</f>
        <v>2067</v>
      </c>
      <c r="D70" s="482">
        <f>IF(F69+SUM(E$17:E69)=D$10,F69,D$10-SUM(E$17:E69))</f>
        <v>0</v>
      </c>
      <c r="E70" s="481">
        <f t="shared" si="24"/>
        <v>0</v>
      </c>
      <c r="F70" s="482">
        <f t="shared" si="25"/>
        <v>0</v>
      </c>
      <c r="G70" s="483">
        <f t="shared" si="26"/>
        <v>0</v>
      </c>
      <c r="H70" s="452">
        <f t="shared" si="27"/>
        <v>0</v>
      </c>
      <c r="I70" s="472">
        <f t="shared" si="4"/>
        <v>0</v>
      </c>
      <c r="J70" s="472"/>
      <c r="K70" s="484"/>
      <c r="L70" s="475">
        <f t="shared" si="28"/>
        <v>0</v>
      </c>
      <c r="M70" s="484"/>
      <c r="N70" s="475">
        <f t="shared" si="5"/>
        <v>0</v>
      </c>
      <c r="O70" s="475">
        <f t="shared" si="6"/>
        <v>0</v>
      </c>
      <c r="P70" s="241"/>
    </row>
    <row r="71" spans="2:16" ht="12.5">
      <c r="B71" s="160" t="str">
        <f t="shared" si="3"/>
        <v/>
      </c>
      <c r="C71" s="469">
        <f>IF(D11="","-",+C70+1)</f>
        <v>2068</v>
      </c>
      <c r="D71" s="482">
        <f>IF(F70+SUM(E$17:E70)=D$10,F70,D$10-SUM(E$17:E70))</f>
        <v>0</v>
      </c>
      <c r="E71" s="481">
        <f t="shared" si="24"/>
        <v>0</v>
      </c>
      <c r="F71" s="482">
        <f t="shared" si="25"/>
        <v>0</v>
      </c>
      <c r="G71" s="483">
        <f t="shared" si="26"/>
        <v>0</v>
      </c>
      <c r="H71" s="452">
        <f t="shared" si="27"/>
        <v>0</v>
      </c>
      <c r="I71" s="472">
        <f t="shared" si="4"/>
        <v>0</v>
      </c>
      <c r="J71" s="472"/>
      <c r="K71" s="484"/>
      <c r="L71" s="475">
        <f t="shared" si="28"/>
        <v>0</v>
      </c>
      <c r="M71" s="484"/>
      <c r="N71" s="475">
        <f t="shared" si="5"/>
        <v>0</v>
      </c>
      <c r="O71" s="475">
        <f t="shared" si="6"/>
        <v>0</v>
      </c>
      <c r="P71" s="241"/>
    </row>
    <row r="72" spans="2:16" ht="13" thickBot="1">
      <c r="B72" s="160" t="str">
        <f t="shared" si="3"/>
        <v/>
      </c>
      <c r="C72" s="486">
        <f>IF(D11="","-",+C71+1)</f>
        <v>2069</v>
      </c>
      <c r="D72" s="487">
        <f>IF(F71+SUM(E$17:E71)=D$10,F71,D$10-SUM(E$17:E71))</f>
        <v>0</v>
      </c>
      <c r="E72" s="488">
        <f t="shared" si="24"/>
        <v>0</v>
      </c>
      <c r="F72" s="487">
        <f t="shared" si="25"/>
        <v>0</v>
      </c>
      <c r="G72" s="487">
        <f t="shared" si="26"/>
        <v>0</v>
      </c>
      <c r="H72" s="487">
        <f t="shared" si="27"/>
        <v>0</v>
      </c>
      <c r="I72" s="492">
        <f t="shared" si="4"/>
        <v>0</v>
      </c>
      <c r="J72" s="487"/>
      <c r="K72" s="491"/>
      <c r="L72" s="492">
        <f t="shared" si="28"/>
        <v>0</v>
      </c>
      <c r="M72" s="491"/>
      <c r="N72" s="492">
        <f t="shared" si="5"/>
        <v>0</v>
      </c>
      <c r="O72" s="492">
        <f t="shared" si="6"/>
        <v>0</v>
      </c>
      <c r="P72" s="241"/>
    </row>
    <row r="73" spans="2:16" ht="12.5">
      <c r="C73" s="344" t="s">
        <v>77</v>
      </c>
      <c r="D73" s="345"/>
      <c r="E73" s="345">
        <f>SUM(E17:E72)</f>
        <v>2246629</v>
      </c>
      <c r="F73" s="345"/>
      <c r="G73" s="345">
        <f>SUM(G17:G72)</f>
        <v>7656151.9065941544</v>
      </c>
      <c r="H73" s="345">
        <f>SUM(H17:H72)</f>
        <v>7656151.9065941544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15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263246.12801581901</v>
      </c>
      <c r="N87" s="505">
        <f>IF(J92&lt;D11,0,VLOOKUP(J92,C17:O72,11))</f>
        <v>263246.12801581901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288721.92516892101</v>
      </c>
      <c r="N88" s="509">
        <f>IF(J92&lt;D11,0,VLOOKUP(J92,C99:P154,7))</f>
        <v>288721.92516892101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Locust Grove to Lone Star 115 kV Rebuild 2.1 miles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25475.797153102001</v>
      </c>
      <c r="N89" s="514">
        <f>+N88-N87</f>
        <v>25475.797153102001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TP2009093</v>
      </c>
      <c r="E91" s="519" t="str">
        <f>E9</f>
        <v xml:space="preserve">  SPP Project ID = 649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+D10</f>
        <v>2246629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711">
        <f>D11</f>
        <v>2014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59122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2014</v>
      </c>
      <c r="D99" s="581">
        <v>0</v>
      </c>
      <c r="E99" s="582">
        <v>36003.333333333336</v>
      </c>
      <c r="F99" s="583">
        <v>2210625.2366666663</v>
      </c>
      <c r="G99" s="601">
        <v>1105312.6183333332</v>
      </c>
      <c r="H99" s="602">
        <v>191405.76922123961</v>
      </c>
      <c r="I99" s="603">
        <v>191405.76922123961</v>
      </c>
      <c r="J99" s="475">
        <v>0</v>
      </c>
      <c r="K99" s="475"/>
      <c r="L99" s="473">
        <f t="shared" ref="L99:L104" si="29">H99</f>
        <v>191405.76922123961</v>
      </c>
      <c r="M99" s="346">
        <f t="shared" ref="M99:M104" si="30">IF(L99&lt;&gt;0,+H99-L99,0)</f>
        <v>0</v>
      </c>
      <c r="N99" s="473">
        <f t="shared" ref="N99:N104" si="31">I99</f>
        <v>191405.76922123961</v>
      </c>
      <c r="O99" s="472">
        <f>IF(N99&lt;&gt;0,+I99-N99,0)</f>
        <v>0</v>
      </c>
      <c r="P99" s="475">
        <f>+O99-M99</f>
        <v>0</v>
      </c>
    </row>
    <row r="100" spans="1:16" ht="12.5">
      <c r="B100" s="160" t="str">
        <f>IF(D100=F99,"","IU")</f>
        <v/>
      </c>
      <c r="C100" s="469">
        <f>IF(D93="","-",+C99+1)</f>
        <v>2015</v>
      </c>
      <c r="D100" s="581">
        <v>2210625.2366666663</v>
      </c>
      <c r="E100" s="582">
        <v>43204</v>
      </c>
      <c r="F100" s="583">
        <v>2167421.2366666663</v>
      </c>
      <c r="G100" s="583">
        <v>2189023.2366666663</v>
      </c>
      <c r="H100" s="602">
        <v>341878.62002899748</v>
      </c>
      <c r="I100" s="603">
        <v>341878.62002899748</v>
      </c>
      <c r="J100" s="475">
        <f>+I100-H100</f>
        <v>0</v>
      </c>
      <c r="K100" s="475"/>
      <c r="L100" s="473">
        <f t="shared" si="29"/>
        <v>341878.62002899748</v>
      </c>
      <c r="M100" s="346">
        <f t="shared" si="30"/>
        <v>0</v>
      </c>
      <c r="N100" s="473">
        <f t="shared" si="31"/>
        <v>341878.62002899748</v>
      </c>
      <c r="O100" s="472">
        <f>IF(N100&lt;&gt;0,+I100-N100,0)</f>
        <v>0</v>
      </c>
      <c r="P100" s="475">
        <f>+O100-M100</f>
        <v>0</v>
      </c>
    </row>
    <row r="101" spans="1:16" ht="12.5">
      <c r="B101" s="160" t="str">
        <f t="shared" ref="B101:B154" si="32">IF(D101=F100,"","IU")</f>
        <v/>
      </c>
      <c r="C101" s="469">
        <f>IF(D93="","-",+C100+1)</f>
        <v>2016</v>
      </c>
      <c r="D101" s="581">
        <v>2167421.2366666663</v>
      </c>
      <c r="E101" s="582">
        <v>48840</v>
      </c>
      <c r="F101" s="583">
        <v>2118581.2366666663</v>
      </c>
      <c r="G101" s="583">
        <v>2143001.2366666663</v>
      </c>
      <c r="H101" s="602">
        <v>325106.60926354182</v>
      </c>
      <c r="I101" s="603">
        <v>325106.60926354182</v>
      </c>
      <c r="J101" s="475">
        <f t="shared" ref="J101:J154" si="33">+I101-H101</f>
        <v>0</v>
      </c>
      <c r="K101" s="475"/>
      <c r="L101" s="473">
        <f t="shared" si="29"/>
        <v>325106.60926354182</v>
      </c>
      <c r="M101" s="346">
        <f t="shared" si="30"/>
        <v>0</v>
      </c>
      <c r="N101" s="473">
        <f t="shared" si="31"/>
        <v>325106.60926354182</v>
      </c>
      <c r="O101" s="472">
        <f>IF(N101&lt;&gt;0,+I101-N101,0)</f>
        <v>0</v>
      </c>
      <c r="P101" s="475">
        <f>+O101-M101</f>
        <v>0</v>
      </c>
    </row>
    <row r="102" spans="1:16" ht="12.5">
      <c r="B102" s="160" t="str">
        <f t="shared" si="32"/>
        <v/>
      </c>
      <c r="C102" s="469">
        <f>IF(D93="","-",+C101+1)</f>
        <v>2017</v>
      </c>
      <c r="D102" s="581">
        <v>2118581.2366666663</v>
      </c>
      <c r="E102" s="582">
        <v>48840</v>
      </c>
      <c r="F102" s="583">
        <v>2069741.2366666663</v>
      </c>
      <c r="G102" s="583">
        <v>2094161.2366666663</v>
      </c>
      <c r="H102" s="602">
        <v>314489.63330060086</v>
      </c>
      <c r="I102" s="603">
        <v>314489.63330060086</v>
      </c>
      <c r="J102" s="475">
        <f t="shared" si="33"/>
        <v>0</v>
      </c>
      <c r="K102" s="475"/>
      <c r="L102" s="473">
        <f t="shared" si="29"/>
        <v>314489.63330060086</v>
      </c>
      <c r="M102" s="346">
        <f t="shared" si="30"/>
        <v>0</v>
      </c>
      <c r="N102" s="473">
        <f t="shared" si="31"/>
        <v>314489.63330060086</v>
      </c>
      <c r="O102" s="472">
        <f>IF(N102&lt;&gt;0,+I102-N102,0)</f>
        <v>0</v>
      </c>
      <c r="P102" s="475">
        <f>+O102-M102</f>
        <v>0</v>
      </c>
    </row>
    <row r="103" spans="1:16" ht="12.5">
      <c r="B103" s="160" t="str">
        <f t="shared" si="32"/>
        <v/>
      </c>
      <c r="C103" s="469">
        <f>IF(D93="","-",+C102+1)</f>
        <v>2018</v>
      </c>
      <c r="D103" s="581">
        <v>2069741.2366666663</v>
      </c>
      <c r="E103" s="582">
        <v>52247</v>
      </c>
      <c r="F103" s="583">
        <v>2017494.2366666663</v>
      </c>
      <c r="G103" s="583">
        <v>2043617.7366666663</v>
      </c>
      <c r="H103" s="602">
        <v>262199.22655399318</v>
      </c>
      <c r="I103" s="603">
        <v>262199.22655399318</v>
      </c>
      <c r="J103" s="475">
        <f t="shared" si="33"/>
        <v>0</v>
      </c>
      <c r="K103" s="475"/>
      <c r="L103" s="473">
        <f t="shared" si="29"/>
        <v>262199.22655399318</v>
      </c>
      <c r="M103" s="346">
        <f t="shared" si="30"/>
        <v>0</v>
      </c>
      <c r="N103" s="473">
        <f t="shared" si="31"/>
        <v>262199.22655399318</v>
      </c>
      <c r="O103" s="472">
        <f>IF(N103&lt;&gt;0,+I103-N103,0)</f>
        <v>0</v>
      </c>
      <c r="P103" s="475">
        <f>+O103-M103</f>
        <v>0</v>
      </c>
    </row>
    <row r="104" spans="1:16" ht="12.5">
      <c r="B104" s="160" t="str">
        <f t="shared" si="32"/>
        <v/>
      </c>
      <c r="C104" s="469">
        <f>IF(D93="","-",+C103+1)</f>
        <v>2019</v>
      </c>
      <c r="D104" s="581">
        <v>2017494.2366666663</v>
      </c>
      <c r="E104" s="582">
        <v>54796</v>
      </c>
      <c r="F104" s="583">
        <v>1962698.2366666663</v>
      </c>
      <c r="G104" s="583">
        <v>1990096.2366666663</v>
      </c>
      <c r="H104" s="602">
        <v>260002.83525061089</v>
      </c>
      <c r="I104" s="603">
        <v>260002.83525061089</v>
      </c>
      <c r="J104" s="475">
        <f t="shared" si="33"/>
        <v>0</v>
      </c>
      <c r="K104" s="475"/>
      <c r="L104" s="473">
        <f t="shared" si="29"/>
        <v>260002.83525061089</v>
      </c>
      <c r="M104" s="346">
        <f t="shared" si="30"/>
        <v>0</v>
      </c>
      <c r="N104" s="473">
        <f t="shared" si="31"/>
        <v>260002.83525061089</v>
      </c>
      <c r="O104" s="475">
        <f t="shared" ref="O104:O130" si="34">IF(N104&lt;&gt;0,+I104-N104,0)</f>
        <v>0</v>
      </c>
      <c r="P104" s="475">
        <f t="shared" ref="P104:P130" si="35">+O104-M104</f>
        <v>0</v>
      </c>
    </row>
    <row r="105" spans="1:16" ht="12.5">
      <c r="B105" s="160" t="str">
        <f t="shared" si="32"/>
        <v/>
      </c>
      <c r="C105" s="469">
        <f>IF(D93="","-",+C104+1)</f>
        <v>2020</v>
      </c>
      <c r="D105" s="581">
        <v>1962698.2366666663</v>
      </c>
      <c r="E105" s="582">
        <v>52247</v>
      </c>
      <c r="F105" s="583">
        <v>1910451.2366666663</v>
      </c>
      <c r="G105" s="583">
        <v>1936574.7366666663</v>
      </c>
      <c r="H105" s="602">
        <v>275528.74296443292</v>
      </c>
      <c r="I105" s="603">
        <v>275528.74296443292</v>
      </c>
      <c r="J105" s="475">
        <f t="shared" si="33"/>
        <v>0</v>
      </c>
      <c r="K105" s="475"/>
      <c r="L105" s="473">
        <f t="shared" ref="L105" si="36">H105</f>
        <v>275528.74296443292</v>
      </c>
      <c r="M105" s="346">
        <f t="shared" ref="M105" si="37">IF(L105&lt;&gt;0,+H105-L105,0)</f>
        <v>0</v>
      </c>
      <c r="N105" s="473">
        <f t="shared" ref="N105" si="38">I105</f>
        <v>275528.74296443292</v>
      </c>
      <c r="O105" s="475">
        <f t="shared" si="34"/>
        <v>0</v>
      </c>
      <c r="P105" s="475">
        <f t="shared" si="35"/>
        <v>0</v>
      </c>
    </row>
    <row r="106" spans="1:16" ht="12.5">
      <c r="B106" s="160" t="str">
        <f t="shared" si="32"/>
        <v/>
      </c>
      <c r="C106" s="469">
        <f>IF(D93="","-",+C105+1)</f>
        <v>2021</v>
      </c>
      <c r="D106" s="581">
        <v>1910451.2366666663</v>
      </c>
      <c r="E106" s="582">
        <v>54796</v>
      </c>
      <c r="F106" s="583">
        <v>1855655.2366666663</v>
      </c>
      <c r="G106" s="583">
        <v>1883053.2366666663</v>
      </c>
      <c r="H106" s="602">
        <v>269073.88722723804</v>
      </c>
      <c r="I106" s="603">
        <v>269073.88722723804</v>
      </c>
      <c r="J106" s="475">
        <f t="shared" si="33"/>
        <v>0</v>
      </c>
      <c r="K106" s="475"/>
      <c r="L106" s="473">
        <f t="shared" ref="L106" si="39">H106</f>
        <v>269073.88722723804</v>
      </c>
      <c r="M106" s="346">
        <f t="shared" ref="M106" si="40">IF(L106&lt;&gt;0,+H106-L106,0)</f>
        <v>0</v>
      </c>
      <c r="N106" s="473">
        <f t="shared" ref="N106" si="41">I106</f>
        <v>269073.88722723804</v>
      </c>
      <c r="O106" s="475">
        <f t="shared" si="34"/>
        <v>0</v>
      </c>
      <c r="P106" s="475">
        <f t="shared" si="35"/>
        <v>0</v>
      </c>
    </row>
    <row r="107" spans="1:16" ht="12.5">
      <c r="B107" s="160" t="str">
        <f t="shared" si="32"/>
        <v/>
      </c>
      <c r="C107" s="469">
        <f>IF(D93="","-",+C106+1)</f>
        <v>2022</v>
      </c>
      <c r="D107" s="581">
        <v>1855655.2366666663</v>
      </c>
      <c r="E107" s="582">
        <v>57606</v>
      </c>
      <c r="F107" s="583">
        <v>1798049.2366666663</v>
      </c>
      <c r="G107" s="583">
        <v>1826852.2366666663</v>
      </c>
      <c r="H107" s="602">
        <v>258893.42584774771</v>
      </c>
      <c r="I107" s="603">
        <v>258893.42584774771</v>
      </c>
      <c r="J107" s="475">
        <f t="shared" si="33"/>
        <v>0</v>
      </c>
      <c r="K107" s="475"/>
      <c r="L107" s="473">
        <f t="shared" ref="L107" si="42">H107</f>
        <v>258893.42584774771</v>
      </c>
      <c r="M107" s="346">
        <f t="shared" ref="M107" si="43">IF(L107&lt;&gt;0,+H107-L107,0)</f>
        <v>0</v>
      </c>
      <c r="N107" s="473">
        <f t="shared" ref="N107" si="44">I107</f>
        <v>258893.42584774771</v>
      </c>
      <c r="O107" s="475">
        <f t="shared" ref="O107" si="45">IF(N107&lt;&gt;0,+I107-N107,0)</f>
        <v>0</v>
      </c>
      <c r="P107" s="475">
        <f t="shared" ref="P107" si="46">+O107-M107</f>
        <v>0</v>
      </c>
    </row>
    <row r="108" spans="1:16" ht="12.5">
      <c r="B108" s="160" t="str">
        <f t="shared" si="32"/>
        <v>IU</v>
      </c>
      <c r="C108" s="469">
        <f>IF(D93="","-",+C107+1)</f>
        <v>2023</v>
      </c>
      <c r="D108" s="581">
        <v>1798049.6666666665</v>
      </c>
      <c r="E108" s="582">
        <v>59122</v>
      </c>
      <c r="F108" s="583">
        <v>1738927.6666666665</v>
      </c>
      <c r="G108" s="583">
        <v>1768488.6666666665</v>
      </c>
      <c r="H108" s="602">
        <v>261131.24875530892</v>
      </c>
      <c r="I108" s="603">
        <v>261131.24875530892</v>
      </c>
      <c r="J108" s="475">
        <f t="shared" si="33"/>
        <v>0</v>
      </c>
      <c r="K108" s="475"/>
      <c r="L108" s="473">
        <f t="shared" ref="L108" si="47">H108</f>
        <v>261131.24875530892</v>
      </c>
      <c r="M108" s="346">
        <f t="shared" ref="M108" si="48">IF(L108&lt;&gt;0,+H108-L108,0)</f>
        <v>0</v>
      </c>
      <c r="N108" s="473">
        <f t="shared" ref="N108" si="49">I108</f>
        <v>261131.24875530892</v>
      </c>
      <c r="O108" s="475">
        <f t="shared" ref="O108" si="50">IF(N108&lt;&gt;0,+I108-N108,0)</f>
        <v>0</v>
      </c>
      <c r="P108" s="475">
        <f t="shared" ref="P108" si="51">+O108-M108</f>
        <v>0</v>
      </c>
    </row>
    <row r="109" spans="1:16" ht="12.5">
      <c r="B109" s="160" t="str">
        <f t="shared" si="32"/>
        <v/>
      </c>
      <c r="C109" s="469">
        <f>IF(D93="","-",+C108+1)</f>
        <v>2024</v>
      </c>
      <c r="D109" s="344">
        <f>IF(F108+SUM(E$99:E108)=D$92,F108,D$92-SUM(E$99:E108))</f>
        <v>1738927.6666666665</v>
      </c>
      <c r="E109" s="481">
        <f t="shared" ref="E109:E154" si="52">IF(+J$96&lt;F108,J$96,D109)</f>
        <v>59122</v>
      </c>
      <c r="F109" s="482">
        <f t="shared" ref="F109:F154" si="53">+D109-E109</f>
        <v>1679805.6666666665</v>
      </c>
      <c r="G109" s="482">
        <f t="shared" ref="G109:G154" si="54">+(F109+D109)/2</f>
        <v>1709366.6666666665</v>
      </c>
      <c r="H109" s="483">
        <f t="shared" ref="H109:H153" si="55">(D109+F109)/2*J$94+E109</f>
        <v>288721.92516892101</v>
      </c>
      <c r="I109" s="539">
        <f t="shared" ref="I109:I153" si="56">+J$95*G109+E109</f>
        <v>288721.92516892101</v>
      </c>
      <c r="J109" s="475">
        <f t="shared" si="33"/>
        <v>0</v>
      </c>
      <c r="K109" s="475"/>
      <c r="L109" s="484"/>
      <c r="M109" s="475">
        <f t="shared" ref="M109:M130" si="57">IF(L109&lt;&gt;0,+H109-L109,0)</f>
        <v>0</v>
      </c>
      <c r="N109" s="484"/>
      <c r="O109" s="475">
        <f t="shared" si="34"/>
        <v>0</v>
      </c>
      <c r="P109" s="475">
        <f t="shared" si="35"/>
        <v>0</v>
      </c>
    </row>
    <row r="110" spans="1:16" ht="12.5">
      <c r="B110" s="160" t="str">
        <f t="shared" si="32"/>
        <v/>
      </c>
      <c r="C110" s="469">
        <f>IF(D93="","-",+C109+1)</f>
        <v>2025</v>
      </c>
      <c r="D110" s="344">
        <f>IF(F109+SUM(E$99:E109)=D$92,F109,D$92-SUM(E$99:E109))</f>
        <v>1679805.6666666665</v>
      </c>
      <c r="E110" s="481">
        <f t="shared" si="52"/>
        <v>59122</v>
      </c>
      <c r="F110" s="482">
        <f t="shared" si="53"/>
        <v>1620683.6666666665</v>
      </c>
      <c r="G110" s="482">
        <f t="shared" si="54"/>
        <v>1650244.6666666665</v>
      </c>
      <c r="H110" s="483">
        <f t="shared" si="55"/>
        <v>280780.73441064591</v>
      </c>
      <c r="I110" s="539">
        <f t="shared" si="56"/>
        <v>280780.73441064591</v>
      </c>
      <c r="J110" s="475">
        <f t="shared" si="33"/>
        <v>0</v>
      </c>
      <c r="K110" s="475"/>
      <c r="L110" s="484"/>
      <c r="M110" s="475">
        <f t="shared" si="57"/>
        <v>0</v>
      </c>
      <c r="N110" s="484"/>
      <c r="O110" s="475">
        <f t="shared" si="34"/>
        <v>0</v>
      </c>
      <c r="P110" s="475">
        <f t="shared" si="35"/>
        <v>0</v>
      </c>
    </row>
    <row r="111" spans="1:16" ht="12.5">
      <c r="B111" s="160" t="str">
        <f t="shared" si="32"/>
        <v/>
      </c>
      <c r="C111" s="469">
        <f>IF(D93="","-",+C110+1)</f>
        <v>2026</v>
      </c>
      <c r="D111" s="344">
        <f>IF(F110+SUM(E$99:E110)=D$92,F110,D$92-SUM(E$99:E110))</f>
        <v>1620683.6666666665</v>
      </c>
      <c r="E111" s="481">
        <f t="shared" si="52"/>
        <v>59122</v>
      </c>
      <c r="F111" s="482">
        <f t="shared" si="53"/>
        <v>1561561.6666666665</v>
      </c>
      <c r="G111" s="482">
        <f t="shared" si="54"/>
        <v>1591122.6666666665</v>
      </c>
      <c r="H111" s="483">
        <f t="shared" si="55"/>
        <v>272839.54365237069</v>
      </c>
      <c r="I111" s="539">
        <f t="shared" si="56"/>
        <v>272839.54365237069</v>
      </c>
      <c r="J111" s="475">
        <f t="shared" si="33"/>
        <v>0</v>
      </c>
      <c r="K111" s="475"/>
      <c r="L111" s="484"/>
      <c r="M111" s="475">
        <f t="shared" si="57"/>
        <v>0</v>
      </c>
      <c r="N111" s="484"/>
      <c r="O111" s="475">
        <f t="shared" si="34"/>
        <v>0</v>
      </c>
      <c r="P111" s="475">
        <f t="shared" si="35"/>
        <v>0</v>
      </c>
    </row>
    <row r="112" spans="1:16" ht="12.5">
      <c r="B112" s="160" t="str">
        <f t="shared" si="32"/>
        <v/>
      </c>
      <c r="C112" s="469">
        <f>IF(D93="","-",+C111+1)</f>
        <v>2027</v>
      </c>
      <c r="D112" s="344">
        <f>IF(F111+SUM(E$99:E111)=D$92,F111,D$92-SUM(E$99:E111))</f>
        <v>1561561.6666666665</v>
      </c>
      <c r="E112" s="481">
        <f t="shared" si="52"/>
        <v>59122</v>
      </c>
      <c r="F112" s="482">
        <f t="shared" si="53"/>
        <v>1502439.6666666665</v>
      </c>
      <c r="G112" s="482">
        <f t="shared" si="54"/>
        <v>1532000.6666666665</v>
      </c>
      <c r="H112" s="483">
        <f t="shared" si="55"/>
        <v>264898.35289409559</v>
      </c>
      <c r="I112" s="539">
        <f t="shared" si="56"/>
        <v>264898.35289409559</v>
      </c>
      <c r="J112" s="475">
        <f t="shared" si="33"/>
        <v>0</v>
      </c>
      <c r="K112" s="475"/>
      <c r="L112" s="484"/>
      <c r="M112" s="475">
        <f t="shared" si="57"/>
        <v>0</v>
      </c>
      <c r="N112" s="484"/>
      <c r="O112" s="475">
        <f t="shared" si="34"/>
        <v>0</v>
      </c>
      <c r="P112" s="475">
        <f t="shared" si="35"/>
        <v>0</v>
      </c>
    </row>
    <row r="113" spans="2:16" ht="12.5">
      <c r="B113" s="160" t="str">
        <f t="shared" si="32"/>
        <v/>
      </c>
      <c r="C113" s="469">
        <f>IF(D93="","-",+C112+1)</f>
        <v>2028</v>
      </c>
      <c r="D113" s="344">
        <f>IF(F112+SUM(E$99:E112)=D$92,F112,D$92-SUM(E$99:E112))</f>
        <v>1502439.6666666665</v>
      </c>
      <c r="E113" s="481">
        <f t="shared" si="52"/>
        <v>59122</v>
      </c>
      <c r="F113" s="482">
        <f t="shared" si="53"/>
        <v>1443317.6666666665</v>
      </c>
      <c r="G113" s="482">
        <f t="shared" si="54"/>
        <v>1472878.6666666665</v>
      </c>
      <c r="H113" s="483">
        <f t="shared" si="55"/>
        <v>256957.1621358204</v>
      </c>
      <c r="I113" s="539">
        <f t="shared" si="56"/>
        <v>256957.1621358204</v>
      </c>
      <c r="J113" s="475">
        <f t="shared" si="33"/>
        <v>0</v>
      </c>
      <c r="K113" s="475"/>
      <c r="L113" s="484"/>
      <c r="M113" s="475">
        <f t="shared" si="57"/>
        <v>0</v>
      </c>
      <c r="N113" s="484"/>
      <c r="O113" s="475">
        <f t="shared" si="34"/>
        <v>0</v>
      </c>
      <c r="P113" s="475">
        <f t="shared" si="35"/>
        <v>0</v>
      </c>
    </row>
    <row r="114" spans="2:16" ht="12.5">
      <c r="B114" s="160" t="str">
        <f t="shared" si="32"/>
        <v/>
      </c>
      <c r="C114" s="469">
        <f>IF(D93="","-",+C113+1)</f>
        <v>2029</v>
      </c>
      <c r="D114" s="344">
        <f>IF(F113+SUM(E$99:E113)=D$92,F113,D$92-SUM(E$99:E113))</f>
        <v>1443317.6666666665</v>
      </c>
      <c r="E114" s="481">
        <f t="shared" si="52"/>
        <v>59122</v>
      </c>
      <c r="F114" s="482">
        <f t="shared" si="53"/>
        <v>1384195.6666666665</v>
      </c>
      <c r="G114" s="482">
        <f t="shared" si="54"/>
        <v>1413756.6666666665</v>
      </c>
      <c r="H114" s="483">
        <f t="shared" si="55"/>
        <v>249015.97137754524</v>
      </c>
      <c r="I114" s="539">
        <f t="shared" si="56"/>
        <v>249015.97137754524</v>
      </c>
      <c r="J114" s="475">
        <f t="shared" si="33"/>
        <v>0</v>
      </c>
      <c r="K114" s="475"/>
      <c r="L114" s="484"/>
      <c r="M114" s="475">
        <f t="shared" si="57"/>
        <v>0</v>
      </c>
      <c r="N114" s="484"/>
      <c r="O114" s="475">
        <f t="shared" si="34"/>
        <v>0</v>
      </c>
      <c r="P114" s="475">
        <f t="shared" si="35"/>
        <v>0</v>
      </c>
    </row>
    <row r="115" spans="2:16" ht="12.5">
      <c r="B115" s="160" t="str">
        <f t="shared" si="32"/>
        <v/>
      </c>
      <c r="C115" s="469">
        <f>IF(D93="","-",+C114+1)</f>
        <v>2030</v>
      </c>
      <c r="D115" s="344">
        <f>IF(F114+SUM(E$99:E114)=D$92,F114,D$92-SUM(E$99:E114))</f>
        <v>1384195.6666666665</v>
      </c>
      <c r="E115" s="481">
        <f t="shared" si="52"/>
        <v>59122</v>
      </c>
      <c r="F115" s="482">
        <f t="shared" si="53"/>
        <v>1325073.6666666665</v>
      </c>
      <c r="G115" s="482">
        <f t="shared" si="54"/>
        <v>1354634.6666666665</v>
      </c>
      <c r="H115" s="483">
        <f t="shared" si="55"/>
        <v>241074.78061927008</v>
      </c>
      <c r="I115" s="539">
        <f t="shared" si="56"/>
        <v>241074.78061927008</v>
      </c>
      <c r="J115" s="475">
        <f t="shared" si="33"/>
        <v>0</v>
      </c>
      <c r="K115" s="475"/>
      <c r="L115" s="484"/>
      <c r="M115" s="475">
        <f t="shared" si="57"/>
        <v>0</v>
      </c>
      <c r="N115" s="484"/>
      <c r="O115" s="475">
        <f t="shared" si="34"/>
        <v>0</v>
      </c>
      <c r="P115" s="475">
        <f t="shared" si="35"/>
        <v>0</v>
      </c>
    </row>
    <row r="116" spans="2:16" ht="12.5">
      <c r="B116" s="160" t="str">
        <f t="shared" si="32"/>
        <v/>
      </c>
      <c r="C116" s="469">
        <f>IF(D93="","-",+C115+1)</f>
        <v>2031</v>
      </c>
      <c r="D116" s="344">
        <f>IF(F115+SUM(E$99:E115)=D$92,F115,D$92-SUM(E$99:E115))</f>
        <v>1325073.6666666665</v>
      </c>
      <c r="E116" s="481">
        <f t="shared" si="52"/>
        <v>59122</v>
      </c>
      <c r="F116" s="482">
        <f t="shared" si="53"/>
        <v>1265951.6666666665</v>
      </c>
      <c r="G116" s="482">
        <f t="shared" si="54"/>
        <v>1295512.6666666665</v>
      </c>
      <c r="H116" s="483">
        <f t="shared" si="55"/>
        <v>233133.58986099492</v>
      </c>
      <c r="I116" s="539">
        <f t="shared" si="56"/>
        <v>233133.58986099492</v>
      </c>
      <c r="J116" s="475">
        <f t="shared" si="33"/>
        <v>0</v>
      </c>
      <c r="K116" s="475"/>
      <c r="L116" s="484"/>
      <c r="M116" s="475">
        <f t="shared" si="57"/>
        <v>0</v>
      </c>
      <c r="N116" s="484"/>
      <c r="O116" s="475">
        <f t="shared" si="34"/>
        <v>0</v>
      </c>
      <c r="P116" s="475">
        <f t="shared" si="35"/>
        <v>0</v>
      </c>
    </row>
    <row r="117" spans="2:16" ht="12.5">
      <c r="B117" s="160" t="str">
        <f t="shared" si="32"/>
        <v/>
      </c>
      <c r="C117" s="469">
        <f>IF(D93="","-",+C116+1)</f>
        <v>2032</v>
      </c>
      <c r="D117" s="344">
        <f>IF(F116+SUM(E$99:E116)=D$92,F116,D$92-SUM(E$99:E116))</f>
        <v>1265951.6666666665</v>
      </c>
      <c r="E117" s="481">
        <f t="shared" si="52"/>
        <v>59122</v>
      </c>
      <c r="F117" s="482">
        <f t="shared" si="53"/>
        <v>1206829.6666666665</v>
      </c>
      <c r="G117" s="482">
        <f t="shared" si="54"/>
        <v>1236390.6666666665</v>
      </c>
      <c r="H117" s="483">
        <f t="shared" si="55"/>
        <v>225192.39910271973</v>
      </c>
      <c r="I117" s="539">
        <f t="shared" si="56"/>
        <v>225192.39910271973</v>
      </c>
      <c r="J117" s="475">
        <f t="shared" si="33"/>
        <v>0</v>
      </c>
      <c r="K117" s="475"/>
      <c r="L117" s="484"/>
      <c r="M117" s="475">
        <f t="shared" si="57"/>
        <v>0</v>
      </c>
      <c r="N117" s="484"/>
      <c r="O117" s="475">
        <f t="shared" si="34"/>
        <v>0</v>
      </c>
      <c r="P117" s="475">
        <f t="shared" si="35"/>
        <v>0</v>
      </c>
    </row>
    <row r="118" spans="2:16" ht="12.5">
      <c r="B118" s="160" t="str">
        <f t="shared" si="32"/>
        <v/>
      </c>
      <c r="C118" s="469">
        <f>IF(D93="","-",+C117+1)</f>
        <v>2033</v>
      </c>
      <c r="D118" s="344">
        <f>IF(F117+SUM(E$99:E117)=D$92,F117,D$92-SUM(E$99:E117))</f>
        <v>1206829.6666666665</v>
      </c>
      <c r="E118" s="481">
        <f t="shared" si="52"/>
        <v>59122</v>
      </c>
      <c r="F118" s="482">
        <f t="shared" si="53"/>
        <v>1147707.6666666665</v>
      </c>
      <c r="G118" s="482">
        <f t="shared" si="54"/>
        <v>1177268.6666666665</v>
      </c>
      <c r="H118" s="483">
        <f t="shared" si="55"/>
        <v>217251.20834444457</v>
      </c>
      <c r="I118" s="539">
        <f t="shared" si="56"/>
        <v>217251.20834444457</v>
      </c>
      <c r="J118" s="475">
        <f t="shared" si="33"/>
        <v>0</v>
      </c>
      <c r="K118" s="475"/>
      <c r="L118" s="484"/>
      <c r="M118" s="475">
        <f t="shared" si="57"/>
        <v>0</v>
      </c>
      <c r="N118" s="484"/>
      <c r="O118" s="475">
        <f t="shared" si="34"/>
        <v>0</v>
      </c>
      <c r="P118" s="475">
        <f t="shared" si="35"/>
        <v>0</v>
      </c>
    </row>
    <row r="119" spans="2:16" ht="12.5">
      <c r="B119" s="160" t="str">
        <f t="shared" si="32"/>
        <v/>
      </c>
      <c r="C119" s="469">
        <f>IF(D93="","-",+C118+1)</f>
        <v>2034</v>
      </c>
      <c r="D119" s="344">
        <f>IF(F118+SUM(E$99:E118)=D$92,F118,D$92-SUM(E$99:E118))</f>
        <v>1147707.6666666665</v>
      </c>
      <c r="E119" s="481">
        <f t="shared" si="52"/>
        <v>59122</v>
      </c>
      <c r="F119" s="482">
        <f t="shared" si="53"/>
        <v>1088585.6666666665</v>
      </c>
      <c r="G119" s="482">
        <f t="shared" si="54"/>
        <v>1118146.6666666665</v>
      </c>
      <c r="H119" s="483">
        <f t="shared" si="55"/>
        <v>209310.01758616942</v>
      </c>
      <c r="I119" s="539">
        <f t="shared" si="56"/>
        <v>209310.01758616942</v>
      </c>
      <c r="J119" s="475">
        <f t="shared" si="33"/>
        <v>0</v>
      </c>
      <c r="K119" s="475"/>
      <c r="L119" s="484"/>
      <c r="M119" s="475">
        <f t="shared" si="57"/>
        <v>0</v>
      </c>
      <c r="N119" s="484"/>
      <c r="O119" s="475">
        <f t="shared" si="34"/>
        <v>0</v>
      </c>
      <c r="P119" s="475">
        <f t="shared" si="35"/>
        <v>0</v>
      </c>
    </row>
    <row r="120" spans="2:16" ht="12.5">
      <c r="B120" s="160" t="str">
        <f t="shared" si="32"/>
        <v/>
      </c>
      <c r="C120" s="469">
        <f>IF(D93="","-",+C119+1)</f>
        <v>2035</v>
      </c>
      <c r="D120" s="344">
        <f>IF(F119+SUM(E$99:E119)=D$92,F119,D$92-SUM(E$99:E119))</f>
        <v>1088585.6666666665</v>
      </c>
      <c r="E120" s="481">
        <f t="shared" si="52"/>
        <v>59122</v>
      </c>
      <c r="F120" s="482">
        <f t="shared" si="53"/>
        <v>1029463.6666666665</v>
      </c>
      <c r="G120" s="482">
        <f t="shared" si="54"/>
        <v>1059024.6666666665</v>
      </c>
      <c r="H120" s="483">
        <f t="shared" si="55"/>
        <v>201368.82682789426</v>
      </c>
      <c r="I120" s="539">
        <f t="shared" si="56"/>
        <v>201368.82682789426</v>
      </c>
      <c r="J120" s="475">
        <f t="shared" si="33"/>
        <v>0</v>
      </c>
      <c r="K120" s="475"/>
      <c r="L120" s="484"/>
      <c r="M120" s="475">
        <f t="shared" si="57"/>
        <v>0</v>
      </c>
      <c r="N120" s="484"/>
      <c r="O120" s="475">
        <f t="shared" si="34"/>
        <v>0</v>
      </c>
      <c r="P120" s="475">
        <f t="shared" si="35"/>
        <v>0</v>
      </c>
    </row>
    <row r="121" spans="2:16" ht="12.5">
      <c r="B121" s="160" t="str">
        <f t="shared" si="32"/>
        <v/>
      </c>
      <c r="C121" s="469">
        <f>IF(D93="","-",+C120+1)</f>
        <v>2036</v>
      </c>
      <c r="D121" s="344">
        <f>IF(F120+SUM(E$99:E120)=D$92,F120,D$92-SUM(E$99:E120))</f>
        <v>1029463.6666666665</v>
      </c>
      <c r="E121" s="481">
        <f t="shared" si="52"/>
        <v>59122</v>
      </c>
      <c r="F121" s="482">
        <f t="shared" si="53"/>
        <v>970341.66666666651</v>
      </c>
      <c r="G121" s="482">
        <f t="shared" si="54"/>
        <v>999902.66666666651</v>
      </c>
      <c r="H121" s="483">
        <f t="shared" si="55"/>
        <v>193427.6360696191</v>
      </c>
      <c r="I121" s="539">
        <f t="shared" si="56"/>
        <v>193427.6360696191</v>
      </c>
      <c r="J121" s="475">
        <f t="shared" si="33"/>
        <v>0</v>
      </c>
      <c r="K121" s="475"/>
      <c r="L121" s="484"/>
      <c r="M121" s="475">
        <f t="shared" si="57"/>
        <v>0</v>
      </c>
      <c r="N121" s="484"/>
      <c r="O121" s="475">
        <f t="shared" si="34"/>
        <v>0</v>
      </c>
      <c r="P121" s="475">
        <f t="shared" si="35"/>
        <v>0</v>
      </c>
    </row>
    <row r="122" spans="2:16" ht="12.5">
      <c r="B122" s="160" t="str">
        <f t="shared" si="32"/>
        <v/>
      </c>
      <c r="C122" s="469">
        <f>IF(D93="","-",+C121+1)</f>
        <v>2037</v>
      </c>
      <c r="D122" s="344">
        <f>IF(F121+SUM(E$99:E121)=D$92,F121,D$92-SUM(E$99:E121))</f>
        <v>970341.66666666651</v>
      </c>
      <c r="E122" s="481">
        <f t="shared" si="52"/>
        <v>59122</v>
      </c>
      <c r="F122" s="482">
        <f t="shared" si="53"/>
        <v>911219.66666666651</v>
      </c>
      <c r="G122" s="482">
        <f t="shared" si="54"/>
        <v>940780.66666666651</v>
      </c>
      <c r="H122" s="483">
        <f t="shared" si="55"/>
        <v>185486.44531134394</v>
      </c>
      <c r="I122" s="539">
        <f t="shared" si="56"/>
        <v>185486.44531134394</v>
      </c>
      <c r="J122" s="475">
        <f t="shared" si="33"/>
        <v>0</v>
      </c>
      <c r="K122" s="475"/>
      <c r="L122" s="484"/>
      <c r="M122" s="475">
        <f t="shared" si="57"/>
        <v>0</v>
      </c>
      <c r="N122" s="484"/>
      <c r="O122" s="475">
        <f t="shared" si="34"/>
        <v>0</v>
      </c>
      <c r="P122" s="475">
        <f t="shared" si="35"/>
        <v>0</v>
      </c>
    </row>
    <row r="123" spans="2:16" ht="12.5">
      <c r="B123" s="160" t="str">
        <f t="shared" si="32"/>
        <v/>
      </c>
      <c r="C123" s="469">
        <f>IF(D93="","-",+C122+1)</f>
        <v>2038</v>
      </c>
      <c r="D123" s="344">
        <f>IF(F122+SUM(E$99:E122)=D$92,F122,D$92-SUM(E$99:E122))</f>
        <v>911219.66666666651</v>
      </c>
      <c r="E123" s="481">
        <f t="shared" si="52"/>
        <v>59122</v>
      </c>
      <c r="F123" s="482">
        <f t="shared" si="53"/>
        <v>852097.66666666651</v>
      </c>
      <c r="G123" s="482">
        <f t="shared" si="54"/>
        <v>881658.66666666651</v>
      </c>
      <c r="H123" s="483">
        <f t="shared" si="55"/>
        <v>177545.25455306878</v>
      </c>
      <c r="I123" s="539">
        <f t="shared" si="56"/>
        <v>177545.25455306878</v>
      </c>
      <c r="J123" s="475">
        <f t="shared" si="33"/>
        <v>0</v>
      </c>
      <c r="K123" s="475"/>
      <c r="L123" s="484"/>
      <c r="M123" s="475">
        <f t="shared" si="57"/>
        <v>0</v>
      </c>
      <c r="N123" s="484"/>
      <c r="O123" s="475">
        <f t="shared" si="34"/>
        <v>0</v>
      </c>
      <c r="P123" s="475">
        <f t="shared" si="35"/>
        <v>0</v>
      </c>
    </row>
    <row r="124" spans="2:16" ht="12.5">
      <c r="B124" s="160" t="str">
        <f t="shared" si="32"/>
        <v/>
      </c>
      <c r="C124" s="469">
        <f>IF(D93="","-",+C123+1)</f>
        <v>2039</v>
      </c>
      <c r="D124" s="344">
        <f>IF(F123+SUM(E$99:E123)=D$92,F123,D$92-SUM(E$99:E123))</f>
        <v>852097.66666666651</v>
      </c>
      <c r="E124" s="481">
        <f t="shared" si="52"/>
        <v>59122</v>
      </c>
      <c r="F124" s="482">
        <f t="shared" si="53"/>
        <v>792975.66666666651</v>
      </c>
      <c r="G124" s="482">
        <f t="shared" si="54"/>
        <v>822536.66666666651</v>
      </c>
      <c r="H124" s="483">
        <f t="shared" si="55"/>
        <v>169604.06379479362</v>
      </c>
      <c r="I124" s="539">
        <f t="shared" si="56"/>
        <v>169604.06379479362</v>
      </c>
      <c r="J124" s="475">
        <f t="shared" si="33"/>
        <v>0</v>
      </c>
      <c r="K124" s="475"/>
      <c r="L124" s="484"/>
      <c r="M124" s="475">
        <f t="shared" si="57"/>
        <v>0</v>
      </c>
      <c r="N124" s="484"/>
      <c r="O124" s="475">
        <f t="shared" si="34"/>
        <v>0</v>
      </c>
      <c r="P124" s="475">
        <f t="shared" si="35"/>
        <v>0</v>
      </c>
    </row>
    <row r="125" spans="2:16" ht="12.5">
      <c r="B125" s="160" t="str">
        <f t="shared" si="32"/>
        <v/>
      </c>
      <c r="C125" s="469">
        <f>IF(D93="","-",+C124+1)</f>
        <v>2040</v>
      </c>
      <c r="D125" s="344">
        <f>IF(F124+SUM(E$99:E124)=D$92,F124,D$92-SUM(E$99:E124))</f>
        <v>792975.66666666651</v>
      </c>
      <c r="E125" s="481">
        <f t="shared" si="52"/>
        <v>59122</v>
      </c>
      <c r="F125" s="482">
        <f t="shared" si="53"/>
        <v>733853.66666666651</v>
      </c>
      <c r="G125" s="482">
        <f t="shared" si="54"/>
        <v>763414.66666666651</v>
      </c>
      <c r="H125" s="483">
        <f t="shared" si="55"/>
        <v>161662.87303651846</v>
      </c>
      <c r="I125" s="539">
        <f t="shared" si="56"/>
        <v>161662.87303651846</v>
      </c>
      <c r="J125" s="475">
        <f t="shared" si="33"/>
        <v>0</v>
      </c>
      <c r="K125" s="475"/>
      <c r="L125" s="484"/>
      <c r="M125" s="475">
        <f t="shared" si="57"/>
        <v>0</v>
      </c>
      <c r="N125" s="484"/>
      <c r="O125" s="475">
        <f t="shared" si="34"/>
        <v>0</v>
      </c>
      <c r="P125" s="475">
        <f t="shared" si="35"/>
        <v>0</v>
      </c>
    </row>
    <row r="126" spans="2:16" ht="12.5">
      <c r="B126" s="160" t="str">
        <f t="shared" si="32"/>
        <v/>
      </c>
      <c r="C126" s="469">
        <f>IF(D93="","-",+C125+1)</f>
        <v>2041</v>
      </c>
      <c r="D126" s="344">
        <f>IF(F125+SUM(E$99:E125)=D$92,F125,D$92-SUM(E$99:E125))</f>
        <v>733853.66666666651</v>
      </c>
      <c r="E126" s="481">
        <f t="shared" si="52"/>
        <v>59122</v>
      </c>
      <c r="F126" s="482">
        <f t="shared" si="53"/>
        <v>674731.66666666651</v>
      </c>
      <c r="G126" s="482">
        <f t="shared" si="54"/>
        <v>704292.66666666651</v>
      </c>
      <c r="H126" s="483">
        <f t="shared" si="55"/>
        <v>153721.6822782433</v>
      </c>
      <c r="I126" s="539">
        <f t="shared" si="56"/>
        <v>153721.6822782433</v>
      </c>
      <c r="J126" s="475">
        <f t="shared" si="33"/>
        <v>0</v>
      </c>
      <c r="K126" s="475"/>
      <c r="L126" s="484"/>
      <c r="M126" s="475">
        <f t="shared" si="57"/>
        <v>0</v>
      </c>
      <c r="N126" s="484"/>
      <c r="O126" s="475">
        <f t="shared" si="34"/>
        <v>0</v>
      </c>
      <c r="P126" s="475">
        <f t="shared" si="35"/>
        <v>0</v>
      </c>
    </row>
    <row r="127" spans="2:16" ht="12.5">
      <c r="B127" s="160" t="str">
        <f t="shared" si="32"/>
        <v/>
      </c>
      <c r="C127" s="469">
        <f>IF(D93="","-",+C126+1)</f>
        <v>2042</v>
      </c>
      <c r="D127" s="344">
        <f>IF(F126+SUM(E$99:E126)=D$92,F126,D$92-SUM(E$99:E126))</f>
        <v>674731.66666666651</v>
      </c>
      <c r="E127" s="481">
        <f t="shared" si="52"/>
        <v>59122</v>
      </c>
      <c r="F127" s="482">
        <f t="shared" si="53"/>
        <v>615609.66666666651</v>
      </c>
      <c r="G127" s="482">
        <f t="shared" si="54"/>
        <v>645170.66666666651</v>
      </c>
      <c r="H127" s="483">
        <f t="shared" si="55"/>
        <v>145780.49151996814</v>
      </c>
      <c r="I127" s="539">
        <f t="shared" si="56"/>
        <v>145780.49151996814</v>
      </c>
      <c r="J127" s="475">
        <f t="shared" si="33"/>
        <v>0</v>
      </c>
      <c r="K127" s="475"/>
      <c r="L127" s="484"/>
      <c r="M127" s="475">
        <f t="shared" si="57"/>
        <v>0</v>
      </c>
      <c r="N127" s="484"/>
      <c r="O127" s="475">
        <f t="shared" si="34"/>
        <v>0</v>
      </c>
      <c r="P127" s="475">
        <f t="shared" si="35"/>
        <v>0</v>
      </c>
    </row>
    <row r="128" spans="2:16" ht="12.5">
      <c r="B128" s="160" t="str">
        <f t="shared" si="32"/>
        <v/>
      </c>
      <c r="C128" s="469">
        <f>IF(D93="","-",+C127+1)</f>
        <v>2043</v>
      </c>
      <c r="D128" s="344">
        <f>IF(F127+SUM(E$99:E127)=D$92,F127,D$92-SUM(E$99:E127))</f>
        <v>615609.66666666651</v>
      </c>
      <c r="E128" s="481">
        <f t="shared" si="52"/>
        <v>59122</v>
      </c>
      <c r="F128" s="482">
        <f t="shared" si="53"/>
        <v>556487.66666666651</v>
      </c>
      <c r="G128" s="482">
        <f t="shared" si="54"/>
        <v>586048.66666666651</v>
      </c>
      <c r="H128" s="483">
        <f t="shared" si="55"/>
        <v>137839.30076169298</v>
      </c>
      <c r="I128" s="539">
        <f t="shared" si="56"/>
        <v>137839.30076169298</v>
      </c>
      <c r="J128" s="475">
        <f t="shared" si="33"/>
        <v>0</v>
      </c>
      <c r="K128" s="475"/>
      <c r="L128" s="484"/>
      <c r="M128" s="475">
        <f t="shared" si="57"/>
        <v>0</v>
      </c>
      <c r="N128" s="484"/>
      <c r="O128" s="475">
        <f t="shared" si="34"/>
        <v>0</v>
      </c>
      <c r="P128" s="475">
        <f t="shared" si="35"/>
        <v>0</v>
      </c>
    </row>
    <row r="129" spans="2:16" ht="12.5">
      <c r="B129" s="160" t="str">
        <f t="shared" si="32"/>
        <v/>
      </c>
      <c r="C129" s="469">
        <f>IF(D93="","-",+C128+1)</f>
        <v>2044</v>
      </c>
      <c r="D129" s="344">
        <f>IF(F128+SUM(E$99:E128)=D$92,F128,D$92-SUM(E$99:E128))</f>
        <v>556487.66666666651</v>
      </c>
      <c r="E129" s="481">
        <f t="shared" si="52"/>
        <v>59122</v>
      </c>
      <c r="F129" s="482">
        <f t="shared" si="53"/>
        <v>497365.66666666651</v>
      </c>
      <c r="G129" s="482">
        <f t="shared" si="54"/>
        <v>526926.66666666651</v>
      </c>
      <c r="H129" s="483">
        <f t="shared" si="55"/>
        <v>129898.11000341782</v>
      </c>
      <c r="I129" s="539">
        <f t="shared" si="56"/>
        <v>129898.11000341782</v>
      </c>
      <c r="J129" s="475">
        <f t="shared" si="33"/>
        <v>0</v>
      </c>
      <c r="K129" s="475"/>
      <c r="L129" s="484"/>
      <c r="M129" s="475">
        <f t="shared" si="57"/>
        <v>0</v>
      </c>
      <c r="N129" s="484"/>
      <c r="O129" s="475">
        <f t="shared" si="34"/>
        <v>0</v>
      </c>
      <c r="P129" s="475">
        <f t="shared" si="35"/>
        <v>0</v>
      </c>
    </row>
    <row r="130" spans="2:16" ht="12.5">
      <c r="B130" s="160" t="str">
        <f t="shared" si="32"/>
        <v/>
      </c>
      <c r="C130" s="469">
        <f>IF(D93="","-",+C129+1)</f>
        <v>2045</v>
      </c>
      <c r="D130" s="344">
        <f>IF(F129+SUM(E$99:E129)=D$92,F129,D$92-SUM(E$99:E129))</f>
        <v>497365.66666666651</v>
      </c>
      <c r="E130" s="481">
        <f t="shared" si="52"/>
        <v>59122</v>
      </c>
      <c r="F130" s="482">
        <f t="shared" si="53"/>
        <v>438243.66666666651</v>
      </c>
      <c r="G130" s="482">
        <f t="shared" si="54"/>
        <v>467804.66666666651</v>
      </c>
      <c r="H130" s="483">
        <f t="shared" si="55"/>
        <v>121956.91924514266</v>
      </c>
      <c r="I130" s="539">
        <f t="shared" si="56"/>
        <v>121956.91924514266</v>
      </c>
      <c r="J130" s="475">
        <f t="shared" si="33"/>
        <v>0</v>
      </c>
      <c r="K130" s="475"/>
      <c r="L130" s="484"/>
      <c r="M130" s="475">
        <f t="shared" si="57"/>
        <v>0</v>
      </c>
      <c r="N130" s="484"/>
      <c r="O130" s="475">
        <f t="shared" si="34"/>
        <v>0</v>
      </c>
      <c r="P130" s="475">
        <f t="shared" si="35"/>
        <v>0</v>
      </c>
    </row>
    <row r="131" spans="2:16" ht="12.5">
      <c r="B131" s="160" t="str">
        <f t="shared" si="32"/>
        <v/>
      </c>
      <c r="C131" s="469">
        <f>IF(D93="","-",+C130+1)</f>
        <v>2046</v>
      </c>
      <c r="D131" s="344">
        <f>IF(F130+SUM(E$99:E130)=D$92,F130,D$92-SUM(E$99:E130))</f>
        <v>438243.66666666651</v>
      </c>
      <c r="E131" s="481">
        <f t="shared" si="52"/>
        <v>59122</v>
      </c>
      <c r="F131" s="482">
        <f t="shared" si="53"/>
        <v>379121.66666666651</v>
      </c>
      <c r="G131" s="482">
        <f t="shared" si="54"/>
        <v>408682.66666666651</v>
      </c>
      <c r="H131" s="483">
        <f t="shared" si="55"/>
        <v>114015.72848686751</v>
      </c>
      <c r="I131" s="539">
        <f t="shared" si="56"/>
        <v>114015.72848686751</v>
      </c>
      <c r="J131" s="475">
        <f t="shared" si="33"/>
        <v>0</v>
      </c>
      <c r="K131" s="475"/>
      <c r="L131" s="484"/>
      <c r="M131" s="475">
        <f t="shared" ref="M131:M154" si="58">IF(L541&lt;&gt;0,+H541-L541,0)</f>
        <v>0</v>
      </c>
      <c r="N131" s="484"/>
      <c r="O131" s="475">
        <f t="shared" ref="O131:O154" si="59">IF(N541&lt;&gt;0,+I541-N541,0)</f>
        <v>0</v>
      </c>
      <c r="P131" s="475">
        <f t="shared" ref="P131:P154" si="60">+O541-M541</f>
        <v>0</v>
      </c>
    </row>
    <row r="132" spans="2:16" ht="12.5">
      <c r="B132" s="160" t="str">
        <f t="shared" si="32"/>
        <v/>
      </c>
      <c r="C132" s="469">
        <f>IF(D93="","-",+C131+1)</f>
        <v>2047</v>
      </c>
      <c r="D132" s="344">
        <f>IF(F131+SUM(E$99:E131)=D$92,F131,D$92-SUM(E$99:E131))</f>
        <v>379121.66666666651</v>
      </c>
      <c r="E132" s="481">
        <f t="shared" si="52"/>
        <v>59122</v>
      </c>
      <c r="F132" s="482">
        <f t="shared" si="53"/>
        <v>319999.66666666651</v>
      </c>
      <c r="G132" s="482">
        <f t="shared" si="54"/>
        <v>349560.66666666651</v>
      </c>
      <c r="H132" s="483">
        <f t="shared" si="55"/>
        <v>106074.53772859235</v>
      </c>
      <c r="I132" s="539">
        <f t="shared" si="56"/>
        <v>106074.53772859235</v>
      </c>
      <c r="J132" s="475">
        <f t="shared" si="33"/>
        <v>0</v>
      </c>
      <c r="K132" s="475"/>
      <c r="L132" s="484"/>
      <c r="M132" s="475">
        <f t="shared" si="58"/>
        <v>0</v>
      </c>
      <c r="N132" s="484"/>
      <c r="O132" s="475">
        <f t="shared" si="59"/>
        <v>0</v>
      </c>
      <c r="P132" s="475">
        <f t="shared" si="60"/>
        <v>0</v>
      </c>
    </row>
    <row r="133" spans="2:16" ht="12.5">
      <c r="B133" s="160" t="str">
        <f t="shared" si="32"/>
        <v/>
      </c>
      <c r="C133" s="469">
        <f>IF(D93="","-",+C132+1)</f>
        <v>2048</v>
      </c>
      <c r="D133" s="344">
        <f>IF(F132+SUM(E$99:E132)=D$92,F132,D$92-SUM(E$99:E132))</f>
        <v>319999.66666666651</v>
      </c>
      <c r="E133" s="481">
        <f t="shared" si="52"/>
        <v>59122</v>
      </c>
      <c r="F133" s="482">
        <f t="shared" si="53"/>
        <v>260877.66666666651</v>
      </c>
      <c r="G133" s="482">
        <f t="shared" si="54"/>
        <v>290438.66666666651</v>
      </c>
      <c r="H133" s="483">
        <f t="shared" si="55"/>
        <v>98133.346970317187</v>
      </c>
      <c r="I133" s="539">
        <f t="shared" si="56"/>
        <v>98133.346970317187</v>
      </c>
      <c r="J133" s="475">
        <f t="shared" si="33"/>
        <v>0</v>
      </c>
      <c r="K133" s="475"/>
      <c r="L133" s="484"/>
      <c r="M133" s="475">
        <f t="shared" si="58"/>
        <v>0</v>
      </c>
      <c r="N133" s="484"/>
      <c r="O133" s="475">
        <f t="shared" si="59"/>
        <v>0</v>
      </c>
      <c r="P133" s="475">
        <f t="shared" si="60"/>
        <v>0</v>
      </c>
    </row>
    <row r="134" spans="2:16" ht="12.5">
      <c r="B134" s="160" t="str">
        <f t="shared" si="32"/>
        <v/>
      </c>
      <c r="C134" s="469">
        <f>IF(D93="","-",+C133+1)</f>
        <v>2049</v>
      </c>
      <c r="D134" s="344">
        <f>IF(F133+SUM(E$99:E133)=D$92,F133,D$92-SUM(E$99:E133))</f>
        <v>260877.66666666651</v>
      </c>
      <c r="E134" s="481">
        <f t="shared" si="52"/>
        <v>59122</v>
      </c>
      <c r="F134" s="482">
        <f t="shared" si="53"/>
        <v>201755.66666666651</v>
      </c>
      <c r="G134" s="482">
        <f t="shared" si="54"/>
        <v>231316.66666666651</v>
      </c>
      <c r="H134" s="483">
        <f t="shared" si="55"/>
        <v>90192.156212042013</v>
      </c>
      <c r="I134" s="539">
        <f t="shared" si="56"/>
        <v>90192.156212042013</v>
      </c>
      <c r="J134" s="475">
        <f t="shared" si="33"/>
        <v>0</v>
      </c>
      <c r="K134" s="475"/>
      <c r="L134" s="484"/>
      <c r="M134" s="475">
        <f t="shared" si="58"/>
        <v>0</v>
      </c>
      <c r="N134" s="484"/>
      <c r="O134" s="475">
        <f t="shared" si="59"/>
        <v>0</v>
      </c>
      <c r="P134" s="475">
        <f t="shared" si="60"/>
        <v>0</v>
      </c>
    </row>
    <row r="135" spans="2:16" ht="12.5">
      <c r="B135" s="160" t="str">
        <f t="shared" si="32"/>
        <v/>
      </c>
      <c r="C135" s="469">
        <f>IF(D93="","-",+C134+1)</f>
        <v>2050</v>
      </c>
      <c r="D135" s="344">
        <f>IF(F134+SUM(E$99:E134)=D$92,F134,D$92-SUM(E$99:E134))</f>
        <v>201755.66666666651</v>
      </c>
      <c r="E135" s="481">
        <f t="shared" si="52"/>
        <v>59122</v>
      </c>
      <c r="F135" s="482">
        <f t="shared" si="53"/>
        <v>142633.66666666651</v>
      </c>
      <c r="G135" s="482">
        <f t="shared" si="54"/>
        <v>172194.66666666651</v>
      </c>
      <c r="H135" s="483">
        <f t="shared" si="55"/>
        <v>82250.965453766854</v>
      </c>
      <c r="I135" s="539">
        <f t="shared" si="56"/>
        <v>82250.965453766854</v>
      </c>
      <c r="J135" s="475">
        <f t="shared" si="33"/>
        <v>0</v>
      </c>
      <c r="K135" s="475"/>
      <c r="L135" s="484"/>
      <c r="M135" s="475">
        <f t="shared" si="58"/>
        <v>0</v>
      </c>
      <c r="N135" s="484"/>
      <c r="O135" s="475">
        <f t="shared" si="59"/>
        <v>0</v>
      </c>
      <c r="P135" s="475">
        <f t="shared" si="60"/>
        <v>0</v>
      </c>
    </row>
    <row r="136" spans="2:16" ht="12.5">
      <c r="B136" s="160" t="str">
        <f t="shared" si="32"/>
        <v/>
      </c>
      <c r="C136" s="469">
        <f>IF(D93="","-",+C135+1)</f>
        <v>2051</v>
      </c>
      <c r="D136" s="344">
        <f>IF(F135+SUM(E$99:E135)=D$92,F135,D$92-SUM(E$99:E135))</f>
        <v>142633.66666666651</v>
      </c>
      <c r="E136" s="481">
        <f t="shared" si="52"/>
        <v>59122</v>
      </c>
      <c r="F136" s="482">
        <f t="shared" si="53"/>
        <v>83511.666666666511</v>
      </c>
      <c r="G136" s="482">
        <f t="shared" si="54"/>
        <v>113072.66666666651</v>
      </c>
      <c r="H136" s="483">
        <f t="shared" si="55"/>
        <v>74309.774695491695</v>
      </c>
      <c r="I136" s="539">
        <f t="shared" si="56"/>
        <v>74309.774695491695</v>
      </c>
      <c r="J136" s="475">
        <f t="shared" si="33"/>
        <v>0</v>
      </c>
      <c r="K136" s="475"/>
      <c r="L136" s="484"/>
      <c r="M136" s="475">
        <f t="shared" si="58"/>
        <v>0</v>
      </c>
      <c r="N136" s="484"/>
      <c r="O136" s="475">
        <f t="shared" si="59"/>
        <v>0</v>
      </c>
      <c r="P136" s="475">
        <f t="shared" si="60"/>
        <v>0</v>
      </c>
    </row>
    <row r="137" spans="2:16" ht="12.5">
      <c r="B137" s="160" t="str">
        <f t="shared" si="32"/>
        <v/>
      </c>
      <c r="C137" s="469">
        <f>IF(D93="","-",+C136+1)</f>
        <v>2052</v>
      </c>
      <c r="D137" s="344">
        <f>IF(F136+SUM(E$99:E136)=D$92,F136,D$92-SUM(E$99:E136))</f>
        <v>83511.666666666511</v>
      </c>
      <c r="E137" s="481">
        <f t="shared" si="52"/>
        <v>59122</v>
      </c>
      <c r="F137" s="482">
        <f t="shared" si="53"/>
        <v>24389.666666666511</v>
      </c>
      <c r="G137" s="482">
        <f t="shared" si="54"/>
        <v>53950.666666666511</v>
      </c>
      <c r="H137" s="483">
        <f t="shared" si="55"/>
        <v>66368.583937216536</v>
      </c>
      <c r="I137" s="539">
        <f t="shared" si="56"/>
        <v>66368.583937216536</v>
      </c>
      <c r="J137" s="475">
        <f t="shared" si="33"/>
        <v>0</v>
      </c>
      <c r="K137" s="475"/>
      <c r="L137" s="484"/>
      <c r="M137" s="475">
        <f t="shared" si="58"/>
        <v>0</v>
      </c>
      <c r="N137" s="484"/>
      <c r="O137" s="475">
        <f t="shared" si="59"/>
        <v>0</v>
      </c>
      <c r="P137" s="475">
        <f t="shared" si="60"/>
        <v>0</v>
      </c>
    </row>
    <row r="138" spans="2:16" ht="12.5">
      <c r="B138" s="160" t="str">
        <f t="shared" si="32"/>
        <v/>
      </c>
      <c r="C138" s="469">
        <f>IF(D93="","-",+C137+1)</f>
        <v>2053</v>
      </c>
      <c r="D138" s="344">
        <f>IF(F137+SUM(E$99:E137)=D$92,F137,D$92-SUM(E$99:E137))</f>
        <v>24389.666666666511</v>
      </c>
      <c r="E138" s="481">
        <f t="shared" si="52"/>
        <v>24389.666666666511</v>
      </c>
      <c r="F138" s="482">
        <f t="shared" si="53"/>
        <v>0</v>
      </c>
      <c r="G138" s="482">
        <f t="shared" si="54"/>
        <v>12194.833333333256</v>
      </c>
      <c r="H138" s="483">
        <f t="shared" si="55"/>
        <v>26027.660945705989</v>
      </c>
      <c r="I138" s="539">
        <f t="shared" si="56"/>
        <v>26027.660945705989</v>
      </c>
      <c r="J138" s="475">
        <f t="shared" si="33"/>
        <v>0</v>
      </c>
      <c r="K138" s="475"/>
      <c r="L138" s="484"/>
      <c r="M138" s="475">
        <f t="shared" si="58"/>
        <v>0</v>
      </c>
      <c r="N138" s="484"/>
      <c r="O138" s="475">
        <f t="shared" si="59"/>
        <v>0</v>
      </c>
      <c r="P138" s="475">
        <f t="shared" si="60"/>
        <v>0</v>
      </c>
    </row>
    <row r="139" spans="2:16" ht="12.5">
      <c r="B139" s="160" t="str">
        <f t="shared" si="32"/>
        <v/>
      </c>
      <c r="C139" s="469">
        <f>IF(D93="","-",+C138+1)</f>
        <v>2054</v>
      </c>
      <c r="D139" s="344">
        <f>IF(F138+SUM(E$99:E138)=D$92,F138,D$92-SUM(E$99:E138))</f>
        <v>0</v>
      </c>
      <c r="E139" s="481">
        <f t="shared" si="52"/>
        <v>0</v>
      </c>
      <c r="F139" s="482">
        <f t="shared" si="53"/>
        <v>0</v>
      </c>
      <c r="G139" s="482">
        <f t="shared" si="54"/>
        <v>0</v>
      </c>
      <c r="H139" s="483">
        <f t="shared" si="55"/>
        <v>0</v>
      </c>
      <c r="I139" s="539">
        <f t="shared" si="56"/>
        <v>0</v>
      </c>
      <c r="J139" s="475">
        <f t="shared" si="33"/>
        <v>0</v>
      </c>
      <c r="K139" s="475"/>
      <c r="L139" s="484"/>
      <c r="M139" s="475">
        <f t="shared" si="58"/>
        <v>0</v>
      </c>
      <c r="N139" s="484"/>
      <c r="O139" s="475">
        <f t="shared" si="59"/>
        <v>0</v>
      </c>
      <c r="P139" s="475">
        <f t="shared" si="60"/>
        <v>0</v>
      </c>
    </row>
    <row r="140" spans="2:16" ht="12.5">
      <c r="B140" s="160" t="str">
        <f t="shared" si="32"/>
        <v/>
      </c>
      <c r="C140" s="469">
        <f>IF(D93="","-",+C139+1)</f>
        <v>2055</v>
      </c>
      <c r="D140" s="344">
        <f>IF(F139+SUM(E$99:E139)=D$92,F139,D$92-SUM(E$99:E139))</f>
        <v>0</v>
      </c>
      <c r="E140" s="481">
        <f t="shared" si="52"/>
        <v>0</v>
      </c>
      <c r="F140" s="482">
        <f t="shared" si="53"/>
        <v>0</v>
      </c>
      <c r="G140" s="482">
        <f t="shared" si="54"/>
        <v>0</v>
      </c>
      <c r="H140" s="483">
        <f t="shared" si="55"/>
        <v>0</v>
      </c>
      <c r="I140" s="539">
        <f t="shared" si="56"/>
        <v>0</v>
      </c>
      <c r="J140" s="475">
        <f t="shared" si="33"/>
        <v>0</v>
      </c>
      <c r="K140" s="475"/>
      <c r="L140" s="484"/>
      <c r="M140" s="475">
        <f t="shared" si="58"/>
        <v>0</v>
      </c>
      <c r="N140" s="484"/>
      <c r="O140" s="475">
        <f t="shared" si="59"/>
        <v>0</v>
      </c>
      <c r="P140" s="475">
        <f t="shared" si="60"/>
        <v>0</v>
      </c>
    </row>
    <row r="141" spans="2:16" ht="12.5">
      <c r="B141" s="160" t="str">
        <f t="shared" si="32"/>
        <v/>
      </c>
      <c r="C141" s="469">
        <f>IF(D93="","-",+C140+1)</f>
        <v>2056</v>
      </c>
      <c r="D141" s="344">
        <f>IF(F140+SUM(E$99:E140)=D$92,F140,D$92-SUM(E$99:E140))</f>
        <v>0</v>
      </c>
      <c r="E141" s="481">
        <f t="shared" si="52"/>
        <v>0</v>
      </c>
      <c r="F141" s="482">
        <f t="shared" si="53"/>
        <v>0</v>
      </c>
      <c r="G141" s="482">
        <f t="shared" si="54"/>
        <v>0</v>
      </c>
      <c r="H141" s="483">
        <f t="shared" si="55"/>
        <v>0</v>
      </c>
      <c r="I141" s="539">
        <f t="shared" si="56"/>
        <v>0</v>
      </c>
      <c r="J141" s="475">
        <f t="shared" si="33"/>
        <v>0</v>
      </c>
      <c r="K141" s="475"/>
      <c r="L141" s="484"/>
      <c r="M141" s="475">
        <f t="shared" si="58"/>
        <v>0</v>
      </c>
      <c r="N141" s="484"/>
      <c r="O141" s="475">
        <f t="shared" si="59"/>
        <v>0</v>
      </c>
      <c r="P141" s="475">
        <f t="shared" si="60"/>
        <v>0</v>
      </c>
    </row>
    <row r="142" spans="2:16" ht="12.5">
      <c r="B142" s="160" t="str">
        <f t="shared" si="32"/>
        <v/>
      </c>
      <c r="C142" s="469">
        <f>IF(D93="","-",+C141+1)</f>
        <v>2057</v>
      </c>
      <c r="D142" s="344">
        <f>IF(F141+SUM(E$99:E141)=D$92,F141,D$92-SUM(E$99:E141))</f>
        <v>0</v>
      </c>
      <c r="E142" s="481">
        <f t="shared" si="52"/>
        <v>0</v>
      </c>
      <c r="F142" s="482">
        <f t="shared" si="53"/>
        <v>0</v>
      </c>
      <c r="G142" s="482">
        <f t="shared" si="54"/>
        <v>0</v>
      </c>
      <c r="H142" s="483">
        <f t="shared" si="55"/>
        <v>0</v>
      </c>
      <c r="I142" s="539">
        <f t="shared" si="56"/>
        <v>0</v>
      </c>
      <c r="J142" s="475">
        <f t="shared" si="33"/>
        <v>0</v>
      </c>
      <c r="K142" s="475"/>
      <c r="L142" s="484"/>
      <c r="M142" s="475">
        <f t="shared" si="58"/>
        <v>0</v>
      </c>
      <c r="N142" s="484"/>
      <c r="O142" s="475">
        <f t="shared" si="59"/>
        <v>0</v>
      </c>
      <c r="P142" s="475">
        <f t="shared" si="60"/>
        <v>0</v>
      </c>
    </row>
    <row r="143" spans="2:16" ht="12.5">
      <c r="B143" s="160" t="str">
        <f t="shared" si="32"/>
        <v/>
      </c>
      <c r="C143" s="469">
        <f>IF(D93="","-",+C142+1)</f>
        <v>2058</v>
      </c>
      <c r="D143" s="344">
        <f>IF(F142+SUM(E$99:E142)=D$92,F142,D$92-SUM(E$99:E142))</f>
        <v>0</v>
      </c>
      <c r="E143" s="481">
        <f t="shared" si="52"/>
        <v>0</v>
      </c>
      <c r="F143" s="482">
        <f t="shared" si="53"/>
        <v>0</v>
      </c>
      <c r="G143" s="482">
        <f t="shared" si="54"/>
        <v>0</v>
      </c>
      <c r="H143" s="483">
        <f t="shared" si="55"/>
        <v>0</v>
      </c>
      <c r="I143" s="539">
        <f t="shared" si="56"/>
        <v>0</v>
      </c>
      <c r="J143" s="475">
        <f t="shared" si="33"/>
        <v>0</v>
      </c>
      <c r="K143" s="475"/>
      <c r="L143" s="484"/>
      <c r="M143" s="475">
        <f t="shared" si="58"/>
        <v>0</v>
      </c>
      <c r="N143" s="484"/>
      <c r="O143" s="475">
        <f t="shared" si="59"/>
        <v>0</v>
      </c>
      <c r="P143" s="475">
        <f t="shared" si="60"/>
        <v>0</v>
      </c>
    </row>
    <row r="144" spans="2:16" ht="12.5">
      <c r="B144" s="160" t="str">
        <f t="shared" si="32"/>
        <v/>
      </c>
      <c r="C144" s="469">
        <f>IF(D93="","-",+C143+1)</f>
        <v>2059</v>
      </c>
      <c r="D144" s="344">
        <f>IF(F143+SUM(E$99:E143)=D$92,F143,D$92-SUM(E$99:E143))</f>
        <v>0</v>
      </c>
      <c r="E144" s="481">
        <f t="shared" si="52"/>
        <v>0</v>
      </c>
      <c r="F144" s="482">
        <f t="shared" si="53"/>
        <v>0</v>
      </c>
      <c r="G144" s="482">
        <f t="shared" si="54"/>
        <v>0</v>
      </c>
      <c r="H144" s="483">
        <f t="shared" si="55"/>
        <v>0</v>
      </c>
      <c r="I144" s="539">
        <f t="shared" si="56"/>
        <v>0</v>
      </c>
      <c r="J144" s="475">
        <f t="shared" si="33"/>
        <v>0</v>
      </c>
      <c r="K144" s="475"/>
      <c r="L144" s="484"/>
      <c r="M144" s="475">
        <f t="shared" si="58"/>
        <v>0</v>
      </c>
      <c r="N144" s="484"/>
      <c r="O144" s="475">
        <f t="shared" si="59"/>
        <v>0</v>
      </c>
      <c r="P144" s="475">
        <f t="shared" si="60"/>
        <v>0</v>
      </c>
    </row>
    <row r="145" spans="2:16" ht="12.5">
      <c r="B145" s="160" t="str">
        <f t="shared" si="32"/>
        <v/>
      </c>
      <c r="C145" s="469">
        <f>IF(D93="","-",+C144+1)</f>
        <v>2060</v>
      </c>
      <c r="D145" s="344">
        <f>IF(F144+SUM(E$99:E144)=D$92,F144,D$92-SUM(E$99:E144))</f>
        <v>0</v>
      </c>
      <c r="E145" s="481">
        <f t="shared" si="52"/>
        <v>0</v>
      </c>
      <c r="F145" s="482">
        <f t="shared" si="53"/>
        <v>0</v>
      </c>
      <c r="G145" s="482">
        <f t="shared" si="54"/>
        <v>0</v>
      </c>
      <c r="H145" s="483">
        <f t="shared" si="55"/>
        <v>0</v>
      </c>
      <c r="I145" s="539">
        <f t="shared" si="56"/>
        <v>0</v>
      </c>
      <c r="J145" s="475">
        <f t="shared" si="33"/>
        <v>0</v>
      </c>
      <c r="K145" s="475"/>
      <c r="L145" s="484"/>
      <c r="M145" s="475">
        <f t="shared" si="58"/>
        <v>0</v>
      </c>
      <c r="N145" s="484"/>
      <c r="O145" s="475">
        <f t="shared" si="59"/>
        <v>0</v>
      </c>
      <c r="P145" s="475">
        <f t="shared" si="60"/>
        <v>0</v>
      </c>
    </row>
    <row r="146" spans="2:16" ht="12.5">
      <c r="B146" s="160" t="str">
        <f t="shared" si="32"/>
        <v/>
      </c>
      <c r="C146" s="469">
        <f>IF(D93="","-",+C145+1)</f>
        <v>2061</v>
      </c>
      <c r="D146" s="344">
        <f>IF(F145+SUM(E$99:E145)=D$92,F145,D$92-SUM(E$99:E145))</f>
        <v>0</v>
      </c>
      <c r="E146" s="481">
        <f t="shared" si="52"/>
        <v>0</v>
      </c>
      <c r="F146" s="482">
        <f t="shared" si="53"/>
        <v>0</v>
      </c>
      <c r="G146" s="482">
        <f t="shared" si="54"/>
        <v>0</v>
      </c>
      <c r="H146" s="483">
        <f t="shared" si="55"/>
        <v>0</v>
      </c>
      <c r="I146" s="539">
        <f t="shared" si="56"/>
        <v>0</v>
      </c>
      <c r="J146" s="475">
        <f t="shared" si="33"/>
        <v>0</v>
      </c>
      <c r="K146" s="475"/>
      <c r="L146" s="484"/>
      <c r="M146" s="475">
        <f t="shared" si="58"/>
        <v>0</v>
      </c>
      <c r="N146" s="484"/>
      <c r="O146" s="475">
        <f t="shared" si="59"/>
        <v>0</v>
      </c>
      <c r="P146" s="475">
        <f t="shared" si="60"/>
        <v>0</v>
      </c>
    </row>
    <row r="147" spans="2:16" ht="12.5">
      <c r="B147" s="160" t="str">
        <f t="shared" si="32"/>
        <v/>
      </c>
      <c r="C147" s="469">
        <f>IF(D93="","-",+C146+1)</f>
        <v>2062</v>
      </c>
      <c r="D147" s="344">
        <f>IF(F146+SUM(E$99:E146)=D$92,F146,D$92-SUM(E$99:E146))</f>
        <v>0</v>
      </c>
      <c r="E147" s="481">
        <f t="shared" si="52"/>
        <v>0</v>
      </c>
      <c r="F147" s="482">
        <f t="shared" si="53"/>
        <v>0</v>
      </c>
      <c r="G147" s="482">
        <f t="shared" si="54"/>
        <v>0</v>
      </c>
      <c r="H147" s="483">
        <f t="shared" si="55"/>
        <v>0</v>
      </c>
      <c r="I147" s="539">
        <f t="shared" si="56"/>
        <v>0</v>
      </c>
      <c r="J147" s="475">
        <f t="shared" si="33"/>
        <v>0</v>
      </c>
      <c r="K147" s="475"/>
      <c r="L147" s="484"/>
      <c r="M147" s="475">
        <f t="shared" si="58"/>
        <v>0</v>
      </c>
      <c r="N147" s="484"/>
      <c r="O147" s="475">
        <f t="shared" si="59"/>
        <v>0</v>
      </c>
      <c r="P147" s="475">
        <f t="shared" si="60"/>
        <v>0</v>
      </c>
    </row>
    <row r="148" spans="2:16" ht="12.5">
      <c r="B148" s="160" t="str">
        <f t="shared" si="32"/>
        <v/>
      </c>
      <c r="C148" s="469">
        <f>IF(D93="","-",+C147+1)</f>
        <v>2063</v>
      </c>
      <c r="D148" s="344">
        <f>IF(F147+SUM(E$99:E147)=D$92,F147,D$92-SUM(E$99:E147))</f>
        <v>0</v>
      </c>
      <c r="E148" s="481">
        <f t="shared" si="52"/>
        <v>0</v>
      </c>
      <c r="F148" s="482">
        <f t="shared" si="53"/>
        <v>0</v>
      </c>
      <c r="G148" s="482">
        <f t="shared" si="54"/>
        <v>0</v>
      </c>
      <c r="H148" s="483">
        <f t="shared" si="55"/>
        <v>0</v>
      </c>
      <c r="I148" s="539">
        <f t="shared" si="56"/>
        <v>0</v>
      </c>
      <c r="J148" s="475">
        <f t="shared" si="33"/>
        <v>0</v>
      </c>
      <c r="K148" s="475"/>
      <c r="L148" s="484"/>
      <c r="M148" s="475">
        <f t="shared" si="58"/>
        <v>0</v>
      </c>
      <c r="N148" s="484"/>
      <c r="O148" s="475">
        <f t="shared" si="59"/>
        <v>0</v>
      </c>
      <c r="P148" s="475">
        <f t="shared" si="60"/>
        <v>0</v>
      </c>
    </row>
    <row r="149" spans="2:16" ht="12.5">
      <c r="B149" s="160" t="str">
        <f t="shared" si="32"/>
        <v/>
      </c>
      <c r="C149" s="469">
        <f>IF(D93="","-",+C148+1)</f>
        <v>2064</v>
      </c>
      <c r="D149" s="344">
        <f>IF(F148+SUM(E$99:E148)=D$92,F148,D$92-SUM(E$99:E148))</f>
        <v>0</v>
      </c>
      <c r="E149" s="481">
        <f t="shared" si="52"/>
        <v>0</v>
      </c>
      <c r="F149" s="482">
        <f t="shared" si="53"/>
        <v>0</v>
      </c>
      <c r="G149" s="482">
        <f t="shared" si="54"/>
        <v>0</v>
      </c>
      <c r="H149" s="483">
        <f t="shared" si="55"/>
        <v>0</v>
      </c>
      <c r="I149" s="539">
        <f t="shared" si="56"/>
        <v>0</v>
      </c>
      <c r="J149" s="475">
        <f t="shared" si="33"/>
        <v>0</v>
      </c>
      <c r="K149" s="475"/>
      <c r="L149" s="484"/>
      <c r="M149" s="475">
        <f t="shared" si="58"/>
        <v>0</v>
      </c>
      <c r="N149" s="484"/>
      <c r="O149" s="475">
        <f t="shared" si="59"/>
        <v>0</v>
      </c>
      <c r="P149" s="475">
        <f t="shared" si="60"/>
        <v>0</v>
      </c>
    </row>
    <row r="150" spans="2:16" ht="12.5">
      <c r="B150" s="160" t="str">
        <f t="shared" si="32"/>
        <v/>
      </c>
      <c r="C150" s="469">
        <f>IF(D93="","-",+C149+1)</f>
        <v>2065</v>
      </c>
      <c r="D150" s="344">
        <f>IF(F149+SUM(E$99:E149)=D$92,F149,D$92-SUM(E$99:E149))</f>
        <v>0</v>
      </c>
      <c r="E150" s="481">
        <f t="shared" si="52"/>
        <v>0</v>
      </c>
      <c r="F150" s="482">
        <f t="shared" si="53"/>
        <v>0</v>
      </c>
      <c r="G150" s="482">
        <f t="shared" si="54"/>
        <v>0</v>
      </c>
      <c r="H150" s="483">
        <f t="shared" si="55"/>
        <v>0</v>
      </c>
      <c r="I150" s="539">
        <f t="shared" si="56"/>
        <v>0</v>
      </c>
      <c r="J150" s="475">
        <f t="shared" si="33"/>
        <v>0</v>
      </c>
      <c r="K150" s="475"/>
      <c r="L150" s="484"/>
      <c r="M150" s="475">
        <f t="shared" si="58"/>
        <v>0</v>
      </c>
      <c r="N150" s="484"/>
      <c r="O150" s="475">
        <f t="shared" si="59"/>
        <v>0</v>
      </c>
      <c r="P150" s="475">
        <f t="shared" si="60"/>
        <v>0</v>
      </c>
    </row>
    <row r="151" spans="2:16" ht="12.5">
      <c r="B151" s="160" t="str">
        <f t="shared" si="32"/>
        <v/>
      </c>
      <c r="C151" s="469">
        <f>IF(D93="","-",+C150+1)</f>
        <v>2066</v>
      </c>
      <c r="D151" s="344">
        <f>IF(F150+SUM(E$99:E150)=D$92,F150,D$92-SUM(E$99:E150))</f>
        <v>0</v>
      </c>
      <c r="E151" s="481">
        <f t="shared" si="52"/>
        <v>0</v>
      </c>
      <c r="F151" s="482">
        <f t="shared" si="53"/>
        <v>0</v>
      </c>
      <c r="G151" s="482">
        <f t="shared" si="54"/>
        <v>0</v>
      </c>
      <c r="H151" s="483">
        <f t="shared" si="55"/>
        <v>0</v>
      </c>
      <c r="I151" s="539">
        <f t="shared" si="56"/>
        <v>0</v>
      </c>
      <c r="J151" s="475">
        <f t="shared" si="33"/>
        <v>0</v>
      </c>
      <c r="K151" s="475"/>
      <c r="L151" s="484"/>
      <c r="M151" s="475">
        <f t="shared" si="58"/>
        <v>0</v>
      </c>
      <c r="N151" s="484"/>
      <c r="O151" s="475">
        <f t="shared" si="59"/>
        <v>0</v>
      </c>
      <c r="P151" s="475">
        <f t="shared" si="60"/>
        <v>0</v>
      </c>
    </row>
    <row r="152" spans="2:16" ht="12.5">
      <c r="B152" s="160" t="str">
        <f t="shared" si="32"/>
        <v/>
      </c>
      <c r="C152" s="469">
        <f>IF(D93="","-",+C151+1)</f>
        <v>2067</v>
      </c>
      <c r="D152" s="344">
        <f>IF(F151+SUM(E$99:E151)=D$92,F151,D$92-SUM(E$99:E151))</f>
        <v>0</v>
      </c>
      <c r="E152" s="481">
        <f t="shared" si="52"/>
        <v>0</v>
      </c>
      <c r="F152" s="482">
        <f t="shared" si="53"/>
        <v>0</v>
      </c>
      <c r="G152" s="482">
        <f t="shared" si="54"/>
        <v>0</v>
      </c>
      <c r="H152" s="483">
        <f t="shared" si="55"/>
        <v>0</v>
      </c>
      <c r="I152" s="539">
        <f t="shared" si="56"/>
        <v>0</v>
      </c>
      <c r="J152" s="475">
        <f t="shared" si="33"/>
        <v>0</v>
      </c>
      <c r="K152" s="475"/>
      <c r="L152" s="484"/>
      <c r="M152" s="475">
        <f t="shared" si="58"/>
        <v>0</v>
      </c>
      <c r="N152" s="484"/>
      <c r="O152" s="475">
        <f t="shared" si="59"/>
        <v>0</v>
      </c>
      <c r="P152" s="475">
        <f t="shared" si="60"/>
        <v>0</v>
      </c>
    </row>
    <row r="153" spans="2:16" ht="12.5">
      <c r="B153" s="160" t="str">
        <f t="shared" si="32"/>
        <v/>
      </c>
      <c r="C153" s="469">
        <f>IF(D93="","-",+C152+1)</f>
        <v>2068</v>
      </c>
      <c r="D153" s="344">
        <f>IF(F152+SUM(E$99:E152)=D$92,F152,D$92-SUM(E$99:E152))</f>
        <v>0</v>
      </c>
      <c r="E153" s="481">
        <f t="shared" si="52"/>
        <v>0</v>
      </c>
      <c r="F153" s="482">
        <f t="shared" si="53"/>
        <v>0</v>
      </c>
      <c r="G153" s="482">
        <f t="shared" si="54"/>
        <v>0</v>
      </c>
      <c r="H153" s="483">
        <f t="shared" si="55"/>
        <v>0</v>
      </c>
      <c r="I153" s="539">
        <f t="shared" si="56"/>
        <v>0</v>
      </c>
      <c r="J153" s="475">
        <f t="shared" si="33"/>
        <v>0</v>
      </c>
      <c r="K153" s="475"/>
      <c r="L153" s="484"/>
      <c r="M153" s="475">
        <f t="shared" si="58"/>
        <v>0</v>
      </c>
      <c r="N153" s="484"/>
      <c r="O153" s="475">
        <f t="shared" si="59"/>
        <v>0</v>
      </c>
      <c r="P153" s="475">
        <f t="shared" si="60"/>
        <v>0</v>
      </c>
    </row>
    <row r="154" spans="2:16" ht="13" thickBot="1">
      <c r="B154" s="160" t="str">
        <f t="shared" si="32"/>
        <v/>
      </c>
      <c r="C154" s="486">
        <f>IF(D93="","-",+C153+1)</f>
        <v>2069</v>
      </c>
      <c r="D154" s="573">
        <f>IF(F153+SUM(E$99:E153)=D$92,F153,D$92-SUM(E$99:E153))</f>
        <v>0</v>
      </c>
      <c r="E154" s="488">
        <f t="shared" si="52"/>
        <v>0</v>
      </c>
      <c r="F154" s="487">
        <f t="shared" si="53"/>
        <v>0</v>
      </c>
      <c r="G154" s="487">
        <f t="shared" si="54"/>
        <v>0</v>
      </c>
      <c r="H154" s="489">
        <f t="shared" ref="H154" si="61">+J$94*G154+E154</f>
        <v>0</v>
      </c>
      <c r="I154" s="542">
        <f t="shared" ref="I154" si="62">+J$95*G154+E154</f>
        <v>0</v>
      </c>
      <c r="J154" s="492">
        <f t="shared" si="33"/>
        <v>0</v>
      </c>
      <c r="K154" s="492"/>
      <c r="L154" s="491"/>
      <c r="M154" s="492">
        <f t="shared" si="58"/>
        <v>0</v>
      </c>
      <c r="N154" s="491"/>
      <c r="O154" s="492">
        <f t="shared" si="59"/>
        <v>0</v>
      </c>
      <c r="P154" s="492">
        <f t="shared" si="60"/>
        <v>0</v>
      </c>
    </row>
    <row r="155" spans="2:16" ht="12.5">
      <c r="C155" s="344" t="s">
        <v>77</v>
      </c>
      <c r="D155" s="345"/>
      <c r="E155" s="345">
        <f>SUM(E99:E154)</f>
        <v>2246629</v>
      </c>
      <c r="F155" s="345"/>
      <c r="G155" s="345"/>
      <c r="H155" s="345">
        <f>SUM(H99:H154)</f>
        <v>7934550.0413984125</v>
      </c>
      <c r="I155" s="345">
        <f>SUM(I99:I154)</f>
        <v>7934550.0413984125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43" priority="1" stopIfTrue="1" operator="equal">
      <formula>$I$10</formula>
    </cfRule>
  </conditionalFormatting>
  <conditionalFormatting sqref="C99:C154">
    <cfRule type="cellIs" dxfId="4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5"/>
  <dimension ref="A1:P162"/>
  <sheetViews>
    <sheetView zoomScaleNormal="100" zoomScaleSheetLayoutView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16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602120.51121064113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602120.51121064113</v>
      </c>
      <c r="O6" s="231"/>
      <c r="P6" s="231"/>
    </row>
    <row r="7" spans="1:16" ht="13.5" thickBot="1">
      <c r="C7" s="428" t="s">
        <v>46</v>
      </c>
      <c r="D7" s="596" t="s">
        <v>252</v>
      </c>
      <c r="E7" s="597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251</v>
      </c>
      <c r="E9" s="574" t="s">
        <v>259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5059278.0399999991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2014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12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133138.89578947367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2014</v>
      </c>
      <c r="D17" s="581">
        <v>5300000</v>
      </c>
      <c r="E17" s="604">
        <v>0</v>
      </c>
      <c r="F17" s="581">
        <v>5300000</v>
      </c>
      <c r="G17" s="604">
        <v>729591.46876123699</v>
      </c>
      <c r="H17" s="584">
        <v>729591.46876123699</v>
      </c>
      <c r="I17" s="472">
        <v>0</v>
      </c>
      <c r="J17" s="472"/>
      <c r="K17" s="473">
        <f t="shared" ref="K17:K22" si="0">G17</f>
        <v>729591.46876123699</v>
      </c>
      <c r="L17" s="600">
        <f t="shared" ref="L17:L22" si="1">IF(K17&lt;&gt;0,+G17-K17,0)</f>
        <v>0</v>
      </c>
      <c r="M17" s="473">
        <f t="shared" ref="M17:M22" si="2">H17</f>
        <v>729591.46876123699</v>
      </c>
      <c r="N17" s="475">
        <f>IF(M17&lt;&gt;0,+H17-M17,0)</f>
        <v>0</v>
      </c>
      <c r="O17" s="472">
        <f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2015</v>
      </c>
      <c r="D18" s="581">
        <v>5300000</v>
      </c>
      <c r="E18" s="582">
        <v>101923.07692307692</v>
      </c>
      <c r="F18" s="581">
        <v>5198076.923076923</v>
      </c>
      <c r="G18" s="582">
        <v>818590.55430690572</v>
      </c>
      <c r="H18" s="584">
        <v>818590.55430690572</v>
      </c>
      <c r="I18" s="472">
        <v>0</v>
      </c>
      <c r="J18" s="472"/>
      <c r="K18" s="473">
        <f t="shared" si="0"/>
        <v>818590.55430690572</v>
      </c>
      <c r="L18" s="600">
        <f t="shared" si="1"/>
        <v>0</v>
      </c>
      <c r="M18" s="473">
        <f t="shared" si="2"/>
        <v>818590.55430690572</v>
      </c>
      <c r="N18" s="475">
        <f>IF(M18&lt;&gt;0,+H18-M18,0)</f>
        <v>0</v>
      </c>
      <c r="O18" s="472">
        <f>+N18-L18</f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2016</v>
      </c>
      <c r="D19" s="581">
        <v>4969414.923076923</v>
      </c>
      <c r="E19" s="582">
        <v>97525.730769230766</v>
      </c>
      <c r="F19" s="581">
        <v>4871889.192307692</v>
      </c>
      <c r="G19" s="582">
        <v>736520.73076923075</v>
      </c>
      <c r="H19" s="584">
        <v>736520.73076923075</v>
      </c>
      <c r="I19" s="472">
        <f>H19-G19</f>
        <v>0</v>
      </c>
      <c r="J19" s="472"/>
      <c r="K19" s="473">
        <f t="shared" si="0"/>
        <v>736520.73076923075</v>
      </c>
      <c r="L19" s="600">
        <f t="shared" si="1"/>
        <v>0</v>
      </c>
      <c r="M19" s="473">
        <f t="shared" si="2"/>
        <v>736520.73076923075</v>
      </c>
      <c r="N19" s="475">
        <f>IF(M19&lt;&gt;0,+H19-M19,0)</f>
        <v>0</v>
      </c>
      <c r="O19" s="472">
        <f>+N19-L19</f>
        <v>0</v>
      </c>
      <c r="P19" s="241"/>
    </row>
    <row r="20" spans="2:16" ht="12.5">
      <c r="B20" s="160" t="str">
        <f t="shared" ref="B20:B72" si="3">IF(D20=F19,"","IU")</f>
        <v>IU</v>
      </c>
      <c r="C20" s="469">
        <f>IF(D11="","-",+C19+1)</f>
        <v>2017</v>
      </c>
      <c r="D20" s="581">
        <v>4859829.192307692</v>
      </c>
      <c r="E20" s="582">
        <v>109984.30434782608</v>
      </c>
      <c r="F20" s="581">
        <v>4749844.8879598659</v>
      </c>
      <c r="G20" s="582">
        <v>714452.30434782605</v>
      </c>
      <c r="H20" s="584">
        <v>714452.30434782605</v>
      </c>
      <c r="I20" s="472">
        <f t="shared" ref="I20:I72" si="4">H20-G20</f>
        <v>0</v>
      </c>
      <c r="J20" s="472"/>
      <c r="K20" s="473">
        <f t="shared" si="0"/>
        <v>714452.30434782605</v>
      </c>
      <c r="L20" s="600">
        <f t="shared" si="1"/>
        <v>0</v>
      </c>
      <c r="M20" s="473">
        <f t="shared" si="2"/>
        <v>714452.30434782605</v>
      </c>
      <c r="N20" s="475">
        <f>IF(M20&lt;&gt;0,+H20-M20,0)</f>
        <v>0</v>
      </c>
      <c r="O20" s="472">
        <f>+N20-L20</f>
        <v>0</v>
      </c>
      <c r="P20" s="241"/>
    </row>
    <row r="21" spans="2:16" ht="12.5">
      <c r="B21" s="160" t="str">
        <f t="shared" si="3"/>
        <v/>
      </c>
      <c r="C21" s="469">
        <f>IF(D11="","-",+C20+1)</f>
        <v>2018</v>
      </c>
      <c r="D21" s="581">
        <v>4749844.8879598659</v>
      </c>
      <c r="E21" s="582">
        <v>112428.4</v>
      </c>
      <c r="F21" s="581">
        <v>4637416.4879598655</v>
      </c>
      <c r="G21" s="582">
        <v>674532.63926355843</v>
      </c>
      <c r="H21" s="584">
        <v>674532.63926355843</v>
      </c>
      <c r="I21" s="472">
        <f t="shared" si="4"/>
        <v>0</v>
      </c>
      <c r="J21" s="472"/>
      <c r="K21" s="473">
        <f t="shared" si="0"/>
        <v>674532.63926355843</v>
      </c>
      <c r="L21" s="600">
        <f t="shared" si="1"/>
        <v>0</v>
      </c>
      <c r="M21" s="473">
        <f t="shared" si="2"/>
        <v>674532.63926355843</v>
      </c>
      <c r="N21" s="475">
        <f>IF(M21&lt;&gt;0,+H21-M21,0)</f>
        <v>0</v>
      </c>
      <c r="O21" s="472">
        <f>+N21-L21</f>
        <v>0</v>
      </c>
      <c r="P21" s="241"/>
    </row>
    <row r="22" spans="2:16" ht="12.5">
      <c r="B22" s="160" t="str">
        <f t="shared" si="3"/>
        <v/>
      </c>
      <c r="C22" s="469">
        <f>IF(D11="","-",+C21+1)</f>
        <v>2019</v>
      </c>
      <c r="D22" s="581">
        <v>4637416.4879598655</v>
      </c>
      <c r="E22" s="582">
        <v>126481.95</v>
      </c>
      <c r="F22" s="581">
        <v>4510934.5379598653</v>
      </c>
      <c r="G22" s="582">
        <v>637218.97874084802</v>
      </c>
      <c r="H22" s="584">
        <v>637218.97874084802</v>
      </c>
      <c r="I22" s="472">
        <f t="shared" si="4"/>
        <v>0</v>
      </c>
      <c r="J22" s="472"/>
      <c r="K22" s="473">
        <f t="shared" si="0"/>
        <v>637218.97874084802</v>
      </c>
      <c r="L22" s="600">
        <f t="shared" si="1"/>
        <v>0</v>
      </c>
      <c r="M22" s="473">
        <f t="shared" si="2"/>
        <v>637218.97874084802</v>
      </c>
      <c r="N22" s="475">
        <f t="shared" ref="N22:N72" si="5">IF(M22&lt;&gt;0,+H22-M22,0)</f>
        <v>0</v>
      </c>
      <c r="O22" s="475">
        <f t="shared" ref="O22:O72" si="6">+N22-L22</f>
        <v>0</v>
      </c>
      <c r="P22" s="241"/>
    </row>
    <row r="23" spans="2:16" ht="12.5">
      <c r="B23" s="160" t="str">
        <f t="shared" si="3"/>
        <v>IU</v>
      </c>
      <c r="C23" s="469">
        <f>IF(D11="","-",+C22+1)</f>
        <v>2020</v>
      </c>
      <c r="D23" s="581">
        <v>4524988.0879598651</v>
      </c>
      <c r="E23" s="582">
        <v>120459</v>
      </c>
      <c r="F23" s="581">
        <v>4404529.0879598651</v>
      </c>
      <c r="G23" s="582">
        <v>602674.25524940272</v>
      </c>
      <c r="H23" s="584">
        <v>602674.25524940272</v>
      </c>
      <c r="I23" s="472">
        <f t="shared" si="4"/>
        <v>0</v>
      </c>
      <c r="J23" s="472"/>
      <c r="K23" s="473">
        <f t="shared" ref="K23" si="7">G23</f>
        <v>602674.25524940272</v>
      </c>
      <c r="L23" s="600">
        <f t="shared" ref="L23" si="8">IF(K23&lt;&gt;0,+G23-K23,0)</f>
        <v>0</v>
      </c>
      <c r="M23" s="473">
        <f t="shared" ref="M23" si="9">H23</f>
        <v>602674.25524940272</v>
      </c>
      <c r="N23" s="475">
        <f t="shared" si="5"/>
        <v>0</v>
      </c>
      <c r="O23" s="475">
        <f t="shared" si="6"/>
        <v>0</v>
      </c>
      <c r="P23" s="241"/>
    </row>
    <row r="24" spans="2:16" ht="12.5">
      <c r="B24" s="160" t="str">
        <f t="shared" si="3"/>
        <v>IU</v>
      </c>
      <c r="C24" s="469">
        <f>IF(D11="","-",+C23+1)</f>
        <v>2021</v>
      </c>
      <c r="D24" s="581">
        <v>4390475.5379598662</v>
      </c>
      <c r="E24" s="582">
        <v>117657.62790697675</v>
      </c>
      <c r="F24" s="581">
        <v>4272817.910052889</v>
      </c>
      <c r="G24" s="582">
        <v>578359.62790697673</v>
      </c>
      <c r="H24" s="584">
        <v>578359.62790697673</v>
      </c>
      <c r="I24" s="472">
        <f t="shared" si="4"/>
        <v>0</v>
      </c>
      <c r="J24" s="472"/>
      <c r="K24" s="473">
        <f t="shared" ref="K24" si="10">G24</f>
        <v>578359.62790697673</v>
      </c>
      <c r="L24" s="600">
        <f t="shared" ref="L24" si="11">IF(K24&lt;&gt;0,+G24-K24,0)</f>
        <v>0</v>
      </c>
      <c r="M24" s="473">
        <f t="shared" ref="M24" si="12">H24</f>
        <v>578359.62790697673</v>
      </c>
      <c r="N24" s="475">
        <f t="shared" si="5"/>
        <v>0</v>
      </c>
      <c r="O24" s="475">
        <f t="shared" si="6"/>
        <v>0</v>
      </c>
      <c r="P24" s="241"/>
    </row>
    <row r="25" spans="2:16" ht="12.5">
      <c r="B25" s="160" t="str">
        <f t="shared" si="3"/>
        <v/>
      </c>
      <c r="C25" s="469">
        <f>IF(D11="","-",+C24+1)</f>
        <v>2022</v>
      </c>
      <c r="D25" s="581">
        <v>4272817.910052889</v>
      </c>
      <c r="E25" s="582">
        <v>120459</v>
      </c>
      <c r="F25" s="581">
        <v>4152358.910052889</v>
      </c>
      <c r="G25" s="582">
        <v>568130</v>
      </c>
      <c r="H25" s="584">
        <v>568130</v>
      </c>
      <c r="I25" s="472">
        <f t="shared" si="4"/>
        <v>0</v>
      </c>
      <c r="J25" s="472"/>
      <c r="K25" s="473">
        <f t="shared" ref="K25" si="13">G25</f>
        <v>568130</v>
      </c>
      <c r="L25" s="600">
        <f t="shared" ref="L25" si="14">IF(K25&lt;&gt;0,+G25-K25,0)</f>
        <v>0</v>
      </c>
      <c r="M25" s="473">
        <f t="shared" ref="M25" si="15">H25</f>
        <v>568130</v>
      </c>
      <c r="N25" s="475">
        <f t="shared" si="5"/>
        <v>0</v>
      </c>
      <c r="O25" s="475">
        <f t="shared" si="6"/>
        <v>0</v>
      </c>
      <c r="P25" s="241"/>
    </row>
    <row r="26" spans="2:16" ht="12.5">
      <c r="B26" s="160" t="str">
        <f t="shared" si="3"/>
        <v>IU</v>
      </c>
      <c r="C26" s="469">
        <f>IF(D11="","-",+C25+1)</f>
        <v>2023</v>
      </c>
      <c r="D26" s="581">
        <v>4152358.9500528886</v>
      </c>
      <c r="E26" s="582">
        <v>129725.07794871792</v>
      </c>
      <c r="F26" s="581">
        <v>4022633.8721041707</v>
      </c>
      <c r="G26" s="582">
        <v>609862.07794871787</v>
      </c>
      <c r="H26" s="584">
        <v>609862.07794871787</v>
      </c>
      <c r="I26" s="472">
        <f t="shared" si="4"/>
        <v>0</v>
      </c>
      <c r="J26" s="472"/>
      <c r="K26" s="473">
        <f t="shared" ref="K26" si="16">G26</f>
        <v>609862.07794871787</v>
      </c>
      <c r="L26" s="600">
        <f t="shared" ref="L26" si="17">IF(K26&lt;&gt;0,+G26-K26,0)</f>
        <v>0</v>
      </c>
      <c r="M26" s="473">
        <f t="shared" ref="M26" si="18">H26</f>
        <v>609862.07794871787</v>
      </c>
      <c r="N26" s="475">
        <f t="shared" si="5"/>
        <v>0</v>
      </c>
      <c r="O26" s="475">
        <f t="shared" si="6"/>
        <v>0</v>
      </c>
      <c r="P26" s="241"/>
    </row>
    <row r="27" spans="2:16" ht="12.5">
      <c r="B27" s="160" t="str">
        <f t="shared" si="3"/>
        <v/>
      </c>
      <c r="C27" s="469">
        <f>IF(D11="","-",+C26+1)</f>
        <v>2024</v>
      </c>
      <c r="D27" s="581">
        <v>4022633.8721041707</v>
      </c>
      <c r="E27" s="582">
        <v>129725.07794871792</v>
      </c>
      <c r="F27" s="581">
        <v>3892908.7941554529</v>
      </c>
      <c r="G27" s="582">
        <v>602120.51121064113</v>
      </c>
      <c r="H27" s="584">
        <v>602120.51121064113</v>
      </c>
      <c r="I27" s="472">
        <f t="shared" si="4"/>
        <v>0</v>
      </c>
      <c r="J27" s="472"/>
      <c r="K27" s="473">
        <f t="shared" ref="K27" si="19">G27</f>
        <v>602120.51121064113</v>
      </c>
      <c r="L27" s="600">
        <f t="shared" ref="L27" si="20">IF(K27&lt;&gt;0,+G27-K27,0)</f>
        <v>0</v>
      </c>
      <c r="M27" s="473">
        <f t="shared" ref="M27" si="21">H27</f>
        <v>602120.51121064113</v>
      </c>
      <c r="N27" s="475">
        <f t="shared" ref="N27" si="22">IF(M27&lt;&gt;0,+H27-M27,0)</f>
        <v>0</v>
      </c>
      <c r="O27" s="475">
        <f t="shared" ref="O27" si="23">+N27-L27</f>
        <v>0</v>
      </c>
      <c r="P27" s="241"/>
    </row>
    <row r="28" spans="2:16" ht="12.5">
      <c r="B28" s="160" t="str">
        <f t="shared" si="3"/>
        <v/>
      </c>
      <c r="C28" s="469">
        <f>IF(D11="","-",+C27+1)</f>
        <v>2025</v>
      </c>
      <c r="D28" s="482">
        <f>IF(F27+SUM(E$17:E27)=D$10,F27,D$10-SUM(E$17:E27))</f>
        <v>3892908.7941554529</v>
      </c>
      <c r="E28" s="481">
        <f t="shared" ref="E28:E72" si="24">IF(+$I$14&lt;F27,$I$14,D28)</f>
        <v>133138.89578947367</v>
      </c>
      <c r="F28" s="482">
        <f t="shared" ref="F28:F72" si="25">+D28-E28</f>
        <v>3759769.8983659791</v>
      </c>
      <c r="G28" s="483">
        <f t="shared" ref="G28:G72" si="26">(D28+F28)/2*I$12+E28</f>
        <v>568347.4507763295</v>
      </c>
      <c r="H28" s="452">
        <f t="shared" ref="H28:H72" si="27">+(D28+F28)/2*I$13+E28</f>
        <v>568347.4507763295</v>
      </c>
      <c r="I28" s="472">
        <f t="shared" si="4"/>
        <v>0</v>
      </c>
      <c r="J28" s="472"/>
      <c r="K28" s="484"/>
      <c r="L28" s="475">
        <f t="shared" ref="L28:L72" si="28">IF(K28&lt;&gt;0,+G28-K28,0)</f>
        <v>0</v>
      </c>
      <c r="M28" s="484"/>
      <c r="N28" s="475">
        <f t="shared" si="5"/>
        <v>0</v>
      </c>
      <c r="O28" s="475">
        <f t="shared" si="6"/>
        <v>0</v>
      </c>
      <c r="P28" s="241"/>
    </row>
    <row r="29" spans="2:16" ht="12.5">
      <c r="B29" s="160" t="str">
        <f t="shared" si="3"/>
        <v/>
      </c>
      <c r="C29" s="469">
        <f>IF(D11="","-",+C28+1)</f>
        <v>2026</v>
      </c>
      <c r="D29" s="482">
        <f>IF(F28+SUM(E$17:E28)=D$10,F28,D$10-SUM(E$17:E28))</f>
        <v>3759769.8983659791</v>
      </c>
      <c r="E29" s="481">
        <f t="shared" si="24"/>
        <v>133138.89578947367</v>
      </c>
      <c r="F29" s="482">
        <f t="shared" si="25"/>
        <v>3626631.0025765053</v>
      </c>
      <c r="G29" s="483">
        <f t="shared" si="26"/>
        <v>553204.2077950954</v>
      </c>
      <c r="H29" s="452">
        <f t="shared" si="27"/>
        <v>553204.2077950954</v>
      </c>
      <c r="I29" s="472">
        <f t="shared" si="4"/>
        <v>0</v>
      </c>
      <c r="J29" s="472"/>
      <c r="K29" s="484"/>
      <c r="L29" s="475">
        <f t="shared" si="28"/>
        <v>0</v>
      </c>
      <c r="M29" s="484"/>
      <c r="N29" s="475">
        <f t="shared" si="5"/>
        <v>0</v>
      </c>
      <c r="O29" s="475">
        <f t="shared" si="6"/>
        <v>0</v>
      </c>
      <c r="P29" s="241"/>
    </row>
    <row r="30" spans="2:16" ht="12.5">
      <c r="B30" s="160" t="str">
        <f t="shared" si="3"/>
        <v/>
      </c>
      <c r="C30" s="469">
        <f>IF(D11="","-",+C29+1)</f>
        <v>2027</v>
      </c>
      <c r="D30" s="482">
        <f>IF(F29+SUM(E$17:E29)=D$10,F29,D$10-SUM(E$17:E29))</f>
        <v>3626631.0025765053</v>
      </c>
      <c r="E30" s="481">
        <f t="shared" si="24"/>
        <v>133138.89578947367</v>
      </c>
      <c r="F30" s="482">
        <f t="shared" si="25"/>
        <v>3493492.1067870315</v>
      </c>
      <c r="G30" s="483">
        <f t="shared" si="26"/>
        <v>538060.9648138613</v>
      </c>
      <c r="H30" s="452">
        <f t="shared" si="27"/>
        <v>538060.9648138613</v>
      </c>
      <c r="I30" s="472">
        <f t="shared" si="4"/>
        <v>0</v>
      </c>
      <c r="J30" s="472"/>
      <c r="K30" s="484"/>
      <c r="L30" s="475">
        <f t="shared" si="28"/>
        <v>0</v>
      </c>
      <c r="M30" s="484"/>
      <c r="N30" s="475">
        <f t="shared" si="5"/>
        <v>0</v>
      </c>
      <c r="O30" s="475">
        <f t="shared" si="6"/>
        <v>0</v>
      </c>
      <c r="P30" s="241"/>
    </row>
    <row r="31" spans="2:16" ht="12.5">
      <c r="B31" s="160" t="str">
        <f t="shared" si="3"/>
        <v/>
      </c>
      <c r="C31" s="469">
        <f>IF(D11="","-",+C30+1)</f>
        <v>2028</v>
      </c>
      <c r="D31" s="482">
        <f>IF(F30+SUM(E$17:E30)=D$10,F30,D$10-SUM(E$17:E30))</f>
        <v>3493492.1067870315</v>
      </c>
      <c r="E31" s="481">
        <f t="shared" si="24"/>
        <v>133138.89578947367</v>
      </c>
      <c r="F31" s="482">
        <f t="shared" si="25"/>
        <v>3360353.2109975577</v>
      </c>
      <c r="G31" s="483">
        <f t="shared" si="26"/>
        <v>522917.72183262714</v>
      </c>
      <c r="H31" s="452">
        <f t="shared" si="27"/>
        <v>522917.72183262714</v>
      </c>
      <c r="I31" s="472">
        <f t="shared" si="4"/>
        <v>0</v>
      </c>
      <c r="J31" s="472"/>
      <c r="K31" s="484"/>
      <c r="L31" s="475">
        <f t="shared" si="28"/>
        <v>0</v>
      </c>
      <c r="M31" s="484"/>
      <c r="N31" s="475">
        <f t="shared" si="5"/>
        <v>0</v>
      </c>
      <c r="O31" s="475">
        <f t="shared" si="6"/>
        <v>0</v>
      </c>
      <c r="P31" s="241"/>
    </row>
    <row r="32" spans="2:16" ht="12.5">
      <c r="B32" s="160" t="str">
        <f t="shared" si="3"/>
        <v/>
      </c>
      <c r="C32" s="469">
        <f>IF(D11="","-",+C31+1)</f>
        <v>2029</v>
      </c>
      <c r="D32" s="482">
        <f>IF(F31+SUM(E$17:E31)=D$10,F31,D$10-SUM(E$17:E31))</f>
        <v>3360353.2109975577</v>
      </c>
      <c r="E32" s="481">
        <f t="shared" si="24"/>
        <v>133138.89578947367</v>
      </c>
      <c r="F32" s="482">
        <f t="shared" si="25"/>
        <v>3227214.3152080839</v>
      </c>
      <c r="G32" s="483">
        <f t="shared" si="26"/>
        <v>507774.4788513931</v>
      </c>
      <c r="H32" s="452">
        <f t="shared" si="27"/>
        <v>507774.4788513931</v>
      </c>
      <c r="I32" s="472">
        <f t="shared" si="4"/>
        <v>0</v>
      </c>
      <c r="J32" s="472"/>
      <c r="K32" s="484"/>
      <c r="L32" s="475">
        <f t="shared" si="28"/>
        <v>0</v>
      </c>
      <c r="M32" s="484"/>
      <c r="N32" s="475">
        <f t="shared" si="5"/>
        <v>0</v>
      </c>
      <c r="O32" s="475">
        <f t="shared" si="6"/>
        <v>0</v>
      </c>
      <c r="P32" s="241"/>
    </row>
    <row r="33" spans="2:16" ht="12.5">
      <c r="B33" s="160" t="str">
        <f t="shared" si="3"/>
        <v/>
      </c>
      <c r="C33" s="469">
        <f>IF(D11="","-",+C32+1)</f>
        <v>2030</v>
      </c>
      <c r="D33" s="482">
        <f>IF(F32+SUM(E$17:E32)=D$10,F32,D$10-SUM(E$17:E32))</f>
        <v>3227214.3152080839</v>
      </c>
      <c r="E33" s="481">
        <f t="shared" si="24"/>
        <v>133138.89578947367</v>
      </c>
      <c r="F33" s="482">
        <f t="shared" si="25"/>
        <v>3094075.4194186102</v>
      </c>
      <c r="G33" s="483">
        <f t="shared" si="26"/>
        <v>492631.23587015894</v>
      </c>
      <c r="H33" s="452">
        <f t="shared" si="27"/>
        <v>492631.23587015894</v>
      </c>
      <c r="I33" s="472">
        <f t="shared" si="4"/>
        <v>0</v>
      </c>
      <c r="J33" s="472"/>
      <c r="K33" s="484"/>
      <c r="L33" s="475">
        <f t="shared" si="28"/>
        <v>0</v>
      </c>
      <c r="M33" s="484"/>
      <c r="N33" s="475">
        <f t="shared" si="5"/>
        <v>0</v>
      </c>
      <c r="O33" s="475">
        <f t="shared" si="6"/>
        <v>0</v>
      </c>
      <c r="P33" s="241"/>
    </row>
    <row r="34" spans="2:16" ht="12.5">
      <c r="B34" s="160" t="str">
        <f t="shared" si="3"/>
        <v/>
      </c>
      <c r="C34" s="469">
        <f>IF(D11="","-",+C33+1)</f>
        <v>2031</v>
      </c>
      <c r="D34" s="482">
        <f>IF(F33+SUM(E$17:E33)=D$10,F33,D$10-SUM(E$17:E33))</f>
        <v>3094075.4194186102</v>
      </c>
      <c r="E34" s="481">
        <f t="shared" si="24"/>
        <v>133138.89578947367</v>
      </c>
      <c r="F34" s="482">
        <f t="shared" si="25"/>
        <v>2960936.5236291364</v>
      </c>
      <c r="G34" s="483">
        <f t="shared" si="26"/>
        <v>477487.9928889249</v>
      </c>
      <c r="H34" s="452">
        <f t="shared" si="27"/>
        <v>477487.9928889249</v>
      </c>
      <c r="I34" s="472">
        <f t="shared" si="4"/>
        <v>0</v>
      </c>
      <c r="J34" s="472"/>
      <c r="K34" s="484"/>
      <c r="L34" s="475">
        <f t="shared" si="28"/>
        <v>0</v>
      </c>
      <c r="M34" s="484"/>
      <c r="N34" s="475">
        <f t="shared" si="5"/>
        <v>0</v>
      </c>
      <c r="O34" s="475">
        <f t="shared" si="6"/>
        <v>0</v>
      </c>
      <c r="P34" s="241"/>
    </row>
    <row r="35" spans="2:16" ht="12.5">
      <c r="B35" s="160" t="str">
        <f t="shared" si="3"/>
        <v/>
      </c>
      <c r="C35" s="469">
        <f>IF(D11="","-",+C34+1)</f>
        <v>2032</v>
      </c>
      <c r="D35" s="482">
        <f>IF(F34+SUM(E$17:E34)=D$10,F34,D$10-SUM(E$17:E34))</f>
        <v>2960936.5236291364</v>
      </c>
      <c r="E35" s="481">
        <f t="shared" si="24"/>
        <v>133138.89578947367</v>
      </c>
      <c r="F35" s="482">
        <f t="shared" si="25"/>
        <v>2827797.6278396626</v>
      </c>
      <c r="G35" s="483">
        <f t="shared" si="26"/>
        <v>462344.74990769074</v>
      </c>
      <c r="H35" s="452">
        <f t="shared" si="27"/>
        <v>462344.74990769074</v>
      </c>
      <c r="I35" s="472">
        <f t="shared" si="4"/>
        <v>0</v>
      </c>
      <c r="J35" s="472"/>
      <c r="K35" s="484"/>
      <c r="L35" s="475">
        <f t="shared" si="28"/>
        <v>0</v>
      </c>
      <c r="M35" s="484"/>
      <c r="N35" s="475">
        <f t="shared" si="5"/>
        <v>0</v>
      </c>
      <c r="O35" s="475">
        <f t="shared" si="6"/>
        <v>0</v>
      </c>
      <c r="P35" s="241"/>
    </row>
    <row r="36" spans="2:16" ht="12.5">
      <c r="B36" s="160" t="str">
        <f t="shared" si="3"/>
        <v/>
      </c>
      <c r="C36" s="469">
        <f>IF(D11="","-",+C35+1)</f>
        <v>2033</v>
      </c>
      <c r="D36" s="482">
        <f>IF(F35+SUM(E$17:E35)=D$10,F35,D$10-SUM(E$17:E35))</f>
        <v>2827797.6278396626</v>
      </c>
      <c r="E36" s="481">
        <f t="shared" si="24"/>
        <v>133138.89578947367</v>
      </c>
      <c r="F36" s="482">
        <f t="shared" si="25"/>
        <v>2694658.7320501888</v>
      </c>
      <c r="G36" s="483">
        <f t="shared" si="26"/>
        <v>447201.5069264567</v>
      </c>
      <c r="H36" s="452">
        <f t="shared" si="27"/>
        <v>447201.5069264567</v>
      </c>
      <c r="I36" s="472">
        <f t="shared" si="4"/>
        <v>0</v>
      </c>
      <c r="J36" s="472"/>
      <c r="K36" s="484"/>
      <c r="L36" s="475">
        <f t="shared" si="28"/>
        <v>0</v>
      </c>
      <c r="M36" s="484"/>
      <c r="N36" s="475">
        <f t="shared" si="5"/>
        <v>0</v>
      </c>
      <c r="O36" s="475">
        <f t="shared" si="6"/>
        <v>0</v>
      </c>
      <c r="P36" s="241"/>
    </row>
    <row r="37" spans="2:16" ht="12.5">
      <c r="B37" s="160" t="str">
        <f t="shared" si="3"/>
        <v/>
      </c>
      <c r="C37" s="469">
        <f>IF(D11="","-",+C36+1)</f>
        <v>2034</v>
      </c>
      <c r="D37" s="482">
        <f>IF(F36+SUM(E$17:E36)=D$10,F36,D$10-SUM(E$17:E36))</f>
        <v>2694658.7320501888</v>
      </c>
      <c r="E37" s="481">
        <f t="shared" si="24"/>
        <v>133138.89578947367</v>
      </c>
      <c r="F37" s="482">
        <f t="shared" si="25"/>
        <v>2561519.836260715</v>
      </c>
      <c r="G37" s="483">
        <f t="shared" si="26"/>
        <v>432058.26394522254</v>
      </c>
      <c r="H37" s="452">
        <f t="shared" si="27"/>
        <v>432058.26394522254</v>
      </c>
      <c r="I37" s="472">
        <f t="shared" si="4"/>
        <v>0</v>
      </c>
      <c r="J37" s="472"/>
      <c r="K37" s="484"/>
      <c r="L37" s="475">
        <f t="shared" si="28"/>
        <v>0</v>
      </c>
      <c r="M37" s="484"/>
      <c r="N37" s="475">
        <f t="shared" si="5"/>
        <v>0</v>
      </c>
      <c r="O37" s="475">
        <f t="shared" si="6"/>
        <v>0</v>
      </c>
      <c r="P37" s="241"/>
    </row>
    <row r="38" spans="2:16" ht="12.5">
      <c r="B38" s="160" t="str">
        <f t="shared" si="3"/>
        <v/>
      </c>
      <c r="C38" s="469">
        <f>IF(D11="","-",+C37+1)</f>
        <v>2035</v>
      </c>
      <c r="D38" s="482">
        <f>IF(F37+SUM(E$17:E37)=D$10,F37,D$10-SUM(E$17:E37))</f>
        <v>2561519.836260715</v>
      </c>
      <c r="E38" s="481">
        <f t="shared" si="24"/>
        <v>133138.89578947367</v>
      </c>
      <c r="F38" s="482">
        <f t="shared" si="25"/>
        <v>2428380.9404712413</v>
      </c>
      <c r="G38" s="483">
        <f t="shared" si="26"/>
        <v>416915.0209639885</v>
      </c>
      <c r="H38" s="452">
        <f t="shared" si="27"/>
        <v>416915.0209639885</v>
      </c>
      <c r="I38" s="472">
        <f t="shared" si="4"/>
        <v>0</v>
      </c>
      <c r="J38" s="472"/>
      <c r="K38" s="484"/>
      <c r="L38" s="475">
        <f t="shared" si="28"/>
        <v>0</v>
      </c>
      <c r="M38" s="484"/>
      <c r="N38" s="475">
        <f t="shared" si="5"/>
        <v>0</v>
      </c>
      <c r="O38" s="475">
        <f t="shared" si="6"/>
        <v>0</v>
      </c>
      <c r="P38" s="241"/>
    </row>
    <row r="39" spans="2:16" ht="12.5">
      <c r="B39" s="160" t="str">
        <f t="shared" si="3"/>
        <v/>
      </c>
      <c r="C39" s="469">
        <f>IF(D11="","-",+C38+1)</f>
        <v>2036</v>
      </c>
      <c r="D39" s="482">
        <f>IF(F38+SUM(E$17:E38)=D$10,F38,D$10-SUM(E$17:E38))</f>
        <v>2428380.9404712413</v>
      </c>
      <c r="E39" s="481">
        <f t="shared" si="24"/>
        <v>133138.89578947367</v>
      </c>
      <c r="F39" s="482">
        <f t="shared" si="25"/>
        <v>2295242.0446817675</v>
      </c>
      <c r="G39" s="483">
        <f t="shared" si="26"/>
        <v>401771.77798275434</v>
      </c>
      <c r="H39" s="452">
        <f t="shared" si="27"/>
        <v>401771.77798275434</v>
      </c>
      <c r="I39" s="472">
        <f t="shared" si="4"/>
        <v>0</v>
      </c>
      <c r="J39" s="472"/>
      <c r="K39" s="484"/>
      <c r="L39" s="475">
        <f t="shared" si="28"/>
        <v>0</v>
      </c>
      <c r="M39" s="484"/>
      <c r="N39" s="475">
        <f t="shared" si="5"/>
        <v>0</v>
      </c>
      <c r="O39" s="475">
        <f t="shared" si="6"/>
        <v>0</v>
      </c>
      <c r="P39" s="241"/>
    </row>
    <row r="40" spans="2:16" ht="12.5">
      <c r="B40" s="160" t="str">
        <f t="shared" si="3"/>
        <v/>
      </c>
      <c r="C40" s="469">
        <f>IF(D11="","-",+C39+1)</f>
        <v>2037</v>
      </c>
      <c r="D40" s="482">
        <f>IF(F39+SUM(E$17:E39)=D$10,F39,D$10-SUM(E$17:E39))</f>
        <v>2295242.0446817675</v>
      </c>
      <c r="E40" s="481">
        <f t="shared" si="24"/>
        <v>133138.89578947367</v>
      </c>
      <c r="F40" s="482">
        <f t="shared" si="25"/>
        <v>2162103.1488922937</v>
      </c>
      <c r="G40" s="483">
        <f t="shared" si="26"/>
        <v>386628.5350015203</v>
      </c>
      <c r="H40" s="452">
        <f t="shared" si="27"/>
        <v>386628.5350015203</v>
      </c>
      <c r="I40" s="472">
        <f t="shared" si="4"/>
        <v>0</v>
      </c>
      <c r="J40" s="472"/>
      <c r="K40" s="484"/>
      <c r="L40" s="475">
        <f t="shared" si="28"/>
        <v>0</v>
      </c>
      <c r="M40" s="484"/>
      <c r="N40" s="475">
        <f t="shared" si="5"/>
        <v>0</v>
      </c>
      <c r="O40" s="475">
        <f t="shared" si="6"/>
        <v>0</v>
      </c>
      <c r="P40" s="241"/>
    </row>
    <row r="41" spans="2:16" ht="12.5">
      <c r="B41" s="160" t="str">
        <f t="shared" si="3"/>
        <v/>
      </c>
      <c r="C41" s="469">
        <f>IF(D11="","-",+C40+1)</f>
        <v>2038</v>
      </c>
      <c r="D41" s="482">
        <f>IF(F40+SUM(E$17:E40)=D$10,F40,D$10-SUM(E$17:E40))</f>
        <v>2162103.1488922937</v>
      </c>
      <c r="E41" s="481">
        <f t="shared" si="24"/>
        <v>133138.89578947367</v>
      </c>
      <c r="F41" s="482">
        <f t="shared" si="25"/>
        <v>2028964.2531028199</v>
      </c>
      <c r="G41" s="483">
        <f t="shared" si="26"/>
        <v>371485.2920202862</v>
      </c>
      <c r="H41" s="452">
        <f t="shared" si="27"/>
        <v>371485.2920202862</v>
      </c>
      <c r="I41" s="472">
        <f t="shared" si="4"/>
        <v>0</v>
      </c>
      <c r="J41" s="472"/>
      <c r="K41" s="484"/>
      <c r="L41" s="475">
        <f t="shared" si="28"/>
        <v>0</v>
      </c>
      <c r="M41" s="484"/>
      <c r="N41" s="475">
        <f t="shared" si="5"/>
        <v>0</v>
      </c>
      <c r="O41" s="475">
        <f t="shared" si="6"/>
        <v>0</v>
      </c>
      <c r="P41" s="241"/>
    </row>
    <row r="42" spans="2:16" ht="12.5">
      <c r="B42" s="160" t="str">
        <f t="shared" si="3"/>
        <v/>
      </c>
      <c r="C42" s="469">
        <f>IF(D11="","-",+C41+1)</f>
        <v>2039</v>
      </c>
      <c r="D42" s="482">
        <f>IF(F41+SUM(E$17:E41)=D$10,F41,D$10-SUM(E$17:E41))</f>
        <v>2028964.2531028199</v>
      </c>
      <c r="E42" s="481">
        <f t="shared" si="24"/>
        <v>133138.89578947367</v>
      </c>
      <c r="F42" s="482">
        <f t="shared" si="25"/>
        <v>1895825.3573133461</v>
      </c>
      <c r="G42" s="483">
        <f t="shared" si="26"/>
        <v>356342.0490390521</v>
      </c>
      <c r="H42" s="452">
        <f t="shared" si="27"/>
        <v>356342.0490390521</v>
      </c>
      <c r="I42" s="472">
        <f t="shared" si="4"/>
        <v>0</v>
      </c>
      <c r="J42" s="472"/>
      <c r="K42" s="484"/>
      <c r="L42" s="475">
        <f t="shared" si="28"/>
        <v>0</v>
      </c>
      <c r="M42" s="484"/>
      <c r="N42" s="475">
        <f t="shared" si="5"/>
        <v>0</v>
      </c>
      <c r="O42" s="475">
        <f t="shared" si="6"/>
        <v>0</v>
      </c>
      <c r="P42" s="241"/>
    </row>
    <row r="43" spans="2:16" ht="12.5">
      <c r="B43" s="160" t="str">
        <f t="shared" si="3"/>
        <v/>
      </c>
      <c r="C43" s="469">
        <f>IF(D11="","-",+C42+1)</f>
        <v>2040</v>
      </c>
      <c r="D43" s="482">
        <f>IF(F42+SUM(E$17:E42)=D$10,F42,D$10-SUM(E$17:E42))</f>
        <v>1895825.3573133461</v>
      </c>
      <c r="E43" s="481">
        <f t="shared" si="24"/>
        <v>133138.89578947367</v>
      </c>
      <c r="F43" s="482">
        <f t="shared" si="25"/>
        <v>1762686.4615238723</v>
      </c>
      <c r="G43" s="483">
        <f t="shared" si="26"/>
        <v>341198.806057818</v>
      </c>
      <c r="H43" s="452">
        <f t="shared" si="27"/>
        <v>341198.806057818</v>
      </c>
      <c r="I43" s="472">
        <f t="shared" si="4"/>
        <v>0</v>
      </c>
      <c r="J43" s="472"/>
      <c r="K43" s="484"/>
      <c r="L43" s="475">
        <f t="shared" si="28"/>
        <v>0</v>
      </c>
      <c r="M43" s="484"/>
      <c r="N43" s="475">
        <f t="shared" si="5"/>
        <v>0</v>
      </c>
      <c r="O43" s="475">
        <f t="shared" si="6"/>
        <v>0</v>
      </c>
      <c r="P43" s="241"/>
    </row>
    <row r="44" spans="2:16" ht="12.5">
      <c r="B44" s="160" t="str">
        <f t="shared" si="3"/>
        <v/>
      </c>
      <c r="C44" s="469">
        <f>IF(D11="","-",+C43+1)</f>
        <v>2041</v>
      </c>
      <c r="D44" s="482">
        <f>IF(F43+SUM(E$17:E43)=D$10,F43,D$10-SUM(E$17:E43))</f>
        <v>1762686.4615238723</v>
      </c>
      <c r="E44" s="481">
        <f t="shared" si="24"/>
        <v>133138.89578947367</v>
      </c>
      <c r="F44" s="482">
        <f t="shared" si="25"/>
        <v>1629547.5657343986</v>
      </c>
      <c r="G44" s="483">
        <f t="shared" si="26"/>
        <v>326055.5630765839</v>
      </c>
      <c r="H44" s="452">
        <f t="shared" si="27"/>
        <v>326055.5630765839</v>
      </c>
      <c r="I44" s="472">
        <f t="shared" si="4"/>
        <v>0</v>
      </c>
      <c r="J44" s="472"/>
      <c r="K44" s="484"/>
      <c r="L44" s="475">
        <f t="shared" si="28"/>
        <v>0</v>
      </c>
      <c r="M44" s="484"/>
      <c r="N44" s="475">
        <f t="shared" si="5"/>
        <v>0</v>
      </c>
      <c r="O44" s="475">
        <f t="shared" si="6"/>
        <v>0</v>
      </c>
      <c r="P44" s="241"/>
    </row>
    <row r="45" spans="2:16" ht="12.5">
      <c r="B45" s="160" t="str">
        <f t="shared" si="3"/>
        <v/>
      </c>
      <c r="C45" s="469">
        <f>IF(D11="","-",+C44+1)</f>
        <v>2042</v>
      </c>
      <c r="D45" s="482">
        <f>IF(F44+SUM(E$17:E44)=D$10,F44,D$10-SUM(E$17:E44))</f>
        <v>1629547.5657343986</v>
      </c>
      <c r="E45" s="481">
        <f t="shared" si="24"/>
        <v>133138.89578947367</v>
      </c>
      <c r="F45" s="482">
        <f t="shared" si="25"/>
        <v>1496408.6699449248</v>
      </c>
      <c r="G45" s="483">
        <f t="shared" si="26"/>
        <v>310912.32009534974</v>
      </c>
      <c r="H45" s="452">
        <f t="shared" si="27"/>
        <v>310912.32009534974</v>
      </c>
      <c r="I45" s="472">
        <f t="shared" si="4"/>
        <v>0</v>
      </c>
      <c r="J45" s="472"/>
      <c r="K45" s="484"/>
      <c r="L45" s="475">
        <f t="shared" si="28"/>
        <v>0</v>
      </c>
      <c r="M45" s="484"/>
      <c r="N45" s="475">
        <f t="shared" si="5"/>
        <v>0</v>
      </c>
      <c r="O45" s="475">
        <f t="shared" si="6"/>
        <v>0</v>
      </c>
      <c r="P45" s="241"/>
    </row>
    <row r="46" spans="2:16" ht="12.5">
      <c r="B46" s="160" t="str">
        <f t="shared" si="3"/>
        <v/>
      </c>
      <c r="C46" s="469">
        <f>IF(D11="","-",+C45+1)</f>
        <v>2043</v>
      </c>
      <c r="D46" s="482">
        <f>IF(F45+SUM(E$17:E45)=D$10,F45,D$10-SUM(E$17:E45))</f>
        <v>1496408.6699449248</v>
      </c>
      <c r="E46" s="481">
        <f t="shared" si="24"/>
        <v>133138.89578947367</v>
      </c>
      <c r="F46" s="482">
        <f t="shared" si="25"/>
        <v>1363269.774155451</v>
      </c>
      <c r="G46" s="483">
        <f t="shared" si="26"/>
        <v>295769.07711411564</v>
      </c>
      <c r="H46" s="452">
        <f t="shared" si="27"/>
        <v>295769.07711411564</v>
      </c>
      <c r="I46" s="472">
        <f t="shared" si="4"/>
        <v>0</v>
      </c>
      <c r="J46" s="472"/>
      <c r="K46" s="484"/>
      <c r="L46" s="475">
        <f t="shared" si="28"/>
        <v>0</v>
      </c>
      <c r="M46" s="484"/>
      <c r="N46" s="475">
        <f t="shared" si="5"/>
        <v>0</v>
      </c>
      <c r="O46" s="475">
        <f t="shared" si="6"/>
        <v>0</v>
      </c>
      <c r="P46" s="241"/>
    </row>
    <row r="47" spans="2:16" ht="12.5">
      <c r="B47" s="160" t="str">
        <f t="shared" si="3"/>
        <v/>
      </c>
      <c r="C47" s="469">
        <f>IF(D11="","-",+C46+1)</f>
        <v>2044</v>
      </c>
      <c r="D47" s="482">
        <f>IF(F46+SUM(E$17:E46)=D$10,F46,D$10-SUM(E$17:E46))</f>
        <v>1363269.774155451</v>
      </c>
      <c r="E47" s="481">
        <f t="shared" si="24"/>
        <v>133138.89578947367</v>
      </c>
      <c r="F47" s="482">
        <f t="shared" si="25"/>
        <v>1230130.8783659772</v>
      </c>
      <c r="G47" s="483">
        <f t="shared" si="26"/>
        <v>280625.83413288154</v>
      </c>
      <c r="H47" s="452">
        <f t="shared" si="27"/>
        <v>280625.83413288154</v>
      </c>
      <c r="I47" s="472">
        <f t="shared" si="4"/>
        <v>0</v>
      </c>
      <c r="J47" s="472"/>
      <c r="K47" s="484"/>
      <c r="L47" s="475">
        <f t="shared" si="28"/>
        <v>0</v>
      </c>
      <c r="M47" s="484"/>
      <c r="N47" s="475">
        <f t="shared" si="5"/>
        <v>0</v>
      </c>
      <c r="O47" s="475">
        <f t="shared" si="6"/>
        <v>0</v>
      </c>
      <c r="P47" s="241"/>
    </row>
    <row r="48" spans="2:16" ht="12.5">
      <c r="B48" s="160" t="str">
        <f t="shared" si="3"/>
        <v/>
      </c>
      <c r="C48" s="469">
        <f>IF(D11="","-",+C47+1)</f>
        <v>2045</v>
      </c>
      <c r="D48" s="482">
        <f>IF(F47+SUM(E$17:E47)=D$10,F47,D$10-SUM(E$17:E47))</f>
        <v>1230130.8783659772</v>
      </c>
      <c r="E48" s="481">
        <f t="shared" si="24"/>
        <v>133138.89578947367</v>
      </c>
      <c r="F48" s="482">
        <f t="shared" si="25"/>
        <v>1096991.9825765034</v>
      </c>
      <c r="G48" s="483">
        <f t="shared" si="26"/>
        <v>265482.59115164744</v>
      </c>
      <c r="H48" s="452">
        <f t="shared" si="27"/>
        <v>265482.59115164744</v>
      </c>
      <c r="I48" s="472">
        <f t="shared" si="4"/>
        <v>0</v>
      </c>
      <c r="J48" s="472"/>
      <c r="K48" s="484"/>
      <c r="L48" s="475">
        <f t="shared" si="28"/>
        <v>0</v>
      </c>
      <c r="M48" s="484"/>
      <c r="N48" s="475">
        <f t="shared" si="5"/>
        <v>0</v>
      </c>
      <c r="O48" s="475">
        <f t="shared" si="6"/>
        <v>0</v>
      </c>
      <c r="P48" s="241"/>
    </row>
    <row r="49" spans="2:16" ht="12.5">
      <c r="B49" s="160" t="str">
        <f t="shared" si="3"/>
        <v/>
      </c>
      <c r="C49" s="469">
        <f>IF(D11="","-",+C48+1)</f>
        <v>2046</v>
      </c>
      <c r="D49" s="482">
        <f>IF(F48+SUM(E$17:E48)=D$10,F48,D$10-SUM(E$17:E48))</f>
        <v>1096991.9825765034</v>
      </c>
      <c r="E49" s="481">
        <f t="shared" si="24"/>
        <v>133138.89578947367</v>
      </c>
      <c r="F49" s="482">
        <f t="shared" si="25"/>
        <v>963853.08678702975</v>
      </c>
      <c r="G49" s="483">
        <f t="shared" si="26"/>
        <v>250339.34817041334</v>
      </c>
      <c r="H49" s="452">
        <f t="shared" si="27"/>
        <v>250339.34817041334</v>
      </c>
      <c r="I49" s="472">
        <f t="shared" si="4"/>
        <v>0</v>
      </c>
      <c r="J49" s="472"/>
      <c r="K49" s="484"/>
      <c r="L49" s="475">
        <f t="shared" si="28"/>
        <v>0</v>
      </c>
      <c r="M49" s="484"/>
      <c r="N49" s="475">
        <f t="shared" si="5"/>
        <v>0</v>
      </c>
      <c r="O49" s="475">
        <f t="shared" si="6"/>
        <v>0</v>
      </c>
      <c r="P49" s="241"/>
    </row>
    <row r="50" spans="2:16" ht="12.5">
      <c r="B50" s="160" t="str">
        <f t="shared" si="3"/>
        <v/>
      </c>
      <c r="C50" s="469">
        <f>IF(D11="","-",+C49+1)</f>
        <v>2047</v>
      </c>
      <c r="D50" s="482">
        <f>IF(F49+SUM(E$17:E49)=D$10,F49,D$10-SUM(E$17:E49))</f>
        <v>963853.08678702975</v>
      </c>
      <c r="E50" s="481">
        <f t="shared" si="24"/>
        <v>133138.89578947367</v>
      </c>
      <c r="F50" s="482">
        <f t="shared" si="25"/>
        <v>830714.19099755608</v>
      </c>
      <c r="G50" s="483">
        <f t="shared" si="26"/>
        <v>235196.10518917927</v>
      </c>
      <c r="H50" s="452">
        <f t="shared" si="27"/>
        <v>235196.10518917927</v>
      </c>
      <c r="I50" s="472">
        <f t="shared" si="4"/>
        <v>0</v>
      </c>
      <c r="J50" s="472"/>
      <c r="K50" s="484"/>
      <c r="L50" s="475">
        <f t="shared" si="28"/>
        <v>0</v>
      </c>
      <c r="M50" s="484"/>
      <c r="N50" s="475">
        <f t="shared" si="5"/>
        <v>0</v>
      </c>
      <c r="O50" s="475">
        <f t="shared" si="6"/>
        <v>0</v>
      </c>
      <c r="P50" s="241"/>
    </row>
    <row r="51" spans="2:16" ht="12.5">
      <c r="B51" s="160" t="str">
        <f t="shared" si="3"/>
        <v/>
      </c>
      <c r="C51" s="469">
        <f>IF(D11="","-",+C50+1)</f>
        <v>2048</v>
      </c>
      <c r="D51" s="482">
        <f>IF(F50+SUM(E$17:E50)=D$10,F50,D$10-SUM(E$17:E50))</f>
        <v>830714.19099755608</v>
      </c>
      <c r="E51" s="481">
        <f t="shared" si="24"/>
        <v>133138.89578947367</v>
      </c>
      <c r="F51" s="482">
        <f t="shared" si="25"/>
        <v>697575.29520808242</v>
      </c>
      <c r="G51" s="483">
        <f t="shared" si="26"/>
        <v>220052.86220794517</v>
      </c>
      <c r="H51" s="452">
        <f t="shared" si="27"/>
        <v>220052.86220794517</v>
      </c>
      <c r="I51" s="472">
        <f t="shared" si="4"/>
        <v>0</v>
      </c>
      <c r="J51" s="472"/>
      <c r="K51" s="484"/>
      <c r="L51" s="475">
        <f t="shared" si="28"/>
        <v>0</v>
      </c>
      <c r="M51" s="484"/>
      <c r="N51" s="475">
        <f t="shared" si="5"/>
        <v>0</v>
      </c>
      <c r="O51" s="475">
        <f t="shared" si="6"/>
        <v>0</v>
      </c>
      <c r="P51" s="241"/>
    </row>
    <row r="52" spans="2:16" ht="12.5">
      <c r="B52" s="160" t="str">
        <f t="shared" si="3"/>
        <v/>
      </c>
      <c r="C52" s="469">
        <f>IF(D11="","-",+C51+1)</f>
        <v>2049</v>
      </c>
      <c r="D52" s="482">
        <f>IF(F51+SUM(E$17:E51)=D$10,F51,D$10-SUM(E$17:E51))</f>
        <v>697575.29520808242</v>
      </c>
      <c r="E52" s="481">
        <f t="shared" si="24"/>
        <v>133138.89578947367</v>
      </c>
      <c r="F52" s="482">
        <f t="shared" si="25"/>
        <v>564436.39941860875</v>
      </c>
      <c r="G52" s="483">
        <f t="shared" si="26"/>
        <v>204909.6192267111</v>
      </c>
      <c r="H52" s="452">
        <f t="shared" si="27"/>
        <v>204909.6192267111</v>
      </c>
      <c r="I52" s="472">
        <f t="shared" si="4"/>
        <v>0</v>
      </c>
      <c r="J52" s="472"/>
      <c r="K52" s="484"/>
      <c r="L52" s="475">
        <f t="shared" si="28"/>
        <v>0</v>
      </c>
      <c r="M52" s="484"/>
      <c r="N52" s="475">
        <f t="shared" si="5"/>
        <v>0</v>
      </c>
      <c r="O52" s="475">
        <f t="shared" si="6"/>
        <v>0</v>
      </c>
      <c r="P52" s="241"/>
    </row>
    <row r="53" spans="2:16" ht="12.5">
      <c r="B53" s="160" t="str">
        <f t="shared" si="3"/>
        <v/>
      </c>
      <c r="C53" s="469">
        <f>IF(D11="","-",+C52+1)</f>
        <v>2050</v>
      </c>
      <c r="D53" s="482">
        <f>IF(F52+SUM(E$17:E52)=D$10,F52,D$10-SUM(E$17:E52))</f>
        <v>564436.39941860875</v>
      </c>
      <c r="E53" s="481">
        <f t="shared" si="24"/>
        <v>133138.89578947367</v>
      </c>
      <c r="F53" s="482">
        <f t="shared" si="25"/>
        <v>431297.50362913508</v>
      </c>
      <c r="G53" s="483">
        <f t="shared" si="26"/>
        <v>189766.376245477</v>
      </c>
      <c r="H53" s="452">
        <f t="shared" si="27"/>
        <v>189766.376245477</v>
      </c>
      <c r="I53" s="472">
        <f t="shared" si="4"/>
        <v>0</v>
      </c>
      <c r="J53" s="472"/>
      <c r="K53" s="484"/>
      <c r="L53" s="475">
        <f t="shared" si="28"/>
        <v>0</v>
      </c>
      <c r="M53" s="484"/>
      <c r="N53" s="475">
        <f t="shared" si="5"/>
        <v>0</v>
      </c>
      <c r="O53" s="475">
        <f t="shared" si="6"/>
        <v>0</v>
      </c>
      <c r="P53" s="241"/>
    </row>
    <row r="54" spans="2:16" ht="12.5">
      <c r="B54" s="160" t="str">
        <f t="shared" si="3"/>
        <v/>
      </c>
      <c r="C54" s="469">
        <f>IF(D11="","-",+C53+1)</f>
        <v>2051</v>
      </c>
      <c r="D54" s="482">
        <f>IF(F53+SUM(E$17:E53)=D$10,F53,D$10-SUM(E$17:E53))</f>
        <v>431297.50362913508</v>
      </c>
      <c r="E54" s="481">
        <f t="shared" si="24"/>
        <v>133138.89578947367</v>
      </c>
      <c r="F54" s="482">
        <f t="shared" si="25"/>
        <v>298158.60783966142</v>
      </c>
      <c r="G54" s="483">
        <f t="shared" si="26"/>
        <v>174623.1332642429</v>
      </c>
      <c r="H54" s="452">
        <f t="shared" si="27"/>
        <v>174623.1332642429</v>
      </c>
      <c r="I54" s="472">
        <f t="shared" si="4"/>
        <v>0</v>
      </c>
      <c r="J54" s="472"/>
      <c r="K54" s="484"/>
      <c r="L54" s="475">
        <f t="shared" si="28"/>
        <v>0</v>
      </c>
      <c r="M54" s="484"/>
      <c r="N54" s="475">
        <f t="shared" si="5"/>
        <v>0</v>
      </c>
      <c r="O54" s="475">
        <f t="shared" si="6"/>
        <v>0</v>
      </c>
      <c r="P54" s="241"/>
    </row>
    <row r="55" spans="2:16" ht="12.5">
      <c r="B55" s="160" t="str">
        <f t="shared" si="3"/>
        <v/>
      </c>
      <c r="C55" s="469">
        <f>IF(D11="","-",+C54+1)</f>
        <v>2052</v>
      </c>
      <c r="D55" s="482">
        <f>IF(F54+SUM(E$17:E54)=D$10,F54,D$10-SUM(E$17:E54))</f>
        <v>298158.60783966142</v>
      </c>
      <c r="E55" s="481">
        <f t="shared" si="24"/>
        <v>133138.89578947367</v>
      </c>
      <c r="F55" s="482">
        <f t="shared" si="25"/>
        <v>165019.71205018775</v>
      </c>
      <c r="G55" s="483">
        <f t="shared" si="26"/>
        <v>159479.89028300883</v>
      </c>
      <c r="H55" s="452">
        <f t="shared" si="27"/>
        <v>159479.89028300883</v>
      </c>
      <c r="I55" s="472">
        <f t="shared" si="4"/>
        <v>0</v>
      </c>
      <c r="J55" s="472"/>
      <c r="K55" s="484"/>
      <c r="L55" s="475">
        <f t="shared" si="28"/>
        <v>0</v>
      </c>
      <c r="M55" s="484"/>
      <c r="N55" s="475">
        <f t="shared" si="5"/>
        <v>0</v>
      </c>
      <c r="O55" s="475">
        <f t="shared" si="6"/>
        <v>0</v>
      </c>
      <c r="P55" s="241"/>
    </row>
    <row r="56" spans="2:16" ht="12.5">
      <c r="B56" s="160" t="str">
        <f t="shared" si="3"/>
        <v/>
      </c>
      <c r="C56" s="469">
        <f>IF(D11="","-",+C55+1)</f>
        <v>2053</v>
      </c>
      <c r="D56" s="482">
        <f>IF(F55+SUM(E$17:E55)=D$10,F55,D$10-SUM(E$17:E55))</f>
        <v>165019.71205018775</v>
      </c>
      <c r="E56" s="481">
        <f t="shared" si="24"/>
        <v>133138.89578947367</v>
      </c>
      <c r="F56" s="482">
        <f t="shared" si="25"/>
        <v>31880.816260714084</v>
      </c>
      <c r="G56" s="483">
        <f t="shared" si="26"/>
        <v>144336.64730177473</v>
      </c>
      <c r="H56" s="452">
        <f t="shared" si="27"/>
        <v>144336.64730177473</v>
      </c>
      <c r="I56" s="472">
        <f t="shared" si="4"/>
        <v>0</v>
      </c>
      <c r="J56" s="472"/>
      <c r="K56" s="484"/>
      <c r="L56" s="475">
        <f t="shared" si="28"/>
        <v>0</v>
      </c>
      <c r="M56" s="484"/>
      <c r="N56" s="475">
        <f t="shared" si="5"/>
        <v>0</v>
      </c>
      <c r="O56" s="475">
        <f t="shared" si="6"/>
        <v>0</v>
      </c>
      <c r="P56" s="241"/>
    </row>
    <row r="57" spans="2:16" ht="12.5">
      <c r="B57" s="160" t="str">
        <f t="shared" si="3"/>
        <v/>
      </c>
      <c r="C57" s="469">
        <f>IF(D11="","-",+C56+1)</f>
        <v>2054</v>
      </c>
      <c r="D57" s="482">
        <f>IF(F56+SUM(E$17:E56)=D$10,F56,D$10-SUM(E$17:E56))</f>
        <v>31880.816260714084</v>
      </c>
      <c r="E57" s="481">
        <f t="shared" si="24"/>
        <v>31880.816260714084</v>
      </c>
      <c r="F57" s="482">
        <f t="shared" si="25"/>
        <v>0</v>
      </c>
      <c r="G57" s="483">
        <f t="shared" si="26"/>
        <v>33693.8812715561</v>
      </c>
      <c r="H57" s="452">
        <f t="shared" si="27"/>
        <v>33693.8812715561</v>
      </c>
      <c r="I57" s="472">
        <f t="shared" si="4"/>
        <v>0</v>
      </c>
      <c r="J57" s="472"/>
      <c r="K57" s="484"/>
      <c r="L57" s="475">
        <f t="shared" si="28"/>
        <v>0</v>
      </c>
      <c r="M57" s="484"/>
      <c r="N57" s="475">
        <f t="shared" si="5"/>
        <v>0</v>
      </c>
      <c r="O57" s="475">
        <f t="shared" si="6"/>
        <v>0</v>
      </c>
      <c r="P57" s="241"/>
    </row>
    <row r="58" spans="2:16" ht="12.5">
      <c r="B58" s="160" t="str">
        <f t="shared" si="3"/>
        <v/>
      </c>
      <c r="C58" s="469">
        <f>IF(D11="","-",+C57+1)</f>
        <v>2055</v>
      </c>
      <c r="D58" s="482">
        <f>IF(F57+SUM(E$17:E57)=D$10,F57,D$10-SUM(E$17:E57))</f>
        <v>0</v>
      </c>
      <c r="E58" s="481">
        <f t="shared" si="24"/>
        <v>0</v>
      </c>
      <c r="F58" s="482">
        <f t="shared" si="25"/>
        <v>0</v>
      </c>
      <c r="G58" s="483">
        <f t="shared" si="26"/>
        <v>0</v>
      </c>
      <c r="H58" s="452">
        <f t="shared" si="27"/>
        <v>0</v>
      </c>
      <c r="I58" s="472">
        <f t="shared" si="4"/>
        <v>0</v>
      </c>
      <c r="J58" s="472"/>
      <c r="K58" s="484"/>
      <c r="L58" s="475">
        <f t="shared" si="28"/>
        <v>0</v>
      </c>
      <c r="M58" s="484"/>
      <c r="N58" s="475">
        <f t="shared" si="5"/>
        <v>0</v>
      </c>
      <c r="O58" s="475">
        <f t="shared" si="6"/>
        <v>0</v>
      </c>
      <c r="P58" s="241"/>
    </row>
    <row r="59" spans="2:16" ht="12.5">
      <c r="B59" s="160" t="str">
        <f t="shared" si="3"/>
        <v/>
      </c>
      <c r="C59" s="469">
        <f>IF(D11="","-",+C58+1)</f>
        <v>2056</v>
      </c>
      <c r="D59" s="482">
        <f>IF(F58+SUM(E$17:E58)=D$10,F58,D$10-SUM(E$17:E58))</f>
        <v>0</v>
      </c>
      <c r="E59" s="481">
        <f t="shared" si="24"/>
        <v>0</v>
      </c>
      <c r="F59" s="482">
        <f t="shared" si="25"/>
        <v>0</v>
      </c>
      <c r="G59" s="483">
        <f t="shared" si="26"/>
        <v>0</v>
      </c>
      <c r="H59" s="452">
        <f t="shared" si="27"/>
        <v>0</v>
      </c>
      <c r="I59" s="472">
        <f t="shared" si="4"/>
        <v>0</v>
      </c>
      <c r="J59" s="472"/>
      <c r="K59" s="484"/>
      <c r="L59" s="475">
        <f t="shared" si="28"/>
        <v>0</v>
      </c>
      <c r="M59" s="484"/>
      <c r="N59" s="475">
        <f t="shared" si="5"/>
        <v>0</v>
      </c>
      <c r="O59" s="475">
        <f t="shared" si="6"/>
        <v>0</v>
      </c>
      <c r="P59" s="241"/>
    </row>
    <row r="60" spans="2:16" ht="12.5">
      <c r="B60" s="160" t="str">
        <f t="shared" si="3"/>
        <v/>
      </c>
      <c r="C60" s="469">
        <f>IF(D11="","-",+C59+1)</f>
        <v>2057</v>
      </c>
      <c r="D60" s="482">
        <f>IF(F59+SUM(E$17:E59)=D$10,F59,D$10-SUM(E$17:E59))</f>
        <v>0</v>
      </c>
      <c r="E60" s="481">
        <f t="shared" si="24"/>
        <v>0</v>
      </c>
      <c r="F60" s="482">
        <f t="shared" si="25"/>
        <v>0</v>
      </c>
      <c r="G60" s="483">
        <f t="shared" si="26"/>
        <v>0</v>
      </c>
      <c r="H60" s="452">
        <f t="shared" si="27"/>
        <v>0</v>
      </c>
      <c r="I60" s="472">
        <f t="shared" si="4"/>
        <v>0</v>
      </c>
      <c r="J60" s="472"/>
      <c r="K60" s="484"/>
      <c r="L60" s="475">
        <f t="shared" si="28"/>
        <v>0</v>
      </c>
      <c r="M60" s="484"/>
      <c r="N60" s="475">
        <f t="shared" si="5"/>
        <v>0</v>
      </c>
      <c r="O60" s="475">
        <f t="shared" si="6"/>
        <v>0</v>
      </c>
      <c r="P60" s="241"/>
    </row>
    <row r="61" spans="2:16" ht="12.5">
      <c r="B61" s="160" t="str">
        <f t="shared" si="3"/>
        <v/>
      </c>
      <c r="C61" s="469">
        <f>IF(D11="","-",+C60+1)</f>
        <v>2058</v>
      </c>
      <c r="D61" s="482">
        <f>IF(F60+SUM(E$17:E60)=D$10,F60,D$10-SUM(E$17:E60))</f>
        <v>0</v>
      </c>
      <c r="E61" s="481">
        <f t="shared" si="24"/>
        <v>0</v>
      </c>
      <c r="F61" s="482">
        <f t="shared" si="25"/>
        <v>0</v>
      </c>
      <c r="G61" s="483">
        <f t="shared" si="26"/>
        <v>0</v>
      </c>
      <c r="H61" s="452">
        <f t="shared" si="27"/>
        <v>0</v>
      </c>
      <c r="I61" s="472">
        <f t="shared" si="4"/>
        <v>0</v>
      </c>
      <c r="J61" s="472"/>
      <c r="K61" s="484"/>
      <c r="L61" s="475">
        <f t="shared" si="28"/>
        <v>0</v>
      </c>
      <c r="M61" s="484"/>
      <c r="N61" s="475">
        <f t="shared" si="5"/>
        <v>0</v>
      </c>
      <c r="O61" s="475">
        <f t="shared" si="6"/>
        <v>0</v>
      </c>
      <c r="P61" s="241"/>
    </row>
    <row r="62" spans="2:16" ht="12.5">
      <c r="B62" s="160" t="str">
        <f t="shared" si="3"/>
        <v/>
      </c>
      <c r="C62" s="469">
        <f>IF(D11="","-",+C61+1)</f>
        <v>2059</v>
      </c>
      <c r="D62" s="482">
        <f>IF(F61+SUM(E$17:E61)=D$10,F61,D$10-SUM(E$17:E61))</f>
        <v>0</v>
      </c>
      <c r="E62" s="481">
        <f t="shared" si="24"/>
        <v>0</v>
      </c>
      <c r="F62" s="482">
        <f t="shared" si="25"/>
        <v>0</v>
      </c>
      <c r="G62" s="483">
        <f t="shared" si="26"/>
        <v>0</v>
      </c>
      <c r="H62" s="452">
        <f t="shared" si="27"/>
        <v>0</v>
      </c>
      <c r="I62" s="472">
        <f t="shared" si="4"/>
        <v>0</v>
      </c>
      <c r="J62" s="472"/>
      <c r="K62" s="484"/>
      <c r="L62" s="475">
        <f t="shared" si="28"/>
        <v>0</v>
      </c>
      <c r="M62" s="484"/>
      <c r="N62" s="475">
        <f t="shared" si="5"/>
        <v>0</v>
      </c>
      <c r="O62" s="475">
        <f t="shared" si="6"/>
        <v>0</v>
      </c>
      <c r="P62" s="241"/>
    </row>
    <row r="63" spans="2:16" ht="12.5">
      <c r="B63" s="160" t="str">
        <f t="shared" si="3"/>
        <v/>
      </c>
      <c r="C63" s="469">
        <f>IF(D11="","-",+C62+1)</f>
        <v>2060</v>
      </c>
      <c r="D63" s="482">
        <f>IF(F62+SUM(E$17:E62)=D$10,F62,D$10-SUM(E$17:E62))</f>
        <v>0</v>
      </c>
      <c r="E63" s="481">
        <f t="shared" si="24"/>
        <v>0</v>
      </c>
      <c r="F63" s="482">
        <f t="shared" si="25"/>
        <v>0</v>
      </c>
      <c r="G63" s="483">
        <f t="shared" si="26"/>
        <v>0</v>
      </c>
      <c r="H63" s="452">
        <f t="shared" si="27"/>
        <v>0</v>
      </c>
      <c r="I63" s="472">
        <f t="shared" si="4"/>
        <v>0</v>
      </c>
      <c r="J63" s="472"/>
      <c r="K63" s="484"/>
      <c r="L63" s="475">
        <f t="shared" si="28"/>
        <v>0</v>
      </c>
      <c r="M63" s="484"/>
      <c r="N63" s="475">
        <f t="shared" si="5"/>
        <v>0</v>
      </c>
      <c r="O63" s="475">
        <f t="shared" si="6"/>
        <v>0</v>
      </c>
      <c r="P63" s="241"/>
    </row>
    <row r="64" spans="2:16" ht="12.5">
      <c r="B64" s="160" t="str">
        <f t="shared" si="3"/>
        <v/>
      </c>
      <c r="C64" s="469">
        <f>IF(D11="","-",+C63+1)</f>
        <v>2061</v>
      </c>
      <c r="D64" s="482">
        <f>IF(F63+SUM(E$17:E63)=D$10,F63,D$10-SUM(E$17:E63))</f>
        <v>0</v>
      </c>
      <c r="E64" s="481">
        <f t="shared" si="24"/>
        <v>0</v>
      </c>
      <c r="F64" s="482">
        <f t="shared" si="25"/>
        <v>0</v>
      </c>
      <c r="G64" s="483">
        <f t="shared" si="26"/>
        <v>0</v>
      </c>
      <c r="H64" s="452">
        <f t="shared" si="27"/>
        <v>0</v>
      </c>
      <c r="I64" s="472">
        <f t="shared" si="4"/>
        <v>0</v>
      </c>
      <c r="J64" s="472"/>
      <c r="K64" s="484"/>
      <c r="L64" s="475">
        <f t="shared" si="28"/>
        <v>0</v>
      </c>
      <c r="M64" s="484"/>
      <c r="N64" s="475">
        <f t="shared" si="5"/>
        <v>0</v>
      </c>
      <c r="O64" s="475">
        <f t="shared" si="6"/>
        <v>0</v>
      </c>
      <c r="P64" s="241"/>
    </row>
    <row r="65" spans="2:16" ht="12.5">
      <c r="B65" s="160" t="str">
        <f t="shared" si="3"/>
        <v/>
      </c>
      <c r="C65" s="469">
        <f>IF(D11="","-",+C64+1)</f>
        <v>2062</v>
      </c>
      <c r="D65" s="482">
        <f>IF(F64+SUM(E$17:E64)=D$10,F64,D$10-SUM(E$17:E64))</f>
        <v>0</v>
      </c>
      <c r="E65" s="481">
        <f t="shared" si="24"/>
        <v>0</v>
      </c>
      <c r="F65" s="482">
        <f t="shared" si="25"/>
        <v>0</v>
      </c>
      <c r="G65" s="483">
        <f t="shared" si="26"/>
        <v>0</v>
      </c>
      <c r="H65" s="452">
        <f t="shared" si="27"/>
        <v>0</v>
      </c>
      <c r="I65" s="472">
        <f t="shared" si="4"/>
        <v>0</v>
      </c>
      <c r="J65" s="472"/>
      <c r="K65" s="484"/>
      <c r="L65" s="475">
        <f t="shared" si="28"/>
        <v>0</v>
      </c>
      <c r="M65" s="484"/>
      <c r="N65" s="475">
        <f t="shared" si="5"/>
        <v>0</v>
      </c>
      <c r="O65" s="475">
        <f t="shared" si="6"/>
        <v>0</v>
      </c>
      <c r="P65" s="241"/>
    </row>
    <row r="66" spans="2:16" ht="12.5">
      <c r="B66" s="160" t="str">
        <f t="shared" si="3"/>
        <v/>
      </c>
      <c r="C66" s="469">
        <f>IF(D11="","-",+C65+1)</f>
        <v>2063</v>
      </c>
      <c r="D66" s="482">
        <f>IF(F65+SUM(E$17:E65)=D$10,F65,D$10-SUM(E$17:E65))</f>
        <v>0</v>
      </c>
      <c r="E66" s="481">
        <f t="shared" si="24"/>
        <v>0</v>
      </c>
      <c r="F66" s="482">
        <f t="shared" si="25"/>
        <v>0</v>
      </c>
      <c r="G66" s="483">
        <f t="shared" si="26"/>
        <v>0</v>
      </c>
      <c r="H66" s="452">
        <f t="shared" si="27"/>
        <v>0</v>
      </c>
      <c r="I66" s="472">
        <f t="shared" si="4"/>
        <v>0</v>
      </c>
      <c r="J66" s="472"/>
      <c r="K66" s="484"/>
      <c r="L66" s="475">
        <f t="shared" si="28"/>
        <v>0</v>
      </c>
      <c r="M66" s="484"/>
      <c r="N66" s="475">
        <f t="shared" si="5"/>
        <v>0</v>
      </c>
      <c r="O66" s="475">
        <f t="shared" si="6"/>
        <v>0</v>
      </c>
      <c r="P66" s="241"/>
    </row>
    <row r="67" spans="2:16" ht="12.5">
      <c r="B67" s="160" t="str">
        <f t="shared" si="3"/>
        <v/>
      </c>
      <c r="C67" s="469">
        <f>IF(D11="","-",+C66+1)</f>
        <v>2064</v>
      </c>
      <c r="D67" s="482">
        <f>IF(F66+SUM(E$17:E66)=D$10,F66,D$10-SUM(E$17:E66))</f>
        <v>0</v>
      </c>
      <c r="E67" s="481">
        <f t="shared" si="24"/>
        <v>0</v>
      </c>
      <c r="F67" s="482">
        <f t="shared" si="25"/>
        <v>0</v>
      </c>
      <c r="G67" s="483">
        <f t="shared" si="26"/>
        <v>0</v>
      </c>
      <c r="H67" s="452">
        <f t="shared" si="27"/>
        <v>0</v>
      </c>
      <c r="I67" s="472">
        <f t="shared" si="4"/>
        <v>0</v>
      </c>
      <c r="J67" s="472"/>
      <c r="K67" s="484"/>
      <c r="L67" s="475">
        <f t="shared" si="28"/>
        <v>0</v>
      </c>
      <c r="M67" s="484"/>
      <c r="N67" s="475">
        <f t="shared" si="5"/>
        <v>0</v>
      </c>
      <c r="O67" s="475">
        <f t="shared" si="6"/>
        <v>0</v>
      </c>
      <c r="P67" s="241"/>
    </row>
    <row r="68" spans="2:16" ht="12.5">
      <c r="B68" s="160" t="str">
        <f t="shared" si="3"/>
        <v/>
      </c>
      <c r="C68" s="469">
        <f>IF(D11="","-",+C67+1)</f>
        <v>2065</v>
      </c>
      <c r="D68" s="482">
        <f>IF(F67+SUM(E$17:E67)=D$10,F67,D$10-SUM(E$17:E67))</f>
        <v>0</v>
      </c>
      <c r="E68" s="481">
        <f t="shared" si="24"/>
        <v>0</v>
      </c>
      <c r="F68" s="482">
        <f t="shared" si="25"/>
        <v>0</v>
      </c>
      <c r="G68" s="483">
        <f t="shared" si="26"/>
        <v>0</v>
      </c>
      <c r="H68" s="452">
        <f t="shared" si="27"/>
        <v>0</v>
      </c>
      <c r="I68" s="472">
        <f t="shared" si="4"/>
        <v>0</v>
      </c>
      <c r="J68" s="472"/>
      <c r="K68" s="484"/>
      <c r="L68" s="475">
        <f t="shared" si="28"/>
        <v>0</v>
      </c>
      <c r="M68" s="484"/>
      <c r="N68" s="475">
        <f t="shared" si="5"/>
        <v>0</v>
      </c>
      <c r="O68" s="475">
        <f t="shared" si="6"/>
        <v>0</v>
      </c>
      <c r="P68" s="241"/>
    </row>
    <row r="69" spans="2:16" ht="12.5">
      <c r="B69" s="160" t="str">
        <f t="shared" si="3"/>
        <v/>
      </c>
      <c r="C69" s="469">
        <f>IF(D11="","-",+C68+1)</f>
        <v>2066</v>
      </c>
      <c r="D69" s="482">
        <f>IF(F68+SUM(E$17:E68)=D$10,F68,D$10-SUM(E$17:E68))</f>
        <v>0</v>
      </c>
      <c r="E69" s="481">
        <f t="shared" si="24"/>
        <v>0</v>
      </c>
      <c r="F69" s="482">
        <f t="shared" si="25"/>
        <v>0</v>
      </c>
      <c r="G69" s="483">
        <f t="shared" si="26"/>
        <v>0</v>
      </c>
      <c r="H69" s="452">
        <f t="shared" si="27"/>
        <v>0</v>
      </c>
      <c r="I69" s="472">
        <f t="shared" si="4"/>
        <v>0</v>
      </c>
      <c r="J69" s="472"/>
      <c r="K69" s="484"/>
      <c r="L69" s="475">
        <f t="shared" si="28"/>
        <v>0</v>
      </c>
      <c r="M69" s="484"/>
      <c r="N69" s="475">
        <f t="shared" si="5"/>
        <v>0</v>
      </c>
      <c r="O69" s="475">
        <f t="shared" si="6"/>
        <v>0</v>
      </c>
      <c r="P69" s="241"/>
    </row>
    <row r="70" spans="2:16" ht="12.5">
      <c r="B70" s="160" t="str">
        <f t="shared" si="3"/>
        <v/>
      </c>
      <c r="C70" s="469">
        <f>IF(D11="","-",+C69+1)</f>
        <v>2067</v>
      </c>
      <c r="D70" s="482">
        <f>IF(F69+SUM(E$17:E69)=D$10,F69,D$10-SUM(E$17:E69))</f>
        <v>0</v>
      </c>
      <c r="E70" s="481">
        <f t="shared" si="24"/>
        <v>0</v>
      </c>
      <c r="F70" s="482">
        <f t="shared" si="25"/>
        <v>0</v>
      </c>
      <c r="G70" s="483">
        <f t="shared" si="26"/>
        <v>0</v>
      </c>
      <c r="H70" s="452">
        <f t="shared" si="27"/>
        <v>0</v>
      </c>
      <c r="I70" s="472">
        <f t="shared" si="4"/>
        <v>0</v>
      </c>
      <c r="J70" s="472"/>
      <c r="K70" s="484"/>
      <c r="L70" s="475">
        <f t="shared" si="28"/>
        <v>0</v>
      </c>
      <c r="M70" s="484"/>
      <c r="N70" s="475">
        <f t="shared" si="5"/>
        <v>0</v>
      </c>
      <c r="O70" s="475">
        <f t="shared" si="6"/>
        <v>0</v>
      </c>
      <c r="P70" s="241"/>
    </row>
    <row r="71" spans="2:16" ht="12.5">
      <c r="B71" s="160" t="str">
        <f t="shared" si="3"/>
        <v/>
      </c>
      <c r="C71" s="469">
        <f>IF(D11="","-",+C70+1)</f>
        <v>2068</v>
      </c>
      <c r="D71" s="482">
        <f>IF(F70+SUM(E$17:E70)=D$10,F70,D$10-SUM(E$17:E70))</f>
        <v>0</v>
      </c>
      <c r="E71" s="481">
        <f t="shared" si="24"/>
        <v>0</v>
      </c>
      <c r="F71" s="482">
        <f t="shared" si="25"/>
        <v>0</v>
      </c>
      <c r="G71" s="483">
        <f t="shared" si="26"/>
        <v>0</v>
      </c>
      <c r="H71" s="452">
        <f t="shared" si="27"/>
        <v>0</v>
      </c>
      <c r="I71" s="472">
        <f t="shared" si="4"/>
        <v>0</v>
      </c>
      <c r="J71" s="472"/>
      <c r="K71" s="484"/>
      <c r="L71" s="475">
        <f t="shared" si="28"/>
        <v>0</v>
      </c>
      <c r="M71" s="484"/>
      <c r="N71" s="475">
        <f t="shared" si="5"/>
        <v>0</v>
      </c>
      <c r="O71" s="475">
        <f t="shared" si="6"/>
        <v>0</v>
      </c>
      <c r="P71" s="241"/>
    </row>
    <row r="72" spans="2:16" ht="13" thickBot="1">
      <c r="B72" s="160" t="str">
        <f t="shared" si="3"/>
        <v/>
      </c>
      <c r="C72" s="486">
        <f>IF(D11="","-",+C71+1)</f>
        <v>2069</v>
      </c>
      <c r="D72" s="487">
        <f>IF(F71+SUM(E$17:E71)=D$10,F71,D$10-SUM(E$17:E71))</f>
        <v>0</v>
      </c>
      <c r="E72" s="488">
        <f t="shared" si="24"/>
        <v>0</v>
      </c>
      <c r="F72" s="487">
        <f t="shared" si="25"/>
        <v>0</v>
      </c>
      <c r="G72" s="487">
        <f t="shared" si="26"/>
        <v>0</v>
      </c>
      <c r="H72" s="487">
        <f t="shared" si="27"/>
        <v>0</v>
      </c>
      <c r="I72" s="492">
        <f t="shared" si="4"/>
        <v>0</v>
      </c>
      <c r="J72" s="487"/>
      <c r="K72" s="491"/>
      <c r="L72" s="492">
        <f t="shared" si="28"/>
        <v>0</v>
      </c>
      <c r="M72" s="491"/>
      <c r="N72" s="492">
        <f t="shared" si="5"/>
        <v>0</v>
      </c>
      <c r="O72" s="492">
        <f t="shared" si="6"/>
        <v>0</v>
      </c>
      <c r="P72" s="241"/>
    </row>
    <row r="73" spans="2:16" ht="12.5">
      <c r="C73" s="344" t="s">
        <v>77</v>
      </c>
      <c r="D73" s="345"/>
      <c r="E73" s="345">
        <f>SUM(E17:E72)</f>
        <v>5059278.0399999972</v>
      </c>
      <c r="F73" s="345"/>
      <c r="G73" s="345">
        <f>SUM(G17:G72)</f>
        <v>17639666.451909408</v>
      </c>
      <c r="H73" s="345">
        <f>SUM(H17:H72)</f>
        <v>17639666.451909408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16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602120.51121064113</v>
      </c>
      <c r="N87" s="505">
        <f>IF(J92&lt;D11,0,VLOOKUP(J92,C17:O72,11))</f>
        <v>602120.51121064113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661043.83836890443</v>
      </c>
      <c r="N88" s="509">
        <f>IF(J92&lt;D11,0,VLOOKUP(J92,C99:P154,7))</f>
        <v>661043.83836890443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Cornville Station Conversion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58923.327158263302</v>
      </c>
      <c r="N89" s="514">
        <f>+N88-N87</f>
        <v>58923.327158263302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TP2011093</v>
      </c>
      <c r="E91" s="519" t="str">
        <f>E9</f>
        <v xml:space="preserve">  SPP Project ID = 30346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5059278.0399999991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2014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12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133139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2014</v>
      </c>
      <c r="D99" s="581">
        <v>0</v>
      </c>
      <c r="E99" s="582">
        <v>0</v>
      </c>
      <c r="F99" s="583">
        <v>4992922.66</v>
      </c>
      <c r="G99" s="601">
        <v>2496461.33</v>
      </c>
      <c r="H99" s="602">
        <v>350992.25806989282</v>
      </c>
      <c r="I99" s="603">
        <v>350992.25806989282</v>
      </c>
      <c r="J99" s="475">
        <v>0</v>
      </c>
      <c r="K99" s="475"/>
      <c r="L99" s="473">
        <f t="shared" ref="L99:L104" si="29">H99</f>
        <v>350992.25806989282</v>
      </c>
      <c r="M99" s="346">
        <f t="shared" ref="M99:M104" si="30">IF(L99&lt;&gt;0,+H99-L99,0)</f>
        <v>0</v>
      </c>
      <c r="N99" s="473">
        <f t="shared" ref="N99:N104" si="31">I99</f>
        <v>350992.25806989282</v>
      </c>
      <c r="O99" s="472">
        <f>IF(N99&lt;&gt;0,+I99-N99,0)</f>
        <v>0</v>
      </c>
      <c r="P99" s="475">
        <f>+O99-M99</f>
        <v>0</v>
      </c>
    </row>
    <row r="100" spans="1:16" ht="12.5">
      <c r="B100" s="160" t="str">
        <f>IF(D100=F99,"","IU")</f>
        <v>IU</v>
      </c>
      <c r="C100" s="469">
        <f>IF(D93="","-",+C99+1)</f>
        <v>2015</v>
      </c>
      <c r="D100" s="581">
        <v>5071338</v>
      </c>
      <c r="E100" s="582">
        <v>97526</v>
      </c>
      <c r="F100" s="583">
        <v>4973812</v>
      </c>
      <c r="G100" s="583">
        <v>5022575</v>
      </c>
      <c r="H100" s="602">
        <v>782815.97525692882</v>
      </c>
      <c r="I100" s="603">
        <v>782815.97525692882</v>
      </c>
      <c r="J100" s="475">
        <f>+I100-H100</f>
        <v>0</v>
      </c>
      <c r="K100" s="475"/>
      <c r="L100" s="473">
        <f t="shared" si="29"/>
        <v>782815.97525692882</v>
      </c>
      <c r="M100" s="346">
        <f t="shared" si="30"/>
        <v>0</v>
      </c>
      <c r="N100" s="473">
        <f t="shared" si="31"/>
        <v>782815.97525692882</v>
      </c>
      <c r="O100" s="472">
        <f>IF(N100&lt;&gt;0,+I100-N100,0)</f>
        <v>0</v>
      </c>
      <c r="P100" s="475">
        <f>+O100-M100</f>
        <v>0</v>
      </c>
    </row>
    <row r="101" spans="1:16" ht="12.5">
      <c r="B101" s="160" t="str">
        <f t="shared" ref="B101:B154" si="32">IF(D101=F100,"","IU")</f>
        <v>IU</v>
      </c>
      <c r="C101" s="469">
        <f>IF(D93="","-",+C100+1)</f>
        <v>2016</v>
      </c>
      <c r="D101" s="581">
        <v>4961752</v>
      </c>
      <c r="E101" s="582">
        <v>109984</v>
      </c>
      <c r="F101" s="583">
        <v>4851768</v>
      </c>
      <c r="G101" s="583">
        <v>4906760</v>
      </c>
      <c r="H101" s="602">
        <v>742542.63994670648</v>
      </c>
      <c r="I101" s="603">
        <v>742542.63994670648</v>
      </c>
      <c r="J101" s="475">
        <f t="shared" ref="J101:J154" si="33">+I101-H101</f>
        <v>0</v>
      </c>
      <c r="K101" s="475"/>
      <c r="L101" s="473">
        <f t="shared" si="29"/>
        <v>742542.63994670648</v>
      </c>
      <c r="M101" s="346">
        <f t="shared" si="30"/>
        <v>0</v>
      </c>
      <c r="N101" s="473">
        <f t="shared" si="31"/>
        <v>742542.63994670648</v>
      </c>
      <c r="O101" s="472">
        <f>IF(N101&lt;&gt;0,+I101-N101,0)</f>
        <v>0</v>
      </c>
      <c r="P101" s="475">
        <f>+O101-M101</f>
        <v>0</v>
      </c>
    </row>
    <row r="102" spans="1:16" ht="12.5">
      <c r="B102" s="160" t="str">
        <f t="shared" si="32"/>
        <v/>
      </c>
      <c r="C102" s="469">
        <f>IF(D93="","-",+C101+1)</f>
        <v>2017</v>
      </c>
      <c r="D102" s="581">
        <v>4851768</v>
      </c>
      <c r="E102" s="582">
        <v>109984</v>
      </c>
      <c r="F102" s="583">
        <v>4741784</v>
      </c>
      <c r="G102" s="583">
        <v>4796776</v>
      </c>
      <c r="H102" s="602">
        <v>718467.13067498105</v>
      </c>
      <c r="I102" s="603">
        <v>718467.13067498105</v>
      </c>
      <c r="J102" s="475">
        <f t="shared" si="33"/>
        <v>0</v>
      </c>
      <c r="K102" s="475"/>
      <c r="L102" s="473">
        <f t="shared" si="29"/>
        <v>718467.13067498105</v>
      </c>
      <c r="M102" s="346">
        <f t="shared" si="30"/>
        <v>0</v>
      </c>
      <c r="N102" s="473">
        <f t="shared" si="31"/>
        <v>718467.13067498105</v>
      </c>
      <c r="O102" s="472">
        <f>IF(N102&lt;&gt;0,+I102-N102,0)</f>
        <v>0</v>
      </c>
      <c r="P102" s="475">
        <f>+O102-M102</f>
        <v>0</v>
      </c>
    </row>
    <row r="103" spans="1:16" ht="12.5">
      <c r="B103" s="160" t="str">
        <f t="shared" si="32"/>
        <v/>
      </c>
      <c r="C103" s="469">
        <f>IF(D93="","-",+C102+1)</f>
        <v>2018</v>
      </c>
      <c r="D103" s="581">
        <v>4741784</v>
      </c>
      <c r="E103" s="582">
        <v>117658</v>
      </c>
      <c r="F103" s="583">
        <v>4624126</v>
      </c>
      <c r="G103" s="583">
        <v>4682955</v>
      </c>
      <c r="H103" s="602">
        <v>598764.03634994966</v>
      </c>
      <c r="I103" s="603">
        <v>598764.03634994966</v>
      </c>
      <c r="J103" s="475">
        <f t="shared" si="33"/>
        <v>0</v>
      </c>
      <c r="K103" s="475"/>
      <c r="L103" s="473">
        <f t="shared" si="29"/>
        <v>598764.03634994966</v>
      </c>
      <c r="M103" s="346">
        <f t="shared" si="30"/>
        <v>0</v>
      </c>
      <c r="N103" s="473">
        <f t="shared" si="31"/>
        <v>598764.03634994966</v>
      </c>
      <c r="O103" s="472">
        <f>IF(N103&lt;&gt;0,+I103-N103,0)</f>
        <v>0</v>
      </c>
      <c r="P103" s="475">
        <f>+O103-M103</f>
        <v>0</v>
      </c>
    </row>
    <row r="104" spans="1:16" ht="12.5">
      <c r="B104" s="160" t="str">
        <f t="shared" si="32"/>
        <v/>
      </c>
      <c r="C104" s="469">
        <f>IF(D93="","-",+C103+1)</f>
        <v>2019</v>
      </c>
      <c r="D104" s="581">
        <v>4624126</v>
      </c>
      <c r="E104" s="582">
        <v>123397</v>
      </c>
      <c r="F104" s="583">
        <v>4500729</v>
      </c>
      <c r="G104" s="583">
        <v>4562427.5</v>
      </c>
      <c r="H104" s="602">
        <v>593847.268225985</v>
      </c>
      <c r="I104" s="603">
        <v>593847.268225985</v>
      </c>
      <c r="J104" s="475">
        <f t="shared" si="33"/>
        <v>0</v>
      </c>
      <c r="K104" s="475"/>
      <c r="L104" s="473">
        <f t="shared" si="29"/>
        <v>593847.268225985</v>
      </c>
      <c r="M104" s="346">
        <f t="shared" si="30"/>
        <v>0</v>
      </c>
      <c r="N104" s="473">
        <f t="shared" si="31"/>
        <v>593847.268225985</v>
      </c>
      <c r="O104" s="475">
        <f t="shared" ref="O104:O130" si="34">IF(N104&lt;&gt;0,+I104-N104,0)</f>
        <v>0</v>
      </c>
      <c r="P104" s="475">
        <f t="shared" ref="P104:P130" si="35">+O104-M104</f>
        <v>0</v>
      </c>
    </row>
    <row r="105" spans="1:16" ht="12.5">
      <c r="B105" s="160" t="str">
        <f t="shared" si="32"/>
        <v/>
      </c>
      <c r="C105" s="469">
        <f>IF(D93="","-",+C104+1)</f>
        <v>2020</v>
      </c>
      <c r="D105" s="581">
        <v>4500729</v>
      </c>
      <c r="E105" s="582">
        <v>117658</v>
      </c>
      <c r="F105" s="583">
        <v>4383071</v>
      </c>
      <c r="G105" s="583">
        <v>4441900</v>
      </c>
      <c r="H105" s="602">
        <v>629796.85800289037</v>
      </c>
      <c r="I105" s="603">
        <v>629796.85800289037</v>
      </c>
      <c r="J105" s="475">
        <f t="shared" si="33"/>
        <v>0</v>
      </c>
      <c r="K105" s="475"/>
      <c r="L105" s="473">
        <f t="shared" ref="L105" si="36">H105</f>
        <v>629796.85800289037</v>
      </c>
      <c r="M105" s="346">
        <f t="shared" ref="M105" si="37">IF(L105&lt;&gt;0,+H105-L105,0)</f>
        <v>0</v>
      </c>
      <c r="N105" s="473">
        <f t="shared" ref="N105" si="38">I105</f>
        <v>629796.85800289037</v>
      </c>
      <c r="O105" s="475">
        <f t="shared" si="34"/>
        <v>0</v>
      </c>
      <c r="P105" s="475">
        <f t="shared" si="35"/>
        <v>0</v>
      </c>
    </row>
    <row r="106" spans="1:16" ht="12.5">
      <c r="B106" s="160" t="str">
        <f t="shared" si="32"/>
        <v/>
      </c>
      <c r="C106" s="469">
        <f>IF(D93="","-",+C105+1)</f>
        <v>2021</v>
      </c>
      <c r="D106" s="581">
        <v>4383071</v>
      </c>
      <c r="E106" s="582">
        <v>123397</v>
      </c>
      <c r="F106" s="583">
        <v>4259674</v>
      </c>
      <c r="G106" s="583">
        <v>4321372.5</v>
      </c>
      <c r="H106" s="602">
        <v>615138.04650435934</v>
      </c>
      <c r="I106" s="603">
        <v>615138.04650435934</v>
      </c>
      <c r="J106" s="475">
        <f t="shared" si="33"/>
        <v>0</v>
      </c>
      <c r="K106" s="475"/>
      <c r="L106" s="473">
        <f t="shared" ref="L106" si="39">H106</f>
        <v>615138.04650435934</v>
      </c>
      <c r="M106" s="346">
        <f t="shared" ref="M106" si="40">IF(L106&lt;&gt;0,+H106-L106,0)</f>
        <v>0</v>
      </c>
      <c r="N106" s="473">
        <f t="shared" ref="N106" si="41">I106</f>
        <v>615138.04650435934</v>
      </c>
      <c r="O106" s="475">
        <f t="shared" si="34"/>
        <v>0</v>
      </c>
      <c r="P106" s="475">
        <f t="shared" si="35"/>
        <v>0</v>
      </c>
    </row>
    <row r="107" spans="1:16" ht="12.5">
      <c r="B107" s="160" t="str">
        <f t="shared" si="32"/>
        <v/>
      </c>
      <c r="C107" s="469">
        <f>IF(D93="","-",+C106+1)</f>
        <v>2022</v>
      </c>
      <c r="D107" s="581">
        <v>4259674</v>
      </c>
      <c r="E107" s="582">
        <v>129725</v>
      </c>
      <c r="F107" s="583">
        <v>4129949</v>
      </c>
      <c r="G107" s="583">
        <v>4194811.5</v>
      </c>
      <c r="H107" s="602">
        <v>591920.45938328374</v>
      </c>
      <c r="I107" s="603">
        <v>591920.45938328374</v>
      </c>
      <c r="J107" s="475">
        <f t="shared" si="33"/>
        <v>0</v>
      </c>
      <c r="K107" s="475"/>
      <c r="L107" s="473">
        <f t="shared" ref="L107" si="42">H107</f>
        <v>591920.45938328374</v>
      </c>
      <c r="M107" s="346">
        <f t="shared" ref="M107" si="43">IF(L107&lt;&gt;0,+H107-L107,0)</f>
        <v>0</v>
      </c>
      <c r="N107" s="473">
        <f t="shared" ref="N107" si="44">I107</f>
        <v>591920.45938328374</v>
      </c>
      <c r="O107" s="475">
        <f t="shared" ref="O107" si="45">IF(N107&lt;&gt;0,+I107-N107,0)</f>
        <v>0</v>
      </c>
      <c r="P107" s="475">
        <f t="shared" ref="P107" si="46">+O107-M107</f>
        <v>0</v>
      </c>
    </row>
    <row r="108" spans="1:16" ht="12.5">
      <c r="B108" s="160" t="str">
        <f t="shared" si="32"/>
        <v>IU</v>
      </c>
      <c r="C108" s="469">
        <f>IF(D93="","-",+C107+1)</f>
        <v>2023</v>
      </c>
      <c r="D108" s="581">
        <v>4129949.0399999991</v>
      </c>
      <c r="E108" s="582">
        <v>133139</v>
      </c>
      <c r="F108" s="583">
        <v>3996810.0399999991</v>
      </c>
      <c r="G108" s="583">
        <v>4063379.5399999991</v>
      </c>
      <c r="H108" s="602">
        <v>597286.87030004105</v>
      </c>
      <c r="I108" s="603">
        <v>597286.87030004105</v>
      </c>
      <c r="J108" s="475">
        <f t="shared" si="33"/>
        <v>0</v>
      </c>
      <c r="K108" s="475"/>
      <c r="L108" s="473">
        <f t="shared" ref="L108" si="47">H108</f>
        <v>597286.87030004105</v>
      </c>
      <c r="M108" s="346">
        <f t="shared" ref="M108" si="48">IF(L108&lt;&gt;0,+H108-L108,0)</f>
        <v>0</v>
      </c>
      <c r="N108" s="473">
        <f t="shared" ref="N108" si="49">I108</f>
        <v>597286.87030004105</v>
      </c>
      <c r="O108" s="475">
        <f t="shared" ref="O108" si="50">IF(N108&lt;&gt;0,+I108-N108,0)</f>
        <v>0</v>
      </c>
      <c r="P108" s="475">
        <f t="shared" ref="P108" si="51">+O108-M108</f>
        <v>0</v>
      </c>
    </row>
    <row r="109" spans="1:16" ht="12.5">
      <c r="B109" s="160" t="str">
        <f t="shared" si="32"/>
        <v/>
      </c>
      <c r="C109" s="469">
        <f>IF(D93="","-",+C108+1)</f>
        <v>2024</v>
      </c>
      <c r="D109" s="344">
        <f>IF(F108+SUM(E$99:E108)=D$92,F108,D$92-SUM(E$99:E108))</f>
        <v>3996810.0399999991</v>
      </c>
      <c r="E109" s="481">
        <f t="shared" ref="E109:E154" si="52">IF(+J$96&lt;F108,J$96,D109)</f>
        <v>133139</v>
      </c>
      <c r="F109" s="482">
        <f t="shared" ref="F109:F154" si="53">+D109-E109</f>
        <v>3863671.0399999991</v>
      </c>
      <c r="G109" s="482">
        <f t="shared" ref="G109:G154" si="54">+(F109+D109)/2</f>
        <v>3930240.5399999991</v>
      </c>
      <c r="H109" s="483">
        <f t="shared" ref="H109:H153" si="55">(D109+F109)/2*J$94+E109</f>
        <v>661043.83836890443</v>
      </c>
      <c r="I109" s="539">
        <f t="shared" ref="I109:I153" si="56">+J$95*G109+E109</f>
        <v>661043.83836890443</v>
      </c>
      <c r="J109" s="475">
        <f t="shared" si="33"/>
        <v>0</v>
      </c>
      <c r="K109" s="475"/>
      <c r="L109" s="484"/>
      <c r="M109" s="475">
        <f t="shared" ref="M109:M130" si="57">IF(L109&lt;&gt;0,+H109-L109,0)</f>
        <v>0</v>
      </c>
      <c r="N109" s="484"/>
      <c r="O109" s="475">
        <f t="shared" si="34"/>
        <v>0</v>
      </c>
      <c r="P109" s="475">
        <f t="shared" si="35"/>
        <v>0</v>
      </c>
    </row>
    <row r="110" spans="1:16" ht="12.5">
      <c r="B110" s="160" t="str">
        <f t="shared" si="32"/>
        <v/>
      </c>
      <c r="C110" s="469">
        <f>IF(D93="","-",+C109+1)</f>
        <v>2025</v>
      </c>
      <c r="D110" s="344">
        <f>IF(F109+SUM(E$99:E109)=D$92,F109,D$92-SUM(E$99:E109))</f>
        <v>3863671.0399999991</v>
      </c>
      <c r="E110" s="481">
        <f t="shared" si="52"/>
        <v>133139</v>
      </c>
      <c r="F110" s="482">
        <f t="shared" si="53"/>
        <v>3730532.0399999991</v>
      </c>
      <c r="G110" s="482">
        <f t="shared" si="54"/>
        <v>3797101.5399999991</v>
      </c>
      <c r="H110" s="483">
        <f t="shared" si="55"/>
        <v>643160.77967051812</v>
      </c>
      <c r="I110" s="539">
        <f t="shared" si="56"/>
        <v>643160.77967051812</v>
      </c>
      <c r="J110" s="475">
        <f t="shared" si="33"/>
        <v>0</v>
      </c>
      <c r="K110" s="475"/>
      <c r="L110" s="484"/>
      <c r="M110" s="475">
        <f t="shared" si="57"/>
        <v>0</v>
      </c>
      <c r="N110" s="484"/>
      <c r="O110" s="475">
        <f t="shared" si="34"/>
        <v>0</v>
      </c>
      <c r="P110" s="475">
        <f t="shared" si="35"/>
        <v>0</v>
      </c>
    </row>
    <row r="111" spans="1:16" ht="12.5">
      <c r="B111" s="160" t="str">
        <f t="shared" si="32"/>
        <v/>
      </c>
      <c r="C111" s="469">
        <f>IF(D93="","-",+C110+1)</f>
        <v>2026</v>
      </c>
      <c r="D111" s="344">
        <f>IF(F110+SUM(E$99:E110)=D$92,F110,D$92-SUM(E$99:E110))</f>
        <v>3730532.0399999991</v>
      </c>
      <c r="E111" s="481">
        <f t="shared" si="52"/>
        <v>133139</v>
      </c>
      <c r="F111" s="482">
        <f t="shared" si="53"/>
        <v>3597393.0399999991</v>
      </c>
      <c r="G111" s="482">
        <f t="shared" si="54"/>
        <v>3663962.5399999991</v>
      </c>
      <c r="H111" s="483">
        <f t="shared" si="55"/>
        <v>625277.72097213182</v>
      </c>
      <c r="I111" s="539">
        <f t="shared" si="56"/>
        <v>625277.72097213182</v>
      </c>
      <c r="J111" s="475">
        <f t="shared" si="33"/>
        <v>0</v>
      </c>
      <c r="K111" s="475"/>
      <c r="L111" s="484"/>
      <c r="M111" s="475">
        <f t="shared" si="57"/>
        <v>0</v>
      </c>
      <c r="N111" s="484"/>
      <c r="O111" s="475">
        <f t="shared" si="34"/>
        <v>0</v>
      </c>
      <c r="P111" s="475">
        <f t="shared" si="35"/>
        <v>0</v>
      </c>
    </row>
    <row r="112" spans="1:16" ht="12.5">
      <c r="B112" s="160" t="str">
        <f t="shared" si="32"/>
        <v/>
      </c>
      <c r="C112" s="469">
        <f>IF(D93="","-",+C111+1)</f>
        <v>2027</v>
      </c>
      <c r="D112" s="344">
        <f>IF(F111+SUM(E$99:E111)=D$92,F111,D$92-SUM(E$99:E111))</f>
        <v>3597393.0399999991</v>
      </c>
      <c r="E112" s="481">
        <f t="shared" si="52"/>
        <v>133139</v>
      </c>
      <c r="F112" s="482">
        <f t="shared" si="53"/>
        <v>3464254.0399999991</v>
      </c>
      <c r="G112" s="482">
        <f t="shared" si="54"/>
        <v>3530823.5399999991</v>
      </c>
      <c r="H112" s="483">
        <f t="shared" si="55"/>
        <v>607394.66227374552</v>
      </c>
      <c r="I112" s="539">
        <f t="shared" si="56"/>
        <v>607394.66227374552</v>
      </c>
      <c r="J112" s="475">
        <f t="shared" si="33"/>
        <v>0</v>
      </c>
      <c r="K112" s="475"/>
      <c r="L112" s="484"/>
      <c r="M112" s="475">
        <f t="shared" si="57"/>
        <v>0</v>
      </c>
      <c r="N112" s="484"/>
      <c r="O112" s="475">
        <f t="shared" si="34"/>
        <v>0</v>
      </c>
      <c r="P112" s="475">
        <f t="shared" si="35"/>
        <v>0</v>
      </c>
    </row>
    <row r="113" spans="2:16" ht="12.5">
      <c r="B113" s="160" t="str">
        <f t="shared" si="32"/>
        <v/>
      </c>
      <c r="C113" s="469">
        <f>IF(D93="","-",+C112+1)</f>
        <v>2028</v>
      </c>
      <c r="D113" s="344">
        <f>IF(F112+SUM(E$99:E112)=D$92,F112,D$92-SUM(E$99:E112))</f>
        <v>3464254.0399999991</v>
      </c>
      <c r="E113" s="481">
        <f t="shared" si="52"/>
        <v>133139</v>
      </c>
      <c r="F113" s="482">
        <f t="shared" si="53"/>
        <v>3331115.0399999991</v>
      </c>
      <c r="G113" s="482">
        <f t="shared" si="54"/>
        <v>3397684.5399999991</v>
      </c>
      <c r="H113" s="483">
        <f t="shared" si="55"/>
        <v>589511.6035753591</v>
      </c>
      <c r="I113" s="539">
        <f t="shared" si="56"/>
        <v>589511.6035753591</v>
      </c>
      <c r="J113" s="475">
        <f t="shared" si="33"/>
        <v>0</v>
      </c>
      <c r="K113" s="475"/>
      <c r="L113" s="484"/>
      <c r="M113" s="475">
        <f t="shared" si="57"/>
        <v>0</v>
      </c>
      <c r="N113" s="484"/>
      <c r="O113" s="475">
        <f t="shared" si="34"/>
        <v>0</v>
      </c>
      <c r="P113" s="475">
        <f t="shared" si="35"/>
        <v>0</v>
      </c>
    </row>
    <row r="114" spans="2:16" ht="12.5">
      <c r="B114" s="160" t="str">
        <f t="shared" si="32"/>
        <v/>
      </c>
      <c r="C114" s="469">
        <f>IF(D93="","-",+C113+1)</f>
        <v>2029</v>
      </c>
      <c r="D114" s="344">
        <f>IF(F113+SUM(E$99:E113)=D$92,F113,D$92-SUM(E$99:E113))</f>
        <v>3331115.0399999991</v>
      </c>
      <c r="E114" s="481">
        <f t="shared" si="52"/>
        <v>133139</v>
      </c>
      <c r="F114" s="482">
        <f t="shared" si="53"/>
        <v>3197976.0399999991</v>
      </c>
      <c r="G114" s="482">
        <f t="shared" si="54"/>
        <v>3264545.5399999991</v>
      </c>
      <c r="H114" s="483">
        <f t="shared" si="55"/>
        <v>571628.5448769728</v>
      </c>
      <c r="I114" s="539">
        <f t="shared" si="56"/>
        <v>571628.5448769728</v>
      </c>
      <c r="J114" s="475">
        <f t="shared" si="33"/>
        <v>0</v>
      </c>
      <c r="K114" s="475"/>
      <c r="L114" s="484"/>
      <c r="M114" s="475">
        <f t="shared" si="57"/>
        <v>0</v>
      </c>
      <c r="N114" s="484"/>
      <c r="O114" s="475">
        <f t="shared" si="34"/>
        <v>0</v>
      </c>
      <c r="P114" s="475">
        <f t="shared" si="35"/>
        <v>0</v>
      </c>
    </row>
    <row r="115" spans="2:16" ht="12.5">
      <c r="B115" s="160" t="str">
        <f t="shared" si="32"/>
        <v/>
      </c>
      <c r="C115" s="469">
        <f>IF(D93="","-",+C114+1)</f>
        <v>2030</v>
      </c>
      <c r="D115" s="344">
        <f>IF(F114+SUM(E$99:E114)=D$92,F114,D$92-SUM(E$99:E114))</f>
        <v>3197976.0399999991</v>
      </c>
      <c r="E115" s="481">
        <f t="shared" si="52"/>
        <v>133139</v>
      </c>
      <c r="F115" s="482">
        <f t="shared" si="53"/>
        <v>3064837.0399999991</v>
      </c>
      <c r="G115" s="482">
        <f t="shared" si="54"/>
        <v>3131406.5399999991</v>
      </c>
      <c r="H115" s="483">
        <f t="shared" si="55"/>
        <v>553745.48617858649</v>
      </c>
      <c r="I115" s="539">
        <f t="shared" si="56"/>
        <v>553745.48617858649</v>
      </c>
      <c r="J115" s="475">
        <f t="shared" si="33"/>
        <v>0</v>
      </c>
      <c r="K115" s="475"/>
      <c r="L115" s="484"/>
      <c r="M115" s="475">
        <f t="shared" si="57"/>
        <v>0</v>
      </c>
      <c r="N115" s="484"/>
      <c r="O115" s="475">
        <f t="shared" si="34"/>
        <v>0</v>
      </c>
      <c r="P115" s="475">
        <f t="shared" si="35"/>
        <v>0</v>
      </c>
    </row>
    <row r="116" spans="2:16" ht="12.5">
      <c r="B116" s="160" t="str">
        <f t="shared" si="32"/>
        <v/>
      </c>
      <c r="C116" s="469">
        <f>IF(D93="","-",+C115+1)</f>
        <v>2031</v>
      </c>
      <c r="D116" s="344">
        <f>IF(F115+SUM(E$99:E115)=D$92,F115,D$92-SUM(E$99:E115))</f>
        <v>3064837.0399999991</v>
      </c>
      <c r="E116" s="481">
        <f t="shared" si="52"/>
        <v>133139</v>
      </c>
      <c r="F116" s="482">
        <f t="shared" si="53"/>
        <v>2931698.0399999991</v>
      </c>
      <c r="G116" s="482">
        <f t="shared" si="54"/>
        <v>2998267.5399999991</v>
      </c>
      <c r="H116" s="483">
        <f t="shared" si="55"/>
        <v>535862.42748020007</v>
      </c>
      <c r="I116" s="539">
        <f t="shared" si="56"/>
        <v>535862.42748020007</v>
      </c>
      <c r="J116" s="475">
        <f t="shared" si="33"/>
        <v>0</v>
      </c>
      <c r="K116" s="475"/>
      <c r="L116" s="484"/>
      <c r="M116" s="475">
        <f t="shared" si="57"/>
        <v>0</v>
      </c>
      <c r="N116" s="484"/>
      <c r="O116" s="475">
        <f t="shared" si="34"/>
        <v>0</v>
      </c>
      <c r="P116" s="475">
        <f t="shared" si="35"/>
        <v>0</v>
      </c>
    </row>
    <row r="117" spans="2:16" ht="12.5">
      <c r="B117" s="160" t="str">
        <f t="shared" si="32"/>
        <v/>
      </c>
      <c r="C117" s="469">
        <f>IF(D93="","-",+C116+1)</f>
        <v>2032</v>
      </c>
      <c r="D117" s="344">
        <f>IF(F116+SUM(E$99:E116)=D$92,F116,D$92-SUM(E$99:E116))</f>
        <v>2931698.0399999991</v>
      </c>
      <c r="E117" s="481">
        <f t="shared" si="52"/>
        <v>133139</v>
      </c>
      <c r="F117" s="482">
        <f t="shared" si="53"/>
        <v>2798559.0399999991</v>
      </c>
      <c r="G117" s="482">
        <f t="shared" si="54"/>
        <v>2865128.5399999991</v>
      </c>
      <c r="H117" s="483">
        <f t="shared" si="55"/>
        <v>517979.36878181383</v>
      </c>
      <c r="I117" s="539">
        <f t="shared" si="56"/>
        <v>517979.36878181383</v>
      </c>
      <c r="J117" s="475">
        <f t="shared" si="33"/>
        <v>0</v>
      </c>
      <c r="K117" s="475"/>
      <c r="L117" s="484"/>
      <c r="M117" s="475">
        <f t="shared" si="57"/>
        <v>0</v>
      </c>
      <c r="N117" s="484"/>
      <c r="O117" s="475">
        <f t="shared" si="34"/>
        <v>0</v>
      </c>
      <c r="P117" s="475">
        <f t="shared" si="35"/>
        <v>0</v>
      </c>
    </row>
    <row r="118" spans="2:16" ht="12.5">
      <c r="B118" s="160" t="str">
        <f t="shared" si="32"/>
        <v/>
      </c>
      <c r="C118" s="469">
        <f>IF(D93="","-",+C117+1)</f>
        <v>2033</v>
      </c>
      <c r="D118" s="344">
        <f>IF(F117+SUM(E$99:E117)=D$92,F117,D$92-SUM(E$99:E117))</f>
        <v>2798559.0399999991</v>
      </c>
      <c r="E118" s="481">
        <f t="shared" si="52"/>
        <v>133139</v>
      </c>
      <c r="F118" s="482">
        <f t="shared" si="53"/>
        <v>2665420.0399999991</v>
      </c>
      <c r="G118" s="482">
        <f t="shared" si="54"/>
        <v>2731989.5399999991</v>
      </c>
      <c r="H118" s="483">
        <f t="shared" si="55"/>
        <v>500096.31008342752</v>
      </c>
      <c r="I118" s="539">
        <f t="shared" si="56"/>
        <v>500096.31008342752</v>
      </c>
      <c r="J118" s="475">
        <f t="shared" si="33"/>
        <v>0</v>
      </c>
      <c r="K118" s="475"/>
      <c r="L118" s="484"/>
      <c r="M118" s="475">
        <f t="shared" si="57"/>
        <v>0</v>
      </c>
      <c r="N118" s="484"/>
      <c r="O118" s="475">
        <f t="shared" si="34"/>
        <v>0</v>
      </c>
      <c r="P118" s="475">
        <f t="shared" si="35"/>
        <v>0</v>
      </c>
    </row>
    <row r="119" spans="2:16" ht="12.5">
      <c r="B119" s="160" t="str">
        <f t="shared" si="32"/>
        <v/>
      </c>
      <c r="C119" s="469">
        <f>IF(D93="","-",+C118+1)</f>
        <v>2034</v>
      </c>
      <c r="D119" s="344">
        <f>IF(F118+SUM(E$99:E118)=D$92,F118,D$92-SUM(E$99:E118))</f>
        <v>2665420.0399999991</v>
      </c>
      <c r="E119" s="481">
        <f t="shared" si="52"/>
        <v>133139</v>
      </c>
      <c r="F119" s="482">
        <f t="shared" si="53"/>
        <v>2532281.0399999991</v>
      </c>
      <c r="G119" s="482">
        <f t="shared" si="54"/>
        <v>2598850.5399999991</v>
      </c>
      <c r="H119" s="483">
        <f t="shared" si="55"/>
        <v>482213.25138504116</v>
      </c>
      <c r="I119" s="539">
        <f t="shared" si="56"/>
        <v>482213.25138504116</v>
      </c>
      <c r="J119" s="475">
        <f t="shared" si="33"/>
        <v>0</v>
      </c>
      <c r="K119" s="475"/>
      <c r="L119" s="484"/>
      <c r="M119" s="475">
        <f t="shared" si="57"/>
        <v>0</v>
      </c>
      <c r="N119" s="484"/>
      <c r="O119" s="475">
        <f t="shared" si="34"/>
        <v>0</v>
      </c>
      <c r="P119" s="475">
        <f t="shared" si="35"/>
        <v>0</v>
      </c>
    </row>
    <row r="120" spans="2:16" ht="12.5">
      <c r="B120" s="160" t="str">
        <f t="shared" si="32"/>
        <v/>
      </c>
      <c r="C120" s="469">
        <f>IF(D93="","-",+C119+1)</f>
        <v>2035</v>
      </c>
      <c r="D120" s="344">
        <f>IF(F119+SUM(E$99:E119)=D$92,F119,D$92-SUM(E$99:E119))</f>
        <v>2532281.0399999991</v>
      </c>
      <c r="E120" s="481">
        <f t="shared" si="52"/>
        <v>133139</v>
      </c>
      <c r="F120" s="482">
        <f t="shared" si="53"/>
        <v>2399142.0399999991</v>
      </c>
      <c r="G120" s="482">
        <f t="shared" si="54"/>
        <v>2465711.5399999991</v>
      </c>
      <c r="H120" s="483">
        <f t="shared" si="55"/>
        <v>464330.19268665486</v>
      </c>
      <c r="I120" s="539">
        <f t="shared" si="56"/>
        <v>464330.19268665486</v>
      </c>
      <c r="J120" s="475">
        <f t="shared" si="33"/>
        <v>0</v>
      </c>
      <c r="K120" s="475"/>
      <c r="L120" s="484"/>
      <c r="M120" s="475">
        <f t="shared" si="57"/>
        <v>0</v>
      </c>
      <c r="N120" s="484"/>
      <c r="O120" s="475">
        <f t="shared" si="34"/>
        <v>0</v>
      </c>
      <c r="P120" s="475">
        <f t="shared" si="35"/>
        <v>0</v>
      </c>
    </row>
    <row r="121" spans="2:16" ht="12.5">
      <c r="B121" s="160" t="str">
        <f t="shared" si="32"/>
        <v/>
      </c>
      <c r="C121" s="469">
        <f>IF(D93="","-",+C120+1)</f>
        <v>2036</v>
      </c>
      <c r="D121" s="344">
        <f>IF(F120+SUM(E$99:E120)=D$92,F120,D$92-SUM(E$99:E120))</f>
        <v>2399142.0399999991</v>
      </c>
      <c r="E121" s="481">
        <f t="shared" si="52"/>
        <v>133139</v>
      </c>
      <c r="F121" s="482">
        <f t="shared" si="53"/>
        <v>2266003.0399999991</v>
      </c>
      <c r="G121" s="482">
        <f t="shared" si="54"/>
        <v>2332572.5399999991</v>
      </c>
      <c r="H121" s="483">
        <f t="shared" si="55"/>
        <v>446447.1339882685</v>
      </c>
      <c r="I121" s="539">
        <f t="shared" si="56"/>
        <v>446447.1339882685</v>
      </c>
      <c r="J121" s="475">
        <f t="shared" si="33"/>
        <v>0</v>
      </c>
      <c r="K121" s="475"/>
      <c r="L121" s="484"/>
      <c r="M121" s="475">
        <f t="shared" si="57"/>
        <v>0</v>
      </c>
      <c r="N121" s="484"/>
      <c r="O121" s="475">
        <f t="shared" si="34"/>
        <v>0</v>
      </c>
      <c r="P121" s="475">
        <f t="shared" si="35"/>
        <v>0</v>
      </c>
    </row>
    <row r="122" spans="2:16" ht="12.5">
      <c r="B122" s="160" t="str">
        <f t="shared" si="32"/>
        <v/>
      </c>
      <c r="C122" s="469">
        <f>IF(D93="","-",+C121+1)</f>
        <v>2037</v>
      </c>
      <c r="D122" s="344">
        <f>IF(F121+SUM(E$99:E121)=D$92,F121,D$92-SUM(E$99:E121))</f>
        <v>2266003.0399999991</v>
      </c>
      <c r="E122" s="481">
        <f t="shared" si="52"/>
        <v>133139</v>
      </c>
      <c r="F122" s="482">
        <f t="shared" si="53"/>
        <v>2132864.0399999991</v>
      </c>
      <c r="G122" s="482">
        <f t="shared" si="54"/>
        <v>2199433.5399999991</v>
      </c>
      <c r="H122" s="483">
        <f t="shared" si="55"/>
        <v>428564.0752898822</v>
      </c>
      <c r="I122" s="539">
        <f t="shared" si="56"/>
        <v>428564.0752898822</v>
      </c>
      <c r="J122" s="475">
        <f t="shared" si="33"/>
        <v>0</v>
      </c>
      <c r="K122" s="475"/>
      <c r="L122" s="484"/>
      <c r="M122" s="475">
        <f t="shared" si="57"/>
        <v>0</v>
      </c>
      <c r="N122" s="484"/>
      <c r="O122" s="475">
        <f t="shared" si="34"/>
        <v>0</v>
      </c>
      <c r="P122" s="475">
        <f t="shared" si="35"/>
        <v>0</v>
      </c>
    </row>
    <row r="123" spans="2:16" ht="12.5">
      <c r="B123" s="160" t="str">
        <f t="shared" si="32"/>
        <v/>
      </c>
      <c r="C123" s="469">
        <f>IF(D93="","-",+C122+1)</f>
        <v>2038</v>
      </c>
      <c r="D123" s="344">
        <f>IF(F122+SUM(E$99:E122)=D$92,F122,D$92-SUM(E$99:E122))</f>
        <v>2132864.0399999991</v>
      </c>
      <c r="E123" s="481">
        <f t="shared" si="52"/>
        <v>133139</v>
      </c>
      <c r="F123" s="482">
        <f t="shared" si="53"/>
        <v>1999725.0399999991</v>
      </c>
      <c r="G123" s="482">
        <f t="shared" si="54"/>
        <v>2066294.5399999991</v>
      </c>
      <c r="H123" s="483">
        <f t="shared" si="55"/>
        <v>410681.01659149583</v>
      </c>
      <c r="I123" s="539">
        <f t="shared" si="56"/>
        <v>410681.01659149583</v>
      </c>
      <c r="J123" s="475">
        <f t="shared" si="33"/>
        <v>0</v>
      </c>
      <c r="K123" s="475"/>
      <c r="L123" s="484"/>
      <c r="M123" s="475">
        <f t="shared" si="57"/>
        <v>0</v>
      </c>
      <c r="N123" s="484"/>
      <c r="O123" s="475">
        <f t="shared" si="34"/>
        <v>0</v>
      </c>
      <c r="P123" s="475">
        <f t="shared" si="35"/>
        <v>0</v>
      </c>
    </row>
    <row r="124" spans="2:16" ht="12.5">
      <c r="B124" s="160" t="str">
        <f t="shared" si="32"/>
        <v/>
      </c>
      <c r="C124" s="469">
        <f>IF(D93="","-",+C123+1)</f>
        <v>2039</v>
      </c>
      <c r="D124" s="344">
        <f>IF(F123+SUM(E$99:E123)=D$92,F123,D$92-SUM(E$99:E123))</f>
        <v>1999725.0399999991</v>
      </c>
      <c r="E124" s="481">
        <f t="shared" si="52"/>
        <v>133139</v>
      </c>
      <c r="F124" s="482">
        <f t="shared" si="53"/>
        <v>1866586.0399999991</v>
      </c>
      <c r="G124" s="482">
        <f t="shared" si="54"/>
        <v>1933155.5399999991</v>
      </c>
      <c r="H124" s="483">
        <f t="shared" si="55"/>
        <v>392797.95789310953</v>
      </c>
      <c r="I124" s="539">
        <f t="shared" si="56"/>
        <v>392797.95789310953</v>
      </c>
      <c r="J124" s="475">
        <f t="shared" si="33"/>
        <v>0</v>
      </c>
      <c r="K124" s="475"/>
      <c r="L124" s="484"/>
      <c r="M124" s="475">
        <f t="shared" si="57"/>
        <v>0</v>
      </c>
      <c r="N124" s="484"/>
      <c r="O124" s="475">
        <f t="shared" si="34"/>
        <v>0</v>
      </c>
      <c r="P124" s="475">
        <f t="shared" si="35"/>
        <v>0</v>
      </c>
    </row>
    <row r="125" spans="2:16" ht="12.5">
      <c r="B125" s="160" t="str">
        <f t="shared" si="32"/>
        <v/>
      </c>
      <c r="C125" s="469">
        <f>IF(D93="","-",+C124+1)</f>
        <v>2040</v>
      </c>
      <c r="D125" s="344">
        <f>IF(F124+SUM(E$99:E124)=D$92,F124,D$92-SUM(E$99:E124))</f>
        <v>1866586.0399999991</v>
      </c>
      <c r="E125" s="481">
        <f t="shared" si="52"/>
        <v>133139</v>
      </c>
      <c r="F125" s="482">
        <f t="shared" si="53"/>
        <v>1733447.0399999991</v>
      </c>
      <c r="G125" s="482">
        <f t="shared" si="54"/>
        <v>1800016.5399999991</v>
      </c>
      <c r="H125" s="483">
        <f t="shared" si="55"/>
        <v>374914.89919472317</v>
      </c>
      <c r="I125" s="539">
        <f t="shared" si="56"/>
        <v>374914.89919472317</v>
      </c>
      <c r="J125" s="475">
        <f t="shared" si="33"/>
        <v>0</v>
      </c>
      <c r="K125" s="475"/>
      <c r="L125" s="484"/>
      <c r="M125" s="475">
        <f t="shared" si="57"/>
        <v>0</v>
      </c>
      <c r="N125" s="484"/>
      <c r="O125" s="475">
        <f t="shared" si="34"/>
        <v>0</v>
      </c>
      <c r="P125" s="475">
        <f t="shared" si="35"/>
        <v>0</v>
      </c>
    </row>
    <row r="126" spans="2:16" ht="12.5">
      <c r="B126" s="160" t="str">
        <f t="shared" si="32"/>
        <v/>
      </c>
      <c r="C126" s="469">
        <f>IF(D93="","-",+C125+1)</f>
        <v>2041</v>
      </c>
      <c r="D126" s="344">
        <f>IF(F125+SUM(E$99:E125)=D$92,F125,D$92-SUM(E$99:E125))</f>
        <v>1733447.0399999991</v>
      </c>
      <c r="E126" s="481">
        <f t="shared" si="52"/>
        <v>133139</v>
      </c>
      <c r="F126" s="482">
        <f t="shared" si="53"/>
        <v>1600308.0399999991</v>
      </c>
      <c r="G126" s="482">
        <f t="shared" si="54"/>
        <v>1666877.5399999991</v>
      </c>
      <c r="H126" s="483">
        <f t="shared" si="55"/>
        <v>357031.84049633687</v>
      </c>
      <c r="I126" s="539">
        <f t="shared" si="56"/>
        <v>357031.84049633687</v>
      </c>
      <c r="J126" s="475">
        <f t="shared" si="33"/>
        <v>0</v>
      </c>
      <c r="K126" s="475"/>
      <c r="L126" s="484"/>
      <c r="M126" s="475">
        <f t="shared" si="57"/>
        <v>0</v>
      </c>
      <c r="N126" s="484"/>
      <c r="O126" s="475">
        <f t="shared" si="34"/>
        <v>0</v>
      </c>
      <c r="P126" s="475">
        <f t="shared" si="35"/>
        <v>0</v>
      </c>
    </row>
    <row r="127" spans="2:16" ht="12.5">
      <c r="B127" s="160" t="str">
        <f t="shared" si="32"/>
        <v/>
      </c>
      <c r="C127" s="469">
        <f>IF(D93="","-",+C126+1)</f>
        <v>2042</v>
      </c>
      <c r="D127" s="344">
        <f>IF(F126+SUM(E$99:E126)=D$92,F126,D$92-SUM(E$99:E126))</f>
        <v>1600308.0399999991</v>
      </c>
      <c r="E127" s="481">
        <f t="shared" si="52"/>
        <v>133139</v>
      </c>
      <c r="F127" s="482">
        <f t="shared" si="53"/>
        <v>1467169.0399999991</v>
      </c>
      <c r="G127" s="482">
        <f t="shared" si="54"/>
        <v>1533738.5399999991</v>
      </c>
      <c r="H127" s="483">
        <f t="shared" si="55"/>
        <v>339148.78179795051</v>
      </c>
      <c r="I127" s="539">
        <f t="shared" si="56"/>
        <v>339148.78179795051</v>
      </c>
      <c r="J127" s="475">
        <f t="shared" si="33"/>
        <v>0</v>
      </c>
      <c r="K127" s="475"/>
      <c r="L127" s="484"/>
      <c r="M127" s="475">
        <f t="shared" si="57"/>
        <v>0</v>
      </c>
      <c r="N127" s="484"/>
      <c r="O127" s="475">
        <f t="shared" si="34"/>
        <v>0</v>
      </c>
      <c r="P127" s="475">
        <f t="shared" si="35"/>
        <v>0</v>
      </c>
    </row>
    <row r="128" spans="2:16" ht="12.5">
      <c r="B128" s="160" t="str">
        <f t="shared" si="32"/>
        <v/>
      </c>
      <c r="C128" s="469">
        <f>IF(D93="","-",+C127+1)</f>
        <v>2043</v>
      </c>
      <c r="D128" s="344">
        <f>IF(F127+SUM(E$99:E127)=D$92,F127,D$92-SUM(E$99:E127))</f>
        <v>1467169.0399999991</v>
      </c>
      <c r="E128" s="481">
        <f t="shared" si="52"/>
        <v>133139</v>
      </c>
      <c r="F128" s="482">
        <f t="shared" si="53"/>
        <v>1334030.0399999991</v>
      </c>
      <c r="G128" s="482">
        <f t="shared" si="54"/>
        <v>1400599.5399999991</v>
      </c>
      <c r="H128" s="483">
        <f t="shared" si="55"/>
        <v>321265.7230995642</v>
      </c>
      <c r="I128" s="539">
        <f t="shared" si="56"/>
        <v>321265.7230995642</v>
      </c>
      <c r="J128" s="475">
        <f t="shared" si="33"/>
        <v>0</v>
      </c>
      <c r="K128" s="475"/>
      <c r="L128" s="484"/>
      <c r="M128" s="475">
        <f t="shared" si="57"/>
        <v>0</v>
      </c>
      <c r="N128" s="484"/>
      <c r="O128" s="475">
        <f t="shared" si="34"/>
        <v>0</v>
      </c>
      <c r="P128" s="475">
        <f t="shared" si="35"/>
        <v>0</v>
      </c>
    </row>
    <row r="129" spans="2:16" ht="12.5">
      <c r="B129" s="160" t="str">
        <f t="shared" si="32"/>
        <v/>
      </c>
      <c r="C129" s="469">
        <f>IF(D93="","-",+C128+1)</f>
        <v>2044</v>
      </c>
      <c r="D129" s="344">
        <f>IF(F128+SUM(E$99:E128)=D$92,F128,D$92-SUM(E$99:E128))</f>
        <v>1334030.0399999991</v>
      </c>
      <c r="E129" s="481">
        <f t="shared" si="52"/>
        <v>133139</v>
      </c>
      <c r="F129" s="482">
        <f t="shared" si="53"/>
        <v>1200891.0399999991</v>
      </c>
      <c r="G129" s="482">
        <f t="shared" si="54"/>
        <v>1267460.5399999991</v>
      </c>
      <c r="H129" s="483">
        <f t="shared" si="55"/>
        <v>303382.6644011779</v>
      </c>
      <c r="I129" s="539">
        <f t="shared" si="56"/>
        <v>303382.6644011779</v>
      </c>
      <c r="J129" s="475">
        <f t="shared" si="33"/>
        <v>0</v>
      </c>
      <c r="K129" s="475"/>
      <c r="L129" s="484"/>
      <c r="M129" s="475">
        <f t="shared" si="57"/>
        <v>0</v>
      </c>
      <c r="N129" s="484"/>
      <c r="O129" s="475">
        <f t="shared" si="34"/>
        <v>0</v>
      </c>
      <c r="P129" s="475">
        <f t="shared" si="35"/>
        <v>0</v>
      </c>
    </row>
    <row r="130" spans="2:16" ht="12.5">
      <c r="B130" s="160" t="str">
        <f t="shared" si="32"/>
        <v/>
      </c>
      <c r="C130" s="469">
        <f>IF(D93="","-",+C129+1)</f>
        <v>2045</v>
      </c>
      <c r="D130" s="344">
        <f>IF(F129+SUM(E$99:E129)=D$92,F129,D$92-SUM(E$99:E129))</f>
        <v>1200891.0399999991</v>
      </c>
      <c r="E130" s="481">
        <f t="shared" si="52"/>
        <v>133139</v>
      </c>
      <c r="F130" s="482">
        <f t="shared" si="53"/>
        <v>1067752.0399999991</v>
      </c>
      <c r="G130" s="482">
        <f t="shared" si="54"/>
        <v>1134321.5399999991</v>
      </c>
      <c r="H130" s="483">
        <f t="shared" si="55"/>
        <v>285499.60570279154</v>
      </c>
      <c r="I130" s="539">
        <f t="shared" si="56"/>
        <v>285499.60570279154</v>
      </c>
      <c r="J130" s="475">
        <f t="shared" si="33"/>
        <v>0</v>
      </c>
      <c r="K130" s="475"/>
      <c r="L130" s="484"/>
      <c r="M130" s="475">
        <f t="shared" si="57"/>
        <v>0</v>
      </c>
      <c r="N130" s="484"/>
      <c r="O130" s="475">
        <f t="shared" si="34"/>
        <v>0</v>
      </c>
      <c r="P130" s="475">
        <f t="shared" si="35"/>
        <v>0</v>
      </c>
    </row>
    <row r="131" spans="2:16" ht="12.5">
      <c r="B131" s="160" t="str">
        <f t="shared" si="32"/>
        <v/>
      </c>
      <c r="C131" s="469">
        <f>IF(D93="","-",+C130+1)</f>
        <v>2046</v>
      </c>
      <c r="D131" s="344">
        <f>IF(F130+SUM(E$99:E130)=D$92,F130,D$92-SUM(E$99:E130))</f>
        <v>1067752.0399999991</v>
      </c>
      <c r="E131" s="481">
        <f t="shared" si="52"/>
        <v>133139</v>
      </c>
      <c r="F131" s="482">
        <f t="shared" si="53"/>
        <v>934613.03999999911</v>
      </c>
      <c r="G131" s="482">
        <f t="shared" si="54"/>
        <v>1001182.5399999991</v>
      </c>
      <c r="H131" s="483">
        <f t="shared" si="55"/>
        <v>267616.54700440518</v>
      </c>
      <c r="I131" s="539">
        <f t="shared" si="56"/>
        <v>267616.54700440518</v>
      </c>
      <c r="J131" s="475">
        <f t="shared" si="33"/>
        <v>0</v>
      </c>
      <c r="K131" s="475"/>
      <c r="L131" s="484"/>
      <c r="M131" s="475">
        <f t="shared" ref="M131:M154" si="58">IF(L541&lt;&gt;0,+H541-L541,0)</f>
        <v>0</v>
      </c>
      <c r="N131" s="484"/>
      <c r="O131" s="475">
        <f t="shared" ref="O131:O154" si="59">IF(N541&lt;&gt;0,+I541-N541,0)</f>
        <v>0</v>
      </c>
      <c r="P131" s="475">
        <f t="shared" ref="P131:P154" si="60">+O541-M541</f>
        <v>0</v>
      </c>
    </row>
    <row r="132" spans="2:16" ht="12.5">
      <c r="B132" s="160" t="str">
        <f t="shared" si="32"/>
        <v/>
      </c>
      <c r="C132" s="469">
        <f>IF(D93="","-",+C131+1)</f>
        <v>2047</v>
      </c>
      <c r="D132" s="344">
        <f>IF(F131+SUM(E$99:E131)=D$92,F131,D$92-SUM(E$99:E131))</f>
        <v>934613.03999999911</v>
      </c>
      <c r="E132" s="481">
        <f t="shared" si="52"/>
        <v>133139</v>
      </c>
      <c r="F132" s="482">
        <f t="shared" si="53"/>
        <v>801474.03999999911</v>
      </c>
      <c r="G132" s="482">
        <f t="shared" si="54"/>
        <v>868043.53999999911</v>
      </c>
      <c r="H132" s="483">
        <f t="shared" si="55"/>
        <v>249733.48830601887</v>
      </c>
      <c r="I132" s="539">
        <f t="shared" si="56"/>
        <v>249733.48830601887</v>
      </c>
      <c r="J132" s="475">
        <f t="shared" si="33"/>
        <v>0</v>
      </c>
      <c r="K132" s="475"/>
      <c r="L132" s="484"/>
      <c r="M132" s="475">
        <f t="shared" si="58"/>
        <v>0</v>
      </c>
      <c r="N132" s="484"/>
      <c r="O132" s="475">
        <f t="shared" si="59"/>
        <v>0</v>
      </c>
      <c r="P132" s="475">
        <f t="shared" si="60"/>
        <v>0</v>
      </c>
    </row>
    <row r="133" spans="2:16" ht="12.5">
      <c r="B133" s="160" t="str">
        <f t="shared" si="32"/>
        <v/>
      </c>
      <c r="C133" s="469">
        <f>IF(D93="","-",+C132+1)</f>
        <v>2048</v>
      </c>
      <c r="D133" s="344">
        <f>IF(F132+SUM(E$99:E132)=D$92,F132,D$92-SUM(E$99:E132))</f>
        <v>801474.03999999911</v>
      </c>
      <c r="E133" s="481">
        <f t="shared" si="52"/>
        <v>133139</v>
      </c>
      <c r="F133" s="482">
        <f t="shared" si="53"/>
        <v>668335.03999999911</v>
      </c>
      <c r="G133" s="482">
        <f t="shared" si="54"/>
        <v>734904.53999999911</v>
      </c>
      <c r="H133" s="483">
        <f t="shared" si="55"/>
        <v>231850.42960763254</v>
      </c>
      <c r="I133" s="539">
        <f t="shared" si="56"/>
        <v>231850.42960763254</v>
      </c>
      <c r="J133" s="475">
        <f t="shared" si="33"/>
        <v>0</v>
      </c>
      <c r="K133" s="475"/>
      <c r="L133" s="484"/>
      <c r="M133" s="475">
        <f t="shared" si="58"/>
        <v>0</v>
      </c>
      <c r="N133" s="484"/>
      <c r="O133" s="475">
        <f t="shared" si="59"/>
        <v>0</v>
      </c>
      <c r="P133" s="475">
        <f t="shared" si="60"/>
        <v>0</v>
      </c>
    </row>
    <row r="134" spans="2:16" ht="12.5">
      <c r="B134" s="160" t="str">
        <f t="shared" si="32"/>
        <v/>
      </c>
      <c r="C134" s="469">
        <f>IF(D93="","-",+C133+1)</f>
        <v>2049</v>
      </c>
      <c r="D134" s="344">
        <f>IF(F133+SUM(E$99:E133)=D$92,F133,D$92-SUM(E$99:E133))</f>
        <v>668335.03999999911</v>
      </c>
      <c r="E134" s="481">
        <f t="shared" si="52"/>
        <v>133139</v>
      </c>
      <c r="F134" s="482">
        <f t="shared" si="53"/>
        <v>535196.03999999911</v>
      </c>
      <c r="G134" s="482">
        <f t="shared" si="54"/>
        <v>601765.53999999911</v>
      </c>
      <c r="H134" s="483">
        <f t="shared" si="55"/>
        <v>213967.37090924621</v>
      </c>
      <c r="I134" s="539">
        <f t="shared" si="56"/>
        <v>213967.37090924621</v>
      </c>
      <c r="J134" s="475">
        <f t="shared" si="33"/>
        <v>0</v>
      </c>
      <c r="K134" s="475"/>
      <c r="L134" s="484"/>
      <c r="M134" s="475">
        <f t="shared" si="58"/>
        <v>0</v>
      </c>
      <c r="N134" s="484"/>
      <c r="O134" s="475">
        <f t="shared" si="59"/>
        <v>0</v>
      </c>
      <c r="P134" s="475">
        <f t="shared" si="60"/>
        <v>0</v>
      </c>
    </row>
    <row r="135" spans="2:16" ht="12.5">
      <c r="B135" s="160" t="str">
        <f t="shared" si="32"/>
        <v/>
      </c>
      <c r="C135" s="469">
        <f>IF(D93="","-",+C134+1)</f>
        <v>2050</v>
      </c>
      <c r="D135" s="344">
        <f>IF(F134+SUM(E$99:E134)=D$92,F134,D$92-SUM(E$99:E134))</f>
        <v>535196.03999999911</v>
      </c>
      <c r="E135" s="481">
        <f t="shared" si="52"/>
        <v>133139</v>
      </c>
      <c r="F135" s="482">
        <f t="shared" si="53"/>
        <v>402057.03999999911</v>
      </c>
      <c r="G135" s="482">
        <f t="shared" si="54"/>
        <v>468626.53999999911</v>
      </c>
      <c r="H135" s="483">
        <f t="shared" si="55"/>
        <v>196084.31221085988</v>
      </c>
      <c r="I135" s="539">
        <f t="shared" si="56"/>
        <v>196084.31221085988</v>
      </c>
      <c r="J135" s="475">
        <f t="shared" si="33"/>
        <v>0</v>
      </c>
      <c r="K135" s="475"/>
      <c r="L135" s="484"/>
      <c r="M135" s="475">
        <f t="shared" si="58"/>
        <v>0</v>
      </c>
      <c r="N135" s="484"/>
      <c r="O135" s="475">
        <f t="shared" si="59"/>
        <v>0</v>
      </c>
      <c r="P135" s="475">
        <f t="shared" si="60"/>
        <v>0</v>
      </c>
    </row>
    <row r="136" spans="2:16" ht="12.5">
      <c r="B136" s="160" t="str">
        <f t="shared" si="32"/>
        <v/>
      </c>
      <c r="C136" s="469">
        <f>IF(D93="","-",+C135+1)</f>
        <v>2051</v>
      </c>
      <c r="D136" s="344">
        <f>IF(F135+SUM(E$99:E135)=D$92,F135,D$92-SUM(E$99:E135))</f>
        <v>402057.03999999911</v>
      </c>
      <c r="E136" s="481">
        <f t="shared" si="52"/>
        <v>133139</v>
      </c>
      <c r="F136" s="482">
        <f t="shared" si="53"/>
        <v>268918.03999999911</v>
      </c>
      <c r="G136" s="482">
        <f t="shared" si="54"/>
        <v>335487.53999999911</v>
      </c>
      <c r="H136" s="483">
        <f t="shared" si="55"/>
        <v>178201.25351247354</v>
      </c>
      <c r="I136" s="539">
        <f t="shared" si="56"/>
        <v>178201.25351247354</v>
      </c>
      <c r="J136" s="475">
        <f t="shared" si="33"/>
        <v>0</v>
      </c>
      <c r="K136" s="475"/>
      <c r="L136" s="484"/>
      <c r="M136" s="475">
        <f t="shared" si="58"/>
        <v>0</v>
      </c>
      <c r="N136" s="484"/>
      <c r="O136" s="475">
        <f t="shared" si="59"/>
        <v>0</v>
      </c>
      <c r="P136" s="475">
        <f t="shared" si="60"/>
        <v>0</v>
      </c>
    </row>
    <row r="137" spans="2:16" ht="12.5">
      <c r="B137" s="160" t="str">
        <f t="shared" si="32"/>
        <v/>
      </c>
      <c r="C137" s="469">
        <f>IF(D93="","-",+C136+1)</f>
        <v>2052</v>
      </c>
      <c r="D137" s="344">
        <f>IF(F136+SUM(E$99:E136)=D$92,F136,D$92-SUM(E$99:E136))</f>
        <v>268918.03999999911</v>
      </c>
      <c r="E137" s="481">
        <f t="shared" si="52"/>
        <v>133139</v>
      </c>
      <c r="F137" s="482">
        <f t="shared" si="53"/>
        <v>135779.03999999911</v>
      </c>
      <c r="G137" s="482">
        <f t="shared" si="54"/>
        <v>202348.53999999911</v>
      </c>
      <c r="H137" s="483">
        <f t="shared" si="55"/>
        <v>160318.19481408721</v>
      </c>
      <c r="I137" s="539">
        <f t="shared" si="56"/>
        <v>160318.19481408721</v>
      </c>
      <c r="J137" s="475">
        <f t="shared" si="33"/>
        <v>0</v>
      </c>
      <c r="K137" s="475"/>
      <c r="L137" s="484"/>
      <c r="M137" s="475">
        <f t="shared" si="58"/>
        <v>0</v>
      </c>
      <c r="N137" s="484"/>
      <c r="O137" s="475">
        <f t="shared" si="59"/>
        <v>0</v>
      </c>
      <c r="P137" s="475">
        <f t="shared" si="60"/>
        <v>0</v>
      </c>
    </row>
    <row r="138" spans="2:16" ht="12.5">
      <c r="B138" s="160" t="str">
        <f t="shared" si="32"/>
        <v/>
      </c>
      <c r="C138" s="469">
        <f>IF(D93="","-",+C137+1)</f>
        <v>2053</v>
      </c>
      <c r="D138" s="344">
        <f>IF(F137+SUM(E$99:E137)=D$92,F137,D$92-SUM(E$99:E137))</f>
        <v>135779.03999999911</v>
      </c>
      <c r="E138" s="481">
        <f t="shared" si="52"/>
        <v>133139</v>
      </c>
      <c r="F138" s="482">
        <f t="shared" si="53"/>
        <v>2640.0399999991059</v>
      </c>
      <c r="G138" s="482">
        <f t="shared" si="54"/>
        <v>69209.539999999106</v>
      </c>
      <c r="H138" s="483">
        <f t="shared" si="55"/>
        <v>142435.13611570088</v>
      </c>
      <c r="I138" s="539">
        <f t="shared" si="56"/>
        <v>142435.13611570088</v>
      </c>
      <c r="J138" s="475">
        <f t="shared" si="33"/>
        <v>0</v>
      </c>
      <c r="K138" s="475"/>
      <c r="L138" s="484"/>
      <c r="M138" s="475">
        <f t="shared" si="58"/>
        <v>0</v>
      </c>
      <c r="N138" s="484"/>
      <c r="O138" s="475">
        <f t="shared" si="59"/>
        <v>0</v>
      </c>
      <c r="P138" s="475">
        <f t="shared" si="60"/>
        <v>0</v>
      </c>
    </row>
    <row r="139" spans="2:16" ht="12.5">
      <c r="B139" s="160" t="str">
        <f t="shared" si="32"/>
        <v/>
      </c>
      <c r="C139" s="469">
        <f>IF(D93="","-",+C138+1)</f>
        <v>2054</v>
      </c>
      <c r="D139" s="344">
        <f>IF(F138+SUM(E$99:E138)=D$92,F138,D$92-SUM(E$99:E138))</f>
        <v>2640.0399999991059</v>
      </c>
      <c r="E139" s="481">
        <f t="shared" si="52"/>
        <v>2640.0399999991059</v>
      </c>
      <c r="F139" s="482">
        <f t="shared" si="53"/>
        <v>0</v>
      </c>
      <c r="G139" s="482">
        <f t="shared" si="54"/>
        <v>1320.019999999553</v>
      </c>
      <c r="H139" s="483">
        <f t="shared" si="55"/>
        <v>2817.3433832529681</v>
      </c>
      <c r="I139" s="539">
        <f t="shared" si="56"/>
        <v>2817.3433832529681</v>
      </c>
      <c r="J139" s="475">
        <f t="shared" si="33"/>
        <v>0</v>
      </c>
      <c r="K139" s="475"/>
      <c r="L139" s="484"/>
      <c r="M139" s="475">
        <f t="shared" si="58"/>
        <v>0</v>
      </c>
      <c r="N139" s="484"/>
      <c r="O139" s="475">
        <f t="shared" si="59"/>
        <v>0</v>
      </c>
      <c r="P139" s="475">
        <f t="shared" si="60"/>
        <v>0</v>
      </c>
    </row>
    <row r="140" spans="2:16" ht="12.5">
      <c r="B140" s="160" t="str">
        <f t="shared" si="32"/>
        <v/>
      </c>
      <c r="C140" s="469">
        <f>IF(D93="","-",+C139+1)</f>
        <v>2055</v>
      </c>
      <c r="D140" s="344">
        <f>IF(F139+SUM(E$99:E139)=D$92,F139,D$92-SUM(E$99:E139))</f>
        <v>0</v>
      </c>
      <c r="E140" s="481">
        <f t="shared" si="52"/>
        <v>0</v>
      </c>
      <c r="F140" s="482">
        <f t="shared" si="53"/>
        <v>0</v>
      </c>
      <c r="G140" s="482">
        <f t="shared" si="54"/>
        <v>0</v>
      </c>
      <c r="H140" s="483">
        <f t="shared" si="55"/>
        <v>0</v>
      </c>
      <c r="I140" s="539">
        <f t="shared" si="56"/>
        <v>0</v>
      </c>
      <c r="J140" s="475">
        <f t="shared" si="33"/>
        <v>0</v>
      </c>
      <c r="K140" s="475"/>
      <c r="L140" s="484"/>
      <c r="M140" s="475">
        <f t="shared" si="58"/>
        <v>0</v>
      </c>
      <c r="N140" s="484"/>
      <c r="O140" s="475">
        <f t="shared" si="59"/>
        <v>0</v>
      </c>
      <c r="P140" s="475">
        <f t="shared" si="60"/>
        <v>0</v>
      </c>
    </row>
    <row r="141" spans="2:16" ht="12.5">
      <c r="B141" s="160" t="str">
        <f t="shared" si="32"/>
        <v/>
      </c>
      <c r="C141" s="469">
        <f>IF(D93="","-",+C140+1)</f>
        <v>2056</v>
      </c>
      <c r="D141" s="344">
        <f>IF(F140+SUM(E$99:E140)=D$92,F140,D$92-SUM(E$99:E140))</f>
        <v>0</v>
      </c>
      <c r="E141" s="481">
        <f t="shared" si="52"/>
        <v>0</v>
      </c>
      <c r="F141" s="482">
        <f t="shared" si="53"/>
        <v>0</v>
      </c>
      <c r="G141" s="482">
        <f t="shared" si="54"/>
        <v>0</v>
      </c>
      <c r="H141" s="483">
        <f t="shared" si="55"/>
        <v>0</v>
      </c>
      <c r="I141" s="539">
        <f t="shared" si="56"/>
        <v>0</v>
      </c>
      <c r="J141" s="475">
        <f t="shared" si="33"/>
        <v>0</v>
      </c>
      <c r="K141" s="475"/>
      <c r="L141" s="484"/>
      <c r="M141" s="475">
        <f t="shared" si="58"/>
        <v>0</v>
      </c>
      <c r="N141" s="484"/>
      <c r="O141" s="475">
        <f t="shared" si="59"/>
        <v>0</v>
      </c>
      <c r="P141" s="475">
        <f t="shared" si="60"/>
        <v>0</v>
      </c>
    </row>
    <row r="142" spans="2:16" ht="12.5">
      <c r="B142" s="160" t="str">
        <f t="shared" si="32"/>
        <v/>
      </c>
      <c r="C142" s="469">
        <f>IF(D93="","-",+C141+1)</f>
        <v>2057</v>
      </c>
      <c r="D142" s="344">
        <f>IF(F141+SUM(E$99:E141)=D$92,F141,D$92-SUM(E$99:E141))</f>
        <v>0</v>
      </c>
      <c r="E142" s="481">
        <f t="shared" si="52"/>
        <v>0</v>
      </c>
      <c r="F142" s="482">
        <f t="shared" si="53"/>
        <v>0</v>
      </c>
      <c r="G142" s="482">
        <f t="shared" si="54"/>
        <v>0</v>
      </c>
      <c r="H142" s="483">
        <f t="shared" si="55"/>
        <v>0</v>
      </c>
      <c r="I142" s="539">
        <f t="shared" si="56"/>
        <v>0</v>
      </c>
      <c r="J142" s="475">
        <f t="shared" si="33"/>
        <v>0</v>
      </c>
      <c r="K142" s="475"/>
      <c r="L142" s="484"/>
      <c r="M142" s="475">
        <f t="shared" si="58"/>
        <v>0</v>
      </c>
      <c r="N142" s="484"/>
      <c r="O142" s="475">
        <f t="shared" si="59"/>
        <v>0</v>
      </c>
      <c r="P142" s="475">
        <f t="shared" si="60"/>
        <v>0</v>
      </c>
    </row>
    <row r="143" spans="2:16" ht="12.5">
      <c r="B143" s="160" t="str">
        <f t="shared" si="32"/>
        <v/>
      </c>
      <c r="C143" s="469">
        <f>IF(D93="","-",+C142+1)</f>
        <v>2058</v>
      </c>
      <c r="D143" s="344">
        <f>IF(F142+SUM(E$99:E142)=D$92,F142,D$92-SUM(E$99:E142))</f>
        <v>0</v>
      </c>
      <c r="E143" s="481">
        <f t="shared" si="52"/>
        <v>0</v>
      </c>
      <c r="F143" s="482">
        <f t="shared" si="53"/>
        <v>0</v>
      </c>
      <c r="G143" s="482">
        <f t="shared" si="54"/>
        <v>0</v>
      </c>
      <c r="H143" s="483">
        <f t="shared" si="55"/>
        <v>0</v>
      </c>
      <c r="I143" s="539">
        <f t="shared" si="56"/>
        <v>0</v>
      </c>
      <c r="J143" s="475">
        <f t="shared" si="33"/>
        <v>0</v>
      </c>
      <c r="K143" s="475"/>
      <c r="L143" s="484"/>
      <c r="M143" s="475">
        <f t="shared" si="58"/>
        <v>0</v>
      </c>
      <c r="N143" s="484"/>
      <c r="O143" s="475">
        <f t="shared" si="59"/>
        <v>0</v>
      </c>
      <c r="P143" s="475">
        <f t="shared" si="60"/>
        <v>0</v>
      </c>
    </row>
    <row r="144" spans="2:16" ht="12.5">
      <c r="B144" s="160" t="str">
        <f t="shared" si="32"/>
        <v/>
      </c>
      <c r="C144" s="469">
        <f>IF(D93="","-",+C143+1)</f>
        <v>2059</v>
      </c>
      <c r="D144" s="344">
        <f>IF(F143+SUM(E$99:E143)=D$92,F143,D$92-SUM(E$99:E143))</f>
        <v>0</v>
      </c>
      <c r="E144" s="481">
        <f t="shared" si="52"/>
        <v>0</v>
      </c>
      <c r="F144" s="482">
        <f t="shared" si="53"/>
        <v>0</v>
      </c>
      <c r="G144" s="482">
        <f t="shared" si="54"/>
        <v>0</v>
      </c>
      <c r="H144" s="483">
        <f t="shared" si="55"/>
        <v>0</v>
      </c>
      <c r="I144" s="539">
        <f t="shared" si="56"/>
        <v>0</v>
      </c>
      <c r="J144" s="475">
        <f t="shared" si="33"/>
        <v>0</v>
      </c>
      <c r="K144" s="475"/>
      <c r="L144" s="484"/>
      <c r="M144" s="475">
        <f t="shared" si="58"/>
        <v>0</v>
      </c>
      <c r="N144" s="484"/>
      <c r="O144" s="475">
        <f t="shared" si="59"/>
        <v>0</v>
      </c>
      <c r="P144" s="475">
        <f t="shared" si="60"/>
        <v>0</v>
      </c>
    </row>
    <row r="145" spans="2:16" ht="12.5">
      <c r="B145" s="160" t="str">
        <f t="shared" si="32"/>
        <v/>
      </c>
      <c r="C145" s="469">
        <f>IF(D93="","-",+C144+1)</f>
        <v>2060</v>
      </c>
      <c r="D145" s="344">
        <f>IF(F144+SUM(E$99:E144)=D$92,F144,D$92-SUM(E$99:E144))</f>
        <v>0</v>
      </c>
      <c r="E145" s="481">
        <f t="shared" si="52"/>
        <v>0</v>
      </c>
      <c r="F145" s="482">
        <f t="shared" si="53"/>
        <v>0</v>
      </c>
      <c r="G145" s="482">
        <f t="shared" si="54"/>
        <v>0</v>
      </c>
      <c r="H145" s="483">
        <f t="shared" si="55"/>
        <v>0</v>
      </c>
      <c r="I145" s="539">
        <f t="shared" si="56"/>
        <v>0</v>
      </c>
      <c r="J145" s="475">
        <f t="shared" si="33"/>
        <v>0</v>
      </c>
      <c r="K145" s="475"/>
      <c r="L145" s="484"/>
      <c r="M145" s="475">
        <f t="shared" si="58"/>
        <v>0</v>
      </c>
      <c r="N145" s="484"/>
      <c r="O145" s="475">
        <f t="shared" si="59"/>
        <v>0</v>
      </c>
      <c r="P145" s="475">
        <f t="shared" si="60"/>
        <v>0</v>
      </c>
    </row>
    <row r="146" spans="2:16" ht="12.5">
      <c r="B146" s="160" t="str">
        <f t="shared" si="32"/>
        <v/>
      </c>
      <c r="C146" s="469">
        <f>IF(D93="","-",+C145+1)</f>
        <v>2061</v>
      </c>
      <c r="D146" s="344">
        <f>IF(F145+SUM(E$99:E145)=D$92,F145,D$92-SUM(E$99:E145))</f>
        <v>0</v>
      </c>
      <c r="E146" s="481">
        <f t="shared" si="52"/>
        <v>0</v>
      </c>
      <c r="F146" s="482">
        <f t="shared" si="53"/>
        <v>0</v>
      </c>
      <c r="G146" s="482">
        <f t="shared" si="54"/>
        <v>0</v>
      </c>
      <c r="H146" s="483">
        <f t="shared" si="55"/>
        <v>0</v>
      </c>
      <c r="I146" s="539">
        <f t="shared" si="56"/>
        <v>0</v>
      </c>
      <c r="J146" s="475">
        <f t="shared" si="33"/>
        <v>0</v>
      </c>
      <c r="K146" s="475"/>
      <c r="L146" s="484"/>
      <c r="M146" s="475">
        <f t="shared" si="58"/>
        <v>0</v>
      </c>
      <c r="N146" s="484"/>
      <c r="O146" s="475">
        <f t="shared" si="59"/>
        <v>0</v>
      </c>
      <c r="P146" s="475">
        <f t="shared" si="60"/>
        <v>0</v>
      </c>
    </row>
    <row r="147" spans="2:16" ht="12.5">
      <c r="B147" s="160" t="str">
        <f t="shared" si="32"/>
        <v/>
      </c>
      <c r="C147" s="469">
        <f>IF(D93="","-",+C146+1)</f>
        <v>2062</v>
      </c>
      <c r="D147" s="344">
        <f>IF(F146+SUM(E$99:E146)=D$92,F146,D$92-SUM(E$99:E146))</f>
        <v>0</v>
      </c>
      <c r="E147" s="481">
        <f t="shared" si="52"/>
        <v>0</v>
      </c>
      <c r="F147" s="482">
        <f t="shared" si="53"/>
        <v>0</v>
      </c>
      <c r="G147" s="482">
        <f t="shared" si="54"/>
        <v>0</v>
      </c>
      <c r="H147" s="483">
        <f t="shared" si="55"/>
        <v>0</v>
      </c>
      <c r="I147" s="539">
        <f t="shared" si="56"/>
        <v>0</v>
      </c>
      <c r="J147" s="475">
        <f t="shared" si="33"/>
        <v>0</v>
      </c>
      <c r="K147" s="475"/>
      <c r="L147" s="484"/>
      <c r="M147" s="475">
        <f t="shared" si="58"/>
        <v>0</v>
      </c>
      <c r="N147" s="484"/>
      <c r="O147" s="475">
        <f t="shared" si="59"/>
        <v>0</v>
      </c>
      <c r="P147" s="475">
        <f t="shared" si="60"/>
        <v>0</v>
      </c>
    </row>
    <row r="148" spans="2:16" ht="12.5">
      <c r="B148" s="160" t="str">
        <f t="shared" si="32"/>
        <v/>
      </c>
      <c r="C148" s="469">
        <f>IF(D93="","-",+C147+1)</f>
        <v>2063</v>
      </c>
      <c r="D148" s="344">
        <f>IF(F147+SUM(E$99:E147)=D$92,F147,D$92-SUM(E$99:E147))</f>
        <v>0</v>
      </c>
      <c r="E148" s="481">
        <f t="shared" si="52"/>
        <v>0</v>
      </c>
      <c r="F148" s="482">
        <f t="shared" si="53"/>
        <v>0</v>
      </c>
      <c r="G148" s="482">
        <f t="shared" si="54"/>
        <v>0</v>
      </c>
      <c r="H148" s="483">
        <f t="shared" si="55"/>
        <v>0</v>
      </c>
      <c r="I148" s="539">
        <f t="shared" si="56"/>
        <v>0</v>
      </c>
      <c r="J148" s="475">
        <f t="shared" si="33"/>
        <v>0</v>
      </c>
      <c r="K148" s="475"/>
      <c r="L148" s="484"/>
      <c r="M148" s="475">
        <f t="shared" si="58"/>
        <v>0</v>
      </c>
      <c r="N148" s="484"/>
      <c r="O148" s="475">
        <f t="shared" si="59"/>
        <v>0</v>
      </c>
      <c r="P148" s="475">
        <f t="shared" si="60"/>
        <v>0</v>
      </c>
    </row>
    <row r="149" spans="2:16" ht="12.5">
      <c r="B149" s="160" t="str">
        <f t="shared" si="32"/>
        <v/>
      </c>
      <c r="C149" s="469">
        <f>IF(D93="","-",+C148+1)</f>
        <v>2064</v>
      </c>
      <c r="D149" s="344">
        <f>IF(F148+SUM(E$99:E148)=D$92,F148,D$92-SUM(E$99:E148))</f>
        <v>0</v>
      </c>
      <c r="E149" s="481">
        <f t="shared" si="52"/>
        <v>0</v>
      </c>
      <c r="F149" s="482">
        <f t="shared" si="53"/>
        <v>0</v>
      </c>
      <c r="G149" s="482">
        <f t="shared" si="54"/>
        <v>0</v>
      </c>
      <c r="H149" s="483">
        <f t="shared" si="55"/>
        <v>0</v>
      </c>
      <c r="I149" s="539">
        <f t="shared" si="56"/>
        <v>0</v>
      </c>
      <c r="J149" s="475">
        <f t="shared" si="33"/>
        <v>0</v>
      </c>
      <c r="K149" s="475"/>
      <c r="L149" s="484"/>
      <c r="M149" s="475">
        <f t="shared" si="58"/>
        <v>0</v>
      </c>
      <c r="N149" s="484"/>
      <c r="O149" s="475">
        <f t="shared" si="59"/>
        <v>0</v>
      </c>
      <c r="P149" s="475">
        <f t="shared" si="60"/>
        <v>0</v>
      </c>
    </row>
    <row r="150" spans="2:16" ht="12.5">
      <c r="B150" s="160" t="str">
        <f t="shared" si="32"/>
        <v/>
      </c>
      <c r="C150" s="469">
        <f>IF(D93="","-",+C149+1)</f>
        <v>2065</v>
      </c>
      <c r="D150" s="344">
        <f>IF(F149+SUM(E$99:E149)=D$92,F149,D$92-SUM(E$99:E149))</f>
        <v>0</v>
      </c>
      <c r="E150" s="481">
        <f t="shared" si="52"/>
        <v>0</v>
      </c>
      <c r="F150" s="482">
        <f t="shared" si="53"/>
        <v>0</v>
      </c>
      <c r="G150" s="482">
        <f t="shared" si="54"/>
        <v>0</v>
      </c>
      <c r="H150" s="483">
        <f t="shared" si="55"/>
        <v>0</v>
      </c>
      <c r="I150" s="539">
        <f t="shared" si="56"/>
        <v>0</v>
      </c>
      <c r="J150" s="475">
        <f t="shared" si="33"/>
        <v>0</v>
      </c>
      <c r="K150" s="475"/>
      <c r="L150" s="484"/>
      <c r="M150" s="475">
        <f t="shared" si="58"/>
        <v>0</v>
      </c>
      <c r="N150" s="484"/>
      <c r="O150" s="475">
        <f t="shared" si="59"/>
        <v>0</v>
      </c>
      <c r="P150" s="475">
        <f t="shared" si="60"/>
        <v>0</v>
      </c>
    </row>
    <row r="151" spans="2:16" ht="12.5">
      <c r="B151" s="160" t="str">
        <f t="shared" si="32"/>
        <v/>
      </c>
      <c r="C151" s="469">
        <f>IF(D93="","-",+C150+1)</f>
        <v>2066</v>
      </c>
      <c r="D151" s="344">
        <f>IF(F150+SUM(E$99:E150)=D$92,F150,D$92-SUM(E$99:E150))</f>
        <v>0</v>
      </c>
      <c r="E151" s="481">
        <f t="shared" si="52"/>
        <v>0</v>
      </c>
      <c r="F151" s="482">
        <f t="shared" si="53"/>
        <v>0</v>
      </c>
      <c r="G151" s="482">
        <f t="shared" si="54"/>
        <v>0</v>
      </c>
      <c r="H151" s="483">
        <f t="shared" si="55"/>
        <v>0</v>
      </c>
      <c r="I151" s="539">
        <f t="shared" si="56"/>
        <v>0</v>
      </c>
      <c r="J151" s="475">
        <f t="shared" si="33"/>
        <v>0</v>
      </c>
      <c r="K151" s="475"/>
      <c r="L151" s="484"/>
      <c r="M151" s="475">
        <f t="shared" si="58"/>
        <v>0</v>
      </c>
      <c r="N151" s="484"/>
      <c r="O151" s="475">
        <f t="shared" si="59"/>
        <v>0</v>
      </c>
      <c r="P151" s="475">
        <f t="shared" si="60"/>
        <v>0</v>
      </c>
    </row>
    <row r="152" spans="2:16" ht="12.5">
      <c r="B152" s="160" t="str">
        <f t="shared" si="32"/>
        <v/>
      </c>
      <c r="C152" s="469">
        <f>IF(D93="","-",+C151+1)</f>
        <v>2067</v>
      </c>
      <c r="D152" s="344">
        <f>IF(F151+SUM(E$99:E151)=D$92,F151,D$92-SUM(E$99:E151))</f>
        <v>0</v>
      </c>
      <c r="E152" s="481">
        <f t="shared" si="52"/>
        <v>0</v>
      </c>
      <c r="F152" s="482">
        <f t="shared" si="53"/>
        <v>0</v>
      </c>
      <c r="G152" s="482">
        <f t="shared" si="54"/>
        <v>0</v>
      </c>
      <c r="H152" s="483">
        <f t="shared" si="55"/>
        <v>0</v>
      </c>
      <c r="I152" s="539">
        <f t="shared" si="56"/>
        <v>0</v>
      </c>
      <c r="J152" s="475">
        <f t="shared" si="33"/>
        <v>0</v>
      </c>
      <c r="K152" s="475"/>
      <c r="L152" s="484"/>
      <c r="M152" s="475">
        <f t="shared" si="58"/>
        <v>0</v>
      </c>
      <c r="N152" s="484"/>
      <c r="O152" s="475">
        <f t="shared" si="59"/>
        <v>0</v>
      </c>
      <c r="P152" s="475">
        <f t="shared" si="60"/>
        <v>0</v>
      </c>
    </row>
    <row r="153" spans="2:16" ht="12.5">
      <c r="B153" s="160" t="str">
        <f t="shared" si="32"/>
        <v/>
      </c>
      <c r="C153" s="469">
        <f>IF(D93="","-",+C152+1)</f>
        <v>2068</v>
      </c>
      <c r="D153" s="344">
        <f>IF(F152+SUM(E$99:E152)=D$92,F152,D$92-SUM(E$99:E152))</f>
        <v>0</v>
      </c>
      <c r="E153" s="481">
        <f t="shared" si="52"/>
        <v>0</v>
      </c>
      <c r="F153" s="482">
        <f t="shared" si="53"/>
        <v>0</v>
      </c>
      <c r="G153" s="482">
        <f t="shared" si="54"/>
        <v>0</v>
      </c>
      <c r="H153" s="483">
        <f t="shared" si="55"/>
        <v>0</v>
      </c>
      <c r="I153" s="539">
        <f t="shared" si="56"/>
        <v>0</v>
      </c>
      <c r="J153" s="475">
        <f t="shared" si="33"/>
        <v>0</v>
      </c>
      <c r="K153" s="475"/>
      <c r="L153" s="484"/>
      <c r="M153" s="475">
        <f t="shared" si="58"/>
        <v>0</v>
      </c>
      <c r="N153" s="484"/>
      <c r="O153" s="475">
        <f t="shared" si="59"/>
        <v>0</v>
      </c>
      <c r="P153" s="475">
        <f t="shared" si="60"/>
        <v>0</v>
      </c>
    </row>
    <row r="154" spans="2:16" ht="13" thickBot="1">
      <c r="B154" s="160" t="str">
        <f t="shared" si="32"/>
        <v/>
      </c>
      <c r="C154" s="486">
        <f>IF(D93="","-",+C153+1)</f>
        <v>2069</v>
      </c>
      <c r="D154" s="573">
        <f>IF(F153+SUM(E$99:E153)=D$92,F153,D$92-SUM(E$99:E153))</f>
        <v>0</v>
      </c>
      <c r="E154" s="488">
        <f t="shared" si="52"/>
        <v>0</v>
      </c>
      <c r="F154" s="487">
        <f t="shared" si="53"/>
        <v>0</v>
      </c>
      <c r="G154" s="487">
        <f t="shared" si="54"/>
        <v>0</v>
      </c>
      <c r="H154" s="489">
        <f t="shared" ref="H154" si="61">+J$94*G154+E154</f>
        <v>0</v>
      </c>
      <c r="I154" s="542">
        <f t="shared" ref="I154" si="62">+J$95*G154+E154</f>
        <v>0</v>
      </c>
      <c r="J154" s="492">
        <f t="shared" si="33"/>
        <v>0</v>
      </c>
      <c r="K154" s="492"/>
      <c r="L154" s="491"/>
      <c r="M154" s="492">
        <f t="shared" si="58"/>
        <v>0</v>
      </c>
      <c r="N154" s="491"/>
      <c r="O154" s="492">
        <f t="shared" si="59"/>
        <v>0</v>
      </c>
      <c r="P154" s="492">
        <f t="shared" si="60"/>
        <v>0</v>
      </c>
    </row>
    <row r="155" spans="2:16" ht="12.5">
      <c r="C155" s="344" t="s">
        <v>77</v>
      </c>
      <c r="D155" s="345"/>
      <c r="E155" s="345">
        <f>SUM(E99:E154)</f>
        <v>5059278.0399999991</v>
      </c>
      <c r="F155" s="345"/>
      <c r="G155" s="345"/>
      <c r="H155" s="345">
        <f>SUM(H99:H154)</f>
        <v>18276573.50336735</v>
      </c>
      <c r="I155" s="345">
        <f>SUM(I99:I154)</f>
        <v>18276573.50336735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41" priority="1" stopIfTrue="1" operator="equal">
      <formula>$I$10</formula>
    </cfRule>
  </conditionalFormatting>
  <conditionalFormatting sqref="C99:C154">
    <cfRule type="cellIs" dxfId="4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8">
    <tabColor rgb="FF92D050"/>
  </sheetPr>
  <dimension ref="A1:S137"/>
  <sheetViews>
    <sheetView view="pageBreakPreview" zoomScale="80" zoomScaleNormal="100" zoomScaleSheetLayoutView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16.1796875" style="148" customWidth="1"/>
    <col min="10" max="10" width="2.179687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3.54296875" style="148" bestFit="1" customWidth="1"/>
    <col min="17" max="17" width="4.7265625" style="148" customWidth="1"/>
    <col min="18" max="18" width="15.453125" style="148" customWidth="1"/>
    <col min="19" max="19" width="81.81640625" style="148" bestFit="1" customWidth="1"/>
    <col min="20" max="22" width="8.7265625" style="148"/>
    <col min="23" max="23" width="9.1796875" style="148" customWidth="1"/>
    <col min="24" max="16384" width="8.7265625" style="148"/>
  </cols>
  <sheetData>
    <row r="1" spans="1:18" ht="17.5">
      <c r="A1" s="735" t="s">
        <v>123</v>
      </c>
      <c r="B1" s="736"/>
      <c r="C1" s="736"/>
      <c r="D1" s="736"/>
      <c r="E1" s="736"/>
      <c r="F1" s="736"/>
      <c r="G1" s="736"/>
      <c r="H1" s="736"/>
      <c r="I1" s="736"/>
      <c r="J1" s="736"/>
    </row>
    <row r="2" spans="1:18" ht="17.5">
      <c r="A2" s="737" t="str">
        <f>L19+1&amp;" Cost of Service Formula Rate Projected on "&amp;L19&amp;" FF1 Balances"</f>
        <v>2025 Cost of Service Formula Rate Projected on 2024 FF1 Balances</v>
      </c>
      <c r="B2" s="737"/>
      <c r="C2" s="737"/>
      <c r="D2" s="737"/>
      <c r="E2" s="737"/>
      <c r="F2" s="737"/>
      <c r="G2" s="737"/>
      <c r="H2" s="737"/>
      <c r="I2" s="737"/>
      <c r="J2" s="737"/>
    </row>
    <row r="3" spans="1:18" ht="18">
      <c r="A3" s="738" t="s">
        <v>140</v>
      </c>
      <c r="B3" s="737"/>
      <c r="C3" s="737"/>
      <c r="D3" s="737"/>
      <c r="E3" s="737"/>
      <c r="F3" s="737"/>
      <c r="G3" s="737"/>
      <c r="H3" s="737"/>
      <c r="I3" s="737"/>
      <c r="J3" s="737"/>
      <c r="Q3" s="238" t="s">
        <v>125</v>
      </c>
    </row>
    <row r="4" spans="1:18" ht="17.5">
      <c r="A4" s="737" t="str">
        <f>"Based on a Carrying Charge Derived from ""Historic"" "&amp;L19&amp;" Data"</f>
        <v>Based on a Carrying Charge Derived from "Historic" 2024 Data</v>
      </c>
      <c r="B4" s="737"/>
      <c r="C4" s="737"/>
      <c r="D4" s="737"/>
      <c r="E4" s="737"/>
      <c r="F4" s="737"/>
      <c r="G4" s="737"/>
      <c r="H4" s="737"/>
      <c r="I4" s="737"/>
      <c r="J4" s="737"/>
    </row>
    <row r="5" spans="1:18" ht="18">
      <c r="A5" s="739" t="s">
        <v>124</v>
      </c>
      <c r="B5" s="739"/>
      <c r="C5" s="739"/>
      <c r="D5" s="739"/>
      <c r="E5" s="739"/>
      <c r="F5" s="739"/>
      <c r="G5" s="739"/>
      <c r="H5" s="739"/>
      <c r="I5" s="739"/>
      <c r="J5" s="739"/>
    </row>
    <row r="6" spans="1:18" ht="12.5">
      <c r="A6" s="231"/>
      <c r="B6" s="231"/>
      <c r="C6" s="231"/>
      <c r="D6" s="239"/>
      <c r="E6" s="231"/>
      <c r="F6" s="231"/>
      <c r="G6" s="231"/>
      <c r="H6" s="240"/>
      <c r="I6" s="231"/>
      <c r="J6" s="241"/>
    </row>
    <row r="7" spans="1:18" ht="12.5">
      <c r="D7" s="160"/>
      <c r="H7" s="216"/>
      <c r="J7" s="194"/>
    </row>
    <row r="8" spans="1:18" ht="38.25" customHeight="1">
      <c r="B8" s="242" t="s">
        <v>0</v>
      </c>
      <c r="C8" s="731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732"/>
      <c r="E8" s="732"/>
      <c r="F8" s="732"/>
      <c r="G8" s="732"/>
      <c r="H8" s="732"/>
      <c r="J8" s="194"/>
      <c r="R8" s="233"/>
    </row>
    <row r="9" spans="1:18" ht="12.5">
      <c r="D9" s="160"/>
      <c r="H9" s="216"/>
      <c r="J9" s="194"/>
    </row>
    <row r="10" spans="1:18" ht="15.5">
      <c r="C10" s="243" t="str">
        <f>"A.   Determine 'R' with hypothetical "&amp;F13&amp;" basis point increase in ROE for Identified Projects"</f>
        <v>A.   Determine 'R' with hypothetical 0 basis point increase in ROE for Identified Projects</v>
      </c>
      <c r="D10" s="160"/>
      <c r="H10" s="216"/>
      <c r="J10" s="194"/>
      <c r="K10" s="244"/>
      <c r="L10" s="245"/>
    </row>
    <row r="11" spans="1:18" ht="12.5">
      <c r="D11" s="160"/>
      <c r="H11" s="216"/>
      <c r="J11" s="194"/>
    </row>
    <row r="12" spans="1:18" ht="12.5">
      <c r="C12" s="246" t="str">
        <f>S105</f>
        <v xml:space="preserve">   ROE w/o incentives  (Projected TCOS, ln 148)</v>
      </c>
      <c r="D12" s="160"/>
      <c r="E12" s="247"/>
      <c r="F12" s="248">
        <v>0.112</v>
      </c>
      <c r="G12" s="249"/>
      <c r="H12" s="250"/>
      <c r="I12" s="251"/>
      <c r="J12" s="252"/>
      <c r="K12" s="251"/>
      <c r="L12" s="251"/>
      <c r="M12" s="251"/>
      <c r="N12" s="251"/>
      <c r="O12" s="247"/>
      <c r="P12" s="251"/>
      <c r="Q12" s="231"/>
    </row>
    <row r="13" spans="1:18" ht="12.5">
      <c r="C13" s="246" t="s">
        <v>1</v>
      </c>
      <c r="D13" s="160"/>
      <c r="E13" s="247"/>
      <c r="F13" s="253">
        <f>+R106</f>
        <v>0</v>
      </c>
      <c r="G13" s="148" t="s">
        <v>152</v>
      </c>
      <c r="K13" s="251"/>
      <c r="L13" s="251"/>
      <c r="M13" s="251"/>
      <c r="N13" s="251"/>
      <c r="O13" s="247"/>
      <c r="P13" s="251"/>
      <c r="Q13" s="231"/>
    </row>
    <row r="14" spans="1:18" ht="13.5" thickBot="1">
      <c r="C14" s="246" t="str">
        <f>"   ROE with additional "&amp;F13&amp;" basis point incentive"</f>
        <v xml:space="preserve">   ROE with additional 0 basis point incentive</v>
      </c>
      <c r="D14" s="247"/>
      <c r="E14" s="247"/>
      <c r="F14" s="254">
        <f>IF((F12+(F13/10000)&gt;0.1245),"ERROR",F12+(F13/10000))</f>
        <v>0.112</v>
      </c>
      <c r="G14" s="255" t="s">
        <v>2</v>
      </c>
      <c r="H14" s="251"/>
      <c r="I14" s="251"/>
      <c r="J14" s="252"/>
      <c r="K14" s="251"/>
      <c r="L14" s="251"/>
      <c r="M14" s="251"/>
      <c r="N14" s="251"/>
      <c r="O14" s="247"/>
      <c r="P14" s="251"/>
      <c r="Q14" s="231"/>
    </row>
    <row r="15" spans="1:18" ht="12.5">
      <c r="C15" s="246" t="s">
        <v>231</v>
      </c>
      <c r="D15" s="160"/>
      <c r="E15" s="247"/>
      <c r="F15" s="254"/>
      <c r="G15" s="247"/>
      <c r="H15" s="251"/>
      <c r="I15" s="251"/>
      <c r="J15" s="252"/>
      <c r="K15" s="725" t="s">
        <v>3</v>
      </c>
      <c r="L15" s="726"/>
      <c r="M15" s="726"/>
      <c r="N15" s="726"/>
      <c r="O15" s="727"/>
      <c r="P15" s="251"/>
      <c r="Q15" s="231"/>
    </row>
    <row r="16" spans="1:18" ht="12.5">
      <c r="C16" s="252"/>
      <c r="D16" s="256" t="s">
        <v>4</v>
      </c>
      <c r="E16" s="256" t="s">
        <v>5</v>
      </c>
      <c r="F16" s="257" t="s">
        <v>6</v>
      </c>
      <c r="G16" s="247"/>
      <c r="H16" s="251"/>
      <c r="I16" s="251"/>
      <c r="J16" s="252"/>
      <c r="K16" s="728"/>
      <c r="L16" s="729"/>
      <c r="M16" s="729"/>
      <c r="N16" s="729"/>
      <c r="O16" s="730"/>
      <c r="P16" s="251"/>
      <c r="Q16" s="231"/>
    </row>
    <row r="17" spans="3:17" ht="12.5">
      <c r="C17" s="258" t="s">
        <v>7</v>
      </c>
      <c r="D17" s="259">
        <f>+R107</f>
        <v>0.48024726615946089</v>
      </c>
      <c r="E17" s="260">
        <f>+R108</f>
        <v>4.164358942050251E-2</v>
      </c>
      <c r="F17" s="261">
        <f>E17*D17</f>
        <v>1.999921997226338E-2</v>
      </c>
      <c r="G17" s="247"/>
      <c r="H17" s="251"/>
      <c r="I17" s="262"/>
      <c r="J17" s="263"/>
      <c r="K17" s="264"/>
      <c r="L17" s="265"/>
      <c r="M17" s="252" t="s">
        <v>8</v>
      </c>
      <c r="N17" s="252" t="s">
        <v>9</v>
      </c>
      <c r="O17" s="266" t="s">
        <v>10</v>
      </c>
      <c r="P17" s="251"/>
      <c r="Q17" s="231"/>
    </row>
    <row r="18" spans="3:17" ht="12.5">
      <c r="C18" s="258" t="s">
        <v>11</v>
      </c>
      <c r="D18" s="259">
        <f>+R109</f>
        <v>0</v>
      </c>
      <c r="E18" s="260">
        <f>+R110</f>
        <v>0</v>
      </c>
      <c r="F18" s="261">
        <f>E18*D18</f>
        <v>0</v>
      </c>
      <c r="G18" s="267"/>
      <c r="H18" s="267"/>
      <c r="I18" s="268"/>
      <c r="J18" s="269"/>
      <c r="K18" s="270"/>
      <c r="L18" s="194"/>
      <c r="M18" s="194"/>
      <c r="N18" s="194"/>
      <c r="O18" s="271"/>
      <c r="P18" s="267"/>
      <c r="Q18" s="231"/>
    </row>
    <row r="19" spans="3:17" ht="13" thickBot="1">
      <c r="C19" s="272" t="s">
        <v>12</v>
      </c>
      <c r="D19" s="259">
        <f>+R111</f>
        <v>0.51975273384053922</v>
      </c>
      <c r="E19" s="260">
        <f>+F14</f>
        <v>0.112</v>
      </c>
      <c r="F19" s="273">
        <f>E19*D19</f>
        <v>5.8212306190140395E-2</v>
      </c>
      <c r="G19" s="267"/>
      <c r="H19" s="267"/>
      <c r="I19" s="254"/>
      <c r="J19" s="269"/>
      <c r="K19" s="274" t="s">
        <v>13</v>
      </c>
      <c r="L19" s="275">
        <f>R104</f>
        <v>2024</v>
      </c>
      <c r="M19" s="716">
        <f>SUM('P.001:P.xyz - blank'!N5)</f>
        <v>9262191.0701439064</v>
      </c>
      <c r="N19" s="716">
        <f>SUM('P.001:P.xyz - blank'!N6)</f>
        <v>9262191.0701439064</v>
      </c>
      <c r="O19" s="276">
        <f>+N19-M19</f>
        <v>0</v>
      </c>
      <c r="P19" s="268"/>
      <c r="Q19" s="231"/>
    </row>
    <row r="20" spans="3:17" ht="12.5">
      <c r="C20" s="246"/>
      <c r="D20" s="247"/>
      <c r="E20" s="277" t="s">
        <v>14</v>
      </c>
      <c r="F20" s="261">
        <f>SUM(F17:F19)</f>
        <v>7.8211526162403774E-2</v>
      </c>
      <c r="G20" s="267"/>
      <c r="H20" s="267"/>
      <c r="I20" s="268"/>
      <c r="J20" s="269"/>
      <c r="M20" s="278" t="str">
        <f>IF(M19=SUM('P.001:P.xyz - blank'!N5),"","ERROR")</f>
        <v/>
      </c>
      <c r="N20" s="278" t="str">
        <f>IF(N19=SUM('P.001:P.xyz - blank'!N6),"","ERROR")</f>
        <v/>
      </c>
      <c r="O20" s="278" t="str">
        <f>IF(O19=SUM('P.001:P.xyz - blank'!N7),"","ERROR")</f>
        <v/>
      </c>
      <c r="P20" s="267"/>
      <c r="Q20" s="231"/>
    </row>
    <row r="21" spans="3:17" ht="13">
      <c r="D21" s="279"/>
      <c r="E21" s="279"/>
      <c r="F21" s="267"/>
      <c r="G21" s="267"/>
      <c r="H21" s="267"/>
      <c r="I21" s="267"/>
      <c r="J21" s="280"/>
      <c r="K21" s="177" t="s">
        <v>15</v>
      </c>
      <c r="P21" s="267"/>
      <c r="Q21" s="231"/>
    </row>
    <row r="22" spans="3:17" ht="15.5">
      <c r="C22" s="243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79"/>
      <c r="E22" s="279"/>
      <c r="F22" s="281"/>
      <c r="G22" s="267"/>
      <c r="H22" s="247"/>
      <c r="I22" s="267"/>
      <c r="J22" s="280"/>
      <c r="K22" s="148" t="s">
        <v>16</v>
      </c>
      <c r="P22" s="267"/>
      <c r="Q22" s="231"/>
    </row>
    <row r="23" spans="3:17" ht="12.5">
      <c r="C23" s="252"/>
      <c r="D23" s="279"/>
      <c r="E23" s="279"/>
      <c r="F23" s="280"/>
      <c r="G23" s="280"/>
      <c r="H23" s="280"/>
      <c r="I23" s="280"/>
      <c r="J23" s="280"/>
      <c r="K23" s="268"/>
      <c r="L23" s="282"/>
      <c r="M23" s="235"/>
      <c r="N23" s="268"/>
      <c r="O23" s="267"/>
      <c r="P23" s="280"/>
      <c r="Q23" s="241"/>
    </row>
    <row r="24" spans="3:17" ht="12.5">
      <c r="C24" s="246" t="str">
        <f>+S112</f>
        <v xml:space="preserve">   Rate Base  (TCOS, ln 62)</v>
      </c>
      <c r="D24" s="247"/>
      <c r="E24" s="283">
        <f>+R112</f>
        <v>683940833.71235883</v>
      </c>
      <c r="F24" s="284"/>
      <c r="G24" s="280"/>
      <c r="H24" s="280"/>
      <c r="I24" s="280"/>
      <c r="J24" s="280"/>
      <c r="K24" s="280"/>
      <c r="L24" s="280"/>
      <c r="M24" s="280"/>
      <c r="N24" s="280"/>
      <c r="O24" s="280"/>
      <c r="P24" s="284"/>
      <c r="Q24" s="241"/>
    </row>
    <row r="25" spans="3:17" ht="12.5">
      <c r="C25" s="252" t="s">
        <v>17</v>
      </c>
      <c r="D25" s="249"/>
      <c r="E25" s="285">
        <f>F20</f>
        <v>7.8211526162403774E-2</v>
      </c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41"/>
    </row>
    <row r="26" spans="3:17" ht="12.5">
      <c r="C26" s="286" t="s">
        <v>18</v>
      </c>
      <c r="D26" s="286"/>
      <c r="E26" s="268">
        <f>E24*E25</f>
        <v>53492056.4094304</v>
      </c>
      <c r="F26" s="280"/>
      <c r="G26" s="280"/>
      <c r="H26" s="280"/>
      <c r="I26" s="269"/>
      <c r="J26" s="269"/>
      <c r="K26" s="269"/>
      <c r="L26" s="269"/>
      <c r="M26" s="280"/>
      <c r="N26" s="269"/>
      <c r="O26" s="280"/>
      <c r="P26" s="280"/>
      <c r="Q26" s="241"/>
    </row>
    <row r="27" spans="3:17" ht="12.5">
      <c r="C27" s="287"/>
      <c r="D27" s="251"/>
      <c r="E27" s="251"/>
      <c r="F27" s="280"/>
      <c r="G27" s="280"/>
      <c r="H27" s="280"/>
      <c r="I27" s="269"/>
      <c r="J27" s="269"/>
      <c r="K27" s="269"/>
      <c r="L27" s="269"/>
      <c r="M27" s="280"/>
      <c r="N27" s="269"/>
      <c r="O27" s="280"/>
      <c r="P27" s="280"/>
      <c r="Q27" s="241"/>
    </row>
    <row r="28" spans="3:17" ht="15.5">
      <c r="C28" s="243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88"/>
      <c r="E28" s="288"/>
      <c r="F28" s="289"/>
      <c r="G28" s="289"/>
      <c r="H28" s="289"/>
      <c r="I28" s="290"/>
      <c r="J28" s="290"/>
      <c r="K28" s="290"/>
      <c r="L28" s="290"/>
      <c r="M28" s="280"/>
      <c r="N28" s="290"/>
      <c r="O28" s="289"/>
      <c r="P28" s="289"/>
      <c r="Q28" s="241"/>
    </row>
    <row r="29" spans="3:17" ht="12.5">
      <c r="C29" s="246"/>
      <c r="D29" s="251"/>
      <c r="E29" s="251"/>
      <c r="F29" s="280"/>
      <c r="G29" s="280"/>
      <c r="H29" s="280"/>
      <c r="I29" s="269"/>
      <c r="J29" s="269"/>
      <c r="K29" s="269"/>
      <c r="L29" s="269"/>
      <c r="M29" s="280"/>
      <c r="N29" s="269"/>
      <c r="O29" s="280"/>
      <c r="P29" s="280"/>
      <c r="Q29" s="241"/>
    </row>
    <row r="30" spans="3:17" ht="12.5">
      <c r="C30" s="252" t="s">
        <v>19</v>
      </c>
      <c r="D30" s="277"/>
      <c r="E30" s="291">
        <f>E26</f>
        <v>53492056.4094304</v>
      </c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41"/>
    </row>
    <row r="31" spans="3:17" ht="12.5">
      <c r="C31" s="246" t="str">
        <f>+S113</f>
        <v xml:space="preserve">   Tax Rate  (TCOS, ln 97)</v>
      </c>
      <c r="D31" s="277"/>
      <c r="E31" s="292">
        <f>+R113</f>
        <v>0.24025699999999994</v>
      </c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41"/>
    </row>
    <row r="32" spans="3:17" ht="12.5">
      <c r="C32" s="252" t="s">
        <v>20</v>
      </c>
      <c r="D32" s="239"/>
      <c r="E32" s="254">
        <f>IF(F17&gt;0,($E31/(1-$E31))*(1-$F17/$F20),0)</f>
        <v>0.23537123554365713</v>
      </c>
      <c r="F32" s="231"/>
      <c r="G32" s="254"/>
      <c r="H32" s="240"/>
      <c r="I32" s="231"/>
      <c r="J32" s="241"/>
      <c r="K32" s="231"/>
      <c r="L32" s="231"/>
      <c r="M32" s="231"/>
      <c r="N32" s="231"/>
      <c r="O32" s="231"/>
      <c r="P32" s="231"/>
      <c r="Q32" s="231"/>
    </row>
    <row r="33" spans="2:19" ht="12.5">
      <c r="C33" s="286" t="s">
        <v>21</v>
      </c>
      <c r="D33" s="293"/>
      <c r="E33" s="294">
        <f>E30*E32</f>
        <v>12590491.408858636</v>
      </c>
      <c r="F33" s="294"/>
      <c r="G33" s="231"/>
      <c r="H33" s="240"/>
      <c r="I33" s="231"/>
      <c r="J33" s="241"/>
      <c r="K33" s="231"/>
      <c r="L33" s="231"/>
      <c r="M33" s="231"/>
      <c r="N33" s="231"/>
      <c r="O33" s="231"/>
      <c r="P33" s="231"/>
      <c r="Q33" s="231"/>
    </row>
    <row r="34" spans="2:19" ht="15.5">
      <c r="C34" s="246" t="str">
        <f>+S114</f>
        <v xml:space="preserve">   ITC Adjustment  (TCOS, ln 106)</v>
      </c>
      <c r="D34" s="295"/>
      <c r="E34" s="296">
        <f>+R114</f>
        <v>-319531.69580624782</v>
      </c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7"/>
      <c r="Q34" s="295"/>
    </row>
    <row r="35" spans="2:19" ht="15.5">
      <c r="C35" s="246" t="str">
        <f>+S115</f>
        <v xml:space="preserve">   Excess DFIT Adjustment  (TCOS, ln 107)</v>
      </c>
      <c r="D35" s="295"/>
      <c r="E35" s="296">
        <f>+R115</f>
        <v>-1166965.6413902158</v>
      </c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7"/>
      <c r="Q35" s="295"/>
    </row>
    <row r="36" spans="2:19" ht="15.5">
      <c r="C36" s="246" t="str">
        <f>+S116</f>
        <v xml:space="preserve">   Tax Effect of Permanent and Flow Through Differences  (TCOS, ln 108)</v>
      </c>
      <c r="D36" s="295"/>
      <c r="E36" s="296">
        <f>+R116</f>
        <v>85069.571157615137</v>
      </c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7"/>
      <c r="Q36" s="295"/>
    </row>
    <row r="37" spans="2:19" ht="15.5">
      <c r="C37" s="287" t="s">
        <v>22</v>
      </c>
      <c r="D37" s="295"/>
      <c r="E37" s="296">
        <f>E33+E34+E35+E36</f>
        <v>11189063.642819788</v>
      </c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8"/>
      <c r="Q37" s="295"/>
    </row>
    <row r="38" spans="2:19" ht="12.75" customHeight="1">
      <c r="C38" s="299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8"/>
      <c r="Q38" s="295"/>
      <c r="R38" s="231"/>
      <c r="S38" s="231"/>
    </row>
    <row r="39" spans="2:19" ht="18">
      <c r="B39" s="300" t="s">
        <v>23</v>
      </c>
      <c r="C39" s="301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8"/>
      <c r="Q39" s="295"/>
      <c r="R39" s="231"/>
      <c r="S39" s="231"/>
    </row>
    <row r="40" spans="2:19" ht="15.75" customHeight="1">
      <c r="B40" s="300"/>
      <c r="C40" s="301" t="str">
        <f>"ROE increase."</f>
        <v>ROE increase.</v>
      </c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8"/>
      <c r="Q40" s="295"/>
      <c r="R40" s="231"/>
      <c r="S40" s="231"/>
    </row>
    <row r="41" spans="2:19" ht="12.75" customHeight="1">
      <c r="C41" s="299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8"/>
      <c r="Q41" s="295"/>
      <c r="R41" s="231"/>
      <c r="S41" s="231"/>
    </row>
    <row r="42" spans="2:19" ht="15.5">
      <c r="C42" s="243" t="s">
        <v>24</v>
      </c>
      <c r="D42" s="295"/>
      <c r="E42" s="295"/>
      <c r="F42" s="302"/>
      <c r="G42" s="295"/>
      <c r="H42" s="295"/>
      <c r="I42" s="295"/>
      <c r="J42" s="295"/>
      <c r="K42" s="295"/>
      <c r="L42" s="295"/>
      <c r="M42" s="295"/>
      <c r="N42" s="295"/>
      <c r="O42" s="295"/>
      <c r="P42" s="298"/>
      <c r="Q42" s="295"/>
      <c r="R42" s="231"/>
      <c r="S42" s="231"/>
    </row>
    <row r="43" spans="2:19" ht="12.5">
      <c r="B43" s="231"/>
      <c r="C43" s="303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296"/>
      <c r="Q43" s="304"/>
      <c r="R43" s="231"/>
      <c r="S43" s="231"/>
    </row>
    <row r="44" spans="2:19" ht="12.75" customHeight="1">
      <c r="B44" s="231"/>
      <c r="C44" s="246" t="str">
        <f>+S117</f>
        <v xml:space="preserve">   Net Revenue Requirement  (TCOS, ln 115)</v>
      </c>
      <c r="D44" s="304"/>
      <c r="E44" s="304"/>
      <c r="F44" s="296">
        <f>+R117</f>
        <v>120680786.1123959</v>
      </c>
      <c r="G44" s="304"/>
      <c r="H44" s="304"/>
      <c r="I44" s="304"/>
      <c r="J44" s="304"/>
      <c r="K44" s="304"/>
      <c r="L44" s="304"/>
      <c r="M44" s="304"/>
      <c r="N44" s="304"/>
      <c r="O44" s="304"/>
      <c r="P44" s="296"/>
      <c r="Q44" s="304"/>
      <c r="R44" s="231"/>
      <c r="S44" s="231"/>
    </row>
    <row r="45" spans="2:19" ht="12.5">
      <c r="B45" s="231"/>
      <c r="C45" s="246" t="str">
        <f>+S118</f>
        <v xml:space="preserve">   Return  (TCOS, ln 110)</v>
      </c>
      <c r="D45" s="304"/>
      <c r="E45" s="304"/>
      <c r="F45" s="305">
        <f>+R118</f>
        <v>51003695.582680166</v>
      </c>
      <c r="G45" s="306"/>
      <c r="H45" s="306"/>
      <c r="I45" s="306"/>
      <c r="J45" s="306"/>
      <c r="K45" s="306"/>
      <c r="L45" s="306"/>
      <c r="M45" s="306"/>
      <c r="N45" s="306"/>
      <c r="O45" s="306"/>
      <c r="P45" s="296"/>
      <c r="Q45" s="304"/>
      <c r="R45" s="231"/>
      <c r="S45" s="231"/>
    </row>
    <row r="46" spans="2:19" ht="12.5">
      <c r="B46" s="231"/>
      <c r="C46" s="246" t="str">
        <f>+S119</f>
        <v xml:space="preserve">   Income Taxes  (TCOS, ln 109)</v>
      </c>
      <c r="D46" s="304"/>
      <c r="E46" s="304"/>
      <c r="F46" s="296">
        <f>+R119</f>
        <v>10402157.929766124</v>
      </c>
      <c r="G46" s="304"/>
      <c r="H46" s="304"/>
      <c r="I46" s="307"/>
      <c r="J46" s="307"/>
      <c r="K46" s="307"/>
      <c r="L46" s="307"/>
      <c r="M46" s="307"/>
      <c r="N46" s="307"/>
      <c r="O46" s="304"/>
      <c r="P46" s="304"/>
      <c r="Q46" s="304"/>
      <c r="R46" s="231"/>
      <c r="S46" s="231"/>
    </row>
    <row r="47" spans="2:19" ht="12.5">
      <c r="B47" s="231"/>
      <c r="C47" s="303" t="str">
        <f>+S120</f>
        <v xml:space="preserve">  Gross Margin Taxes  (TCOS, ln 114)</v>
      </c>
      <c r="D47" s="304"/>
      <c r="E47" s="304"/>
      <c r="F47" s="308">
        <f>+R120</f>
        <v>0</v>
      </c>
      <c r="G47" s="304"/>
      <c r="H47" s="304"/>
      <c r="I47" s="307"/>
      <c r="J47" s="307"/>
      <c r="K47" s="307"/>
      <c r="L47" s="307"/>
      <c r="M47" s="307"/>
      <c r="N47" s="307"/>
      <c r="O47" s="304"/>
      <c r="P47" s="304"/>
      <c r="Q47" s="304"/>
      <c r="R47" s="231"/>
      <c r="S47" s="231"/>
    </row>
    <row r="48" spans="2:19" ht="12.5">
      <c r="B48" s="231"/>
      <c r="C48" s="309" t="s">
        <v>25</v>
      </c>
      <c r="D48" s="304"/>
      <c r="E48" s="304"/>
      <c r="F48" s="305">
        <f>F44-F45-F46-F47</f>
        <v>59274932.599949606</v>
      </c>
      <c r="G48" s="310"/>
      <c r="H48" s="304"/>
      <c r="I48" s="310"/>
      <c r="J48" s="310"/>
      <c r="K48" s="310"/>
      <c r="L48" s="310"/>
      <c r="M48" s="310"/>
      <c r="N48" s="310"/>
      <c r="O48" s="304"/>
      <c r="P48" s="310"/>
      <c r="Q48" s="304"/>
      <c r="R48" s="231"/>
      <c r="S48" s="231"/>
    </row>
    <row r="49" spans="2:19" ht="12.5">
      <c r="B49" s="231"/>
      <c r="C49" s="303"/>
      <c r="D49" s="304"/>
      <c r="E49" s="304"/>
      <c r="F49" s="296"/>
      <c r="G49" s="311"/>
      <c r="H49" s="312"/>
      <c r="I49" s="312"/>
      <c r="J49" s="312"/>
      <c r="K49" s="312"/>
      <c r="L49" s="312"/>
      <c r="M49" s="312"/>
      <c r="N49" s="312"/>
      <c r="O49" s="313"/>
      <c r="P49" s="312"/>
      <c r="Q49" s="314"/>
      <c r="R49" s="231"/>
      <c r="S49" s="231"/>
    </row>
    <row r="50" spans="2:19" ht="15.5">
      <c r="B50" s="231"/>
      <c r="C50" s="243" t="str">
        <f>"B.   Determine Net Revenue Requirement with hypothetical "&amp;F13&amp;" basis point increase in ROE."</f>
        <v>B.   Determine Net Revenue Requirement with hypothetical 0 basis point increase in ROE.</v>
      </c>
      <c r="D50" s="313"/>
      <c r="E50" s="313"/>
      <c r="F50" s="296"/>
      <c r="G50" s="311"/>
      <c r="H50" s="312"/>
      <c r="I50" s="312"/>
      <c r="J50" s="312"/>
      <c r="K50" s="312"/>
      <c r="L50" s="312"/>
      <c r="M50" s="312"/>
      <c r="N50" s="312"/>
      <c r="O50" s="313"/>
      <c r="P50" s="312"/>
      <c r="Q50" s="304"/>
    </row>
    <row r="51" spans="2:19" ht="12.5">
      <c r="B51" s="231"/>
      <c r="C51" s="303"/>
      <c r="D51" s="313"/>
      <c r="E51" s="313"/>
      <c r="F51" s="296"/>
      <c r="G51" s="311"/>
      <c r="H51" s="312"/>
      <c r="I51" s="312"/>
      <c r="J51" s="312"/>
      <c r="K51" s="312"/>
      <c r="L51" s="312"/>
      <c r="M51" s="312"/>
      <c r="N51" s="312"/>
      <c r="O51" s="313"/>
      <c r="P51" s="312"/>
      <c r="Q51" s="304"/>
    </row>
    <row r="52" spans="2:19" ht="13">
      <c r="B52" s="231"/>
      <c r="C52" s="303" t="str">
        <f>C48</f>
        <v xml:space="preserve">   Net Revenue Requirement, Less Return and Taxes</v>
      </c>
      <c r="D52" s="313"/>
      <c r="E52" s="313"/>
      <c r="F52" s="296">
        <f>F48</f>
        <v>59274932.599949606</v>
      </c>
      <c r="G52" s="304"/>
      <c r="H52" s="304"/>
      <c r="I52" s="304"/>
      <c r="J52" s="304"/>
      <c r="K52" s="304"/>
      <c r="L52" s="304"/>
      <c r="M52" s="304"/>
      <c r="N52" s="304"/>
      <c r="O52" s="315"/>
      <c r="P52" s="316"/>
      <c r="Q52" s="317"/>
    </row>
    <row r="53" spans="2:19" ht="13">
      <c r="B53" s="231"/>
      <c r="C53" s="252" t="s">
        <v>103</v>
      </c>
      <c r="D53" s="318"/>
      <c r="E53" s="309"/>
      <c r="F53" s="319">
        <f>E26</f>
        <v>53492056.4094304</v>
      </c>
      <c r="G53" s="309"/>
      <c r="H53" s="320"/>
      <c r="I53" s="309"/>
      <c r="J53" s="309"/>
      <c r="K53" s="309"/>
      <c r="L53" s="309"/>
      <c r="M53" s="309"/>
      <c r="N53" s="309"/>
      <c r="O53" s="309"/>
      <c r="P53" s="309"/>
      <c r="Q53" s="309"/>
    </row>
    <row r="54" spans="2:19" ht="12.75" customHeight="1">
      <c r="B54" s="231"/>
      <c r="C54" s="246" t="s">
        <v>26</v>
      </c>
      <c r="D54" s="304"/>
      <c r="E54" s="304"/>
      <c r="F54" s="321">
        <f>E37</f>
        <v>11189063.642819788</v>
      </c>
      <c r="G54" s="231"/>
      <c r="H54" s="240"/>
      <c r="I54" s="231"/>
      <c r="J54" s="241"/>
      <c r="K54" s="231"/>
      <c r="L54" s="231"/>
      <c r="M54" s="231"/>
      <c r="N54" s="231"/>
      <c r="O54" s="231"/>
      <c r="P54" s="231"/>
      <c r="Q54" s="231"/>
    </row>
    <row r="55" spans="2:19" ht="12.5">
      <c r="B55" s="231"/>
      <c r="C55" s="309" t="str">
        <f>"   Net Revenue Requirement, with "&amp;F13&amp;" Basis Point ROE increase"</f>
        <v xml:space="preserve">   Net Revenue Requirement, with 0 Basis Point ROE increase</v>
      </c>
      <c r="D55" s="239"/>
      <c r="E55" s="231"/>
      <c r="F55" s="294">
        <f>SUM(F52:F54)</f>
        <v>123956052.6521998</v>
      </c>
      <c r="G55" s="231"/>
      <c r="H55" s="240"/>
      <c r="I55" s="231"/>
      <c r="J55" s="241"/>
      <c r="K55" s="231"/>
      <c r="L55" s="231"/>
      <c r="M55" s="231"/>
      <c r="N55" s="231"/>
      <c r="O55" s="231"/>
      <c r="P55" s="231"/>
      <c r="Q55" s="231"/>
      <c r="R55" s="231"/>
      <c r="S55" s="231"/>
    </row>
    <row r="56" spans="2:19" ht="12.5">
      <c r="B56" s="231"/>
      <c r="C56" s="322" t="str">
        <f>"   Gross Margin Tax with "&amp;F13&amp;" Basis Point ROE Increase (II C. below)"</f>
        <v xml:space="preserve">   Gross Margin Tax with 0 Basis Point ROE Increase (II C. below)</v>
      </c>
      <c r="D56" s="323"/>
      <c r="E56" s="323"/>
      <c r="F56" s="324">
        <f>+F71</f>
        <v>0</v>
      </c>
      <c r="G56" s="231"/>
      <c r="H56" s="240"/>
      <c r="I56" s="231"/>
      <c r="J56" s="241"/>
      <c r="K56" s="231"/>
      <c r="L56" s="231"/>
      <c r="M56" s="231"/>
      <c r="N56" s="231"/>
      <c r="O56" s="231"/>
      <c r="P56" s="231"/>
      <c r="Q56" s="231"/>
      <c r="R56" s="231"/>
      <c r="S56" s="231"/>
    </row>
    <row r="57" spans="2:19" ht="12.5">
      <c r="B57" s="231"/>
      <c r="C57" s="309" t="s">
        <v>27</v>
      </c>
      <c r="D57" s="239"/>
      <c r="E57" s="231"/>
      <c r="F57" s="325">
        <f>+F55+F56</f>
        <v>123956052.6521998</v>
      </c>
      <c r="G57" s="231"/>
      <c r="H57" s="240"/>
      <c r="I57" s="231"/>
      <c r="J57" s="241"/>
      <c r="K57" s="231"/>
      <c r="L57" s="231"/>
      <c r="M57" s="231"/>
      <c r="N57" s="231"/>
      <c r="O57" s="231"/>
      <c r="P57" s="231"/>
      <c r="Q57" s="231"/>
      <c r="R57" s="231"/>
      <c r="S57" s="231"/>
    </row>
    <row r="58" spans="2:19" ht="12.5">
      <c r="B58" s="231"/>
      <c r="C58" s="246" t="str">
        <f>+S121</f>
        <v xml:space="preserve">   Less: Depreciation  (TCOS, ln 84)</v>
      </c>
      <c r="D58" s="239"/>
      <c r="E58" s="231"/>
      <c r="F58" s="326">
        <f>+R121</f>
        <v>27536981.893529497</v>
      </c>
      <c r="G58" s="231"/>
      <c r="H58" s="240"/>
      <c r="I58" s="231"/>
      <c r="J58" s="241"/>
      <c r="K58" s="231"/>
      <c r="L58" s="231"/>
      <c r="M58" s="231"/>
      <c r="N58" s="231"/>
      <c r="O58" s="231"/>
      <c r="P58" s="231"/>
      <c r="Q58" s="231"/>
      <c r="R58" s="231"/>
      <c r="S58" s="231"/>
    </row>
    <row r="59" spans="2:19" ht="12.5">
      <c r="B59" s="231"/>
      <c r="C59" s="309" t="str">
        <f>"   Net Rev. Req, w/"&amp;F13&amp;" Basis Point ROE increase, less Depreciation"</f>
        <v xml:space="preserve">   Net Rev. Req, w/0 Basis Point ROE increase, less Depreciation</v>
      </c>
      <c r="D59" s="239"/>
      <c r="E59" s="231"/>
      <c r="F59" s="294">
        <f>F57-F58</f>
        <v>96419070.7586703</v>
      </c>
      <c r="G59" s="231"/>
      <c r="H59" s="240"/>
      <c r="I59" s="231"/>
      <c r="J59" s="241"/>
      <c r="K59" s="231"/>
      <c r="L59" s="231"/>
      <c r="M59" s="231"/>
      <c r="N59" s="231"/>
      <c r="O59" s="231"/>
      <c r="P59" s="231"/>
      <c r="Q59" s="231"/>
      <c r="R59" s="231"/>
      <c r="S59" s="231"/>
    </row>
    <row r="60" spans="2:19" ht="12.5">
      <c r="B60" s="231"/>
      <c r="C60" s="231"/>
      <c r="D60" s="239"/>
      <c r="E60" s="231"/>
      <c r="F60" s="231"/>
      <c r="G60" s="231"/>
      <c r="H60" s="240"/>
      <c r="I60" s="231"/>
      <c r="J60" s="241"/>
      <c r="K60" s="231"/>
      <c r="L60" s="231"/>
      <c r="M60" s="231"/>
      <c r="N60" s="231"/>
      <c r="O60" s="231"/>
      <c r="P60" s="231"/>
      <c r="Q60" s="231"/>
      <c r="R60" s="231"/>
      <c r="S60" s="231"/>
    </row>
    <row r="61" spans="2:19" ht="15.5">
      <c r="B61" s="327"/>
      <c r="C61" s="328" t="str">
        <f>"C.   Determine Gross Margin Tax with hypothetical "&amp;F13&amp;" basis point increase in ROE."</f>
        <v>C.   Determine Gross Margin Tax with hypothetical 0 basis point increase in ROE.</v>
      </c>
      <c r="D61" s="329"/>
      <c r="E61" s="329"/>
      <c r="F61" s="330"/>
      <c r="G61" s="327"/>
      <c r="H61" s="331"/>
      <c r="I61" s="327"/>
      <c r="J61" s="241"/>
      <c r="K61" s="231"/>
      <c r="L61" s="231"/>
      <c r="M61" s="231"/>
      <c r="N61" s="231"/>
      <c r="O61" s="231"/>
      <c r="P61" s="231"/>
      <c r="Q61" s="231"/>
      <c r="R61" s="231"/>
      <c r="S61" s="231"/>
    </row>
    <row r="62" spans="2:19" ht="12.5">
      <c r="B62" s="327"/>
      <c r="C62" s="322" t="str">
        <f>"   Net Revenue Requirement before Gross Margin Taxes, with "&amp;F13&amp;" "</f>
        <v xml:space="preserve">   Net Revenue Requirement before Gross Margin Taxes, with 0 </v>
      </c>
      <c r="D62" s="329"/>
      <c r="E62" s="329"/>
      <c r="F62" s="330">
        <f>+F55</f>
        <v>123956052.6521998</v>
      </c>
      <c r="G62" s="327"/>
      <c r="H62" s="331"/>
      <c r="I62" s="327"/>
      <c r="J62" s="241"/>
      <c r="K62" s="231"/>
      <c r="L62" s="231"/>
      <c r="M62" s="231"/>
      <c r="N62" s="231"/>
      <c r="O62" s="231"/>
      <c r="P62" s="231"/>
      <c r="Q62" s="231"/>
      <c r="R62" s="231"/>
      <c r="S62" s="231"/>
    </row>
    <row r="63" spans="2:19" ht="12.5">
      <c r="B63" s="327"/>
      <c r="C63" s="322" t="s">
        <v>28</v>
      </c>
      <c r="D63" s="329"/>
      <c r="E63" s="329"/>
      <c r="F63" s="330"/>
      <c r="G63" s="327"/>
      <c r="H63" s="331"/>
      <c r="I63" s="327"/>
      <c r="J63" s="241"/>
      <c r="K63" s="231"/>
      <c r="L63" s="231"/>
      <c r="M63" s="231"/>
      <c r="N63" s="231"/>
      <c r="O63" s="231"/>
      <c r="P63" s="231"/>
      <c r="Q63" s="231"/>
      <c r="R63" s="231"/>
      <c r="S63" s="231"/>
    </row>
    <row r="64" spans="2:19" ht="12.5">
      <c r="B64" s="327"/>
      <c r="C64" s="309" t="str">
        <f>+S122</f>
        <v xml:space="preserve">       Apportionment Factor to Texas (Worksheet K, ln 12)</v>
      </c>
      <c r="D64" s="293"/>
      <c r="E64" s="327"/>
      <c r="F64" s="332">
        <f>+R122</f>
        <v>0</v>
      </c>
      <c r="G64" s="327"/>
      <c r="H64" s="331"/>
      <c r="I64" s="327"/>
      <c r="J64" s="241"/>
      <c r="K64" s="231"/>
      <c r="L64" s="231"/>
      <c r="M64" s="231"/>
      <c r="N64" s="231"/>
      <c r="O64" s="231"/>
      <c r="P64" s="231"/>
      <c r="Q64" s="231"/>
      <c r="R64" s="231"/>
      <c r="S64" s="231"/>
    </row>
    <row r="65" spans="2:19" ht="12.5">
      <c r="B65" s="327"/>
      <c r="C65" s="309" t="s">
        <v>29</v>
      </c>
      <c r="D65" s="293"/>
      <c r="E65" s="327"/>
      <c r="F65" s="330">
        <f>+F62*F64</f>
        <v>0</v>
      </c>
      <c r="G65" s="327"/>
      <c r="H65" s="331"/>
      <c r="I65" s="327"/>
      <c r="J65" s="241"/>
      <c r="K65" s="231"/>
      <c r="L65" s="231"/>
      <c r="M65" s="231"/>
      <c r="N65" s="231"/>
      <c r="O65" s="231"/>
      <c r="P65" s="231"/>
      <c r="Q65" s="231"/>
      <c r="R65" s="231"/>
      <c r="S65" s="231"/>
    </row>
    <row r="66" spans="2:19" ht="12.5">
      <c r="B66" s="327"/>
      <c r="C66" s="309" t="s">
        <v>283</v>
      </c>
      <c r="D66" s="293"/>
      <c r="E66" s="327"/>
      <c r="F66" s="333">
        <v>0.22</v>
      </c>
      <c r="G66" s="327"/>
      <c r="H66" s="331"/>
      <c r="I66" s="327"/>
      <c r="J66" s="241"/>
      <c r="K66" s="231"/>
      <c r="L66" s="231"/>
      <c r="M66" s="231"/>
      <c r="N66" s="231"/>
      <c r="O66" s="231"/>
      <c r="P66" s="231"/>
      <c r="Q66" s="231"/>
      <c r="R66" s="231"/>
      <c r="S66" s="231"/>
    </row>
    <row r="67" spans="2:19" ht="12.5">
      <c r="B67" s="327"/>
      <c r="C67" s="309" t="s">
        <v>30</v>
      </c>
      <c r="D67" s="293"/>
      <c r="E67" s="327"/>
      <c r="F67" s="330">
        <f>+F65*F66</f>
        <v>0</v>
      </c>
      <c r="G67" s="327"/>
      <c r="H67" s="331"/>
      <c r="I67" s="327"/>
      <c r="J67" s="241"/>
      <c r="K67" s="231"/>
      <c r="L67" s="231"/>
      <c r="M67" s="231"/>
      <c r="N67" s="231"/>
      <c r="O67" s="231"/>
      <c r="P67" s="231"/>
      <c r="Q67" s="231"/>
      <c r="R67" s="231"/>
      <c r="S67" s="231"/>
    </row>
    <row r="68" spans="2:19" ht="12.5">
      <c r="B68" s="327"/>
      <c r="C68" s="309" t="s">
        <v>31</v>
      </c>
      <c r="D68" s="293"/>
      <c r="E68" s="327"/>
      <c r="F68" s="333">
        <v>0.01</v>
      </c>
      <c r="G68" s="327"/>
      <c r="H68" s="331"/>
      <c r="I68" s="327"/>
      <c r="J68" s="241"/>
      <c r="K68" s="231"/>
      <c r="L68" s="231"/>
      <c r="M68" s="231"/>
      <c r="N68" s="231"/>
      <c r="O68" s="231"/>
      <c r="P68" s="231"/>
      <c r="Q68" s="231"/>
      <c r="R68" s="231"/>
      <c r="S68" s="231"/>
    </row>
    <row r="69" spans="2:19" ht="12.5">
      <c r="B69" s="327"/>
      <c r="C69" s="309" t="s">
        <v>32</v>
      </c>
      <c r="D69" s="293"/>
      <c r="E69" s="327"/>
      <c r="F69" s="330">
        <f>+F67*F68</f>
        <v>0</v>
      </c>
      <c r="G69" s="327"/>
      <c r="H69" s="331"/>
      <c r="I69" s="327"/>
      <c r="J69" s="241"/>
      <c r="K69" s="231"/>
      <c r="L69" s="231"/>
      <c r="M69" s="231"/>
      <c r="N69" s="231"/>
      <c r="O69" s="231"/>
      <c r="P69" s="231"/>
      <c r="Q69" s="231"/>
      <c r="R69" s="231"/>
      <c r="S69" s="231"/>
    </row>
    <row r="70" spans="2:19" ht="12.5">
      <c r="B70" s="327"/>
      <c r="C70" s="309" t="s">
        <v>33</v>
      </c>
      <c r="D70" s="293"/>
      <c r="E70" s="327"/>
      <c r="F70" s="334">
        <f>+ROUND((F69*F66*F64)/(1-F68)*F68,0)</f>
        <v>0</v>
      </c>
      <c r="G70" s="327"/>
      <c r="H70" s="331"/>
      <c r="I70" s="327"/>
      <c r="J70" s="241"/>
      <c r="K70" s="231"/>
      <c r="L70" s="231"/>
      <c r="M70" s="231"/>
      <c r="N70" s="231"/>
      <c r="O70" s="231"/>
      <c r="P70" s="231"/>
      <c r="Q70" s="231"/>
      <c r="R70" s="231"/>
      <c r="S70" s="231"/>
    </row>
    <row r="71" spans="2:19" ht="12.5">
      <c r="B71" s="327"/>
      <c r="C71" s="309" t="s">
        <v>34</v>
      </c>
      <c r="D71" s="293"/>
      <c r="E71" s="327"/>
      <c r="F71" s="330">
        <f>+F69+F70</f>
        <v>0</v>
      </c>
      <c r="G71" s="327"/>
      <c r="H71" s="331"/>
      <c r="I71" s="327"/>
      <c r="J71" s="241"/>
      <c r="K71" s="231"/>
      <c r="L71" s="231"/>
      <c r="M71" s="231"/>
      <c r="N71" s="231"/>
      <c r="O71" s="231"/>
      <c r="P71" s="231"/>
      <c r="Q71" s="231"/>
      <c r="R71" s="231"/>
      <c r="S71" s="231"/>
    </row>
    <row r="72" spans="2:19" ht="12.5">
      <c r="B72" s="231"/>
      <c r="C72" s="231"/>
      <c r="D72" s="239"/>
      <c r="E72" s="231"/>
      <c r="F72" s="231"/>
      <c r="G72" s="231"/>
      <c r="H72" s="240"/>
      <c r="I72" s="231"/>
      <c r="J72" s="241"/>
      <c r="K72" s="231"/>
      <c r="L72" s="231"/>
      <c r="M72" s="231"/>
      <c r="N72" s="231"/>
      <c r="O72" s="231"/>
      <c r="P72" s="231"/>
      <c r="Q72" s="231"/>
      <c r="R72" s="231"/>
      <c r="S72" s="231"/>
    </row>
    <row r="73" spans="2:19" ht="15.5">
      <c r="B73" s="231"/>
      <c r="C73" s="243" t="str">
        <f>"D.   Determine FCR with hypothetical "&amp;F13&amp;" basis point ROE increase."</f>
        <v>D.   Determine FCR with hypothetical 0 basis point ROE increase.</v>
      </c>
      <c r="D73" s="239"/>
      <c r="E73" s="231"/>
      <c r="F73" s="231"/>
      <c r="G73" s="231"/>
      <c r="H73" s="240"/>
      <c r="I73" s="231"/>
      <c r="J73" s="241"/>
      <c r="K73" s="231"/>
      <c r="L73" s="231"/>
      <c r="M73" s="231"/>
      <c r="N73" s="231"/>
      <c r="O73" s="231"/>
      <c r="P73" s="231"/>
      <c r="Q73" s="231"/>
      <c r="R73" s="231"/>
      <c r="S73" s="231"/>
    </row>
    <row r="74" spans="2:19" ht="12.5">
      <c r="B74" s="231"/>
      <c r="C74" s="231"/>
      <c r="D74" s="239"/>
      <c r="E74" s="231"/>
      <c r="F74" s="231"/>
      <c r="G74" s="231"/>
      <c r="H74" s="240"/>
      <c r="I74" s="231"/>
      <c r="J74" s="241"/>
      <c r="K74" s="231"/>
      <c r="L74" s="231"/>
      <c r="M74" s="231"/>
      <c r="N74" s="231"/>
      <c r="O74" s="231"/>
      <c r="P74" s="231"/>
      <c r="Q74" s="231"/>
      <c r="R74" s="231"/>
      <c r="S74" s="231"/>
    </row>
    <row r="75" spans="2:19" ht="12.5">
      <c r="B75" s="231"/>
      <c r="C75" s="246" t="str">
        <f>+S123</f>
        <v xml:space="preserve">   Net Transmission Plant  (TCOS, ln 37)</v>
      </c>
      <c r="D75" s="239"/>
      <c r="E75" s="231"/>
      <c r="F75" s="294">
        <f>+R123</f>
        <v>818917272.78618729</v>
      </c>
      <c r="G75" s="244"/>
      <c r="H75" s="216"/>
      <c r="J75" s="194"/>
      <c r="P75" s="231"/>
      <c r="Q75" s="231"/>
      <c r="R75" s="231"/>
      <c r="S75" s="231"/>
    </row>
    <row r="76" spans="2:19" ht="12.5">
      <c r="B76" s="231"/>
      <c r="C76" s="309" t="str">
        <f>"   Net Revenue Requirement, with "&amp;F13&amp;" Basis Point ROE increase"</f>
        <v xml:space="preserve">   Net Revenue Requirement, with 0 Basis Point ROE increase</v>
      </c>
      <c r="D76" s="239"/>
      <c r="E76" s="231"/>
      <c r="F76" s="335">
        <f>F55</f>
        <v>123956052.6521998</v>
      </c>
      <c r="H76" s="216"/>
      <c r="J76" s="194"/>
      <c r="P76" s="231"/>
      <c r="Q76" s="231"/>
      <c r="R76" s="231"/>
      <c r="S76" s="231"/>
    </row>
    <row r="77" spans="2:19" ht="12.5">
      <c r="B77" s="231"/>
      <c r="C77" s="309" t="str">
        <f>"   FCR with "&amp;F13&amp;" Basis Point increase in ROE"</f>
        <v xml:space="preserve">   FCR with 0 Basis Point increase in ROE</v>
      </c>
      <c r="D77" s="239"/>
      <c r="E77" s="231"/>
      <c r="F77" s="336">
        <f>IF(F75=0,0,F76/F75)</f>
        <v>0.15136578110077761</v>
      </c>
      <c r="H77" s="216"/>
      <c r="J77" s="194"/>
      <c r="P77" s="231"/>
      <c r="Q77" s="231"/>
      <c r="R77" s="231"/>
      <c r="S77" s="231"/>
    </row>
    <row r="78" spans="2:19" ht="12.5">
      <c r="B78" s="231"/>
      <c r="D78" s="239"/>
      <c r="E78" s="231"/>
      <c r="F78" s="327"/>
      <c r="H78" s="216"/>
      <c r="J78" s="194"/>
      <c r="P78" s="231"/>
      <c r="Q78" s="231"/>
      <c r="R78" s="231"/>
      <c r="S78" s="231"/>
    </row>
    <row r="79" spans="2:19" ht="12.5">
      <c r="B79" s="231"/>
      <c r="C79" s="309" t="str">
        <f>"   Net Rev. Req, w / "&amp;F13&amp;" Basis Point ROE increase, less Dep."</f>
        <v xml:space="preserve">   Net Rev. Req, w / 0 Basis Point ROE increase, less Dep.</v>
      </c>
      <c r="D79" s="239"/>
      <c r="E79" s="231"/>
      <c r="F79" s="294">
        <f>F59</f>
        <v>96419070.7586703</v>
      </c>
      <c r="G79" s="244"/>
      <c r="H79" s="216"/>
      <c r="J79" s="194"/>
      <c r="P79" s="231"/>
      <c r="Q79" s="231"/>
      <c r="R79" s="231"/>
      <c r="S79" s="231"/>
    </row>
    <row r="80" spans="2:19" ht="12.5">
      <c r="B80" s="231"/>
      <c r="C80" s="309" t="str">
        <f>"   FCR with "&amp;F13&amp;" Basis Point ROE increase, less Depreciation"</f>
        <v xml:space="preserve">   FCR with 0 Basis Point ROE increase, less Depreciation</v>
      </c>
      <c r="D80" s="239"/>
      <c r="E80" s="231"/>
      <c r="F80" s="336">
        <f>IF(F75=0,0,F79/F75)</f>
        <v>0.11773969601425728</v>
      </c>
      <c r="G80" s="336"/>
      <c r="H80" s="216"/>
      <c r="J80" s="194"/>
      <c r="P80" s="231"/>
      <c r="Q80" s="231"/>
      <c r="R80" s="231"/>
      <c r="S80" s="231"/>
    </row>
    <row r="81" spans="2:19" ht="12.5">
      <c r="B81" s="231"/>
      <c r="C81" s="246" t="str">
        <f>+S124</f>
        <v xml:space="preserve">   FCR less Depreciation  (Projected TCOS, ln 12)</v>
      </c>
      <c r="D81" s="239"/>
      <c r="E81" s="231"/>
      <c r="F81" s="337">
        <f>+R124</f>
        <v>0.11374018757958901</v>
      </c>
      <c r="H81" s="216"/>
      <c r="J81" s="194"/>
      <c r="P81" s="231"/>
      <c r="Q81" s="231"/>
      <c r="R81" s="231"/>
      <c r="S81" s="231"/>
    </row>
    <row r="82" spans="2:19" ht="12.5">
      <c r="B82" s="231"/>
      <c r="C82" s="733" t="str">
        <f>"   Incremental FCR with "&amp;F13&amp;" Basis Point ROE increase, less Depreciation"</f>
        <v xml:space="preserve">   Incremental FCR with 0 Basis Point ROE increase, less Depreciation</v>
      </c>
      <c r="D82" s="734"/>
      <c r="E82" s="734"/>
      <c r="F82" s="336">
        <f>F80-F81</f>
        <v>3.9995084346682724E-3</v>
      </c>
      <c r="H82" s="216"/>
      <c r="J82" s="194"/>
      <c r="P82" s="231"/>
      <c r="Q82" s="231"/>
      <c r="R82" s="231"/>
      <c r="S82" s="231"/>
    </row>
    <row r="83" spans="2:19" ht="12.5">
      <c r="B83" s="231"/>
      <c r="C83" s="734"/>
      <c r="D83" s="734"/>
      <c r="E83" s="734"/>
      <c r="F83" s="336"/>
      <c r="G83" s="231"/>
      <c r="H83" s="240"/>
      <c r="I83" s="231"/>
      <c r="J83" s="241"/>
      <c r="K83" s="231"/>
      <c r="L83" s="231"/>
      <c r="M83" s="231"/>
      <c r="N83" s="231"/>
      <c r="O83" s="231"/>
      <c r="P83" s="231"/>
      <c r="Q83" s="231"/>
      <c r="R83" s="231"/>
      <c r="S83" s="231"/>
    </row>
    <row r="84" spans="2:19" ht="18">
      <c r="B84" s="300" t="s">
        <v>35</v>
      </c>
      <c r="C84" s="301" t="s">
        <v>36</v>
      </c>
      <c r="D84" s="239"/>
      <c r="E84" s="231"/>
      <c r="F84" s="336"/>
      <c r="G84" s="231"/>
      <c r="H84" s="240"/>
      <c r="I84" s="231"/>
      <c r="J84" s="241"/>
      <c r="K84" s="231"/>
      <c r="L84" s="231"/>
      <c r="M84" s="231"/>
      <c r="N84" s="231"/>
      <c r="O84" s="231"/>
      <c r="P84" s="231"/>
      <c r="Q84" s="231"/>
      <c r="R84" s="231"/>
      <c r="S84" s="231"/>
    </row>
    <row r="85" spans="2:19" ht="12.75" customHeight="1">
      <c r="B85" s="300"/>
      <c r="C85" s="301"/>
      <c r="D85" s="239"/>
      <c r="E85" s="231"/>
      <c r="F85" s="336"/>
      <c r="G85" s="231"/>
      <c r="H85" s="240"/>
      <c r="I85" s="231"/>
      <c r="J85" s="241"/>
      <c r="K85" s="231"/>
      <c r="L85" s="231"/>
      <c r="M85" s="231"/>
      <c r="N85" s="231"/>
      <c r="O85" s="231"/>
      <c r="P85" s="231"/>
      <c r="Q85" s="231"/>
      <c r="R85" s="231"/>
      <c r="S85" s="231"/>
    </row>
    <row r="86" spans="2:19" ht="12.75" customHeight="1">
      <c r="B86" s="300"/>
      <c r="C86" s="309" t="s">
        <v>37</v>
      </c>
      <c r="D86" s="239"/>
      <c r="F86" s="331">
        <f>+R125</f>
        <v>1236715182.07458</v>
      </c>
      <c r="G86" s="231" t="s">
        <v>278</v>
      </c>
      <c r="H86" s="240"/>
      <c r="I86" s="231"/>
      <c r="J86" s="241"/>
      <c r="K86" s="231"/>
      <c r="L86" s="231"/>
      <c r="M86" s="231"/>
      <c r="N86" s="231"/>
      <c r="O86" s="231"/>
      <c r="P86" s="231"/>
      <c r="Q86" s="231"/>
      <c r="R86" s="231"/>
      <c r="S86" s="231"/>
    </row>
    <row r="87" spans="2:19" ht="12.75" customHeight="1">
      <c r="B87" s="300"/>
      <c r="C87" s="309" t="s">
        <v>38</v>
      </c>
      <c r="D87" s="239"/>
      <c r="F87" s="338">
        <f>R126</f>
        <v>1334115702.82423</v>
      </c>
      <c r="G87" s="231" t="s">
        <v>278</v>
      </c>
      <c r="H87" s="240"/>
      <c r="I87" s="231"/>
      <c r="J87" s="241"/>
      <c r="K87" s="231"/>
      <c r="L87" s="231"/>
      <c r="M87" s="231"/>
      <c r="N87" s="231"/>
      <c r="O87" s="231"/>
      <c r="P87" s="231"/>
      <c r="Q87" s="231"/>
      <c r="R87" s="231"/>
      <c r="S87" s="231"/>
    </row>
    <row r="88" spans="2:19" ht="12.5">
      <c r="B88" s="231"/>
      <c r="C88" s="309"/>
      <c r="D88" s="239"/>
      <c r="F88" s="240">
        <f>+F87+F86</f>
        <v>2570830884.8988099</v>
      </c>
      <c r="G88" s="294"/>
      <c r="H88" s="240"/>
      <c r="I88" s="231"/>
      <c r="J88" s="241"/>
      <c r="K88" s="231"/>
      <c r="L88" s="231"/>
      <c r="M88" s="231"/>
      <c r="N88" s="231"/>
      <c r="O88" s="231"/>
      <c r="P88" s="231"/>
      <c r="Q88" s="231"/>
      <c r="R88" s="231"/>
      <c r="S88" s="231"/>
    </row>
    <row r="89" spans="2:19" ht="12.5">
      <c r="B89" s="231"/>
      <c r="C89" s="309" t="str">
        <f>S127</f>
        <v>Transmission Plant Average Balance for 2020</v>
      </c>
      <c r="D89" s="293"/>
      <c r="E89" s="155"/>
      <c r="F89" s="320">
        <f>+F88/2</f>
        <v>1285415442.449405</v>
      </c>
      <c r="G89" s="339"/>
      <c r="H89" s="240"/>
      <c r="I89" s="231"/>
      <c r="J89" s="241"/>
      <c r="K89" s="231"/>
      <c r="L89" s="231"/>
      <c r="M89" s="231"/>
      <c r="N89" s="231"/>
      <c r="O89" s="231"/>
      <c r="P89" s="231"/>
      <c r="Q89" s="231"/>
      <c r="R89" s="231"/>
      <c r="S89" s="231"/>
    </row>
    <row r="90" spans="2:19" ht="12.5">
      <c r="B90" s="231"/>
      <c r="C90" s="246" t="str">
        <f>S128</f>
        <v>Annual Depreciation Expense  (Historic TCOS, ln 244)</v>
      </c>
      <c r="D90" s="293"/>
      <c r="E90" s="327"/>
      <c r="F90" s="320">
        <f>R128</f>
        <v>33567940.229291603</v>
      </c>
      <c r="G90" s="231"/>
      <c r="H90" s="240"/>
      <c r="I90" s="231"/>
      <c r="J90" s="241"/>
      <c r="K90" s="231"/>
      <c r="L90" s="231"/>
      <c r="M90" s="231"/>
      <c r="N90" s="231"/>
      <c r="O90" s="231"/>
      <c r="P90" s="231"/>
      <c r="Q90" s="231"/>
      <c r="R90" s="231"/>
      <c r="S90" s="231"/>
    </row>
    <row r="91" spans="2:19" ht="12.5">
      <c r="B91" s="231"/>
      <c r="C91" s="309" t="s">
        <v>39</v>
      </c>
      <c r="D91" s="239"/>
      <c r="E91" s="231"/>
      <c r="F91" s="336">
        <f>IF(F89=0,0,F90/F89)</f>
        <v>2.6114467837204985E-2</v>
      </c>
      <c r="G91" s="231"/>
      <c r="H91" s="340"/>
      <c r="I91" s="231"/>
      <c r="J91" s="241"/>
      <c r="K91" s="231"/>
      <c r="L91" s="231"/>
      <c r="M91" s="231"/>
      <c r="N91" s="231"/>
      <c r="O91" s="231"/>
      <c r="P91" s="231"/>
      <c r="Q91" s="231"/>
      <c r="R91" s="231"/>
      <c r="S91" s="231"/>
    </row>
    <row r="92" spans="2:19" ht="12.5">
      <c r="B92" s="231"/>
      <c r="C92" s="309" t="s">
        <v>40</v>
      </c>
      <c r="D92" s="239"/>
      <c r="E92" s="231"/>
      <c r="F92" s="341">
        <f>IF(F91=0,0,1/F91)</f>
        <v>38.292949572394171</v>
      </c>
      <c r="H92" s="240"/>
      <c r="I92" s="231"/>
      <c r="J92" s="241"/>
      <c r="K92" s="231"/>
      <c r="L92" s="231"/>
      <c r="M92" s="231"/>
      <c r="N92" s="231"/>
      <c r="O92" s="231"/>
      <c r="P92" s="231"/>
      <c r="Q92" s="231"/>
      <c r="R92" s="231"/>
      <c r="S92" s="231"/>
    </row>
    <row r="93" spans="2:19" ht="12.5">
      <c r="B93" s="231"/>
      <c r="C93" s="309" t="s">
        <v>41</v>
      </c>
      <c r="D93" s="239"/>
      <c r="E93" s="231"/>
      <c r="F93" s="342">
        <f>ROUND(F92,0)</f>
        <v>38</v>
      </c>
      <c r="G93" s="231"/>
      <c r="H93" s="240"/>
      <c r="I93" s="231"/>
      <c r="J93" s="241"/>
      <c r="K93" s="231"/>
      <c r="L93" s="231"/>
      <c r="M93" s="231"/>
      <c r="N93" s="231"/>
      <c r="O93" s="231"/>
      <c r="P93" s="231"/>
      <c r="Q93" s="231"/>
      <c r="R93" s="231"/>
      <c r="S93" s="231"/>
    </row>
    <row r="94" spans="2:19" ht="12.5">
      <c r="C94" s="343"/>
      <c r="D94" s="344"/>
      <c r="E94" s="344"/>
      <c r="F94" s="344"/>
      <c r="G94" s="345"/>
      <c r="H94" s="345"/>
      <c r="I94" s="346"/>
      <c r="J94" s="346"/>
      <c r="K94" s="346"/>
      <c r="L94" s="346"/>
      <c r="M94" s="346"/>
      <c r="N94" s="346"/>
      <c r="O94" s="241"/>
      <c r="P94" s="241"/>
      <c r="Q94" s="231"/>
      <c r="R94" s="231"/>
      <c r="S94" s="231"/>
    </row>
    <row r="95" spans="2:19" ht="12.5">
      <c r="C95" s="343"/>
      <c r="D95" s="344"/>
      <c r="E95" s="344"/>
      <c r="F95" s="344"/>
      <c r="G95" s="345"/>
      <c r="H95" s="345"/>
      <c r="I95" s="346"/>
      <c r="J95" s="346"/>
      <c r="K95" s="346"/>
      <c r="L95" s="346"/>
      <c r="M95" s="346"/>
      <c r="N95" s="346"/>
      <c r="O95" s="241"/>
      <c r="P95" s="241"/>
      <c r="Q95" s="231"/>
      <c r="R95" s="231"/>
      <c r="S95" s="231"/>
    </row>
    <row r="96" spans="2:19" ht="12.5">
      <c r="J96" s="194"/>
      <c r="P96" s="231"/>
      <c r="Q96" s="231"/>
      <c r="R96" s="231"/>
      <c r="S96" s="231"/>
    </row>
    <row r="97" spans="3:19" ht="13">
      <c r="J97" s="194"/>
      <c r="P97" s="231"/>
      <c r="Q97" s="231"/>
      <c r="R97" s="347" t="s">
        <v>126</v>
      </c>
      <c r="S97" s="148" t="s">
        <v>127</v>
      </c>
    </row>
    <row r="98" spans="3:19" ht="12.5">
      <c r="J98" s="194"/>
      <c r="P98" s="231"/>
      <c r="Q98" s="231"/>
    </row>
    <row r="99" spans="3:19" ht="13">
      <c r="C99" s="238" t="s">
        <v>122</v>
      </c>
      <c r="J99" s="194"/>
      <c r="L99" s="238" t="s">
        <v>121</v>
      </c>
      <c r="P99" s="231"/>
      <c r="Q99" s="231"/>
    </row>
    <row r="100" spans="3:19" ht="12.5">
      <c r="J100" s="194"/>
      <c r="P100" s="231"/>
      <c r="Q100" s="231"/>
      <c r="S100" s="232" t="s">
        <v>119</v>
      </c>
    </row>
    <row r="101" spans="3:19" ht="13">
      <c r="J101" s="194"/>
      <c r="P101" s="231"/>
      <c r="Q101" s="231"/>
      <c r="R101" s="347" t="s">
        <v>115</v>
      </c>
      <c r="S101" s="203" t="s">
        <v>120</v>
      </c>
    </row>
    <row r="102" spans="3:19" ht="13.5" thickBot="1">
      <c r="J102" s="194"/>
      <c r="P102" s="231"/>
      <c r="Q102" s="231"/>
      <c r="R102" s="348" t="s">
        <v>142</v>
      </c>
    </row>
    <row r="103" spans="3:19" ht="12.5">
      <c r="J103" s="194"/>
      <c r="P103" s="231"/>
      <c r="Q103" s="231"/>
      <c r="R103" s="349" t="s">
        <v>284</v>
      </c>
      <c r="S103" s="350" t="s">
        <v>143</v>
      </c>
    </row>
    <row r="104" spans="3:19" ht="12.5">
      <c r="J104" s="194"/>
      <c r="P104" s="231"/>
      <c r="Q104" s="231"/>
      <c r="R104" s="351">
        <v>2024</v>
      </c>
      <c r="S104" s="352" t="s">
        <v>13</v>
      </c>
    </row>
    <row r="105" spans="3:19" ht="12.5">
      <c r="J105" s="194"/>
      <c r="P105" s="231"/>
      <c r="Q105" s="231"/>
      <c r="R105" s="353">
        <v>0.105</v>
      </c>
      <c r="S105" s="352" t="s">
        <v>307</v>
      </c>
    </row>
    <row r="106" spans="3:19" ht="12.5">
      <c r="J106" s="194"/>
      <c r="P106" s="231"/>
      <c r="Q106" s="231"/>
      <c r="R106" s="354">
        <v>0</v>
      </c>
      <c r="S106" s="352" t="s">
        <v>1</v>
      </c>
    </row>
    <row r="107" spans="3:19" ht="12.5">
      <c r="J107" s="194"/>
      <c r="P107" s="231"/>
      <c r="Q107" s="231"/>
      <c r="R107" s="355">
        <v>0.48024726615946089</v>
      </c>
      <c r="S107" s="356" t="s">
        <v>109</v>
      </c>
    </row>
    <row r="108" spans="3:19" ht="12.5">
      <c r="J108" s="194"/>
      <c r="P108" s="231"/>
      <c r="Q108" s="231"/>
      <c r="R108" s="355">
        <v>4.164358942050251E-2</v>
      </c>
      <c r="S108" s="356" t="s">
        <v>110</v>
      </c>
    </row>
    <row r="109" spans="3:19" ht="12.5">
      <c r="J109" s="194"/>
      <c r="P109" s="231"/>
      <c r="Q109" s="231"/>
      <c r="R109" s="355">
        <v>0</v>
      </c>
      <c r="S109" s="356" t="s">
        <v>111</v>
      </c>
    </row>
    <row r="110" spans="3:19" ht="12.5">
      <c r="J110" s="194"/>
      <c r="P110" s="231"/>
      <c r="Q110" s="231"/>
      <c r="R110" s="355">
        <v>0</v>
      </c>
      <c r="S110" s="356" t="s">
        <v>112</v>
      </c>
    </row>
    <row r="111" spans="3:19" ht="12.5">
      <c r="J111" s="194"/>
      <c r="P111" s="231"/>
      <c r="Q111" s="231"/>
      <c r="R111" s="355">
        <v>0.51975273384053922</v>
      </c>
      <c r="S111" s="357" t="s">
        <v>113</v>
      </c>
    </row>
    <row r="112" spans="3:19" ht="12.5">
      <c r="J112" s="194"/>
      <c r="P112" s="231"/>
      <c r="Q112" s="231"/>
      <c r="R112" s="358">
        <v>683940833.71235883</v>
      </c>
      <c r="S112" s="359" t="s">
        <v>314</v>
      </c>
    </row>
    <row r="113" spans="3:19" ht="12.5">
      <c r="J113" s="194"/>
      <c r="P113" s="231"/>
      <c r="Q113" s="231"/>
      <c r="R113" s="360">
        <v>0.24025699999999994</v>
      </c>
      <c r="S113" s="361" t="s">
        <v>315</v>
      </c>
    </row>
    <row r="114" spans="3:19" ht="12.5">
      <c r="J114" s="194"/>
      <c r="P114" s="231"/>
      <c r="Q114" s="231"/>
      <c r="R114" s="358">
        <v>-319531.69580624782</v>
      </c>
      <c r="S114" s="361" t="s">
        <v>316</v>
      </c>
    </row>
    <row r="115" spans="3:19" ht="12.5">
      <c r="J115" s="194"/>
      <c r="P115" s="231"/>
      <c r="Q115" s="231"/>
      <c r="R115" s="358">
        <v>-1166965.6413902158</v>
      </c>
      <c r="S115" s="361" t="s">
        <v>317</v>
      </c>
    </row>
    <row r="116" spans="3:19" ht="12.5">
      <c r="J116" s="194"/>
      <c r="P116" s="231"/>
      <c r="Q116" s="231"/>
      <c r="R116" s="358">
        <v>85069.571157615137</v>
      </c>
      <c r="S116" s="361" t="s">
        <v>318</v>
      </c>
    </row>
    <row r="117" spans="3:19" ht="12.5">
      <c r="C117" s="231"/>
      <c r="D117" s="239"/>
      <c r="E117" s="231"/>
      <c r="F117" s="231"/>
      <c r="G117" s="231"/>
      <c r="H117" s="240"/>
      <c r="I117" s="231"/>
      <c r="J117" s="241"/>
      <c r="K117" s="231"/>
      <c r="L117" s="231"/>
      <c r="M117" s="231"/>
      <c r="N117" s="231"/>
      <c r="O117" s="231"/>
      <c r="P117" s="231"/>
      <c r="Q117" s="231"/>
      <c r="R117" s="358">
        <v>120680786.1123959</v>
      </c>
      <c r="S117" s="361" t="s">
        <v>319</v>
      </c>
    </row>
    <row r="118" spans="3:19" ht="12.5">
      <c r="C118" s="231"/>
      <c r="D118" s="239"/>
      <c r="E118" s="231"/>
      <c r="F118" s="231"/>
      <c r="G118" s="231"/>
      <c r="H118" s="240"/>
      <c r="I118" s="231"/>
      <c r="J118" s="241"/>
      <c r="K118" s="231"/>
      <c r="L118" s="231"/>
      <c r="M118" s="231"/>
      <c r="N118" s="231"/>
      <c r="O118" s="231"/>
      <c r="P118" s="231"/>
      <c r="Q118" s="231"/>
      <c r="R118" s="358">
        <v>51003695.582680166</v>
      </c>
      <c r="S118" s="361" t="s">
        <v>320</v>
      </c>
    </row>
    <row r="119" spans="3:19" ht="12.5">
      <c r="C119" s="231"/>
      <c r="D119" s="239"/>
      <c r="E119" s="231"/>
      <c r="F119" s="231"/>
      <c r="G119" s="231"/>
      <c r="H119" s="240"/>
      <c r="I119" s="231"/>
      <c r="J119" s="241"/>
      <c r="K119" s="231"/>
      <c r="L119" s="231"/>
      <c r="M119" s="231"/>
      <c r="N119" s="231"/>
      <c r="O119" s="231"/>
      <c r="P119" s="231"/>
      <c r="Q119" s="231"/>
      <c r="R119" s="358">
        <v>10402157.929766124</v>
      </c>
      <c r="S119" s="361" t="s">
        <v>321</v>
      </c>
    </row>
    <row r="120" spans="3:19" ht="12.5">
      <c r="C120" s="231"/>
      <c r="D120" s="239"/>
      <c r="E120" s="231"/>
      <c r="F120" s="231"/>
      <c r="G120" s="231"/>
      <c r="H120" s="240"/>
      <c r="I120" s="231"/>
      <c r="J120" s="241"/>
      <c r="K120" s="231"/>
      <c r="L120" s="231"/>
      <c r="M120" s="231"/>
      <c r="N120" s="231"/>
      <c r="O120" s="231"/>
      <c r="P120" s="231"/>
      <c r="Q120" s="231"/>
      <c r="R120" s="358">
        <v>0</v>
      </c>
      <c r="S120" s="361" t="s">
        <v>322</v>
      </c>
    </row>
    <row r="121" spans="3:19" ht="12.5">
      <c r="C121" s="231"/>
      <c r="D121" s="239"/>
      <c r="E121" s="231"/>
      <c r="F121" s="231"/>
      <c r="G121" s="231"/>
      <c r="H121" s="240"/>
      <c r="I121" s="231"/>
      <c r="J121" s="241"/>
      <c r="K121" s="231"/>
      <c r="L121" s="231"/>
      <c r="M121" s="231"/>
      <c r="N121" s="231"/>
      <c r="O121" s="231"/>
      <c r="P121" s="231"/>
      <c r="Q121" s="231"/>
      <c r="R121" s="358">
        <v>27536981.893529497</v>
      </c>
      <c r="S121" s="361" t="s">
        <v>323</v>
      </c>
    </row>
    <row r="122" spans="3:19" ht="12.5">
      <c r="C122" s="231"/>
      <c r="D122" s="239"/>
      <c r="E122" s="231"/>
      <c r="F122" s="231"/>
      <c r="G122" s="231"/>
      <c r="H122" s="240"/>
      <c r="I122" s="231"/>
      <c r="J122" s="241"/>
      <c r="K122" s="231"/>
      <c r="L122" s="231"/>
      <c r="M122" s="231"/>
      <c r="N122" s="231"/>
      <c r="O122" s="231"/>
      <c r="P122" s="231"/>
      <c r="Q122" s="231"/>
      <c r="R122" s="360">
        <v>0</v>
      </c>
      <c r="S122" s="361" t="s">
        <v>118</v>
      </c>
    </row>
    <row r="123" spans="3:19" ht="12.5">
      <c r="C123" s="231"/>
      <c r="D123" s="239"/>
      <c r="E123" s="231"/>
      <c r="F123" s="231"/>
      <c r="G123" s="231"/>
      <c r="H123" s="240"/>
      <c r="I123" s="231"/>
      <c r="J123" s="241"/>
      <c r="K123" s="231"/>
      <c r="L123" s="231"/>
      <c r="M123" s="231"/>
      <c r="N123" s="231"/>
      <c r="O123" s="231"/>
      <c r="P123" s="231"/>
      <c r="Q123" s="231"/>
      <c r="R123" s="358">
        <v>818917272.78618729</v>
      </c>
      <c r="S123" s="361" t="s">
        <v>324</v>
      </c>
    </row>
    <row r="124" spans="3:19" ht="12.5">
      <c r="C124" s="231"/>
      <c r="D124" s="239"/>
      <c r="E124" s="231"/>
      <c r="F124" s="231"/>
      <c r="G124" s="231"/>
      <c r="H124" s="240"/>
      <c r="I124" s="231"/>
      <c r="J124" s="241"/>
      <c r="K124" s="231"/>
      <c r="L124" s="231"/>
      <c r="M124" s="231"/>
      <c r="N124" s="231"/>
      <c r="O124" s="231"/>
      <c r="P124" s="231"/>
      <c r="Q124" s="231"/>
      <c r="R124" s="362">
        <v>0.11374018757958901</v>
      </c>
      <c r="S124" s="363" t="s">
        <v>285</v>
      </c>
    </row>
    <row r="125" spans="3:19" ht="12.5">
      <c r="C125" s="231"/>
      <c r="D125" s="239"/>
      <c r="E125" s="231"/>
      <c r="F125" s="231"/>
      <c r="G125" s="231"/>
      <c r="H125" s="240"/>
      <c r="I125" s="231"/>
      <c r="J125" s="241"/>
      <c r="K125" s="231"/>
      <c r="L125" s="231"/>
      <c r="M125" s="231"/>
      <c r="N125" s="231"/>
      <c r="O125" s="231"/>
      <c r="P125" s="231"/>
      <c r="Q125" s="231"/>
      <c r="R125" s="626">
        <v>1236715182.07458</v>
      </c>
      <c r="S125" s="356" t="s">
        <v>37</v>
      </c>
    </row>
    <row r="126" spans="3:19" ht="12.5">
      <c r="C126" s="231"/>
      <c r="D126" s="239"/>
      <c r="E126" s="231"/>
      <c r="F126" s="231"/>
      <c r="G126" s="231"/>
      <c r="H126" s="240"/>
      <c r="I126" s="231"/>
      <c r="J126" s="241"/>
      <c r="K126" s="231"/>
      <c r="L126" s="231"/>
      <c r="M126" s="231"/>
      <c r="N126" s="231"/>
      <c r="O126" s="231"/>
      <c r="P126" s="231"/>
      <c r="Q126" s="231"/>
      <c r="R126" s="364">
        <v>1334115702.82423</v>
      </c>
      <c r="S126" s="357" t="s">
        <v>38</v>
      </c>
    </row>
    <row r="127" spans="3:19" ht="12.5">
      <c r="C127" s="231"/>
      <c r="D127" s="239"/>
      <c r="E127" s="231"/>
      <c r="F127" s="231"/>
      <c r="G127" s="231"/>
      <c r="H127" s="240"/>
      <c r="I127" s="231"/>
      <c r="J127" s="241"/>
      <c r="K127" s="231"/>
      <c r="L127" s="231"/>
      <c r="M127" s="231"/>
      <c r="N127" s="231"/>
      <c r="O127" s="231"/>
      <c r="P127" s="231"/>
      <c r="Q127" s="231"/>
      <c r="R127" s="364">
        <v>1271506369.1818316</v>
      </c>
      <c r="S127" s="365" t="s">
        <v>333</v>
      </c>
    </row>
    <row r="128" spans="3:19" ht="13" thickBot="1">
      <c r="C128" s="231"/>
      <c r="D128" s="239"/>
      <c r="E128" s="231"/>
      <c r="F128" s="231"/>
      <c r="G128" s="231"/>
      <c r="H128" s="240"/>
      <c r="I128" s="231"/>
      <c r="J128" s="241"/>
      <c r="K128" s="231"/>
      <c r="L128" s="231"/>
      <c r="M128" s="231"/>
      <c r="N128" s="231"/>
      <c r="O128" s="231"/>
      <c r="P128" s="231"/>
      <c r="Q128" s="231"/>
      <c r="R128" s="366">
        <v>33567940.229291603</v>
      </c>
      <c r="S128" s="367" t="s">
        <v>308</v>
      </c>
    </row>
    <row r="129" spans="3:19" ht="12.5">
      <c r="C129" s="231"/>
      <c r="D129" s="239"/>
      <c r="E129" s="231"/>
      <c r="F129" s="231"/>
      <c r="G129" s="231"/>
      <c r="H129" s="240"/>
      <c r="I129" s="231"/>
      <c r="J129" s="241"/>
      <c r="K129" s="231"/>
      <c r="L129" s="231"/>
      <c r="M129" s="231"/>
      <c r="N129" s="231"/>
      <c r="O129" s="231"/>
      <c r="P129" s="231"/>
      <c r="Q129" s="231"/>
      <c r="R129" s="231"/>
      <c r="S129" s="231"/>
    </row>
    <row r="130" spans="3:19" ht="13">
      <c r="C130" s="231"/>
      <c r="D130" s="239"/>
      <c r="E130" s="231"/>
      <c r="F130" s="231"/>
      <c r="G130" s="231"/>
      <c r="H130" s="240"/>
      <c r="I130" s="231"/>
      <c r="J130" s="241"/>
      <c r="K130" s="231"/>
      <c r="L130" s="231"/>
      <c r="M130" s="231"/>
      <c r="N130" s="231"/>
      <c r="O130" s="231"/>
      <c r="P130" s="231"/>
      <c r="Q130" s="231"/>
      <c r="R130" s="347" t="s">
        <v>116</v>
      </c>
      <c r="S130" s="231" t="s">
        <v>130</v>
      </c>
    </row>
    <row r="131" spans="3:19" ht="13.5" thickBot="1">
      <c r="C131" s="309"/>
      <c r="D131" s="318"/>
      <c r="E131" s="309"/>
      <c r="F131" s="309"/>
      <c r="G131" s="309"/>
      <c r="H131" s="320"/>
      <c r="I131" s="231"/>
      <c r="J131" s="241"/>
      <c r="K131" s="231"/>
      <c r="L131" s="231"/>
      <c r="M131" s="231"/>
      <c r="N131" s="231"/>
      <c r="O131" s="231"/>
      <c r="P131" s="231"/>
      <c r="Q131" s="231"/>
      <c r="R131" s="348" t="s">
        <v>114</v>
      </c>
      <c r="S131" s="231"/>
    </row>
    <row r="132" spans="3:19" ht="12.5">
      <c r="C132" s="309"/>
      <c r="D132" s="318"/>
      <c r="E132" s="309"/>
      <c r="F132" s="309"/>
      <c r="G132" s="309"/>
      <c r="H132" s="320"/>
      <c r="I132" s="231"/>
      <c r="J132" s="241"/>
      <c r="K132" s="231"/>
      <c r="L132" s="231"/>
      <c r="M132" s="231"/>
      <c r="N132" s="231"/>
      <c r="O132" s="231"/>
      <c r="P132" s="231"/>
      <c r="Q132" s="231"/>
      <c r="R132" s="368">
        <v>8557318.5351672061</v>
      </c>
      <c r="S132" s="231" t="str">
        <f>+K19&amp;" "&amp;M17</f>
        <v>PROJECTED YEAR Rev Require</v>
      </c>
    </row>
    <row r="133" spans="3:19" ht="12.5">
      <c r="C133" s="309"/>
      <c r="D133" s="318"/>
      <c r="E133" s="309"/>
      <c r="F133" s="309"/>
      <c r="G133" s="309"/>
      <c r="H133" s="320"/>
      <c r="I133" s="231"/>
      <c r="J133" s="241"/>
      <c r="K133" s="231"/>
      <c r="L133" s="231"/>
      <c r="M133" s="231"/>
      <c r="N133" s="231"/>
      <c r="O133" s="231"/>
      <c r="P133" s="231"/>
      <c r="Q133" s="231"/>
      <c r="R133" s="369">
        <v>8557318.5351672061</v>
      </c>
      <c r="S133" s="231" t="str">
        <f>K19&amp;" "&amp;N17</f>
        <v>PROJECTED YEAR  W Incentives</v>
      </c>
    </row>
    <row r="134" spans="3:19" ht="13" thickBot="1">
      <c r="C134" s="309"/>
      <c r="D134" s="318"/>
      <c r="E134" s="309"/>
      <c r="F134" s="309"/>
      <c r="G134" s="309"/>
      <c r="H134" s="320"/>
      <c r="I134" s="231"/>
      <c r="J134" s="241"/>
      <c r="K134" s="231"/>
      <c r="L134" s="231"/>
      <c r="M134" s="231"/>
      <c r="N134" s="231"/>
      <c r="O134" s="231"/>
      <c r="P134" s="231"/>
      <c r="Q134" s="231"/>
      <c r="R134" s="370">
        <f>+O19</f>
        <v>0</v>
      </c>
      <c r="S134" s="231" t="str">
        <f>K19&amp;" "&amp;O17</f>
        <v>PROJECTED YEAR Incentive Amounts</v>
      </c>
    </row>
    <row r="135" spans="3:19" ht="12.5">
      <c r="C135" s="309"/>
      <c r="D135" s="318"/>
      <c r="E135" s="309"/>
      <c r="F135" s="309"/>
      <c r="G135" s="309"/>
      <c r="H135" s="320"/>
      <c r="I135" s="231"/>
      <c r="J135" s="241"/>
      <c r="K135" s="231"/>
      <c r="L135" s="231"/>
      <c r="M135" s="231"/>
      <c r="N135" s="231"/>
      <c r="O135" s="231"/>
      <c r="P135" s="231"/>
      <c r="Q135" s="231"/>
      <c r="R135" s="231"/>
      <c r="S135" s="231"/>
    </row>
    <row r="136" spans="3:19" ht="12.75" customHeight="1">
      <c r="R136" s="231"/>
      <c r="S136" s="231"/>
    </row>
    <row r="137" spans="3:19" ht="12.75" customHeight="1">
      <c r="R137" s="347" t="s">
        <v>128</v>
      </c>
      <c r="S137" s="232" t="s">
        <v>129</v>
      </c>
    </row>
  </sheetData>
  <mergeCells count="8">
    <mergeCell ref="K15:O16"/>
    <mergeCell ref="C8:H8"/>
    <mergeCell ref="C82:E83"/>
    <mergeCell ref="A1:J1"/>
    <mergeCell ref="A2:J2"/>
    <mergeCell ref="A3:J3"/>
    <mergeCell ref="A5:J5"/>
    <mergeCell ref="A4:J4"/>
  </mergeCells>
  <phoneticPr fontId="0" type="noConversion"/>
  <printOptions horizontalCentered="1"/>
  <pageMargins left="0.25" right="0.25" top="0.75" bottom="0.25" header="0.25" footer="0.5"/>
  <pageSetup scale="41" fitToHeight="2" orientation="landscape" r:id="rId1"/>
  <headerFooter alignWithMargins="0">
    <oddHeader xml:space="preserve">&amp;R&amp;16AEP - SPP Formula Rate
PSO TCOS - WS F
Page: &amp;P of &amp;N
</oddHeader>
    <oddFooter xml:space="preserve">&amp;C &amp;R </oddFooter>
  </headerFooter>
  <drawing r:id="rId2"/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66"/>
  <dimension ref="A1:P162"/>
  <sheetViews>
    <sheetView zoomScaleNormal="100" zoomScaleSheetLayoutView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17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205253.68924705483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205253.68924705483</v>
      </c>
      <c r="O6" s="231"/>
      <c r="P6" s="231"/>
    </row>
    <row r="7" spans="1:16" ht="13.5" thickBot="1">
      <c r="C7" s="428" t="s">
        <v>46</v>
      </c>
      <c r="D7" s="596" t="s">
        <v>262</v>
      </c>
      <c r="E7" s="597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286</v>
      </c>
      <c r="E9" s="574" t="s">
        <v>287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1692023.1700000002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2015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12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44526.92552631579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2015</v>
      </c>
      <c r="D17" s="581">
        <v>1500000</v>
      </c>
      <c r="E17" s="604">
        <v>0</v>
      </c>
      <c r="F17" s="581">
        <v>1500000</v>
      </c>
      <c r="G17" s="604">
        <v>206807.48514960654</v>
      </c>
      <c r="H17" s="584">
        <v>206807.48514960654</v>
      </c>
      <c r="I17" s="472">
        <v>0</v>
      </c>
      <c r="J17" s="472"/>
      <c r="K17" s="473">
        <f t="shared" ref="K17:K22" si="0">G17</f>
        <v>206807.48514960654</v>
      </c>
      <c r="L17" s="600">
        <f t="shared" ref="L17:L22" si="1">IF(K17&lt;&gt;0,+G17-K17,0)</f>
        <v>0</v>
      </c>
      <c r="M17" s="473">
        <f t="shared" ref="M17:M22" si="2">H17</f>
        <v>206807.48514960654</v>
      </c>
      <c r="N17" s="475">
        <f>IF(M17&lt;&gt;0,+H17-M17,0)</f>
        <v>0</v>
      </c>
      <c r="O17" s="472">
        <f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2016</v>
      </c>
      <c r="D18" s="581">
        <v>1777912</v>
      </c>
      <c r="E18" s="582">
        <v>34190.615384615383</v>
      </c>
      <c r="F18" s="581">
        <v>1743721.3846153845</v>
      </c>
      <c r="G18" s="582">
        <v>262896.61538461538</v>
      </c>
      <c r="H18" s="584">
        <v>262896.61538461538</v>
      </c>
      <c r="I18" s="472">
        <f>H18-G18</f>
        <v>0</v>
      </c>
      <c r="J18" s="472"/>
      <c r="K18" s="473">
        <f t="shared" si="0"/>
        <v>262896.61538461538</v>
      </c>
      <c r="L18" s="600">
        <f t="shared" si="1"/>
        <v>0</v>
      </c>
      <c r="M18" s="473">
        <f t="shared" si="2"/>
        <v>262896.61538461538</v>
      </c>
      <c r="N18" s="475">
        <f>IF(M18&lt;&gt;0,+H18-M18,0)</f>
        <v>0</v>
      </c>
      <c r="O18" s="472">
        <f>+N18-L18</f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2017</v>
      </c>
      <c r="D19" s="581">
        <v>1657832.3846153845</v>
      </c>
      <c r="E19" s="582">
        <v>36783.108695652176</v>
      </c>
      <c r="F19" s="581">
        <v>1621049.2759197324</v>
      </c>
      <c r="G19" s="582">
        <v>243079.10869565216</v>
      </c>
      <c r="H19" s="584">
        <v>243079.10869565216</v>
      </c>
      <c r="I19" s="472">
        <f t="shared" ref="I19:I72" si="3">H19-G19</f>
        <v>0</v>
      </c>
      <c r="J19" s="472"/>
      <c r="K19" s="473">
        <f t="shared" si="0"/>
        <v>243079.10869565216</v>
      </c>
      <c r="L19" s="600">
        <f t="shared" si="1"/>
        <v>0</v>
      </c>
      <c r="M19" s="473">
        <f t="shared" si="2"/>
        <v>243079.10869565216</v>
      </c>
      <c r="N19" s="475">
        <f>IF(M19&lt;&gt;0,+H19-M19,0)</f>
        <v>0</v>
      </c>
      <c r="O19" s="472">
        <f>+N19-L19</f>
        <v>0</v>
      </c>
      <c r="P19" s="241"/>
    </row>
    <row r="20" spans="2:16" ht="12.5">
      <c r="B20" s="160" t="str">
        <f t="shared" ref="B20:B72" si="4">IF(D20=F19,"","IU")</f>
        <v/>
      </c>
      <c r="C20" s="469">
        <f>IF(D11="","-",+C19+1)</f>
        <v>2018</v>
      </c>
      <c r="D20" s="581">
        <v>1621049.2759197324</v>
      </c>
      <c r="E20" s="582">
        <v>37600.511111111111</v>
      </c>
      <c r="F20" s="581">
        <v>1583448.7648086213</v>
      </c>
      <c r="G20" s="582">
        <v>229484.15653998824</v>
      </c>
      <c r="H20" s="584">
        <v>229484.15653998824</v>
      </c>
      <c r="I20" s="472">
        <f t="shared" si="3"/>
        <v>0</v>
      </c>
      <c r="J20" s="472"/>
      <c r="K20" s="473">
        <f t="shared" si="0"/>
        <v>229484.15653998824</v>
      </c>
      <c r="L20" s="600">
        <f t="shared" si="1"/>
        <v>0</v>
      </c>
      <c r="M20" s="473">
        <f t="shared" si="2"/>
        <v>229484.15653998824</v>
      </c>
      <c r="N20" s="475">
        <f>IF(M20&lt;&gt;0,+H20-M20,0)</f>
        <v>0</v>
      </c>
      <c r="O20" s="472">
        <f>+N20-L20</f>
        <v>0</v>
      </c>
      <c r="P20" s="241"/>
    </row>
    <row r="21" spans="2:16" ht="12.5">
      <c r="B21" s="160" t="str">
        <f t="shared" si="4"/>
        <v/>
      </c>
      <c r="C21" s="469">
        <f>IF(D11="","-",+C20+1)</f>
        <v>2019</v>
      </c>
      <c r="D21" s="581">
        <v>1583448.7648086213</v>
      </c>
      <c r="E21" s="582">
        <v>42300.574999999997</v>
      </c>
      <c r="F21" s="581">
        <v>1541148.1898086213</v>
      </c>
      <c r="G21" s="582">
        <v>216741.56005757477</v>
      </c>
      <c r="H21" s="584">
        <v>216741.56005757477</v>
      </c>
      <c r="I21" s="472">
        <f t="shared" si="3"/>
        <v>0</v>
      </c>
      <c r="J21" s="472"/>
      <c r="K21" s="473">
        <f t="shared" si="0"/>
        <v>216741.56005757477</v>
      </c>
      <c r="L21" s="600">
        <f t="shared" si="1"/>
        <v>0</v>
      </c>
      <c r="M21" s="473">
        <f t="shared" si="2"/>
        <v>216741.56005757477</v>
      </c>
      <c r="N21" s="475">
        <f t="shared" ref="N21:N72" si="5">IF(M21&lt;&gt;0,+H21-M21,0)</f>
        <v>0</v>
      </c>
      <c r="O21" s="475">
        <f t="shared" ref="O21:O72" si="6">+N21-L21</f>
        <v>0</v>
      </c>
      <c r="P21" s="241"/>
    </row>
    <row r="22" spans="2:16" ht="12.5">
      <c r="B22" s="160" t="str">
        <f t="shared" si="4"/>
        <v>IU</v>
      </c>
      <c r="C22" s="469">
        <f>IF(D11="","-",+C21+1)</f>
        <v>2020</v>
      </c>
      <c r="D22" s="581">
        <v>1545848.2536975101</v>
      </c>
      <c r="E22" s="582">
        <v>40286.261904761908</v>
      </c>
      <c r="F22" s="581">
        <v>1505561.9917927482</v>
      </c>
      <c r="G22" s="582">
        <v>205069.7033172223</v>
      </c>
      <c r="H22" s="584">
        <v>205069.7033172223</v>
      </c>
      <c r="I22" s="472">
        <f t="shared" si="3"/>
        <v>0</v>
      </c>
      <c r="J22" s="472"/>
      <c r="K22" s="473">
        <f t="shared" si="0"/>
        <v>205069.7033172223</v>
      </c>
      <c r="L22" s="600">
        <f t="shared" si="1"/>
        <v>0</v>
      </c>
      <c r="M22" s="473">
        <f t="shared" si="2"/>
        <v>205069.7033172223</v>
      </c>
      <c r="N22" s="475">
        <f t="shared" si="5"/>
        <v>0</v>
      </c>
      <c r="O22" s="475">
        <f t="shared" si="6"/>
        <v>0</v>
      </c>
      <c r="P22" s="241"/>
    </row>
    <row r="23" spans="2:16" ht="12.5">
      <c r="B23" s="160" t="str">
        <f t="shared" si="4"/>
        <v>IU</v>
      </c>
      <c r="C23" s="469">
        <f>IF(D11="","-",+C22+1)</f>
        <v>2021</v>
      </c>
      <c r="D23" s="581">
        <v>1500861.9279038594</v>
      </c>
      <c r="E23" s="582">
        <v>39349.372093023259</v>
      </c>
      <c r="F23" s="581">
        <v>1461512.5558108361</v>
      </c>
      <c r="G23" s="582">
        <v>196932.37209302327</v>
      </c>
      <c r="H23" s="584">
        <v>196932.37209302327</v>
      </c>
      <c r="I23" s="472">
        <f t="shared" si="3"/>
        <v>0</v>
      </c>
      <c r="J23" s="472"/>
      <c r="K23" s="473">
        <f t="shared" ref="K23" si="7">G23</f>
        <v>196932.37209302327</v>
      </c>
      <c r="L23" s="600">
        <f t="shared" ref="L23" si="8">IF(K23&lt;&gt;0,+G23-K23,0)</f>
        <v>0</v>
      </c>
      <c r="M23" s="473">
        <f t="shared" ref="M23" si="9">H23</f>
        <v>196932.37209302327</v>
      </c>
      <c r="N23" s="475">
        <f t="shared" si="5"/>
        <v>0</v>
      </c>
      <c r="O23" s="475">
        <f t="shared" si="6"/>
        <v>0</v>
      </c>
      <c r="P23" s="241"/>
    </row>
    <row r="24" spans="2:16" ht="12.5">
      <c r="B24" s="160" t="str">
        <f t="shared" si="4"/>
        <v/>
      </c>
      <c r="C24" s="469">
        <f>IF(D11="","-",+C23+1)</f>
        <v>2022</v>
      </c>
      <c r="D24" s="581">
        <v>1461512.5558108361</v>
      </c>
      <c r="E24" s="582">
        <v>40286.261904761908</v>
      </c>
      <c r="F24" s="581">
        <v>1421226.2939060743</v>
      </c>
      <c r="G24" s="582">
        <v>193510.26190476189</v>
      </c>
      <c r="H24" s="584">
        <v>193510.26190476189</v>
      </c>
      <c r="I24" s="472">
        <f t="shared" si="3"/>
        <v>0</v>
      </c>
      <c r="J24" s="472"/>
      <c r="K24" s="473">
        <f t="shared" ref="K24" si="10">G24</f>
        <v>193510.26190476189</v>
      </c>
      <c r="L24" s="600">
        <f t="shared" ref="L24" si="11">IF(K24&lt;&gt;0,+G24-K24,0)</f>
        <v>0</v>
      </c>
      <c r="M24" s="473">
        <f t="shared" ref="M24" si="12">H24</f>
        <v>193510.26190476189</v>
      </c>
      <c r="N24" s="475">
        <f t="shared" si="5"/>
        <v>0</v>
      </c>
      <c r="O24" s="475">
        <f t="shared" si="6"/>
        <v>0</v>
      </c>
      <c r="P24" s="241"/>
    </row>
    <row r="25" spans="2:16" ht="12.5">
      <c r="B25" s="160" t="str">
        <f t="shared" si="4"/>
        <v>IU</v>
      </c>
      <c r="C25" s="469">
        <f>IF(D11="","-",+C24+1)</f>
        <v>2023</v>
      </c>
      <c r="D25" s="581">
        <v>1421226.4639060744</v>
      </c>
      <c r="E25" s="582">
        <v>43385.209487179491</v>
      </c>
      <c r="F25" s="581">
        <v>1377841.2544188949</v>
      </c>
      <c r="G25" s="582">
        <v>207843.2094871795</v>
      </c>
      <c r="H25" s="584">
        <v>207843.2094871795</v>
      </c>
      <c r="I25" s="472">
        <f t="shared" si="3"/>
        <v>0</v>
      </c>
      <c r="J25" s="472"/>
      <c r="K25" s="473">
        <f t="shared" ref="K25" si="13">G25</f>
        <v>207843.2094871795</v>
      </c>
      <c r="L25" s="600">
        <f t="shared" ref="L25" si="14">IF(K25&lt;&gt;0,+G25-K25,0)</f>
        <v>0</v>
      </c>
      <c r="M25" s="473">
        <f t="shared" ref="M25" si="15">H25</f>
        <v>207843.2094871795</v>
      </c>
      <c r="N25" s="475">
        <f t="shared" si="5"/>
        <v>0</v>
      </c>
      <c r="O25" s="475">
        <f t="shared" si="6"/>
        <v>0</v>
      </c>
      <c r="P25" s="241"/>
    </row>
    <row r="26" spans="2:16" ht="12.5">
      <c r="B26" s="160" t="str">
        <f t="shared" si="4"/>
        <v/>
      </c>
      <c r="C26" s="469">
        <f>IF(D11="","-",+C25+1)</f>
        <v>2024</v>
      </c>
      <c r="D26" s="581">
        <v>1377841.2544188949</v>
      </c>
      <c r="E26" s="582">
        <v>43385.209487179491</v>
      </c>
      <c r="F26" s="581">
        <v>1334456.0449317154</v>
      </c>
      <c r="G26" s="582">
        <v>205253.68924705483</v>
      </c>
      <c r="H26" s="584">
        <v>205253.68924705483</v>
      </c>
      <c r="I26" s="472">
        <f t="shared" si="3"/>
        <v>0</v>
      </c>
      <c r="J26" s="472"/>
      <c r="K26" s="473">
        <f t="shared" ref="K26" si="16">G26</f>
        <v>205253.68924705483</v>
      </c>
      <c r="L26" s="600">
        <f t="shared" ref="L26" si="17">IF(K26&lt;&gt;0,+G26-K26,0)</f>
        <v>0</v>
      </c>
      <c r="M26" s="473">
        <f t="shared" ref="M26" si="18">H26</f>
        <v>205253.68924705483</v>
      </c>
      <c r="N26" s="475">
        <f t="shared" ref="N26" si="19">IF(M26&lt;&gt;0,+H26-M26,0)</f>
        <v>0</v>
      </c>
      <c r="O26" s="475">
        <f t="shared" ref="O26" si="20">+N26-L26</f>
        <v>0</v>
      </c>
      <c r="P26" s="241"/>
    </row>
    <row r="27" spans="2:16" ht="12.5">
      <c r="B27" s="160" t="str">
        <f t="shared" si="4"/>
        <v/>
      </c>
      <c r="C27" s="469">
        <f>IF(D11="","-",+C26+1)</f>
        <v>2025</v>
      </c>
      <c r="D27" s="482">
        <f>IF(F26+SUM(E$17:E26)=D$10,F26,D$10-SUM(E$17:E26))</f>
        <v>1334456.0449317154</v>
      </c>
      <c r="E27" s="481">
        <f t="shared" ref="E27:E72" si="21">IF(+$I$14&lt;F26,$I$14,D27)</f>
        <v>44526.92552631579</v>
      </c>
      <c r="F27" s="482">
        <f t="shared" ref="F27:F72" si="22">+D27-E27</f>
        <v>1289929.1194053995</v>
      </c>
      <c r="G27" s="483">
        <f t="shared" ref="G27:G72" si="23">(D27+F27)/2*I$12+E27</f>
        <v>193775.95596271276</v>
      </c>
      <c r="H27" s="452">
        <f t="shared" ref="H27:H72" si="24">+(D27+F27)/2*I$13+E27</f>
        <v>193775.95596271276</v>
      </c>
      <c r="I27" s="472">
        <f t="shared" si="3"/>
        <v>0</v>
      </c>
      <c r="J27" s="472"/>
      <c r="K27" s="484"/>
      <c r="L27" s="475">
        <f t="shared" ref="L27:L72" si="25">IF(K27&lt;&gt;0,+G27-K27,0)</f>
        <v>0</v>
      </c>
      <c r="M27" s="484"/>
      <c r="N27" s="475">
        <f t="shared" si="5"/>
        <v>0</v>
      </c>
      <c r="O27" s="475">
        <f t="shared" si="6"/>
        <v>0</v>
      </c>
      <c r="P27" s="241"/>
    </row>
    <row r="28" spans="2:16" ht="12.5">
      <c r="B28" s="160" t="str">
        <f t="shared" si="4"/>
        <v/>
      </c>
      <c r="C28" s="469">
        <f>IF(D11="","-",+C27+1)</f>
        <v>2026</v>
      </c>
      <c r="D28" s="482">
        <f>IF(F27+SUM(E$17:E27)=D$10,F27,D$10-SUM(E$17:E27))</f>
        <v>1289929.1194053995</v>
      </c>
      <c r="E28" s="481">
        <f t="shared" si="21"/>
        <v>44526.92552631579</v>
      </c>
      <c r="F28" s="482">
        <f t="shared" si="22"/>
        <v>1245402.1938790837</v>
      </c>
      <c r="G28" s="483">
        <f t="shared" si="23"/>
        <v>188711.45510100722</v>
      </c>
      <c r="H28" s="452">
        <f t="shared" si="24"/>
        <v>188711.45510100722</v>
      </c>
      <c r="I28" s="472">
        <f t="shared" si="3"/>
        <v>0</v>
      </c>
      <c r="J28" s="472"/>
      <c r="K28" s="484"/>
      <c r="L28" s="475">
        <f t="shared" si="25"/>
        <v>0</v>
      </c>
      <c r="M28" s="484"/>
      <c r="N28" s="475">
        <f t="shared" si="5"/>
        <v>0</v>
      </c>
      <c r="O28" s="475">
        <f t="shared" si="6"/>
        <v>0</v>
      </c>
      <c r="P28" s="241"/>
    </row>
    <row r="29" spans="2:16" ht="12.5">
      <c r="B29" s="160" t="str">
        <f t="shared" si="4"/>
        <v/>
      </c>
      <c r="C29" s="469">
        <f>IF(D11="","-",+C28+1)</f>
        <v>2027</v>
      </c>
      <c r="D29" s="482">
        <f>IF(F28+SUM(E$17:E28)=D$10,F28,D$10-SUM(E$17:E28))</f>
        <v>1245402.1938790837</v>
      </c>
      <c r="E29" s="481">
        <f t="shared" si="21"/>
        <v>44526.92552631579</v>
      </c>
      <c r="F29" s="482">
        <f t="shared" si="22"/>
        <v>1200875.2683527679</v>
      </c>
      <c r="G29" s="483">
        <f t="shared" si="23"/>
        <v>183646.95423930167</v>
      </c>
      <c r="H29" s="452">
        <f t="shared" si="24"/>
        <v>183646.95423930167</v>
      </c>
      <c r="I29" s="472">
        <f t="shared" si="3"/>
        <v>0</v>
      </c>
      <c r="J29" s="472"/>
      <c r="K29" s="484"/>
      <c r="L29" s="475">
        <f t="shared" si="25"/>
        <v>0</v>
      </c>
      <c r="M29" s="484"/>
      <c r="N29" s="475">
        <f t="shared" si="5"/>
        <v>0</v>
      </c>
      <c r="O29" s="475">
        <f t="shared" si="6"/>
        <v>0</v>
      </c>
      <c r="P29" s="241"/>
    </row>
    <row r="30" spans="2:16" ht="12.5">
      <c r="B30" s="160" t="str">
        <f t="shared" si="4"/>
        <v/>
      </c>
      <c r="C30" s="469">
        <f>IF(D11="","-",+C29+1)</f>
        <v>2028</v>
      </c>
      <c r="D30" s="482">
        <f>IF(F29+SUM(E$17:E29)=D$10,F29,D$10-SUM(E$17:E29))</f>
        <v>1200875.2683527679</v>
      </c>
      <c r="E30" s="481">
        <f t="shared" si="21"/>
        <v>44526.92552631579</v>
      </c>
      <c r="F30" s="482">
        <f t="shared" si="22"/>
        <v>1156348.3428264521</v>
      </c>
      <c r="G30" s="483">
        <f t="shared" si="23"/>
        <v>178582.45337759613</v>
      </c>
      <c r="H30" s="452">
        <f t="shared" si="24"/>
        <v>178582.45337759613</v>
      </c>
      <c r="I30" s="472">
        <f t="shared" si="3"/>
        <v>0</v>
      </c>
      <c r="J30" s="472"/>
      <c r="K30" s="484"/>
      <c r="L30" s="475">
        <f t="shared" si="25"/>
        <v>0</v>
      </c>
      <c r="M30" s="484"/>
      <c r="N30" s="475">
        <f t="shared" si="5"/>
        <v>0</v>
      </c>
      <c r="O30" s="475">
        <f t="shared" si="6"/>
        <v>0</v>
      </c>
      <c r="P30" s="241"/>
    </row>
    <row r="31" spans="2:16" ht="12.5">
      <c r="B31" s="160" t="str">
        <f t="shared" si="4"/>
        <v/>
      </c>
      <c r="C31" s="469">
        <f>IF(D11="","-",+C30+1)</f>
        <v>2029</v>
      </c>
      <c r="D31" s="482">
        <f>IF(F30+SUM(E$17:E30)=D$10,F30,D$10-SUM(E$17:E30))</f>
        <v>1156348.3428264521</v>
      </c>
      <c r="E31" s="481">
        <f t="shared" si="21"/>
        <v>44526.92552631579</v>
      </c>
      <c r="F31" s="482">
        <f t="shared" si="22"/>
        <v>1111821.4173001363</v>
      </c>
      <c r="G31" s="483">
        <f t="shared" si="23"/>
        <v>173517.95251589059</v>
      </c>
      <c r="H31" s="452">
        <f t="shared" si="24"/>
        <v>173517.95251589059</v>
      </c>
      <c r="I31" s="472">
        <f t="shared" si="3"/>
        <v>0</v>
      </c>
      <c r="J31" s="472"/>
      <c r="K31" s="484"/>
      <c r="L31" s="475">
        <f t="shared" si="25"/>
        <v>0</v>
      </c>
      <c r="M31" s="484"/>
      <c r="N31" s="475">
        <f t="shared" si="5"/>
        <v>0</v>
      </c>
      <c r="O31" s="475">
        <f t="shared" si="6"/>
        <v>0</v>
      </c>
      <c r="P31" s="241"/>
    </row>
    <row r="32" spans="2:16" ht="12.5">
      <c r="B32" s="160" t="str">
        <f t="shared" si="4"/>
        <v/>
      </c>
      <c r="C32" s="469">
        <f>IF(D11="","-",+C31+1)</f>
        <v>2030</v>
      </c>
      <c r="D32" s="482">
        <f>IF(F31+SUM(E$17:E31)=D$10,F31,D$10-SUM(E$17:E31))</f>
        <v>1111821.4173001363</v>
      </c>
      <c r="E32" s="481">
        <f t="shared" si="21"/>
        <v>44526.92552631579</v>
      </c>
      <c r="F32" s="482">
        <f t="shared" si="22"/>
        <v>1067294.4917738205</v>
      </c>
      <c r="G32" s="483">
        <f t="shared" si="23"/>
        <v>168453.45165418502</v>
      </c>
      <c r="H32" s="452">
        <f t="shared" si="24"/>
        <v>168453.45165418502</v>
      </c>
      <c r="I32" s="472">
        <f t="shared" si="3"/>
        <v>0</v>
      </c>
      <c r="J32" s="472"/>
      <c r="K32" s="484"/>
      <c r="L32" s="475">
        <f t="shared" si="25"/>
        <v>0</v>
      </c>
      <c r="M32" s="484"/>
      <c r="N32" s="475">
        <f t="shared" si="5"/>
        <v>0</v>
      </c>
      <c r="O32" s="475">
        <f t="shared" si="6"/>
        <v>0</v>
      </c>
      <c r="P32" s="241"/>
    </row>
    <row r="33" spans="2:16" ht="12.5">
      <c r="B33" s="160" t="str">
        <f t="shared" si="4"/>
        <v/>
      </c>
      <c r="C33" s="469">
        <f>IF(D11="","-",+C32+1)</f>
        <v>2031</v>
      </c>
      <c r="D33" s="482">
        <f>IF(F32+SUM(E$17:E32)=D$10,F32,D$10-SUM(E$17:E32))</f>
        <v>1067294.4917738205</v>
      </c>
      <c r="E33" s="481">
        <f t="shared" si="21"/>
        <v>44526.92552631579</v>
      </c>
      <c r="F33" s="482">
        <f t="shared" si="22"/>
        <v>1022767.5662475047</v>
      </c>
      <c r="G33" s="483">
        <f t="shared" si="23"/>
        <v>163388.95079247947</v>
      </c>
      <c r="H33" s="452">
        <f t="shared" si="24"/>
        <v>163388.95079247947</v>
      </c>
      <c r="I33" s="472">
        <f t="shared" si="3"/>
        <v>0</v>
      </c>
      <c r="J33" s="472"/>
      <c r="K33" s="484"/>
      <c r="L33" s="475">
        <f t="shared" si="25"/>
        <v>0</v>
      </c>
      <c r="M33" s="484"/>
      <c r="N33" s="475">
        <f t="shared" si="5"/>
        <v>0</v>
      </c>
      <c r="O33" s="475">
        <f t="shared" si="6"/>
        <v>0</v>
      </c>
      <c r="P33" s="241"/>
    </row>
    <row r="34" spans="2:16" ht="12.5">
      <c r="B34" s="160" t="str">
        <f t="shared" si="4"/>
        <v/>
      </c>
      <c r="C34" s="469">
        <f>IF(D11="","-",+C33+1)</f>
        <v>2032</v>
      </c>
      <c r="D34" s="482">
        <f>IF(F33+SUM(E$17:E33)=D$10,F33,D$10-SUM(E$17:E33))</f>
        <v>1022767.5662475047</v>
      </c>
      <c r="E34" s="481">
        <f t="shared" si="21"/>
        <v>44526.92552631579</v>
      </c>
      <c r="F34" s="482">
        <f t="shared" si="22"/>
        <v>978240.64072118886</v>
      </c>
      <c r="G34" s="483">
        <f t="shared" si="23"/>
        <v>158324.44993077393</v>
      </c>
      <c r="H34" s="452">
        <f t="shared" si="24"/>
        <v>158324.44993077393</v>
      </c>
      <c r="I34" s="472">
        <f t="shared" si="3"/>
        <v>0</v>
      </c>
      <c r="J34" s="472"/>
      <c r="K34" s="484"/>
      <c r="L34" s="475">
        <f t="shared" si="25"/>
        <v>0</v>
      </c>
      <c r="M34" s="484"/>
      <c r="N34" s="475">
        <f t="shared" si="5"/>
        <v>0</v>
      </c>
      <c r="O34" s="475">
        <f t="shared" si="6"/>
        <v>0</v>
      </c>
      <c r="P34" s="241"/>
    </row>
    <row r="35" spans="2:16" ht="12.5">
      <c r="B35" s="160" t="str">
        <f t="shared" si="4"/>
        <v/>
      </c>
      <c r="C35" s="469">
        <f>IF(D11="","-",+C34+1)</f>
        <v>2033</v>
      </c>
      <c r="D35" s="482">
        <f>IF(F34+SUM(E$17:E34)=D$10,F34,D$10-SUM(E$17:E34))</f>
        <v>978240.64072118886</v>
      </c>
      <c r="E35" s="481">
        <f t="shared" si="21"/>
        <v>44526.92552631579</v>
      </c>
      <c r="F35" s="482">
        <f t="shared" si="22"/>
        <v>933713.71519487305</v>
      </c>
      <c r="G35" s="483">
        <f t="shared" si="23"/>
        <v>153259.94906906836</v>
      </c>
      <c r="H35" s="452">
        <f t="shared" si="24"/>
        <v>153259.94906906836</v>
      </c>
      <c r="I35" s="472">
        <f t="shared" si="3"/>
        <v>0</v>
      </c>
      <c r="J35" s="472"/>
      <c r="K35" s="484"/>
      <c r="L35" s="475">
        <f t="shared" si="25"/>
        <v>0</v>
      </c>
      <c r="M35" s="484"/>
      <c r="N35" s="475">
        <f t="shared" si="5"/>
        <v>0</v>
      </c>
      <c r="O35" s="475">
        <f t="shared" si="6"/>
        <v>0</v>
      </c>
      <c r="P35" s="241"/>
    </row>
    <row r="36" spans="2:16" ht="12.5">
      <c r="B36" s="160" t="str">
        <f t="shared" si="4"/>
        <v/>
      </c>
      <c r="C36" s="469">
        <f>IF(D11="","-",+C35+1)</f>
        <v>2034</v>
      </c>
      <c r="D36" s="482">
        <f>IF(F35+SUM(E$17:E35)=D$10,F35,D$10-SUM(E$17:E35))</f>
        <v>933713.71519487305</v>
      </c>
      <c r="E36" s="481">
        <f t="shared" si="21"/>
        <v>44526.92552631579</v>
      </c>
      <c r="F36" s="482">
        <f t="shared" si="22"/>
        <v>889186.78966855723</v>
      </c>
      <c r="G36" s="483">
        <f t="shared" si="23"/>
        <v>148195.44820736282</v>
      </c>
      <c r="H36" s="452">
        <f t="shared" si="24"/>
        <v>148195.44820736282</v>
      </c>
      <c r="I36" s="472">
        <f t="shared" si="3"/>
        <v>0</v>
      </c>
      <c r="J36" s="472"/>
      <c r="K36" s="484"/>
      <c r="L36" s="475">
        <f t="shared" si="25"/>
        <v>0</v>
      </c>
      <c r="M36" s="484"/>
      <c r="N36" s="475">
        <f t="shared" si="5"/>
        <v>0</v>
      </c>
      <c r="O36" s="475">
        <f t="shared" si="6"/>
        <v>0</v>
      </c>
      <c r="P36" s="241"/>
    </row>
    <row r="37" spans="2:16" ht="12.5">
      <c r="B37" s="160" t="str">
        <f t="shared" si="4"/>
        <v/>
      </c>
      <c r="C37" s="469">
        <f>IF(D11="","-",+C36+1)</f>
        <v>2035</v>
      </c>
      <c r="D37" s="482">
        <f>IF(F36+SUM(E$17:E36)=D$10,F36,D$10-SUM(E$17:E36))</f>
        <v>889186.78966855723</v>
      </c>
      <c r="E37" s="481">
        <f t="shared" si="21"/>
        <v>44526.92552631579</v>
      </c>
      <c r="F37" s="482">
        <f t="shared" si="22"/>
        <v>844659.86414224142</v>
      </c>
      <c r="G37" s="483">
        <f t="shared" si="23"/>
        <v>143130.94734565727</v>
      </c>
      <c r="H37" s="452">
        <f t="shared" si="24"/>
        <v>143130.94734565727</v>
      </c>
      <c r="I37" s="472">
        <f t="shared" si="3"/>
        <v>0</v>
      </c>
      <c r="J37" s="472"/>
      <c r="K37" s="484"/>
      <c r="L37" s="475">
        <f t="shared" si="25"/>
        <v>0</v>
      </c>
      <c r="M37" s="484"/>
      <c r="N37" s="475">
        <f t="shared" si="5"/>
        <v>0</v>
      </c>
      <c r="O37" s="475">
        <f t="shared" si="6"/>
        <v>0</v>
      </c>
      <c r="P37" s="241"/>
    </row>
    <row r="38" spans="2:16" ht="12.5">
      <c r="B38" s="160" t="str">
        <f t="shared" si="4"/>
        <v/>
      </c>
      <c r="C38" s="469">
        <f>IF(D11="","-",+C37+1)</f>
        <v>2036</v>
      </c>
      <c r="D38" s="482">
        <f>IF(F37+SUM(E$17:E37)=D$10,F37,D$10-SUM(E$17:E37))</f>
        <v>844659.86414224142</v>
      </c>
      <c r="E38" s="481">
        <f t="shared" si="21"/>
        <v>44526.92552631579</v>
      </c>
      <c r="F38" s="482">
        <f t="shared" si="22"/>
        <v>800132.93861592561</v>
      </c>
      <c r="G38" s="483">
        <f t="shared" si="23"/>
        <v>138066.44648395173</v>
      </c>
      <c r="H38" s="452">
        <f t="shared" si="24"/>
        <v>138066.44648395173</v>
      </c>
      <c r="I38" s="472">
        <f t="shared" si="3"/>
        <v>0</v>
      </c>
      <c r="J38" s="472"/>
      <c r="K38" s="484"/>
      <c r="L38" s="475">
        <f t="shared" si="25"/>
        <v>0</v>
      </c>
      <c r="M38" s="484"/>
      <c r="N38" s="475">
        <f t="shared" si="5"/>
        <v>0</v>
      </c>
      <c r="O38" s="475">
        <f t="shared" si="6"/>
        <v>0</v>
      </c>
      <c r="P38" s="241"/>
    </row>
    <row r="39" spans="2:16" ht="12.5">
      <c r="B39" s="160" t="str">
        <f t="shared" si="4"/>
        <v/>
      </c>
      <c r="C39" s="469">
        <f>IF(D11="","-",+C38+1)</f>
        <v>2037</v>
      </c>
      <c r="D39" s="482">
        <f>IF(F38+SUM(E$17:E38)=D$10,F38,D$10-SUM(E$17:E38))</f>
        <v>800132.93861592561</v>
      </c>
      <c r="E39" s="481">
        <f t="shared" si="21"/>
        <v>44526.92552631579</v>
      </c>
      <c r="F39" s="482">
        <f t="shared" si="22"/>
        <v>755606.0130896098</v>
      </c>
      <c r="G39" s="483">
        <f t="shared" si="23"/>
        <v>133001.94562224616</v>
      </c>
      <c r="H39" s="452">
        <f t="shared" si="24"/>
        <v>133001.94562224616</v>
      </c>
      <c r="I39" s="472">
        <f t="shared" si="3"/>
        <v>0</v>
      </c>
      <c r="J39" s="472"/>
      <c r="K39" s="484"/>
      <c r="L39" s="475">
        <f t="shared" si="25"/>
        <v>0</v>
      </c>
      <c r="M39" s="484"/>
      <c r="N39" s="475">
        <f t="shared" si="5"/>
        <v>0</v>
      </c>
      <c r="O39" s="475">
        <f t="shared" si="6"/>
        <v>0</v>
      </c>
      <c r="P39" s="241"/>
    </row>
    <row r="40" spans="2:16" ht="12.5">
      <c r="B40" s="160" t="str">
        <f t="shared" si="4"/>
        <v/>
      </c>
      <c r="C40" s="469">
        <f>IF(D11="","-",+C39+1)</f>
        <v>2038</v>
      </c>
      <c r="D40" s="482">
        <f>IF(F39+SUM(E$17:E39)=D$10,F39,D$10-SUM(E$17:E39))</f>
        <v>755606.0130896098</v>
      </c>
      <c r="E40" s="481">
        <f t="shared" si="21"/>
        <v>44526.92552631579</v>
      </c>
      <c r="F40" s="482">
        <f t="shared" si="22"/>
        <v>711079.08756329399</v>
      </c>
      <c r="G40" s="483">
        <f t="shared" si="23"/>
        <v>127937.44476054062</v>
      </c>
      <c r="H40" s="452">
        <f t="shared" si="24"/>
        <v>127937.44476054062</v>
      </c>
      <c r="I40" s="472">
        <f t="shared" si="3"/>
        <v>0</v>
      </c>
      <c r="J40" s="472"/>
      <c r="K40" s="484"/>
      <c r="L40" s="475">
        <f t="shared" si="25"/>
        <v>0</v>
      </c>
      <c r="M40" s="484"/>
      <c r="N40" s="475">
        <f t="shared" si="5"/>
        <v>0</v>
      </c>
      <c r="O40" s="475">
        <f t="shared" si="6"/>
        <v>0</v>
      </c>
      <c r="P40" s="241"/>
    </row>
    <row r="41" spans="2:16" ht="12.5">
      <c r="B41" s="160" t="str">
        <f t="shared" si="4"/>
        <v/>
      </c>
      <c r="C41" s="469">
        <f>IF(D11="","-",+C40+1)</f>
        <v>2039</v>
      </c>
      <c r="D41" s="482">
        <f>IF(F40+SUM(E$17:E40)=D$10,F40,D$10-SUM(E$17:E40))</f>
        <v>711079.08756329399</v>
      </c>
      <c r="E41" s="481">
        <f t="shared" si="21"/>
        <v>44526.92552631579</v>
      </c>
      <c r="F41" s="482">
        <f t="shared" si="22"/>
        <v>666552.16203697817</v>
      </c>
      <c r="G41" s="483">
        <f t="shared" si="23"/>
        <v>122872.94389883507</v>
      </c>
      <c r="H41" s="452">
        <f t="shared" si="24"/>
        <v>122872.94389883507</v>
      </c>
      <c r="I41" s="472">
        <f t="shared" si="3"/>
        <v>0</v>
      </c>
      <c r="J41" s="472"/>
      <c r="K41" s="484"/>
      <c r="L41" s="475">
        <f t="shared" si="25"/>
        <v>0</v>
      </c>
      <c r="M41" s="484"/>
      <c r="N41" s="475">
        <f t="shared" si="5"/>
        <v>0</v>
      </c>
      <c r="O41" s="475">
        <f t="shared" si="6"/>
        <v>0</v>
      </c>
      <c r="P41" s="241"/>
    </row>
    <row r="42" spans="2:16" ht="12.5">
      <c r="B42" s="160" t="str">
        <f t="shared" si="4"/>
        <v/>
      </c>
      <c r="C42" s="469">
        <f>IF(D11="","-",+C41+1)</f>
        <v>2040</v>
      </c>
      <c r="D42" s="482">
        <f>IF(F41+SUM(E$17:E41)=D$10,F41,D$10-SUM(E$17:E41))</f>
        <v>666552.16203697817</v>
      </c>
      <c r="E42" s="481">
        <f t="shared" si="21"/>
        <v>44526.92552631579</v>
      </c>
      <c r="F42" s="482">
        <f t="shared" si="22"/>
        <v>622025.23651066236</v>
      </c>
      <c r="G42" s="483">
        <f t="shared" si="23"/>
        <v>117808.44303712953</v>
      </c>
      <c r="H42" s="452">
        <f t="shared" si="24"/>
        <v>117808.44303712953</v>
      </c>
      <c r="I42" s="472">
        <f t="shared" si="3"/>
        <v>0</v>
      </c>
      <c r="J42" s="472"/>
      <c r="K42" s="484"/>
      <c r="L42" s="475">
        <f t="shared" si="25"/>
        <v>0</v>
      </c>
      <c r="M42" s="484"/>
      <c r="N42" s="475">
        <f t="shared" si="5"/>
        <v>0</v>
      </c>
      <c r="O42" s="475">
        <f t="shared" si="6"/>
        <v>0</v>
      </c>
      <c r="P42" s="241"/>
    </row>
    <row r="43" spans="2:16" ht="12.5">
      <c r="B43" s="160" t="str">
        <f t="shared" si="4"/>
        <v/>
      </c>
      <c r="C43" s="469">
        <f>IF(D11="","-",+C42+1)</f>
        <v>2041</v>
      </c>
      <c r="D43" s="482">
        <f>IF(F42+SUM(E$17:E42)=D$10,F42,D$10-SUM(E$17:E42))</f>
        <v>622025.23651066236</v>
      </c>
      <c r="E43" s="481">
        <f t="shared" si="21"/>
        <v>44526.92552631579</v>
      </c>
      <c r="F43" s="482">
        <f t="shared" si="22"/>
        <v>577498.31098434655</v>
      </c>
      <c r="G43" s="483">
        <f t="shared" si="23"/>
        <v>112743.94217542396</v>
      </c>
      <c r="H43" s="452">
        <f t="shared" si="24"/>
        <v>112743.94217542396</v>
      </c>
      <c r="I43" s="472">
        <f t="shared" si="3"/>
        <v>0</v>
      </c>
      <c r="J43" s="472"/>
      <c r="K43" s="484"/>
      <c r="L43" s="475">
        <f t="shared" si="25"/>
        <v>0</v>
      </c>
      <c r="M43" s="484"/>
      <c r="N43" s="475">
        <f t="shared" si="5"/>
        <v>0</v>
      </c>
      <c r="O43" s="475">
        <f t="shared" si="6"/>
        <v>0</v>
      </c>
      <c r="P43" s="241"/>
    </row>
    <row r="44" spans="2:16" ht="12.5">
      <c r="B44" s="160" t="str">
        <f t="shared" si="4"/>
        <v/>
      </c>
      <c r="C44" s="469">
        <f>IF(D11="","-",+C43+1)</f>
        <v>2042</v>
      </c>
      <c r="D44" s="482">
        <f>IF(F43+SUM(E$17:E43)=D$10,F43,D$10-SUM(E$17:E43))</f>
        <v>577498.31098434655</v>
      </c>
      <c r="E44" s="481">
        <f t="shared" si="21"/>
        <v>44526.92552631579</v>
      </c>
      <c r="F44" s="482">
        <f t="shared" si="22"/>
        <v>532971.38545803074</v>
      </c>
      <c r="G44" s="483">
        <f t="shared" si="23"/>
        <v>107679.44131371842</v>
      </c>
      <c r="H44" s="452">
        <f t="shared" si="24"/>
        <v>107679.44131371842</v>
      </c>
      <c r="I44" s="472">
        <f t="shared" si="3"/>
        <v>0</v>
      </c>
      <c r="J44" s="472"/>
      <c r="K44" s="484"/>
      <c r="L44" s="475">
        <f t="shared" si="25"/>
        <v>0</v>
      </c>
      <c r="M44" s="484"/>
      <c r="N44" s="475">
        <f t="shared" si="5"/>
        <v>0</v>
      </c>
      <c r="O44" s="475">
        <f t="shared" si="6"/>
        <v>0</v>
      </c>
      <c r="P44" s="241"/>
    </row>
    <row r="45" spans="2:16" ht="12.5">
      <c r="B45" s="160" t="str">
        <f t="shared" si="4"/>
        <v/>
      </c>
      <c r="C45" s="469">
        <f>IF(D11="","-",+C44+1)</f>
        <v>2043</v>
      </c>
      <c r="D45" s="482">
        <f>IF(F44+SUM(E$17:E44)=D$10,F44,D$10-SUM(E$17:E44))</f>
        <v>532971.38545803074</v>
      </c>
      <c r="E45" s="481">
        <f t="shared" si="21"/>
        <v>44526.92552631579</v>
      </c>
      <c r="F45" s="482">
        <f t="shared" si="22"/>
        <v>488444.45993171493</v>
      </c>
      <c r="G45" s="483">
        <f t="shared" si="23"/>
        <v>102614.94045201287</v>
      </c>
      <c r="H45" s="452">
        <f t="shared" si="24"/>
        <v>102614.94045201287</v>
      </c>
      <c r="I45" s="472">
        <f t="shared" si="3"/>
        <v>0</v>
      </c>
      <c r="J45" s="472"/>
      <c r="K45" s="484"/>
      <c r="L45" s="475">
        <f t="shared" si="25"/>
        <v>0</v>
      </c>
      <c r="M45" s="484"/>
      <c r="N45" s="475">
        <f t="shared" si="5"/>
        <v>0</v>
      </c>
      <c r="O45" s="475">
        <f t="shared" si="6"/>
        <v>0</v>
      </c>
      <c r="P45" s="241"/>
    </row>
    <row r="46" spans="2:16" ht="12.5">
      <c r="B46" s="160" t="str">
        <f t="shared" si="4"/>
        <v/>
      </c>
      <c r="C46" s="469">
        <f>IF(D11="","-",+C45+1)</f>
        <v>2044</v>
      </c>
      <c r="D46" s="482">
        <f>IF(F45+SUM(E$17:E45)=D$10,F45,D$10-SUM(E$17:E45))</f>
        <v>488444.45993171493</v>
      </c>
      <c r="E46" s="481">
        <f t="shared" si="21"/>
        <v>44526.92552631579</v>
      </c>
      <c r="F46" s="482">
        <f t="shared" si="22"/>
        <v>443917.53440539911</v>
      </c>
      <c r="G46" s="483">
        <f t="shared" si="23"/>
        <v>97550.439590307316</v>
      </c>
      <c r="H46" s="452">
        <f t="shared" si="24"/>
        <v>97550.439590307316</v>
      </c>
      <c r="I46" s="472">
        <f t="shared" si="3"/>
        <v>0</v>
      </c>
      <c r="J46" s="472"/>
      <c r="K46" s="484"/>
      <c r="L46" s="475">
        <f t="shared" si="25"/>
        <v>0</v>
      </c>
      <c r="M46" s="484"/>
      <c r="N46" s="475">
        <f t="shared" si="5"/>
        <v>0</v>
      </c>
      <c r="O46" s="475">
        <f t="shared" si="6"/>
        <v>0</v>
      </c>
      <c r="P46" s="241"/>
    </row>
    <row r="47" spans="2:16" ht="12.5">
      <c r="B47" s="160" t="str">
        <f t="shared" si="4"/>
        <v/>
      </c>
      <c r="C47" s="469">
        <f>IF(D11="","-",+C46+1)</f>
        <v>2045</v>
      </c>
      <c r="D47" s="482">
        <f>IF(F46+SUM(E$17:E46)=D$10,F46,D$10-SUM(E$17:E46))</f>
        <v>443917.53440539911</v>
      </c>
      <c r="E47" s="481">
        <f t="shared" si="21"/>
        <v>44526.92552631579</v>
      </c>
      <c r="F47" s="482">
        <f t="shared" si="22"/>
        <v>399390.6088790833</v>
      </c>
      <c r="G47" s="483">
        <f t="shared" si="23"/>
        <v>92485.938728601759</v>
      </c>
      <c r="H47" s="452">
        <f t="shared" si="24"/>
        <v>92485.938728601759</v>
      </c>
      <c r="I47" s="472">
        <f t="shared" si="3"/>
        <v>0</v>
      </c>
      <c r="J47" s="472"/>
      <c r="K47" s="484"/>
      <c r="L47" s="475">
        <f t="shared" si="25"/>
        <v>0</v>
      </c>
      <c r="M47" s="484"/>
      <c r="N47" s="475">
        <f t="shared" si="5"/>
        <v>0</v>
      </c>
      <c r="O47" s="475">
        <f t="shared" si="6"/>
        <v>0</v>
      </c>
      <c r="P47" s="241"/>
    </row>
    <row r="48" spans="2:16" ht="12.5">
      <c r="B48" s="160" t="str">
        <f t="shared" si="4"/>
        <v/>
      </c>
      <c r="C48" s="469">
        <f>IF(D11="","-",+C47+1)</f>
        <v>2046</v>
      </c>
      <c r="D48" s="482">
        <f>IF(F47+SUM(E$17:E47)=D$10,F47,D$10-SUM(E$17:E47))</f>
        <v>399390.6088790833</v>
      </c>
      <c r="E48" s="481">
        <f t="shared" si="21"/>
        <v>44526.92552631579</v>
      </c>
      <c r="F48" s="482">
        <f t="shared" si="22"/>
        <v>354863.68335276749</v>
      </c>
      <c r="G48" s="483">
        <f t="shared" si="23"/>
        <v>87421.437866896216</v>
      </c>
      <c r="H48" s="452">
        <f t="shared" si="24"/>
        <v>87421.437866896216</v>
      </c>
      <c r="I48" s="472">
        <f t="shared" si="3"/>
        <v>0</v>
      </c>
      <c r="J48" s="472"/>
      <c r="K48" s="484"/>
      <c r="L48" s="475">
        <f t="shared" si="25"/>
        <v>0</v>
      </c>
      <c r="M48" s="484"/>
      <c r="N48" s="475">
        <f t="shared" si="5"/>
        <v>0</v>
      </c>
      <c r="O48" s="475">
        <f t="shared" si="6"/>
        <v>0</v>
      </c>
      <c r="P48" s="241"/>
    </row>
    <row r="49" spans="2:16" ht="12.5">
      <c r="B49" s="160" t="str">
        <f t="shared" si="4"/>
        <v/>
      </c>
      <c r="C49" s="469">
        <f>IF(D11="","-",+C48+1)</f>
        <v>2047</v>
      </c>
      <c r="D49" s="482">
        <f>IF(F48+SUM(E$17:E48)=D$10,F48,D$10-SUM(E$17:E48))</f>
        <v>354863.68335276749</v>
      </c>
      <c r="E49" s="481">
        <f t="shared" si="21"/>
        <v>44526.92552631579</v>
      </c>
      <c r="F49" s="482">
        <f t="shared" si="22"/>
        <v>310336.75782645168</v>
      </c>
      <c r="G49" s="483">
        <f t="shared" si="23"/>
        <v>82356.937005190674</v>
      </c>
      <c r="H49" s="452">
        <f t="shared" si="24"/>
        <v>82356.937005190674</v>
      </c>
      <c r="I49" s="472">
        <f t="shared" si="3"/>
        <v>0</v>
      </c>
      <c r="J49" s="472"/>
      <c r="K49" s="484"/>
      <c r="L49" s="475">
        <f t="shared" si="25"/>
        <v>0</v>
      </c>
      <c r="M49" s="484"/>
      <c r="N49" s="475">
        <f t="shared" si="5"/>
        <v>0</v>
      </c>
      <c r="O49" s="475">
        <f t="shared" si="6"/>
        <v>0</v>
      </c>
      <c r="P49" s="241"/>
    </row>
    <row r="50" spans="2:16" ht="12.5">
      <c r="B50" s="160" t="str">
        <f t="shared" si="4"/>
        <v/>
      </c>
      <c r="C50" s="469">
        <f>IF(D11="","-",+C49+1)</f>
        <v>2048</v>
      </c>
      <c r="D50" s="482">
        <f>IF(F49+SUM(E$17:E49)=D$10,F49,D$10-SUM(E$17:E49))</f>
        <v>310336.75782645168</v>
      </c>
      <c r="E50" s="481">
        <f t="shared" si="21"/>
        <v>44526.92552631579</v>
      </c>
      <c r="F50" s="482">
        <f t="shared" si="22"/>
        <v>265809.83230013587</v>
      </c>
      <c r="G50" s="483">
        <f t="shared" si="23"/>
        <v>77292.436143485116</v>
      </c>
      <c r="H50" s="452">
        <f t="shared" si="24"/>
        <v>77292.436143485116</v>
      </c>
      <c r="I50" s="472">
        <f t="shared" si="3"/>
        <v>0</v>
      </c>
      <c r="J50" s="472"/>
      <c r="K50" s="484"/>
      <c r="L50" s="475">
        <f t="shared" si="25"/>
        <v>0</v>
      </c>
      <c r="M50" s="484"/>
      <c r="N50" s="475">
        <f t="shared" si="5"/>
        <v>0</v>
      </c>
      <c r="O50" s="475">
        <f t="shared" si="6"/>
        <v>0</v>
      </c>
      <c r="P50" s="241"/>
    </row>
    <row r="51" spans="2:16" ht="12.5">
      <c r="B51" s="160" t="str">
        <f t="shared" si="4"/>
        <v/>
      </c>
      <c r="C51" s="469">
        <f>IF(D11="","-",+C50+1)</f>
        <v>2049</v>
      </c>
      <c r="D51" s="482">
        <f>IF(F50+SUM(E$17:E50)=D$10,F50,D$10-SUM(E$17:E50))</f>
        <v>265809.83230013587</v>
      </c>
      <c r="E51" s="481">
        <f t="shared" si="21"/>
        <v>44526.92552631579</v>
      </c>
      <c r="F51" s="482">
        <f t="shared" si="22"/>
        <v>221282.90677382008</v>
      </c>
      <c r="G51" s="483">
        <f t="shared" si="23"/>
        <v>72227.935281779559</v>
      </c>
      <c r="H51" s="452">
        <f t="shared" si="24"/>
        <v>72227.935281779559</v>
      </c>
      <c r="I51" s="472">
        <f t="shared" si="3"/>
        <v>0</v>
      </c>
      <c r="J51" s="472"/>
      <c r="K51" s="484"/>
      <c r="L51" s="475">
        <f t="shared" si="25"/>
        <v>0</v>
      </c>
      <c r="M51" s="484"/>
      <c r="N51" s="475">
        <f t="shared" si="5"/>
        <v>0</v>
      </c>
      <c r="O51" s="475">
        <f t="shared" si="6"/>
        <v>0</v>
      </c>
      <c r="P51" s="241"/>
    </row>
    <row r="52" spans="2:16" ht="12.5">
      <c r="B52" s="160" t="str">
        <f t="shared" si="4"/>
        <v/>
      </c>
      <c r="C52" s="469">
        <f>IF(D11="","-",+C51+1)</f>
        <v>2050</v>
      </c>
      <c r="D52" s="482">
        <f>IF(F51+SUM(E$17:E51)=D$10,F51,D$10-SUM(E$17:E51))</f>
        <v>221282.90677382008</v>
      </c>
      <c r="E52" s="481">
        <f t="shared" si="21"/>
        <v>44526.92552631579</v>
      </c>
      <c r="F52" s="482">
        <f t="shared" si="22"/>
        <v>176755.9812475043</v>
      </c>
      <c r="G52" s="483">
        <f t="shared" si="23"/>
        <v>67163.434420074016</v>
      </c>
      <c r="H52" s="452">
        <f t="shared" si="24"/>
        <v>67163.434420074016</v>
      </c>
      <c r="I52" s="472">
        <f t="shared" si="3"/>
        <v>0</v>
      </c>
      <c r="J52" s="472"/>
      <c r="K52" s="484"/>
      <c r="L52" s="475">
        <f t="shared" si="25"/>
        <v>0</v>
      </c>
      <c r="M52" s="484"/>
      <c r="N52" s="475">
        <f t="shared" si="5"/>
        <v>0</v>
      </c>
      <c r="O52" s="475">
        <f t="shared" si="6"/>
        <v>0</v>
      </c>
      <c r="P52" s="241"/>
    </row>
    <row r="53" spans="2:16" ht="12.5">
      <c r="B53" s="160" t="str">
        <f t="shared" si="4"/>
        <v/>
      </c>
      <c r="C53" s="469">
        <f>IF(D11="","-",+C52+1)</f>
        <v>2051</v>
      </c>
      <c r="D53" s="482">
        <f>IF(F52+SUM(E$17:E52)=D$10,F52,D$10-SUM(E$17:E52))</f>
        <v>176755.9812475043</v>
      </c>
      <c r="E53" s="481">
        <f t="shared" si="21"/>
        <v>44526.92552631579</v>
      </c>
      <c r="F53" s="482">
        <f t="shared" si="22"/>
        <v>132229.05572118852</v>
      </c>
      <c r="G53" s="483">
        <f t="shared" si="23"/>
        <v>62098.933558368473</v>
      </c>
      <c r="H53" s="452">
        <f t="shared" si="24"/>
        <v>62098.933558368473</v>
      </c>
      <c r="I53" s="472">
        <f t="shared" si="3"/>
        <v>0</v>
      </c>
      <c r="J53" s="472"/>
      <c r="K53" s="484"/>
      <c r="L53" s="475">
        <f t="shared" si="25"/>
        <v>0</v>
      </c>
      <c r="M53" s="484"/>
      <c r="N53" s="475">
        <f t="shared" si="5"/>
        <v>0</v>
      </c>
      <c r="O53" s="475">
        <f t="shared" si="6"/>
        <v>0</v>
      </c>
      <c r="P53" s="241"/>
    </row>
    <row r="54" spans="2:16" ht="12.5">
      <c r="B54" s="160" t="str">
        <f t="shared" si="4"/>
        <v/>
      </c>
      <c r="C54" s="469">
        <f>IF(D11="","-",+C53+1)</f>
        <v>2052</v>
      </c>
      <c r="D54" s="482">
        <f>IF(F53+SUM(E$17:E53)=D$10,F53,D$10-SUM(E$17:E53))</f>
        <v>132229.05572118852</v>
      </c>
      <c r="E54" s="481">
        <f t="shared" si="21"/>
        <v>44526.92552631579</v>
      </c>
      <c r="F54" s="482">
        <f t="shared" si="22"/>
        <v>87702.130194872734</v>
      </c>
      <c r="G54" s="483">
        <f t="shared" si="23"/>
        <v>57034.432696662923</v>
      </c>
      <c r="H54" s="452">
        <f t="shared" si="24"/>
        <v>57034.432696662923</v>
      </c>
      <c r="I54" s="472">
        <f t="shared" si="3"/>
        <v>0</v>
      </c>
      <c r="J54" s="472"/>
      <c r="K54" s="484"/>
      <c r="L54" s="475">
        <f t="shared" si="25"/>
        <v>0</v>
      </c>
      <c r="M54" s="484"/>
      <c r="N54" s="475">
        <f t="shared" si="5"/>
        <v>0</v>
      </c>
      <c r="O54" s="475">
        <f t="shared" si="6"/>
        <v>0</v>
      </c>
      <c r="P54" s="241"/>
    </row>
    <row r="55" spans="2:16" ht="12.5">
      <c r="B55" s="160" t="str">
        <f t="shared" si="4"/>
        <v/>
      </c>
      <c r="C55" s="469">
        <f>IF(D11="","-",+C54+1)</f>
        <v>2053</v>
      </c>
      <c r="D55" s="482">
        <f>IF(F54+SUM(E$17:E54)=D$10,F54,D$10-SUM(E$17:E54))</f>
        <v>87702.130194872734</v>
      </c>
      <c r="E55" s="481">
        <f t="shared" si="21"/>
        <v>44526.92552631579</v>
      </c>
      <c r="F55" s="482">
        <f t="shared" si="22"/>
        <v>43175.204668556944</v>
      </c>
      <c r="G55" s="483">
        <f t="shared" si="23"/>
        <v>51969.93183495738</v>
      </c>
      <c r="H55" s="452">
        <f t="shared" si="24"/>
        <v>51969.93183495738</v>
      </c>
      <c r="I55" s="472">
        <f t="shared" si="3"/>
        <v>0</v>
      </c>
      <c r="J55" s="472"/>
      <c r="K55" s="484"/>
      <c r="L55" s="475">
        <f t="shared" si="25"/>
        <v>0</v>
      </c>
      <c r="M55" s="484"/>
      <c r="N55" s="475">
        <f t="shared" si="5"/>
        <v>0</v>
      </c>
      <c r="O55" s="475">
        <f t="shared" si="6"/>
        <v>0</v>
      </c>
      <c r="P55" s="241"/>
    </row>
    <row r="56" spans="2:16" ht="12.5">
      <c r="B56" s="160" t="str">
        <f t="shared" si="4"/>
        <v/>
      </c>
      <c r="C56" s="469">
        <f>IF(D11="","-",+C55+1)</f>
        <v>2054</v>
      </c>
      <c r="D56" s="482">
        <f>IF(F55+SUM(E$17:E55)=D$10,F55,D$10-SUM(E$17:E55))</f>
        <v>43175.204668556944</v>
      </c>
      <c r="E56" s="481">
        <f t="shared" si="21"/>
        <v>43175.204668556944</v>
      </c>
      <c r="F56" s="482">
        <f t="shared" si="22"/>
        <v>0</v>
      </c>
      <c r="G56" s="483">
        <f t="shared" si="23"/>
        <v>45630.582607451353</v>
      </c>
      <c r="H56" s="452">
        <f t="shared" si="24"/>
        <v>45630.582607451353</v>
      </c>
      <c r="I56" s="472">
        <f t="shared" si="3"/>
        <v>0</v>
      </c>
      <c r="J56" s="472"/>
      <c r="K56" s="484"/>
      <c r="L56" s="475">
        <f t="shared" si="25"/>
        <v>0</v>
      </c>
      <c r="M56" s="484"/>
      <c r="N56" s="475">
        <f t="shared" si="5"/>
        <v>0</v>
      </c>
      <c r="O56" s="475">
        <f t="shared" si="6"/>
        <v>0</v>
      </c>
      <c r="P56" s="241"/>
    </row>
    <row r="57" spans="2:16" ht="12.5">
      <c r="B57" s="160" t="str">
        <f t="shared" si="4"/>
        <v/>
      </c>
      <c r="C57" s="469">
        <f>IF(D11="","-",+C56+1)</f>
        <v>2055</v>
      </c>
      <c r="D57" s="482">
        <f>IF(F56+SUM(E$17:E56)=D$10,F56,D$10-SUM(E$17:E56))</f>
        <v>0</v>
      </c>
      <c r="E57" s="481">
        <f t="shared" si="21"/>
        <v>0</v>
      </c>
      <c r="F57" s="482">
        <f t="shared" si="22"/>
        <v>0</v>
      </c>
      <c r="G57" s="483">
        <f t="shared" si="23"/>
        <v>0</v>
      </c>
      <c r="H57" s="452">
        <f t="shared" si="24"/>
        <v>0</v>
      </c>
      <c r="I57" s="472">
        <f t="shared" si="3"/>
        <v>0</v>
      </c>
      <c r="J57" s="472"/>
      <c r="K57" s="484"/>
      <c r="L57" s="475">
        <f t="shared" si="25"/>
        <v>0</v>
      </c>
      <c r="M57" s="484"/>
      <c r="N57" s="475">
        <f t="shared" si="5"/>
        <v>0</v>
      </c>
      <c r="O57" s="475">
        <f t="shared" si="6"/>
        <v>0</v>
      </c>
      <c r="P57" s="241"/>
    </row>
    <row r="58" spans="2:16" ht="12.5">
      <c r="B58" s="160" t="str">
        <f t="shared" si="4"/>
        <v/>
      </c>
      <c r="C58" s="469">
        <f>IF(D11="","-",+C57+1)</f>
        <v>2056</v>
      </c>
      <c r="D58" s="482">
        <f>IF(F57+SUM(E$17:E57)=D$10,F57,D$10-SUM(E$17:E57))</f>
        <v>0</v>
      </c>
      <c r="E58" s="481">
        <f t="shared" si="21"/>
        <v>0</v>
      </c>
      <c r="F58" s="482">
        <f t="shared" si="22"/>
        <v>0</v>
      </c>
      <c r="G58" s="483">
        <f t="shared" si="23"/>
        <v>0</v>
      </c>
      <c r="H58" s="452">
        <f t="shared" si="24"/>
        <v>0</v>
      </c>
      <c r="I58" s="472">
        <f t="shared" si="3"/>
        <v>0</v>
      </c>
      <c r="J58" s="472"/>
      <c r="K58" s="484"/>
      <c r="L58" s="475">
        <f t="shared" si="25"/>
        <v>0</v>
      </c>
      <c r="M58" s="484"/>
      <c r="N58" s="475">
        <f t="shared" si="5"/>
        <v>0</v>
      </c>
      <c r="O58" s="475">
        <f t="shared" si="6"/>
        <v>0</v>
      </c>
      <c r="P58" s="241"/>
    </row>
    <row r="59" spans="2:16" ht="12.5">
      <c r="B59" s="160" t="str">
        <f t="shared" si="4"/>
        <v/>
      </c>
      <c r="C59" s="469">
        <f>IF(D11="","-",+C58+1)</f>
        <v>2057</v>
      </c>
      <c r="D59" s="482">
        <f>IF(F58+SUM(E$17:E58)=D$10,F58,D$10-SUM(E$17:E58))</f>
        <v>0</v>
      </c>
      <c r="E59" s="481">
        <f t="shared" si="21"/>
        <v>0</v>
      </c>
      <c r="F59" s="482">
        <f t="shared" si="22"/>
        <v>0</v>
      </c>
      <c r="G59" s="483">
        <f t="shared" si="23"/>
        <v>0</v>
      </c>
      <c r="H59" s="452">
        <f t="shared" si="24"/>
        <v>0</v>
      </c>
      <c r="I59" s="472">
        <f t="shared" si="3"/>
        <v>0</v>
      </c>
      <c r="J59" s="472"/>
      <c r="K59" s="484"/>
      <c r="L59" s="475">
        <f t="shared" si="25"/>
        <v>0</v>
      </c>
      <c r="M59" s="484"/>
      <c r="N59" s="475">
        <f t="shared" si="5"/>
        <v>0</v>
      </c>
      <c r="O59" s="475">
        <f t="shared" si="6"/>
        <v>0</v>
      </c>
      <c r="P59" s="241"/>
    </row>
    <row r="60" spans="2:16" ht="12.5">
      <c r="B60" s="160" t="str">
        <f t="shared" si="4"/>
        <v/>
      </c>
      <c r="C60" s="469">
        <f>IF(D11="","-",+C59+1)</f>
        <v>2058</v>
      </c>
      <c r="D60" s="482">
        <f>IF(F59+SUM(E$17:E59)=D$10,F59,D$10-SUM(E$17:E59))</f>
        <v>0</v>
      </c>
      <c r="E60" s="481">
        <f t="shared" si="21"/>
        <v>0</v>
      </c>
      <c r="F60" s="482">
        <f t="shared" si="22"/>
        <v>0</v>
      </c>
      <c r="G60" s="483">
        <f t="shared" si="23"/>
        <v>0</v>
      </c>
      <c r="H60" s="452">
        <f t="shared" si="24"/>
        <v>0</v>
      </c>
      <c r="I60" s="472">
        <f t="shared" si="3"/>
        <v>0</v>
      </c>
      <c r="J60" s="472"/>
      <c r="K60" s="484"/>
      <c r="L60" s="475">
        <f t="shared" si="25"/>
        <v>0</v>
      </c>
      <c r="M60" s="484"/>
      <c r="N60" s="475">
        <f t="shared" si="5"/>
        <v>0</v>
      </c>
      <c r="O60" s="475">
        <f t="shared" si="6"/>
        <v>0</v>
      </c>
      <c r="P60" s="241"/>
    </row>
    <row r="61" spans="2:16" ht="12.5">
      <c r="B61" s="160" t="str">
        <f t="shared" si="4"/>
        <v/>
      </c>
      <c r="C61" s="469">
        <f>IF(D11="","-",+C60+1)</f>
        <v>2059</v>
      </c>
      <c r="D61" s="482">
        <f>IF(F60+SUM(E$17:E60)=D$10,F60,D$10-SUM(E$17:E60))</f>
        <v>0</v>
      </c>
      <c r="E61" s="481">
        <f t="shared" si="21"/>
        <v>0</v>
      </c>
      <c r="F61" s="482">
        <f t="shared" si="22"/>
        <v>0</v>
      </c>
      <c r="G61" s="483">
        <f t="shared" si="23"/>
        <v>0</v>
      </c>
      <c r="H61" s="452">
        <f t="shared" si="24"/>
        <v>0</v>
      </c>
      <c r="I61" s="472">
        <f t="shared" si="3"/>
        <v>0</v>
      </c>
      <c r="J61" s="472"/>
      <c r="K61" s="484"/>
      <c r="L61" s="475">
        <f t="shared" si="25"/>
        <v>0</v>
      </c>
      <c r="M61" s="484"/>
      <c r="N61" s="475">
        <f t="shared" si="5"/>
        <v>0</v>
      </c>
      <c r="O61" s="475">
        <f t="shared" si="6"/>
        <v>0</v>
      </c>
      <c r="P61" s="241"/>
    </row>
    <row r="62" spans="2:16" ht="12.5">
      <c r="B62" s="160" t="str">
        <f t="shared" si="4"/>
        <v/>
      </c>
      <c r="C62" s="469">
        <f>IF(D11="","-",+C61+1)</f>
        <v>2060</v>
      </c>
      <c r="D62" s="482">
        <f>IF(F61+SUM(E$17:E61)=D$10,F61,D$10-SUM(E$17:E61))</f>
        <v>0</v>
      </c>
      <c r="E62" s="481">
        <f t="shared" si="21"/>
        <v>0</v>
      </c>
      <c r="F62" s="482">
        <f t="shared" si="22"/>
        <v>0</v>
      </c>
      <c r="G62" s="483">
        <f t="shared" si="23"/>
        <v>0</v>
      </c>
      <c r="H62" s="452">
        <f t="shared" si="24"/>
        <v>0</v>
      </c>
      <c r="I62" s="472">
        <f t="shared" si="3"/>
        <v>0</v>
      </c>
      <c r="J62" s="472"/>
      <c r="K62" s="484"/>
      <c r="L62" s="475">
        <f t="shared" si="25"/>
        <v>0</v>
      </c>
      <c r="M62" s="484"/>
      <c r="N62" s="475">
        <f t="shared" si="5"/>
        <v>0</v>
      </c>
      <c r="O62" s="475">
        <f t="shared" si="6"/>
        <v>0</v>
      </c>
      <c r="P62" s="241"/>
    </row>
    <row r="63" spans="2:16" ht="12.5">
      <c r="B63" s="160" t="str">
        <f t="shared" si="4"/>
        <v/>
      </c>
      <c r="C63" s="469">
        <f>IF(D11="","-",+C62+1)</f>
        <v>2061</v>
      </c>
      <c r="D63" s="482">
        <f>IF(F62+SUM(E$17:E62)=D$10,F62,D$10-SUM(E$17:E62))</f>
        <v>0</v>
      </c>
      <c r="E63" s="481">
        <f t="shared" si="21"/>
        <v>0</v>
      </c>
      <c r="F63" s="482">
        <f t="shared" si="22"/>
        <v>0</v>
      </c>
      <c r="G63" s="483">
        <f t="shared" si="23"/>
        <v>0</v>
      </c>
      <c r="H63" s="452">
        <f t="shared" si="24"/>
        <v>0</v>
      </c>
      <c r="I63" s="472">
        <f t="shared" si="3"/>
        <v>0</v>
      </c>
      <c r="J63" s="472"/>
      <c r="K63" s="484"/>
      <c r="L63" s="475">
        <f t="shared" si="25"/>
        <v>0</v>
      </c>
      <c r="M63" s="484"/>
      <c r="N63" s="475">
        <f t="shared" si="5"/>
        <v>0</v>
      </c>
      <c r="O63" s="475">
        <f t="shared" si="6"/>
        <v>0</v>
      </c>
      <c r="P63" s="241"/>
    </row>
    <row r="64" spans="2:16" ht="12.5">
      <c r="B64" s="160" t="str">
        <f t="shared" si="4"/>
        <v/>
      </c>
      <c r="C64" s="469">
        <f>IF(D11="","-",+C63+1)</f>
        <v>2062</v>
      </c>
      <c r="D64" s="482">
        <f>IF(F63+SUM(E$17:E63)=D$10,F63,D$10-SUM(E$17:E63))</f>
        <v>0</v>
      </c>
      <c r="E64" s="481">
        <f t="shared" si="21"/>
        <v>0</v>
      </c>
      <c r="F64" s="482">
        <f t="shared" si="22"/>
        <v>0</v>
      </c>
      <c r="G64" s="483">
        <f t="shared" si="23"/>
        <v>0</v>
      </c>
      <c r="H64" s="452">
        <f t="shared" si="24"/>
        <v>0</v>
      </c>
      <c r="I64" s="472">
        <f t="shared" si="3"/>
        <v>0</v>
      </c>
      <c r="J64" s="472"/>
      <c r="K64" s="484"/>
      <c r="L64" s="475">
        <f t="shared" si="25"/>
        <v>0</v>
      </c>
      <c r="M64" s="484"/>
      <c r="N64" s="475">
        <f t="shared" si="5"/>
        <v>0</v>
      </c>
      <c r="O64" s="475">
        <f t="shared" si="6"/>
        <v>0</v>
      </c>
      <c r="P64" s="241"/>
    </row>
    <row r="65" spans="2:16" ht="12.5">
      <c r="B65" s="160" t="str">
        <f t="shared" si="4"/>
        <v/>
      </c>
      <c r="C65" s="469">
        <f>IF(D11="","-",+C64+1)</f>
        <v>2063</v>
      </c>
      <c r="D65" s="482">
        <f>IF(F64+SUM(E$17:E64)=D$10,F64,D$10-SUM(E$17:E64))</f>
        <v>0</v>
      </c>
      <c r="E65" s="481">
        <f t="shared" si="21"/>
        <v>0</v>
      </c>
      <c r="F65" s="482">
        <f t="shared" si="22"/>
        <v>0</v>
      </c>
      <c r="G65" s="483">
        <f t="shared" si="23"/>
        <v>0</v>
      </c>
      <c r="H65" s="452">
        <f t="shared" si="24"/>
        <v>0</v>
      </c>
      <c r="I65" s="472">
        <f t="shared" si="3"/>
        <v>0</v>
      </c>
      <c r="J65" s="472"/>
      <c r="K65" s="484"/>
      <c r="L65" s="475">
        <f t="shared" si="25"/>
        <v>0</v>
      </c>
      <c r="M65" s="484"/>
      <c r="N65" s="475">
        <f t="shared" si="5"/>
        <v>0</v>
      </c>
      <c r="O65" s="475">
        <f t="shared" si="6"/>
        <v>0</v>
      </c>
      <c r="P65" s="241"/>
    </row>
    <row r="66" spans="2:16" ht="12.5">
      <c r="B66" s="160" t="str">
        <f t="shared" si="4"/>
        <v/>
      </c>
      <c r="C66" s="469">
        <f>IF(D11="","-",+C65+1)</f>
        <v>2064</v>
      </c>
      <c r="D66" s="482">
        <f>IF(F65+SUM(E$17:E65)=D$10,F65,D$10-SUM(E$17:E65))</f>
        <v>0</v>
      </c>
      <c r="E66" s="481">
        <f t="shared" si="21"/>
        <v>0</v>
      </c>
      <c r="F66" s="482">
        <f t="shared" si="22"/>
        <v>0</v>
      </c>
      <c r="G66" s="483">
        <f t="shared" si="23"/>
        <v>0</v>
      </c>
      <c r="H66" s="452">
        <f t="shared" si="24"/>
        <v>0</v>
      </c>
      <c r="I66" s="472">
        <f t="shared" si="3"/>
        <v>0</v>
      </c>
      <c r="J66" s="472"/>
      <c r="K66" s="484"/>
      <c r="L66" s="475">
        <f t="shared" si="25"/>
        <v>0</v>
      </c>
      <c r="M66" s="484"/>
      <c r="N66" s="475">
        <f t="shared" si="5"/>
        <v>0</v>
      </c>
      <c r="O66" s="475">
        <f t="shared" si="6"/>
        <v>0</v>
      </c>
      <c r="P66" s="241"/>
    </row>
    <row r="67" spans="2:16" ht="12.5">
      <c r="B67" s="160" t="str">
        <f t="shared" si="4"/>
        <v/>
      </c>
      <c r="C67" s="469">
        <f>IF(D11="","-",+C66+1)</f>
        <v>2065</v>
      </c>
      <c r="D67" s="482">
        <f>IF(F66+SUM(E$17:E66)=D$10,F66,D$10-SUM(E$17:E66))</f>
        <v>0</v>
      </c>
      <c r="E67" s="481">
        <f t="shared" si="21"/>
        <v>0</v>
      </c>
      <c r="F67" s="482">
        <f t="shared" si="22"/>
        <v>0</v>
      </c>
      <c r="G67" s="483">
        <f t="shared" si="23"/>
        <v>0</v>
      </c>
      <c r="H67" s="452">
        <f t="shared" si="24"/>
        <v>0</v>
      </c>
      <c r="I67" s="472">
        <f t="shared" si="3"/>
        <v>0</v>
      </c>
      <c r="J67" s="472"/>
      <c r="K67" s="484"/>
      <c r="L67" s="475">
        <f t="shared" si="25"/>
        <v>0</v>
      </c>
      <c r="M67" s="484"/>
      <c r="N67" s="475">
        <f t="shared" si="5"/>
        <v>0</v>
      </c>
      <c r="O67" s="475">
        <f t="shared" si="6"/>
        <v>0</v>
      </c>
      <c r="P67" s="241"/>
    </row>
    <row r="68" spans="2:16" ht="12.5">
      <c r="B68" s="160" t="str">
        <f t="shared" si="4"/>
        <v/>
      </c>
      <c r="C68" s="469">
        <f>IF(D11="","-",+C67+1)</f>
        <v>2066</v>
      </c>
      <c r="D68" s="482">
        <f>IF(F67+SUM(E$17:E67)=D$10,F67,D$10-SUM(E$17:E67))</f>
        <v>0</v>
      </c>
      <c r="E68" s="481">
        <f t="shared" si="21"/>
        <v>0</v>
      </c>
      <c r="F68" s="482">
        <f t="shared" si="22"/>
        <v>0</v>
      </c>
      <c r="G68" s="483">
        <f t="shared" si="23"/>
        <v>0</v>
      </c>
      <c r="H68" s="452">
        <f t="shared" si="24"/>
        <v>0</v>
      </c>
      <c r="I68" s="472">
        <f t="shared" si="3"/>
        <v>0</v>
      </c>
      <c r="J68" s="472"/>
      <c r="K68" s="484"/>
      <c r="L68" s="475">
        <f t="shared" si="25"/>
        <v>0</v>
      </c>
      <c r="M68" s="484"/>
      <c r="N68" s="475">
        <f t="shared" si="5"/>
        <v>0</v>
      </c>
      <c r="O68" s="475">
        <f t="shared" si="6"/>
        <v>0</v>
      </c>
      <c r="P68" s="241"/>
    </row>
    <row r="69" spans="2:16" ht="12.5">
      <c r="B69" s="160" t="str">
        <f t="shared" si="4"/>
        <v/>
      </c>
      <c r="C69" s="469">
        <f>IF(D11="","-",+C68+1)</f>
        <v>2067</v>
      </c>
      <c r="D69" s="482">
        <f>IF(F68+SUM(E$17:E68)=D$10,F68,D$10-SUM(E$17:E68))</f>
        <v>0</v>
      </c>
      <c r="E69" s="481">
        <f t="shared" si="21"/>
        <v>0</v>
      </c>
      <c r="F69" s="482">
        <f t="shared" si="22"/>
        <v>0</v>
      </c>
      <c r="G69" s="483">
        <f t="shared" si="23"/>
        <v>0</v>
      </c>
      <c r="H69" s="452">
        <f t="shared" si="24"/>
        <v>0</v>
      </c>
      <c r="I69" s="472">
        <f t="shared" si="3"/>
        <v>0</v>
      </c>
      <c r="J69" s="472"/>
      <c r="K69" s="484"/>
      <c r="L69" s="475">
        <f t="shared" si="25"/>
        <v>0</v>
      </c>
      <c r="M69" s="484"/>
      <c r="N69" s="475">
        <f t="shared" si="5"/>
        <v>0</v>
      </c>
      <c r="O69" s="475">
        <f t="shared" si="6"/>
        <v>0</v>
      </c>
      <c r="P69" s="241"/>
    </row>
    <row r="70" spans="2:16" ht="12.5">
      <c r="B70" s="160" t="str">
        <f t="shared" si="4"/>
        <v/>
      </c>
      <c r="C70" s="469">
        <f>IF(D11="","-",+C69+1)</f>
        <v>2068</v>
      </c>
      <c r="D70" s="482">
        <f>IF(F69+SUM(E$17:E69)=D$10,F69,D$10-SUM(E$17:E69))</f>
        <v>0</v>
      </c>
      <c r="E70" s="481">
        <f t="shared" si="21"/>
        <v>0</v>
      </c>
      <c r="F70" s="482">
        <f t="shared" si="22"/>
        <v>0</v>
      </c>
      <c r="G70" s="483">
        <f t="shared" si="23"/>
        <v>0</v>
      </c>
      <c r="H70" s="452">
        <f t="shared" si="24"/>
        <v>0</v>
      </c>
      <c r="I70" s="472">
        <f t="shared" si="3"/>
        <v>0</v>
      </c>
      <c r="J70" s="472"/>
      <c r="K70" s="484"/>
      <c r="L70" s="475">
        <f t="shared" si="25"/>
        <v>0</v>
      </c>
      <c r="M70" s="484"/>
      <c r="N70" s="475">
        <f t="shared" si="5"/>
        <v>0</v>
      </c>
      <c r="O70" s="475">
        <f t="shared" si="6"/>
        <v>0</v>
      </c>
      <c r="P70" s="241"/>
    </row>
    <row r="71" spans="2:16" ht="12.5">
      <c r="B71" s="160" t="str">
        <f t="shared" si="4"/>
        <v/>
      </c>
      <c r="C71" s="469">
        <f>IF(D11="","-",+C70+1)</f>
        <v>2069</v>
      </c>
      <c r="D71" s="482">
        <f>IF(F70+SUM(E$17:E70)=D$10,F70,D$10-SUM(E$17:E70))</f>
        <v>0</v>
      </c>
      <c r="E71" s="481">
        <f t="shared" si="21"/>
        <v>0</v>
      </c>
      <c r="F71" s="482">
        <f t="shared" si="22"/>
        <v>0</v>
      </c>
      <c r="G71" s="483">
        <f t="shared" si="23"/>
        <v>0</v>
      </c>
      <c r="H71" s="452">
        <f t="shared" si="24"/>
        <v>0</v>
      </c>
      <c r="I71" s="472">
        <f t="shared" si="3"/>
        <v>0</v>
      </c>
      <c r="J71" s="472"/>
      <c r="K71" s="484"/>
      <c r="L71" s="475">
        <f t="shared" si="25"/>
        <v>0</v>
      </c>
      <c r="M71" s="484"/>
      <c r="N71" s="475">
        <f t="shared" si="5"/>
        <v>0</v>
      </c>
      <c r="O71" s="475">
        <f t="shared" si="6"/>
        <v>0</v>
      </c>
      <c r="P71" s="241"/>
    </row>
    <row r="72" spans="2:16" ht="13" thickBot="1">
      <c r="B72" s="160" t="str">
        <f t="shared" si="4"/>
        <v/>
      </c>
      <c r="C72" s="486">
        <f>IF(D11="","-",+C71+1)</f>
        <v>2070</v>
      </c>
      <c r="D72" s="487">
        <f>IF(F71+SUM(E$17:E71)=D$10,F71,D$10-SUM(E$17:E71))</f>
        <v>0</v>
      </c>
      <c r="E72" s="488">
        <f t="shared" si="21"/>
        <v>0</v>
      </c>
      <c r="F72" s="487">
        <f t="shared" si="22"/>
        <v>0</v>
      </c>
      <c r="G72" s="487">
        <f t="shared" si="23"/>
        <v>0</v>
      </c>
      <c r="H72" s="487">
        <f t="shared" si="24"/>
        <v>0</v>
      </c>
      <c r="I72" s="490">
        <f t="shared" si="3"/>
        <v>0</v>
      </c>
      <c r="J72" s="472"/>
      <c r="K72" s="491"/>
      <c r="L72" s="492">
        <f t="shared" si="25"/>
        <v>0</v>
      </c>
      <c r="M72" s="491"/>
      <c r="N72" s="492">
        <f t="shared" si="5"/>
        <v>0</v>
      </c>
      <c r="O72" s="492">
        <f t="shared" si="6"/>
        <v>0</v>
      </c>
      <c r="P72" s="241"/>
    </row>
    <row r="73" spans="2:16" ht="12.5">
      <c r="C73" s="344" t="s">
        <v>77</v>
      </c>
      <c r="D73" s="345"/>
      <c r="E73" s="345">
        <f>SUM(E17:E72)</f>
        <v>1692023.1700000002</v>
      </c>
      <c r="F73" s="345"/>
      <c r="G73" s="345">
        <f>SUM(G17:G72)</f>
        <v>5776564.117550347</v>
      </c>
      <c r="H73" s="345">
        <f>SUM(H17:H72)</f>
        <v>5776564.117550347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17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205253.68924705483</v>
      </c>
      <c r="N87" s="505">
        <f>IF(J92&lt;D11,0,VLOOKUP(J92,C17:O72,11))</f>
        <v>205253.68924705483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225460.43637865048</v>
      </c>
      <c r="N88" s="509">
        <f>IF(J92&lt;D11,0,VLOOKUP(J92,C99:P154,7))</f>
        <v>225460.43637865048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Grady Customer Connection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20206.74713159565</v>
      </c>
      <c r="N89" s="514">
        <f>+N88-N87</f>
        <v>20206.74713159565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TP2013002</v>
      </c>
      <c r="E91" s="519" t="str">
        <f>E9</f>
        <v xml:space="preserve">  SPP Project ID = 30748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605">
        <f>D10</f>
        <v>1692023.1700000002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2015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12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44527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2015</v>
      </c>
      <c r="D99" s="581">
        <v>0</v>
      </c>
      <c r="E99" s="604">
        <v>0</v>
      </c>
      <c r="F99" s="581">
        <v>1625288</v>
      </c>
      <c r="G99" s="604">
        <v>812644</v>
      </c>
      <c r="H99" s="584">
        <v>110878.7398202499</v>
      </c>
      <c r="I99" s="603">
        <v>110878.7398202499</v>
      </c>
      <c r="J99" s="475">
        <f>+I99-H99</f>
        <v>0</v>
      </c>
      <c r="K99" s="475"/>
      <c r="L99" s="551">
        <f>+H99</f>
        <v>110878.7398202499</v>
      </c>
      <c r="M99" s="474">
        <f t="shared" ref="M99:M130" si="26">IF(L99&lt;&gt;0,+H99-L99,0)</f>
        <v>0</v>
      </c>
      <c r="N99" s="551">
        <f>+I99</f>
        <v>110878.7398202499</v>
      </c>
      <c r="O99" s="474">
        <f t="shared" ref="O99:O130" si="27">IF(N99&lt;&gt;0,+I99-N99,0)</f>
        <v>0</v>
      </c>
      <c r="P99" s="474">
        <f t="shared" ref="P99:P130" si="28">+O99-M99</f>
        <v>0</v>
      </c>
    </row>
    <row r="100" spans="1:16" ht="12.5">
      <c r="B100" s="160" t="str">
        <f>IF(D100=F99,"","IU")</f>
        <v>IU</v>
      </c>
      <c r="C100" s="469">
        <f>IF(D93="","-",+C99+1)</f>
        <v>2016</v>
      </c>
      <c r="D100" s="581">
        <v>1692023</v>
      </c>
      <c r="E100" s="582">
        <v>36783</v>
      </c>
      <c r="F100" s="583">
        <v>1655240</v>
      </c>
      <c r="G100" s="583">
        <v>1673631.5</v>
      </c>
      <c r="H100" s="602">
        <v>252540.45816220198</v>
      </c>
      <c r="I100" s="603">
        <v>252540.45816220198</v>
      </c>
      <c r="J100" s="475">
        <f>+I100-H100</f>
        <v>0</v>
      </c>
      <c r="K100" s="475"/>
      <c r="L100" s="473">
        <f t="shared" ref="L100:L105" si="29">H100</f>
        <v>252540.45816220198</v>
      </c>
      <c r="M100" s="600">
        <f t="shared" ref="M100:M105" si="30">IF(L100&lt;&gt;0,+H100-L100,0)</f>
        <v>0</v>
      </c>
      <c r="N100" s="473">
        <f t="shared" ref="N100:N105" si="31">I100</f>
        <v>252540.45816220198</v>
      </c>
      <c r="O100" s="475">
        <f>IF(N100&lt;&gt;0,+I100-N100,0)</f>
        <v>0</v>
      </c>
      <c r="P100" s="472">
        <f>+O100-M100</f>
        <v>0</v>
      </c>
    </row>
    <row r="101" spans="1:16" ht="12.5">
      <c r="B101" s="160" t="str">
        <f t="shared" ref="B101:B154" si="32">IF(D101=F100,"","IU")</f>
        <v/>
      </c>
      <c r="C101" s="469">
        <f>IF(D93="","-",+C100+1)</f>
        <v>2017</v>
      </c>
      <c r="D101" s="581">
        <v>1655240</v>
      </c>
      <c r="E101" s="582">
        <v>36783</v>
      </c>
      <c r="F101" s="583">
        <v>1618457</v>
      </c>
      <c r="G101" s="583">
        <v>1636848.5</v>
      </c>
      <c r="H101" s="602">
        <v>244421.35953995908</v>
      </c>
      <c r="I101" s="603">
        <v>244421.35953995908</v>
      </c>
      <c r="J101" s="475">
        <f t="shared" ref="J101:J154" si="33">+I101-H101</f>
        <v>0</v>
      </c>
      <c r="K101" s="475"/>
      <c r="L101" s="473">
        <f t="shared" si="29"/>
        <v>244421.35953995908</v>
      </c>
      <c r="M101" s="600">
        <f t="shared" si="30"/>
        <v>0</v>
      </c>
      <c r="N101" s="473">
        <f t="shared" si="31"/>
        <v>244421.35953995908</v>
      </c>
      <c r="O101" s="475">
        <f>IF(N101&lt;&gt;0,+I101-N101,0)</f>
        <v>0</v>
      </c>
      <c r="P101" s="472">
        <f>+O101-M101</f>
        <v>0</v>
      </c>
    </row>
    <row r="102" spans="1:16" ht="12.5">
      <c r="B102" s="160" t="str">
        <f t="shared" si="32"/>
        <v/>
      </c>
      <c r="C102" s="469">
        <f>IF(D93="","-",+C101+1)</f>
        <v>2018</v>
      </c>
      <c r="D102" s="581">
        <v>1618457</v>
      </c>
      <c r="E102" s="582">
        <v>39349</v>
      </c>
      <c r="F102" s="583">
        <v>1579108</v>
      </c>
      <c r="G102" s="583">
        <v>1598782.5</v>
      </c>
      <c r="H102" s="602">
        <v>203600.82637045698</v>
      </c>
      <c r="I102" s="603">
        <v>203600.82637045698</v>
      </c>
      <c r="J102" s="475">
        <f t="shared" si="33"/>
        <v>0</v>
      </c>
      <c r="K102" s="475"/>
      <c r="L102" s="473">
        <f t="shared" si="29"/>
        <v>203600.82637045698</v>
      </c>
      <c r="M102" s="600">
        <f t="shared" si="30"/>
        <v>0</v>
      </c>
      <c r="N102" s="473">
        <f t="shared" si="31"/>
        <v>203600.82637045698</v>
      </c>
      <c r="O102" s="475">
        <f>IF(N102&lt;&gt;0,+I102-N102,0)</f>
        <v>0</v>
      </c>
      <c r="P102" s="472">
        <f>+O102-M102</f>
        <v>0</v>
      </c>
    </row>
    <row r="103" spans="1:16" ht="12.5">
      <c r="B103" s="160" t="str">
        <f t="shared" si="32"/>
        <v/>
      </c>
      <c r="C103" s="469">
        <f>IF(D93="","-",+C102+1)</f>
        <v>2019</v>
      </c>
      <c r="D103" s="581">
        <v>1579108</v>
      </c>
      <c r="E103" s="582">
        <v>41269</v>
      </c>
      <c r="F103" s="583">
        <v>1537839</v>
      </c>
      <c r="G103" s="583">
        <v>1558473.5</v>
      </c>
      <c r="H103" s="602">
        <v>201969.47712497122</v>
      </c>
      <c r="I103" s="603">
        <v>201969.47712497122</v>
      </c>
      <c r="J103" s="475">
        <f t="shared" si="33"/>
        <v>0</v>
      </c>
      <c r="K103" s="475"/>
      <c r="L103" s="473">
        <f t="shared" si="29"/>
        <v>201969.47712497122</v>
      </c>
      <c r="M103" s="600">
        <f t="shared" si="30"/>
        <v>0</v>
      </c>
      <c r="N103" s="473">
        <f t="shared" si="31"/>
        <v>201969.47712497122</v>
      </c>
      <c r="O103" s="475">
        <f t="shared" si="27"/>
        <v>0</v>
      </c>
      <c r="P103" s="475">
        <f t="shared" si="28"/>
        <v>0</v>
      </c>
    </row>
    <row r="104" spans="1:16" ht="12.5">
      <c r="B104" s="160" t="str">
        <f t="shared" si="32"/>
        <v/>
      </c>
      <c r="C104" s="469">
        <f>IF(D93="","-",+C103+1)</f>
        <v>2020</v>
      </c>
      <c r="D104" s="581">
        <v>1537839</v>
      </c>
      <c r="E104" s="582">
        <v>39349</v>
      </c>
      <c r="F104" s="583">
        <v>1498490</v>
      </c>
      <c r="G104" s="583">
        <v>1518164.5</v>
      </c>
      <c r="H104" s="602">
        <v>214389.19300086203</v>
      </c>
      <c r="I104" s="603">
        <v>214389.19300086203</v>
      </c>
      <c r="J104" s="475">
        <f t="shared" si="33"/>
        <v>0</v>
      </c>
      <c r="K104" s="475"/>
      <c r="L104" s="473">
        <f t="shared" si="29"/>
        <v>214389.19300086203</v>
      </c>
      <c r="M104" s="600">
        <f t="shared" si="30"/>
        <v>0</v>
      </c>
      <c r="N104" s="473">
        <f t="shared" si="31"/>
        <v>214389.19300086203</v>
      </c>
      <c r="O104" s="475">
        <f t="shared" si="27"/>
        <v>0</v>
      </c>
      <c r="P104" s="475">
        <f t="shared" si="28"/>
        <v>0</v>
      </c>
    </row>
    <row r="105" spans="1:16" ht="12.5">
      <c r="B105" s="160" t="str">
        <f t="shared" si="32"/>
        <v/>
      </c>
      <c r="C105" s="469">
        <f>IF(D93="","-",+C104+1)</f>
        <v>2021</v>
      </c>
      <c r="D105" s="581">
        <v>1498490</v>
      </c>
      <c r="E105" s="582">
        <v>41269</v>
      </c>
      <c r="F105" s="583">
        <v>1457221</v>
      </c>
      <c r="G105" s="583">
        <v>1477855.5</v>
      </c>
      <c r="H105" s="602">
        <v>209438.30504191047</v>
      </c>
      <c r="I105" s="603">
        <v>209438.30504191047</v>
      </c>
      <c r="J105" s="475">
        <f t="shared" si="33"/>
        <v>0</v>
      </c>
      <c r="K105" s="475"/>
      <c r="L105" s="473">
        <f t="shared" si="29"/>
        <v>209438.30504191047</v>
      </c>
      <c r="M105" s="600">
        <f t="shared" si="30"/>
        <v>0</v>
      </c>
      <c r="N105" s="473">
        <f t="shared" si="31"/>
        <v>209438.30504191047</v>
      </c>
      <c r="O105" s="475">
        <f t="shared" si="27"/>
        <v>0</v>
      </c>
      <c r="P105" s="475">
        <f t="shared" si="28"/>
        <v>0</v>
      </c>
    </row>
    <row r="106" spans="1:16" ht="12.5">
      <c r="B106" s="160" t="str">
        <f t="shared" si="32"/>
        <v/>
      </c>
      <c r="C106" s="469">
        <f>IF(D93="","-",+C105+1)</f>
        <v>2022</v>
      </c>
      <c r="D106" s="581">
        <v>1457221</v>
      </c>
      <c r="E106" s="582">
        <v>43385</v>
      </c>
      <c r="F106" s="583">
        <v>1413836</v>
      </c>
      <c r="G106" s="583">
        <v>1435528.5</v>
      </c>
      <c r="H106" s="602">
        <v>201555.33840860223</v>
      </c>
      <c r="I106" s="603">
        <v>201555.33840860223</v>
      </c>
      <c r="J106" s="475">
        <f t="shared" si="33"/>
        <v>0</v>
      </c>
      <c r="K106" s="475"/>
      <c r="L106" s="473">
        <f t="shared" ref="L106" si="34">H106</f>
        <v>201555.33840860223</v>
      </c>
      <c r="M106" s="600">
        <f t="shared" ref="M106" si="35">IF(L106&lt;&gt;0,+H106-L106,0)</f>
        <v>0</v>
      </c>
      <c r="N106" s="473">
        <f t="shared" ref="N106" si="36">I106</f>
        <v>201555.33840860223</v>
      </c>
      <c r="O106" s="475">
        <f t="shared" ref="O106" si="37">IF(N106&lt;&gt;0,+I106-N106,0)</f>
        <v>0</v>
      </c>
      <c r="P106" s="475">
        <f t="shared" ref="P106" si="38">+O106-M106</f>
        <v>0</v>
      </c>
    </row>
    <row r="107" spans="1:16" ht="12.5">
      <c r="B107" s="160" t="str">
        <f t="shared" si="32"/>
        <v>IU</v>
      </c>
      <c r="C107" s="469">
        <f>IF(D93="","-",+C106+1)</f>
        <v>2023</v>
      </c>
      <c r="D107" s="581">
        <v>1413836.1700000002</v>
      </c>
      <c r="E107" s="582">
        <v>44527</v>
      </c>
      <c r="F107" s="583">
        <v>1369309.1700000002</v>
      </c>
      <c r="G107" s="583">
        <v>1391572.6700000002</v>
      </c>
      <c r="H107" s="602">
        <v>203482.24520661493</v>
      </c>
      <c r="I107" s="603">
        <v>203482.24520661493</v>
      </c>
      <c r="J107" s="475">
        <f t="shared" si="33"/>
        <v>0</v>
      </c>
      <c r="K107" s="475"/>
      <c r="L107" s="473">
        <f t="shared" ref="L107" si="39">H107</f>
        <v>203482.24520661493</v>
      </c>
      <c r="M107" s="600">
        <f t="shared" ref="M107" si="40">IF(L107&lt;&gt;0,+H107-L107,0)</f>
        <v>0</v>
      </c>
      <c r="N107" s="473">
        <f t="shared" ref="N107" si="41">I107</f>
        <v>203482.24520661493</v>
      </c>
      <c r="O107" s="475">
        <f t="shared" ref="O107" si="42">IF(N107&lt;&gt;0,+I107-N107,0)</f>
        <v>0</v>
      </c>
      <c r="P107" s="475">
        <f t="shared" ref="P107" si="43">+O107-M107</f>
        <v>0</v>
      </c>
    </row>
    <row r="108" spans="1:16" ht="12.5">
      <c r="B108" s="160" t="str">
        <f t="shared" si="32"/>
        <v/>
      </c>
      <c r="C108" s="469">
        <f>IF(D93="","-",+C107+1)</f>
        <v>2024</v>
      </c>
      <c r="D108" s="344">
        <f>IF(F107+SUM(E$99:E107)=D$92,F107,D$92-SUM(E$99:E107))</f>
        <v>1369309.1700000002</v>
      </c>
      <c r="E108" s="481">
        <f t="shared" ref="E108:E154" si="44">IF(+J$96&lt;F107,J$96,D108)</f>
        <v>44527</v>
      </c>
      <c r="F108" s="482">
        <f t="shared" ref="F108:F154" si="45">+D108-E108</f>
        <v>1324782.1700000002</v>
      </c>
      <c r="G108" s="482">
        <f t="shared" ref="G108:G154" si="46">+(F108+D108)/2</f>
        <v>1347045.6700000002</v>
      </c>
      <c r="H108" s="483">
        <f t="shared" ref="H108:H153" si="47">(D108+F108)/2*J$94+E108</f>
        <v>225460.43637865048</v>
      </c>
      <c r="I108" s="539">
        <f t="shared" ref="I108:I153" si="48">+J$95*G108+E108</f>
        <v>225460.43637865048</v>
      </c>
      <c r="J108" s="475">
        <f t="shared" si="33"/>
        <v>0</v>
      </c>
      <c r="K108" s="475"/>
      <c r="L108" s="484"/>
      <c r="M108" s="475">
        <f t="shared" si="26"/>
        <v>0</v>
      </c>
      <c r="N108" s="484"/>
      <c r="O108" s="475">
        <f t="shared" si="27"/>
        <v>0</v>
      </c>
      <c r="P108" s="475">
        <f t="shared" si="28"/>
        <v>0</v>
      </c>
    </row>
    <row r="109" spans="1:16" ht="12.5">
      <c r="B109" s="160" t="str">
        <f t="shared" si="32"/>
        <v/>
      </c>
      <c r="C109" s="469">
        <f>IF(D93="","-",+C108+1)</f>
        <v>2025</v>
      </c>
      <c r="D109" s="344">
        <f>IF(F108+SUM(E$99:E108)=D$92,F108,D$92-SUM(E$99:E108))</f>
        <v>1324782.1700000002</v>
      </c>
      <c r="E109" s="481">
        <f t="shared" si="44"/>
        <v>44527</v>
      </c>
      <c r="F109" s="482">
        <f t="shared" si="45"/>
        <v>1280255.1700000002</v>
      </c>
      <c r="G109" s="482">
        <f t="shared" si="46"/>
        <v>1302518.6700000002</v>
      </c>
      <c r="H109" s="483">
        <f t="shared" si="47"/>
        <v>219479.6271892841</v>
      </c>
      <c r="I109" s="539">
        <f t="shared" si="48"/>
        <v>219479.6271892841</v>
      </c>
      <c r="J109" s="475">
        <f t="shared" si="33"/>
        <v>0</v>
      </c>
      <c r="K109" s="475"/>
      <c r="L109" s="484"/>
      <c r="M109" s="475">
        <f t="shared" si="26"/>
        <v>0</v>
      </c>
      <c r="N109" s="484"/>
      <c r="O109" s="475">
        <f t="shared" si="27"/>
        <v>0</v>
      </c>
      <c r="P109" s="475">
        <f t="shared" si="28"/>
        <v>0</v>
      </c>
    </row>
    <row r="110" spans="1:16" ht="12.5">
      <c r="B110" s="160" t="str">
        <f t="shared" si="32"/>
        <v/>
      </c>
      <c r="C110" s="469">
        <f>IF(D93="","-",+C109+1)</f>
        <v>2026</v>
      </c>
      <c r="D110" s="344">
        <f>IF(F109+SUM(E$99:E109)=D$92,F109,D$92-SUM(E$99:E109))</f>
        <v>1280255.1700000002</v>
      </c>
      <c r="E110" s="481">
        <f t="shared" si="44"/>
        <v>44527</v>
      </c>
      <c r="F110" s="482">
        <f t="shared" si="45"/>
        <v>1235728.1700000002</v>
      </c>
      <c r="G110" s="482">
        <f t="shared" si="46"/>
        <v>1257991.6700000002</v>
      </c>
      <c r="H110" s="483">
        <f t="shared" si="47"/>
        <v>213498.81799991775</v>
      </c>
      <c r="I110" s="539">
        <f t="shared" si="48"/>
        <v>213498.81799991775</v>
      </c>
      <c r="J110" s="475">
        <f t="shared" si="33"/>
        <v>0</v>
      </c>
      <c r="K110" s="475"/>
      <c r="L110" s="484"/>
      <c r="M110" s="475">
        <f t="shared" si="26"/>
        <v>0</v>
      </c>
      <c r="N110" s="484"/>
      <c r="O110" s="475">
        <f t="shared" si="27"/>
        <v>0</v>
      </c>
      <c r="P110" s="475">
        <f t="shared" si="28"/>
        <v>0</v>
      </c>
    </row>
    <row r="111" spans="1:16" ht="12.5">
      <c r="B111" s="160" t="str">
        <f t="shared" si="32"/>
        <v/>
      </c>
      <c r="C111" s="469">
        <f>IF(D93="","-",+C110+1)</f>
        <v>2027</v>
      </c>
      <c r="D111" s="344">
        <f>IF(F110+SUM(E$99:E110)=D$92,F110,D$92-SUM(E$99:E110))</f>
        <v>1235728.1700000002</v>
      </c>
      <c r="E111" s="481">
        <f t="shared" si="44"/>
        <v>44527</v>
      </c>
      <c r="F111" s="482">
        <f t="shared" si="45"/>
        <v>1191201.1700000002</v>
      </c>
      <c r="G111" s="482">
        <f t="shared" si="46"/>
        <v>1213464.6700000002</v>
      </c>
      <c r="H111" s="483">
        <f t="shared" si="47"/>
        <v>207518.00881055137</v>
      </c>
      <c r="I111" s="539">
        <f t="shared" si="48"/>
        <v>207518.00881055137</v>
      </c>
      <c r="J111" s="475">
        <f t="shared" si="33"/>
        <v>0</v>
      </c>
      <c r="K111" s="475"/>
      <c r="L111" s="484"/>
      <c r="M111" s="475">
        <f t="shared" si="26"/>
        <v>0</v>
      </c>
      <c r="N111" s="484"/>
      <c r="O111" s="475">
        <f t="shared" si="27"/>
        <v>0</v>
      </c>
      <c r="P111" s="475">
        <f t="shared" si="28"/>
        <v>0</v>
      </c>
    </row>
    <row r="112" spans="1:16" ht="12.5">
      <c r="B112" s="160" t="str">
        <f t="shared" si="32"/>
        <v/>
      </c>
      <c r="C112" s="469">
        <f>IF(D93="","-",+C111+1)</f>
        <v>2028</v>
      </c>
      <c r="D112" s="344">
        <f>IF(F111+SUM(E$99:E111)=D$92,F111,D$92-SUM(E$99:E111))</f>
        <v>1191201.1700000002</v>
      </c>
      <c r="E112" s="481">
        <f t="shared" si="44"/>
        <v>44527</v>
      </c>
      <c r="F112" s="482">
        <f t="shared" si="45"/>
        <v>1146674.1700000002</v>
      </c>
      <c r="G112" s="482">
        <f t="shared" si="46"/>
        <v>1168937.6700000002</v>
      </c>
      <c r="H112" s="483">
        <f t="shared" si="47"/>
        <v>201537.19962118502</v>
      </c>
      <c r="I112" s="539">
        <f t="shared" si="48"/>
        <v>201537.19962118502</v>
      </c>
      <c r="J112" s="475">
        <f t="shared" si="33"/>
        <v>0</v>
      </c>
      <c r="K112" s="475"/>
      <c r="L112" s="484"/>
      <c r="M112" s="475">
        <f t="shared" si="26"/>
        <v>0</v>
      </c>
      <c r="N112" s="484"/>
      <c r="O112" s="475">
        <f t="shared" si="27"/>
        <v>0</v>
      </c>
      <c r="P112" s="475">
        <f t="shared" si="28"/>
        <v>0</v>
      </c>
    </row>
    <row r="113" spans="2:16" ht="12.5">
      <c r="B113" s="160" t="str">
        <f t="shared" si="32"/>
        <v/>
      </c>
      <c r="C113" s="469">
        <f>IF(D93="","-",+C112+1)</f>
        <v>2029</v>
      </c>
      <c r="D113" s="344">
        <f>IF(F112+SUM(E$99:E112)=D$92,F112,D$92-SUM(E$99:E112))</f>
        <v>1146674.1700000002</v>
      </c>
      <c r="E113" s="481">
        <f t="shared" si="44"/>
        <v>44527</v>
      </c>
      <c r="F113" s="482">
        <f t="shared" si="45"/>
        <v>1102147.1700000002</v>
      </c>
      <c r="G113" s="482">
        <f t="shared" si="46"/>
        <v>1124410.6700000002</v>
      </c>
      <c r="H113" s="483">
        <f t="shared" si="47"/>
        <v>195556.39043181867</v>
      </c>
      <c r="I113" s="539">
        <f t="shared" si="48"/>
        <v>195556.39043181867</v>
      </c>
      <c r="J113" s="475">
        <f t="shared" si="33"/>
        <v>0</v>
      </c>
      <c r="K113" s="475"/>
      <c r="L113" s="484"/>
      <c r="M113" s="475">
        <f t="shared" si="26"/>
        <v>0</v>
      </c>
      <c r="N113" s="484"/>
      <c r="O113" s="475">
        <f t="shared" si="27"/>
        <v>0</v>
      </c>
      <c r="P113" s="475">
        <f t="shared" si="28"/>
        <v>0</v>
      </c>
    </row>
    <row r="114" spans="2:16" ht="12.5">
      <c r="B114" s="160" t="str">
        <f t="shared" si="32"/>
        <v/>
      </c>
      <c r="C114" s="469">
        <f>IF(D93="","-",+C113+1)</f>
        <v>2030</v>
      </c>
      <c r="D114" s="344">
        <f>IF(F113+SUM(E$99:E113)=D$92,F113,D$92-SUM(E$99:E113))</f>
        <v>1102147.1700000002</v>
      </c>
      <c r="E114" s="481">
        <f t="shared" si="44"/>
        <v>44527</v>
      </c>
      <c r="F114" s="482">
        <f t="shared" si="45"/>
        <v>1057620.1700000002</v>
      </c>
      <c r="G114" s="482">
        <f t="shared" si="46"/>
        <v>1079883.6700000002</v>
      </c>
      <c r="H114" s="483">
        <f t="shared" si="47"/>
        <v>189575.58124245229</v>
      </c>
      <c r="I114" s="539">
        <f t="shared" si="48"/>
        <v>189575.58124245229</v>
      </c>
      <c r="J114" s="475">
        <f t="shared" si="33"/>
        <v>0</v>
      </c>
      <c r="K114" s="475"/>
      <c r="L114" s="484"/>
      <c r="M114" s="475">
        <f t="shared" si="26"/>
        <v>0</v>
      </c>
      <c r="N114" s="484"/>
      <c r="O114" s="475">
        <f t="shared" si="27"/>
        <v>0</v>
      </c>
      <c r="P114" s="475">
        <f t="shared" si="28"/>
        <v>0</v>
      </c>
    </row>
    <row r="115" spans="2:16" ht="12.5">
      <c r="B115" s="160" t="str">
        <f t="shared" si="32"/>
        <v/>
      </c>
      <c r="C115" s="469">
        <f>IF(D93="","-",+C114+1)</f>
        <v>2031</v>
      </c>
      <c r="D115" s="344">
        <f>IF(F114+SUM(E$99:E114)=D$92,F114,D$92-SUM(E$99:E114))</f>
        <v>1057620.1700000002</v>
      </c>
      <c r="E115" s="481">
        <f t="shared" si="44"/>
        <v>44527</v>
      </c>
      <c r="F115" s="482">
        <f t="shared" si="45"/>
        <v>1013093.1700000002</v>
      </c>
      <c r="G115" s="482">
        <f t="shared" si="46"/>
        <v>1035356.6700000002</v>
      </c>
      <c r="H115" s="483">
        <f t="shared" si="47"/>
        <v>183594.77205308594</v>
      </c>
      <c r="I115" s="539">
        <f t="shared" si="48"/>
        <v>183594.77205308594</v>
      </c>
      <c r="J115" s="475">
        <f t="shared" si="33"/>
        <v>0</v>
      </c>
      <c r="K115" s="475"/>
      <c r="L115" s="484"/>
      <c r="M115" s="475">
        <f t="shared" si="26"/>
        <v>0</v>
      </c>
      <c r="N115" s="484"/>
      <c r="O115" s="475">
        <f t="shared" si="27"/>
        <v>0</v>
      </c>
      <c r="P115" s="475">
        <f t="shared" si="28"/>
        <v>0</v>
      </c>
    </row>
    <row r="116" spans="2:16" ht="12.5">
      <c r="B116" s="160" t="str">
        <f t="shared" si="32"/>
        <v/>
      </c>
      <c r="C116" s="469">
        <f>IF(D93="","-",+C115+1)</f>
        <v>2032</v>
      </c>
      <c r="D116" s="344">
        <f>IF(F115+SUM(E$99:E115)=D$92,F115,D$92-SUM(E$99:E115))</f>
        <v>1013093.1700000002</v>
      </c>
      <c r="E116" s="481">
        <f t="shared" si="44"/>
        <v>44527</v>
      </c>
      <c r="F116" s="482">
        <f t="shared" si="45"/>
        <v>968566.17000000016</v>
      </c>
      <c r="G116" s="482">
        <f t="shared" si="46"/>
        <v>990829.67000000016</v>
      </c>
      <c r="H116" s="483">
        <f t="shared" si="47"/>
        <v>177613.96286371959</v>
      </c>
      <c r="I116" s="539">
        <f t="shared" si="48"/>
        <v>177613.96286371959</v>
      </c>
      <c r="J116" s="475">
        <f t="shared" si="33"/>
        <v>0</v>
      </c>
      <c r="K116" s="475"/>
      <c r="L116" s="484"/>
      <c r="M116" s="475">
        <f t="shared" si="26"/>
        <v>0</v>
      </c>
      <c r="N116" s="484"/>
      <c r="O116" s="475">
        <f t="shared" si="27"/>
        <v>0</v>
      </c>
      <c r="P116" s="475">
        <f t="shared" si="28"/>
        <v>0</v>
      </c>
    </row>
    <row r="117" spans="2:16" ht="12.5">
      <c r="B117" s="160" t="str">
        <f t="shared" si="32"/>
        <v/>
      </c>
      <c r="C117" s="469">
        <f>IF(D93="","-",+C116+1)</f>
        <v>2033</v>
      </c>
      <c r="D117" s="344">
        <f>IF(F116+SUM(E$99:E116)=D$92,F116,D$92-SUM(E$99:E116))</f>
        <v>968566.17000000016</v>
      </c>
      <c r="E117" s="481">
        <f t="shared" si="44"/>
        <v>44527</v>
      </c>
      <c r="F117" s="482">
        <f t="shared" si="45"/>
        <v>924039.17000000016</v>
      </c>
      <c r="G117" s="482">
        <f t="shared" si="46"/>
        <v>946302.67000000016</v>
      </c>
      <c r="H117" s="483">
        <f t="shared" si="47"/>
        <v>171633.15367435321</v>
      </c>
      <c r="I117" s="539">
        <f t="shared" si="48"/>
        <v>171633.15367435321</v>
      </c>
      <c r="J117" s="475">
        <f t="shared" si="33"/>
        <v>0</v>
      </c>
      <c r="K117" s="475"/>
      <c r="L117" s="484"/>
      <c r="M117" s="475">
        <f t="shared" si="26"/>
        <v>0</v>
      </c>
      <c r="N117" s="484"/>
      <c r="O117" s="475">
        <f t="shared" si="27"/>
        <v>0</v>
      </c>
      <c r="P117" s="475">
        <f t="shared" si="28"/>
        <v>0</v>
      </c>
    </row>
    <row r="118" spans="2:16" ht="12.5">
      <c r="B118" s="160" t="str">
        <f t="shared" si="32"/>
        <v/>
      </c>
      <c r="C118" s="469">
        <f>IF(D93="","-",+C117+1)</f>
        <v>2034</v>
      </c>
      <c r="D118" s="344">
        <f>IF(F117+SUM(E$99:E117)=D$92,F117,D$92-SUM(E$99:E117))</f>
        <v>924039.17000000016</v>
      </c>
      <c r="E118" s="481">
        <f t="shared" si="44"/>
        <v>44527</v>
      </c>
      <c r="F118" s="482">
        <f t="shared" si="45"/>
        <v>879512.17000000016</v>
      </c>
      <c r="G118" s="482">
        <f t="shared" si="46"/>
        <v>901775.67000000016</v>
      </c>
      <c r="H118" s="483">
        <f t="shared" si="47"/>
        <v>165652.34448498685</v>
      </c>
      <c r="I118" s="539">
        <f t="shared" si="48"/>
        <v>165652.34448498685</v>
      </c>
      <c r="J118" s="475">
        <f t="shared" si="33"/>
        <v>0</v>
      </c>
      <c r="K118" s="475"/>
      <c r="L118" s="484"/>
      <c r="M118" s="475">
        <f t="shared" si="26"/>
        <v>0</v>
      </c>
      <c r="N118" s="484"/>
      <c r="O118" s="475">
        <f t="shared" si="27"/>
        <v>0</v>
      </c>
      <c r="P118" s="475">
        <f t="shared" si="28"/>
        <v>0</v>
      </c>
    </row>
    <row r="119" spans="2:16" ht="12.5">
      <c r="B119" s="160" t="str">
        <f t="shared" si="32"/>
        <v/>
      </c>
      <c r="C119" s="469">
        <f>IF(D93="","-",+C118+1)</f>
        <v>2035</v>
      </c>
      <c r="D119" s="344">
        <f>IF(F118+SUM(E$99:E118)=D$92,F118,D$92-SUM(E$99:E118))</f>
        <v>879512.17000000016</v>
      </c>
      <c r="E119" s="481">
        <f t="shared" si="44"/>
        <v>44527</v>
      </c>
      <c r="F119" s="482">
        <f t="shared" si="45"/>
        <v>834985.17000000016</v>
      </c>
      <c r="G119" s="482">
        <f t="shared" si="46"/>
        <v>857248.67000000016</v>
      </c>
      <c r="H119" s="483">
        <f t="shared" si="47"/>
        <v>159671.5352956205</v>
      </c>
      <c r="I119" s="539">
        <f t="shared" si="48"/>
        <v>159671.5352956205</v>
      </c>
      <c r="J119" s="475">
        <f t="shared" si="33"/>
        <v>0</v>
      </c>
      <c r="K119" s="475"/>
      <c r="L119" s="484"/>
      <c r="M119" s="475">
        <f t="shared" si="26"/>
        <v>0</v>
      </c>
      <c r="N119" s="484"/>
      <c r="O119" s="475">
        <f t="shared" si="27"/>
        <v>0</v>
      </c>
      <c r="P119" s="475">
        <f t="shared" si="28"/>
        <v>0</v>
      </c>
    </row>
    <row r="120" spans="2:16" ht="12.5">
      <c r="B120" s="160" t="str">
        <f t="shared" si="32"/>
        <v/>
      </c>
      <c r="C120" s="469">
        <f>IF(D93="","-",+C119+1)</f>
        <v>2036</v>
      </c>
      <c r="D120" s="344">
        <f>IF(F119+SUM(E$99:E119)=D$92,F119,D$92-SUM(E$99:E119))</f>
        <v>834985.17000000016</v>
      </c>
      <c r="E120" s="481">
        <f t="shared" si="44"/>
        <v>44527</v>
      </c>
      <c r="F120" s="482">
        <f t="shared" si="45"/>
        <v>790458.17000000016</v>
      </c>
      <c r="G120" s="482">
        <f t="shared" si="46"/>
        <v>812721.67000000016</v>
      </c>
      <c r="H120" s="483">
        <f t="shared" si="47"/>
        <v>153690.72610625412</v>
      </c>
      <c r="I120" s="539">
        <f t="shared" si="48"/>
        <v>153690.72610625412</v>
      </c>
      <c r="J120" s="475">
        <f t="shared" si="33"/>
        <v>0</v>
      </c>
      <c r="K120" s="475"/>
      <c r="L120" s="484"/>
      <c r="M120" s="475">
        <f t="shared" si="26"/>
        <v>0</v>
      </c>
      <c r="N120" s="484"/>
      <c r="O120" s="475">
        <f t="shared" si="27"/>
        <v>0</v>
      </c>
      <c r="P120" s="475">
        <f t="shared" si="28"/>
        <v>0</v>
      </c>
    </row>
    <row r="121" spans="2:16" ht="12.5">
      <c r="B121" s="160" t="str">
        <f t="shared" si="32"/>
        <v/>
      </c>
      <c r="C121" s="469">
        <f>IF(D93="","-",+C120+1)</f>
        <v>2037</v>
      </c>
      <c r="D121" s="344">
        <f>IF(F120+SUM(E$99:E120)=D$92,F120,D$92-SUM(E$99:E120))</f>
        <v>790458.17000000016</v>
      </c>
      <c r="E121" s="481">
        <f t="shared" si="44"/>
        <v>44527</v>
      </c>
      <c r="F121" s="482">
        <f t="shared" si="45"/>
        <v>745931.17000000016</v>
      </c>
      <c r="G121" s="482">
        <f t="shared" si="46"/>
        <v>768194.67000000016</v>
      </c>
      <c r="H121" s="483">
        <f t="shared" si="47"/>
        <v>147709.91691688774</v>
      </c>
      <c r="I121" s="539">
        <f t="shared" si="48"/>
        <v>147709.91691688774</v>
      </c>
      <c r="J121" s="475">
        <f t="shared" si="33"/>
        <v>0</v>
      </c>
      <c r="K121" s="475"/>
      <c r="L121" s="484"/>
      <c r="M121" s="475">
        <f t="shared" si="26"/>
        <v>0</v>
      </c>
      <c r="N121" s="484"/>
      <c r="O121" s="475">
        <f t="shared" si="27"/>
        <v>0</v>
      </c>
      <c r="P121" s="475">
        <f t="shared" si="28"/>
        <v>0</v>
      </c>
    </row>
    <row r="122" spans="2:16" ht="12.5">
      <c r="B122" s="160" t="str">
        <f t="shared" si="32"/>
        <v/>
      </c>
      <c r="C122" s="469">
        <f>IF(D93="","-",+C121+1)</f>
        <v>2038</v>
      </c>
      <c r="D122" s="344">
        <f>IF(F121+SUM(E$99:E121)=D$92,F121,D$92-SUM(E$99:E121))</f>
        <v>745931.17000000016</v>
      </c>
      <c r="E122" s="481">
        <f t="shared" si="44"/>
        <v>44527</v>
      </c>
      <c r="F122" s="482">
        <f t="shared" si="45"/>
        <v>701404.17000000016</v>
      </c>
      <c r="G122" s="482">
        <f t="shared" si="46"/>
        <v>723667.67000000016</v>
      </c>
      <c r="H122" s="483">
        <f t="shared" si="47"/>
        <v>141729.10772752139</v>
      </c>
      <c r="I122" s="539">
        <f t="shared" si="48"/>
        <v>141729.10772752139</v>
      </c>
      <c r="J122" s="475">
        <f t="shared" si="33"/>
        <v>0</v>
      </c>
      <c r="K122" s="475"/>
      <c r="L122" s="484"/>
      <c r="M122" s="475">
        <f t="shared" si="26"/>
        <v>0</v>
      </c>
      <c r="N122" s="484"/>
      <c r="O122" s="475">
        <f t="shared" si="27"/>
        <v>0</v>
      </c>
      <c r="P122" s="475">
        <f t="shared" si="28"/>
        <v>0</v>
      </c>
    </row>
    <row r="123" spans="2:16" ht="12.5">
      <c r="B123" s="160" t="str">
        <f t="shared" si="32"/>
        <v/>
      </c>
      <c r="C123" s="469">
        <f>IF(D93="","-",+C122+1)</f>
        <v>2039</v>
      </c>
      <c r="D123" s="344">
        <f>IF(F122+SUM(E$99:E122)=D$92,F122,D$92-SUM(E$99:E122))</f>
        <v>701404.17000000016</v>
      </c>
      <c r="E123" s="481">
        <f t="shared" si="44"/>
        <v>44527</v>
      </c>
      <c r="F123" s="482">
        <f t="shared" si="45"/>
        <v>656877.17000000016</v>
      </c>
      <c r="G123" s="482">
        <f t="shared" si="46"/>
        <v>679140.67000000016</v>
      </c>
      <c r="H123" s="483">
        <f t="shared" si="47"/>
        <v>135748.29853815504</v>
      </c>
      <c r="I123" s="539">
        <f t="shared" si="48"/>
        <v>135748.29853815504</v>
      </c>
      <c r="J123" s="475">
        <f t="shared" si="33"/>
        <v>0</v>
      </c>
      <c r="K123" s="475"/>
      <c r="L123" s="484"/>
      <c r="M123" s="475">
        <f t="shared" si="26"/>
        <v>0</v>
      </c>
      <c r="N123" s="484"/>
      <c r="O123" s="475">
        <f t="shared" si="27"/>
        <v>0</v>
      </c>
      <c r="P123" s="475">
        <f t="shared" si="28"/>
        <v>0</v>
      </c>
    </row>
    <row r="124" spans="2:16" ht="12.5">
      <c r="B124" s="160" t="str">
        <f t="shared" si="32"/>
        <v/>
      </c>
      <c r="C124" s="469">
        <f>IF(D93="","-",+C123+1)</f>
        <v>2040</v>
      </c>
      <c r="D124" s="344">
        <f>IF(F123+SUM(E$99:E123)=D$92,F123,D$92-SUM(E$99:E123))</f>
        <v>656877.17000000016</v>
      </c>
      <c r="E124" s="481">
        <f t="shared" si="44"/>
        <v>44527</v>
      </c>
      <c r="F124" s="482">
        <f t="shared" si="45"/>
        <v>612350.17000000016</v>
      </c>
      <c r="G124" s="482">
        <f t="shared" si="46"/>
        <v>634613.67000000016</v>
      </c>
      <c r="H124" s="483">
        <f t="shared" si="47"/>
        <v>129767.48934878867</v>
      </c>
      <c r="I124" s="539">
        <f t="shared" si="48"/>
        <v>129767.48934878867</v>
      </c>
      <c r="J124" s="475">
        <f t="shared" si="33"/>
        <v>0</v>
      </c>
      <c r="K124" s="475"/>
      <c r="L124" s="484"/>
      <c r="M124" s="475">
        <f t="shared" si="26"/>
        <v>0</v>
      </c>
      <c r="N124" s="484"/>
      <c r="O124" s="475">
        <f t="shared" si="27"/>
        <v>0</v>
      </c>
      <c r="P124" s="475">
        <f t="shared" si="28"/>
        <v>0</v>
      </c>
    </row>
    <row r="125" spans="2:16" ht="12.5">
      <c r="B125" s="160" t="str">
        <f t="shared" si="32"/>
        <v/>
      </c>
      <c r="C125" s="469">
        <f>IF(D93="","-",+C124+1)</f>
        <v>2041</v>
      </c>
      <c r="D125" s="344">
        <f>IF(F124+SUM(E$99:E124)=D$92,F124,D$92-SUM(E$99:E124))</f>
        <v>612350.17000000016</v>
      </c>
      <c r="E125" s="481">
        <f t="shared" si="44"/>
        <v>44527</v>
      </c>
      <c r="F125" s="482">
        <f t="shared" si="45"/>
        <v>567823.17000000016</v>
      </c>
      <c r="G125" s="482">
        <f t="shared" si="46"/>
        <v>590086.67000000016</v>
      </c>
      <c r="H125" s="483">
        <f t="shared" si="47"/>
        <v>123786.68015942231</v>
      </c>
      <c r="I125" s="539">
        <f t="shared" si="48"/>
        <v>123786.68015942231</v>
      </c>
      <c r="J125" s="475">
        <f t="shared" si="33"/>
        <v>0</v>
      </c>
      <c r="K125" s="475"/>
      <c r="L125" s="484"/>
      <c r="M125" s="475">
        <f t="shared" si="26"/>
        <v>0</v>
      </c>
      <c r="N125" s="484"/>
      <c r="O125" s="475">
        <f t="shared" si="27"/>
        <v>0</v>
      </c>
      <c r="P125" s="475">
        <f t="shared" si="28"/>
        <v>0</v>
      </c>
    </row>
    <row r="126" spans="2:16" ht="12.5">
      <c r="B126" s="160" t="str">
        <f t="shared" si="32"/>
        <v/>
      </c>
      <c r="C126" s="469">
        <f>IF(D93="","-",+C125+1)</f>
        <v>2042</v>
      </c>
      <c r="D126" s="344">
        <f>IF(F125+SUM(E$99:E125)=D$92,F125,D$92-SUM(E$99:E125))</f>
        <v>567823.17000000016</v>
      </c>
      <c r="E126" s="481">
        <f t="shared" si="44"/>
        <v>44527</v>
      </c>
      <c r="F126" s="482">
        <f t="shared" si="45"/>
        <v>523296.17000000016</v>
      </c>
      <c r="G126" s="482">
        <f t="shared" si="46"/>
        <v>545559.67000000016</v>
      </c>
      <c r="H126" s="483">
        <f t="shared" si="47"/>
        <v>117805.87097005594</v>
      </c>
      <c r="I126" s="539">
        <f t="shared" si="48"/>
        <v>117805.87097005594</v>
      </c>
      <c r="J126" s="475">
        <f t="shared" si="33"/>
        <v>0</v>
      </c>
      <c r="K126" s="475"/>
      <c r="L126" s="484"/>
      <c r="M126" s="475">
        <f t="shared" si="26"/>
        <v>0</v>
      </c>
      <c r="N126" s="484"/>
      <c r="O126" s="475">
        <f t="shared" si="27"/>
        <v>0</v>
      </c>
      <c r="P126" s="475">
        <f t="shared" si="28"/>
        <v>0</v>
      </c>
    </row>
    <row r="127" spans="2:16" ht="12.5">
      <c r="B127" s="160" t="str">
        <f t="shared" si="32"/>
        <v/>
      </c>
      <c r="C127" s="469">
        <f>IF(D93="","-",+C126+1)</f>
        <v>2043</v>
      </c>
      <c r="D127" s="344">
        <f>IF(F126+SUM(E$99:E126)=D$92,F126,D$92-SUM(E$99:E126))</f>
        <v>523296.17000000016</v>
      </c>
      <c r="E127" s="481">
        <f t="shared" si="44"/>
        <v>44527</v>
      </c>
      <c r="F127" s="482">
        <f t="shared" si="45"/>
        <v>478769.17000000016</v>
      </c>
      <c r="G127" s="482">
        <f t="shared" si="46"/>
        <v>501032.67000000016</v>
      </c>
      <c r="H127" s="483">
        <f t="shared" si="47"/>
        <v>111825.06178068959</v>
      </c>
      <c r="I127" s="539">
        <f t="shared" si="48"/>
        <v>111825.06178068959</v>
      </c>
      <c r="J127" s="475">
        <f t="shared" si="33"/>
        <v>0</v>
      </c>
      <c r="K127" s="475"/>
      <c r="L127" s="484"/>
      <c r="M127" s="475">
        <f t="shared" si="26"/>
        <v>0</v>
      </c>
      <c r="N127" s="484"/>
      <c r="O127" s="475">
        <f t="shared" si="27"/>
        <v>0</v>
      </c>
      <c r="P127" s="475">
        <f t="shared" si="28"/>
        <v>0</v>
      </c>
    </row>
    <row r="128" spans="2:16" ht="12.5">
      <c r="B128" s="160" t="str">
        <f t="shared" si="32"/>
        <v/>
      </c>
      <c r="C128" s="469">
        <f>IF(D93="","-",+C127+1)</f>
        <v>2044</v>
      </c>
      <c r="D128" s="344">
        <f>IF(F127+SUM(E$99:E127)=D$92,F127,D$92-SUM(E$99:E127))</f>
        <v>478769.17000000016</v>
      </c>
      <c r="E128" s="481">
        <f t="shared" si="44"/>
        <v>44527</v>
      </c>
      <c r="F128" s="482">
        <f t="shared" si="45"/>
        <v>434242.17000000016</v>
      </c>
      <c r="G128" s="482">
        <f t="shared" si="46"/>
        <v>456505.67000000016</v>
      </c>
      <c r="H128" s="483">
        <f t="shared" si="47"/>
        <v>105844.25259132322</v>
      </c>
      <c r="I128" s="539">
        <f t="shared" si="48"/>
        <v>105844.25259132322</v>
      </c>
      <c r="J128" s="475">
        <f t="shared" si="33"/>
        <v>0</v>
      </c>
      <c r="K128" s="475"/>
      <c r="L128" s="484"/>
      <c r="M128" s="475">
        <f t="shared" si="26"/>
        <v>0</v>
      </c>
      <c r="N128" s="484"/>
      <c r="O128" s="475">
        <f t="shared" si="27"/>
        <v>0</v>
      </c>
      <c r="P128" s="475">
        <f t="shared" si="28"/>
        <v>0</v>
      </c>
    </row>
    <row r="129" spans="2:16" ht="12.5">
      <c r="B129" s="160" t="str">
        <f t="shared" si="32"/>
        <v/>
      </c>
      <c r="C129" s="469">
        <f>IF(D93="","-",+C128+1)</f>
        <v>2045</v>
      </c>
      <c r="D129" s="344">
        <f>IF(F128+SUM(E$99:E128)=D$92,F128,D$92-SUM(E$99:E128))</f>
        <v>434242.17000000016</v>
      </c>
      <c r="E129" s="481">
        <f t="shared" si="44"/>
        <v>44527</v>
      </c>
      <c r="F129" s="482">
        <f t="shared" si="45"/>
        <v>389715.17000000016</v>
      </c>
      <c r="G129" s="482">
        <f t="shared" si="46"/>
        <v>411978.67000000016</v>
      </c>
      <c r="H129" s="483">
        <f t="shared" si="47"/>
        <v>99863.443401956858</v>
      </c>
      <c r="I129" s="539">
        <f t="shared" si="48"/>
        <v>99863.443401956858</v>
      </c>
      <c r="J129" s="475">
        <f t="shared" si="33"/>
        <v>0</v>
      </c>
      <c r="K129" s="475"/>
      <c r="L129" s="484"/>
      <c r="M129" s="475">
        <f t="shared" si="26"/>
        <v>0</v>
      </c>
      <c r="N129" s="484"/>
      <c r="O129" s="475">
        <f t="shared" si="27"/>
        <v>0</v>
      </c>
      <c r="P129" s="475">
        <f t="shared" si="28"/>
        <v>0</v>
      </c>
    </row>
    <row r="130" spans="2:16" ht="12.5">
      <c r="B130" s="160" t="str">
        <f t="shared" si="32"/>
        <v/>
      </c>
      <c r="C130" s="469">
        <f>IF(D93="","-",+C129+1)</f>
        <v>2046</v>
      </c>
      <c r="D130" s="344">
        <f>IF(F129+SUM(E$99:E129)=D$92,F129,D$92-SUM(E$99:E129))</f>
        <v>389715.17000000016</v>
      </c>
      <c r="E130" s="481">
        <f t="shared" si="44"/>
        <v>44527</v>
      </c>
      <c r="F130" s="482">
        <f t="shared" si="45"/>
        <v>345188.17000000016</v>
      </c>
      <c r="G130" s="482">
        <f t="shared" si="46"/>
        <v>367451.67000000016</v>
      </c>
      <c r="H130" s="483">
        <f t="shared" si="47"/>
        <v>93882.634212590492</v>
      </c>
      <c r="I130" s="539">
        <f t="shared" si="48"/>
        <v>93882.634212590492</v>
      </c>
      <c r="J130" s="475">
        <f t="shared" si="33"/>
        <v>0</v>
      </c>
      <c r="K130" s="475"/>
      <c r="L130" s="484"/>
      <c r="M130" s="475">
        <f t="shared" si="26"/>
        <v>0</v>
      </c>
      <c r="N130" s="484"/>
      <c r="O130" s="475">
        <f t="shared" si="27"/>
        <v>0</v>
      </c>
      <c r="P130" s="475">
        <f t="shared" si="28"/>
        <v>0</v>
      </c>
    </row>
    <row r="131" spans="2:16" ht="12.5">
      <c r="B131" s="160" t="str">
        <f t="shared" si="32"/>
        <v/>
      </c>
      <c r="C131" s="469">
        <f>IF(D93="","-",+C130+1)</f>
        <v>2047</v>
      </c>
      <c r="D131" s="344">
        <f>IF(F130+SUM(E$99:E130)=D$92,F130,D$92-SUM(E$99:E130))</f>
        <v>345188.17000000016</v>
      </c>
      <c r="E131" s="481">
        <f t="shared" si="44"/>
        <v>44527</v>
      </c>
      <c r="F131" s="482">
        <f t="shared" si="45"/>
        <v>300661.17000000016</v>
      </c>
      <c r="G131" s="482">
        <f t="shared" si="46"/>
        <v>322924.67000000016</v>
      </c>
      <c r="H131" s="483">
        <f t="shared" si="47"/>
        <v>87901.825023224141</v>
      </c>
      <c r="I131" s="539">
        <f t="shared" si="48"/>
        <v>87901.825023224141</v>
      </c>
      <c r="J131" s="475">
        <f t="shared" si="33"/>
        <v>0</v>
      </c>
      <c r="K131" s="475"/>
      <c r="L131" s="484"/>
      <c r="M131" s="475">
        <f t="shared" ref="M131:M154" si="49">IF(L541&lt;&gt;0,+H541-L541,0)</f>
        <v>0</v>
      </c>
      <c r="N131" s="484"/>
      <c r="O131" s="475">
        <f t="shared" ref="O131:O154" si="50">IF(N541&lt;&gt;0,+I541-N541,0)</f>
        <v>0</v>
      </c>
      <c r="P131" s="475">
        <f t="shared" ref="P131:P154" si="51">+O541-M541</f>
        <v>0</v>
      </c>
    </row>
    <row r="132" spans="2:16" ht="12.5">
      <c r="B132" s="160" t="str">
        <f t="shared" si="32"/>
        <v/>
      </c>
      <c r="C132" s="469">
        <f>IF(D93="","-",+C131+1)</f>
        <v>2048</v>
      </c>
      <c r="D132" s="344">
        <f>IF(F131+SUM(E$99:E131)=D$92,F131,D$92-SUM(E$99:E131))</f>
        <v>300661.17000000016</v>
      </c>
      <c r="E132" s="481">
        <f t="shared" si="44"/>
        <v>44527</v>
      </c>
      <c r="F132" s="482">
        <f t="shared" si="45"/>
        <v>256134.17000000016</v>
      </c>
      <c r="G132" s="482">
        <f t="shared" si="46"/>
        <v>278397.67000000016</v>
      </c>
      <c r="H132" s="483">
        <f t="shared" si="47"/>
        <v>81921.015833857775</v>
      </c>
      <c r="I132" s="539">
        <f t="shared" si="48"/>
        <v>81921.015833857775</v>
      </c>
      <c r="J132" s="475">
        <f t="shared" si="33"/>
        <v>0</v>
      </c>
      <c r="K132" s="475"/>
      <c r="L132" s="484"/>
      <c r="M132" s="475">
        <f t="shared" si="49"/>
        <v>0</v>
      </c>
      <c r="N132" s="484"/>
      <c r="O132" s="475">
        <f t="shared" si="50"/>
        <v>0</v>
      </c>
      <c r="P132" s="475">
        <f t="shared" si="51"/>
        <v>0</v>
      </c>
    </row>
    <row r="133" spans="2:16" ht="12.5">
      <c r="B133" s="160" t="str">
        <f t="shared" si="32"/>
        <v/>
      </c>
      <c r="C133" s="469">
        <f>IF(D93="","-",+C132+1)</f>
        <v>2049</v>
      </c>
      <c r="D133" s="344">
        <f>IF(F132+SUM(E$99:E132)=D$92,F132,D$92-SUM(E$99:E132))</f>
        <v>256134.17000000016</v>
      </c>
      <c r="E133" s="481">
        <f t="shared" si="44"/>
        <v>44527</v>
      </c>
      <c r="F133" s="482">
        <f t="shared" si="45"/>
        <v>211607.17000000016</v>
      </c>
      <c r="G133" s="482">
        <f t="shared" si="46"/>
        <v>233870.67000000016</v>
      </c>
      <c r="H133" s="483">
        <f t="shared" si="47"/>
        <v>75940.206644491409</v>
      </c>
      <c r="I133" s="539">
        <f t="shared" si="48"/>
        <v>75940.206644491409</v>
      </c>
      <c r="J133" s="475">
        <f t="shared" si="33"/>
        <v>0</v>
      </c>
      <c r="K133" s="475"/>
      <c r="L133" s="484"/>
      <c r="M133" s="475">
        <f t="shared" si="49"/>
        <v>0</v>
      </c>
      <c r="N133" s="484"/>
      <c r="O133" s="475">
        <f t="shared" si="50"/>
        <v>0</v>
      </c>
      <c r="P133" s="475">
        <f t="shared" si="51"/>
        <v>0</v>
      </c>
    </row>
    <row r="134" spans="2:16" ht="12.5">
      <c r="B134" s="160" t="str">
        <f t="shared" si="32"/>
        <v/>
      </c>
      <c r="C134" s="469">
        <f>IF(D93="","-",+C133+1)</f>
        <v>2050</v>
      </c>
      <c r="D134" s="344">
        <f>IF(F133+SUM(E$99:E133)=D$92,F133,D$92-SUM(E$99:E133))</f>
        <v>211607.17000000016</v>
      </c>
      <c r="E134" s="481">
        <f t="shared" si="44"/>
        <v>44527</v>
      </c>
      <c r="F134" s="482">
        <f t="shared" si="45"/>
        <v>167080.17000000016</v>
      </c>
      <c r="G134" s="482">
        <f t="shared" si="46"/>
        <v>189343.67000000016</v>
      </c>
      <c r="H134" s="483">
        <f t="shared" si="47"/>
        <v>69959.397455125043</v>
      </c>
      <c r="I134" s="539">
        <f t="shared" si="48"/>
        <v>69959.397455125043</v>
      </c>
      <c r="J134" s="475">
        <f t="shared" si="33"/>
        <v>0</v>
      </c>
      <c r="K134" s="475"/>
      <c r="L134" s="484"/>
      <c r="M134" s="475">
        <f t="shared" si="49"/>
        <v>0</v>
      </c>
      <c r="N134" s="484"/>
      <c r="O134" s="475">
        <f t="shared" si="50"/>
        <v>0</v>
      </c>
      <c r="P134" s="475">
        <f t="shared" si="51"/>
        <v>0</v>
      </c>
    </row>
    <row r="135" spans="2:16" ht="12.5">
      <c r="B135" s="160" t="str">
        <f t="shared" si="32"/>
        <v/>
      </c>
      <c r="C135" s="469">
        <f>IF(D93="","-",+C134+1)</f>
        <v>2051</v>
      </c>
      <c r="D135" s="344">
        <f>IF(F134+SUM(E$99:E134)=D$92,F134,D$92-SUM(E$99:E134))</f>
        <v>167080.17000000016</v>
      </c>
      <c r="E135" s="481">
        <f t="shared" si="44"/>
        <v>44527</v>
      </c>
      <c r="F135" s="482">
        <f t="shared" si="45"/>
        <v>122553.17000000016</v>
      </c>
      <c r="G135" s="482">
        <f t="shared" si="46"/>
        <v>144816.67000000016</v>
      </c>
      <c r="H135" s="483">
        <f t="shared" si="47"/>
        <v>63978.588265758684</v>
      </c>
      <c r="I135" s="539">
        <f t="shared" si="48"/>
        <v>63978.588265758684</v>
      </c>
      <c r="J135" s="475">
        <f t="shared" si="33"/>
        <v>0</v>
      </c>
      <c r="K135" s="475"/>
      <c r="L135" s="484"/>
      <c r="M135" s="475">
        <f t="shared" si="49"/>
        <v>0</v>
      </c>
      <c r="N135" s="484"/>
      <c r="O135" s="475">
        <f t="shared" si="50"/>
        <v>0</v>
      </c>
      <c r="P135" s="475">
        <f t="shared" si="51"/>
        <v>0</v>
      </c>
    </row>
    <row r="136" spans="2:16" ht="12.5">
      <c r="B136" s="160" t="str">
        <f t="shared" si="32"/>
        <v/>
      </c>
      <c r="C136" s="469">
        <f>IF(D93="","-",+C135+1)</f>
        <v>2052</v>
      </c>
      <c r="D136" s="344">
        <f>IF(F135+SUM(E$99:E135)=D$92,F135,D$92-SUM(E$99:E135))</f>
        <v>122553.17000000016</v>
      </c>
      <c r="E136" s="481">
        <f t="shared" si="44"/>
        <v>44527</v>
      </c>
      <c r="F136" s="482">
        <f t="shared" si="45"/>
        <v>78026.170000000158</v>
      </c>
      <c r="G136" s="482">
        <f t="shared" si="46"/>
        <v>100289.67000000016</v>
      </c>
      <c r="H136" s="483">
        <f t="shared" si="47"/>
        <v>57997.779076392326</v>
      </c>
      <c r="I136" s="539">
        <f t="shared" si="48"/>
        <v>57997.779076392326</v>
      </c>
      <c r="J136" s="475">
        <f t="shared" si="33"/>
        <v>0</v>
      </c>
      <c r="K136" s="475"/>
      <c r="L136" s="484"/>
      <c r="M136" s="475">
        <f t="shared" si="49"/>
        <v>0</v>
      </c>
      <c r="N136" s="484"/>
      <c r="O136" s="475">
        <f t="shared" si="50"/>
        <v>0</v>
      </c>
      <c r="P136" s="475">
        <f t="shared" si="51"/>
        <v>0</v>
      </c>
    </row>
    <row r="137" spans="2:16" ht="12.5">
      <c r="B137" s="160" t="str">
        <f t="shared" si="32"/>
        <v/>
      </c>
      <c r="C137" s="469">
        <f>IF(D93="","-",+C136+1)</f>
        <v>2053</v>
      </c>
      <c r="D137" s="344">
        <f>IF(F136+SUM(E$99:E136)=D$92,F136,D$92-SUM(E$99:E136))</f>
        <v>78026.170000000158</v>
      </c>
      <c r="E137" s="481">
        <f t="shared" si="44"/>
        <v>44527</v>
      </c>
      <c r="F137" s="482">
        <f t="shared" si="45"/>
        <v>33499.170000000158</v>
      </c>
      <c r="G137" s="482">
        <f t="shared" si="46"/>
        <v>55762.670000000158</v>
      </c>
      <c r="H137" s="483">
        <f t="shared" si="47"/>
        <v>52016.96988702596</v>
      </c>
      <c r="I137" s="539">
        <f t="shared" si="48"/>
        <v>52016.96988702596</v>
      </c>
      <c r="J137" s="475">
        <f t="shared" si="33"/>
        <v>0</v>
      </c>
      <c r="K137" s="475"/>
      <c r="L137" s="484"/>
      <c r="M137" s="475">
        <f t="shared" si="49"/>
        <v>0</v>
      </c>
      <c r="N137" s="484"/>
      <c r="O137" s="475">
        <f t="shared" si="50"/>
        <v>0</v>
      </c>
      <c r="P137" s="475">
        <f t="shared" si="51"/>
        <v>0</v>
      </c>
    </row>
    <row r="138" spans="2:16" ht="12.5">
      <c r="B138" s="160" t="str">
        <f t="shared" si="32"/>
        <v/>
      </c>
      <c r="C138" s="469">
        <f>IF(D93="","-",+C137+1)</f>
        <v>2054</v>
      </c>
      <c r="D138" s="344">
        <f>IF(F137+SUM(E$99:E137)=D$92,F137,D$92-SUM(E$99:E137))</f>
        <v>33499.170000000158</v>
      </c>
      <c r="E138" s="481">
        <f t="shared" si="44"/>
        <v>33499.170000000158</v>
      </c>
      <c r="F138" s="482">
        <f t="shared" si="45"/>
        <v>0</v>
      </c>
      <c r="G138" s="482">
        <f t="shared" si="46"/>
        <v>16749.585000000079</v>
      </c>
      <c r="H138" s="483">
        <f t="shared" si="47"/>
        <v>35748.95264617155</v>
      </c>
      <c r="I138" s="539">
        <f t="shared" si="48"/>
        <v>35748.95264617155</v>
      </c>
      <c r="J138" s="475">
        <f t="shared" si="33"/>
        <v>0</v>
      </c>
      <c r="K138" s="475"/>
      <c r="L138" s="484"/>
      <c r="M138" s="475">
        <f t="shared" si="49"/>
        <v>0</v>
      </c>
      <c r="N138" s="484"/>
      <c r="O138" s="475">
        <f t="shared" si="50"/>
        <v>0</v>
      </c>
      <c r="P138" s="475">
        <f t="shared" si="51"/>
        <v>0</v>
      </c>
    </row>
    <row r="139" spans="2:16" ht="12.5">
      <c r="B139" s="160" t="str">
        <f t="shared" si="32"/>
        <v/>
      </c>
      <c r="C139" s="469">
        <f>IF(D93="","-",+C138+1)</f>
        <v>2055</v>
      </c>
      <c r="D139" s="344">
        <f>IF(F138+SUM(E$99:E138)=D$92,F138,D$92-SUM(E$99:E138))</f>
        <v>0</v>
      </c>
      <c r="E139" s="481">
        <f t="shared" si="44"/>
        <v>0</v>
      </c>
      <c r="F139" s="482">
        <f t="shared" si="45"/>
        <v>0</v>
      </c>
      <c r="G139" s="482">
        <f t="shared" si="46"/>
        <v>0</v>
      </c>
      <c r="H139" s="483">
        <f t="shared" si="47"/>
        <v>0</v>
      </c>
      <c r="I139" s="539">
        <f t="shared" si="48"/>
        <v>0</v>
      </c>
      <c r="J139" s="475">
        <f t="shared" si="33"/>
        <v>0</v>
      </c>
      <c r="K139" s="475"/>
      <c r="L139" s="484"/>
      <c r="M139" s="475">
        <f t="shared" si="49"/>
        <v>0</v>
      </c>
      <c r="N139" s="484"/>
      <c r="O139" s="475">
        <f t="shared" si="50"/>
        <v>0</v>
      </c>
      <c r="P139" s="475">
        <f t="shared" si="51"/>
        <v>0</v>
      </c>
    </row>
    <row r="140" spans="2:16" ht="12.5">
      <c r="B140" s="160" t="str">
        <f t="shared" si="32"/>
        <v/>
      </c>
      <c r="C140" s="469">
        <f>IF(D93="","-",+C139+1)</f>
        <v>2056</v>
      </c>
      <c r="D140" s="344">
        <f>IF(F139+SUM(E$99:E139)=D$92,F139,D$92-SUM(E$99:E139))</f>
        <v>0</v>
      </c>
      <c r="E140" s="481">
        <f t="shared" si="44"/>
        <v>0</v>
      </c>
      <c r="F140" s="482">
        <f t="shared" si="45"/>
        <v>0</v>
      </c>
      <c r="G140" s="482">
        <f t="shared" si="46"/>
        <v>0</v>
      </c>
      <c r="H140" s="483">
        <f t="shared" si="47"/>
        <v>0</v>
      </c>
      <c r="I140" s="539">
        <f t="shared" si="48"/>
        <v>0</v>
      </c>
      <c r="J140" s="475">
        <f t="shared" si="33"/>
        <v>0</v>
      </c>
      <c r="K140" s="475"/>
      <c r="L140" s="484"/>
      <c r="M140" s="475">
        <f t="shared" si="49"/>
        <v>0</v>
      </c>
      <c r="N140" s="484"/>
      <c r="O140" s="475">
        <f t="shared" si="50"/>
        <v>0</v>
      </c>
      <c r="P140" s="475">
        <f t="shared" si="51"/>
        <v>0</v>
      </c>
    </row>
    <row r="141" spans="2:16" ht="12.5">
      <c r="B141" s="160" t="str">
        <f t="shared" si="32"/>
        <v/>
      </c>
      <c r="C141" s="469">
        <f>IF(D93="","-",+C140+1)</f>
        <v>2057</v>
      </c>
      <c r="D141" s="344">
        <f>IF(F140+SUM(E$99:E140)=D$92,F140,D$92-SUM(E$99:E140))</f>
        <v>0</v>
      </c>
      <c r="E141" s="481">
        <f t="shared" si="44"/>
        <v>0</v>
      </c>
      <c r="F141" s="482">
        <f t="shared" si="45"/>
        <v>0</v>
      </c>
      <c r="G141" s="482">
        <f t="shared" si="46"/>
        <v>0</v>
      </c>
      <c r="H141" s="483">
        <f t="shared" si="47"/>
        <v>0</v>
      </c>
      <c r="I141" s="539">
        <f t="shared" si="48"/>
        <v>0</v>
      </c>
      <c r="J141" s="475">
        <f t="shared" si="33"/>
        <v>0</v>
      </c>
      <c r="K141" s="475"/>
      <c r="L141" s="484"/>
      <c r="M141" s="475">
        <f t="shared" si="49"/>
        <v>0</v>
      </c>
      <c r="N141" s="484"/>
      <c r="O141" s="475">
        <f t="shared" si="50"/>
        <v>0</v>
      </c>
      <c r="P141" s="475">
        <f t="shared" si="51"/>
        <v>0</v>
      </c>
    </row>
    <row r="142" spans="2:16" ht="12.5">
      <c r="B142" s="160" t="str">
        <f t="shared" si="32"/>
        <v/>
      </c>
      <c r="C142" s="469">
        <f>IF(D93="","-",+C141+1)</f>
        <v>2058</v>
      </c>
      <c r="D142" s="344">
        <f>IF(F141+SUM(E$99:E141)=D$92,F141,D$92-SUM(E$99:E141))</f>
        <v>0</v>
      </c>
      <c r="E142" s="481">
        <f t="shared" si="44"/>
        <v>0</v>
      </c>
      <c r="F142" s="482">
        <f t="shared" si="45"/>
        <v>0</v>
      </c>
      <c r="G142" s="482">
        <f t="shared" si="46"/>
        <v>0</v>
      </c>
      <c r="H142" s="483">
        <f t="shared" si="47"/>
        <v>0</v>
      </c>
      <c r="I142" s="539">
        <f t="shared" si="48"/>
        <v>0</v>
      </c>
      <c r="J142" s="475">
        <f t="shared" si="33"/>
        <v>0</v>
      </c>
      <c r="K142" s="475"/>
      <c r="L142" s="484"/>
      <c r="M142" s="475">
        <f t="shared" si="49"/>
        <v>0</v>
      </c>
      <c r="N142" s="484"/>
      <c r="O142" s="475">
        <f t="shared" si="50"/>
        <v>0</v>
      </c>
      <c r="P142" s="475">
        <f t="shared" si="51"/>
        <v>0</v>
      </c>
    </row>
    <row r="143" spans="2:16" ht="12.5">
      <c r="B143" s="160" t="str">
        <f t="shared" si="32"/>
        <v/>
      </c>
      <c r="C143" s="469">
        <f>IF(D93="","-",+C142+1)</f>
        <v>2059</v>
      </c>
      <c r="D143" s="344">
        <f>IF(F142+SUM(E$99:E142)=D$92,F142,D$92-SUM(E$99:E142))</f>
        <v>0</v>
      </c>
      <c r="E143" s="481">
        <f t="shared" si="44"/>
        <v>0</v>
      </c>
      <c r="F143" s="482">
        <f t="shared" si="45"/>
        <v>0</v>
      </c>
      <c r="G143" s="482">
        <f t="shared" si="46"/>
        <v>0</v>
      </c>
      <c r="H143" s="483">
        <f t="shared" si="47"/>
        <v>0</v>
      </c>
      <c r="I143" s="539">
        <f t="shared" si="48"/>
        <v>0</v>
      </c>
      <c r="J143" s="475">
        <f t="shared" si="33"/>
        <v>0</v>
      </c>
      <c r="K143" s="475"/>
      <c r="L143" s="484"/>
      <c r="M143" s="475">
        <f t="shared" si="49"/>
        <v>0</v>
      </c>
      <c r="N143" s="484"/>
      <c r="O143" s="475">
        <f t="shared" si="50"/>
        <v>0</v>
      </c>
      <c r="P143" s="475">
        <f t="shared" si="51"/>
        <v>0</v>
      </c>
    </row>
    <row r="144" spans="2:16" ht="12.5">
      <c r="B144" s="160" t="str">
        <f t="shared" si="32"/>
        <v/>
      </c>
      <c r="C144" s="469">
        <f>IF(D93="","-",+C143+1)</f>
        <v>2060</v>
      </c>
      <c r="D144" s="344">
        <f>IF(F143+SUM(E$99:E143)=D$92,F143,D$92-SUM(E$99:E143))</f>
        <v>0</v>
      </c>
      <c r="E144" s="481">
        <f t="shared" si="44"/>
        <v>0</v>
      </c>
      <c r="F144" s="482">
        <f t="shared" si="45"/>
        <v>0</v>
      </c>
      <c r="G144" s="482">
        <f t="shared" si="46"/>
        <v>0</v>
      </c>
      <c r="H144" s="483">
        <f t="shared" si="47"/>
        <v>0</v>
      </c>
      <c r="I144" s="539">
        <f t="shared" si="48"/>
        <v>0</v>
      </c>
      <c r="J144" s="475">
        <f t="shared" si="33"/>
        <v>0</v>
      </c>
      <c r="K144" s="475"/>
      <c r="L144" s="484"/>
      <c r="M144" s="475">
        <f t="shared" si="49"/>
        <v>0</v>
      </c>
      <c r="N144" s="484"/>
      <c r="O144" s="475">
        <f t="shared" si="50"/>
        <v>0</v>
      </c>
      <c r="P144" s="475">
        <f t="shared" si="51"/>
        <v>0</v>
      </c>
    </row>
    <row r="145" spans="2:16" ht="12.5">
      <c r="B145" s="160" t="str">
        <f t="shared" si="32"/>
        <v/>
      </c>
      <c r="C145" s="469">
        <f>IF(D93="","-",+C144+1)</f>
        <v>2061</v>
      </c>
      <c r="D145" s="344">
        <f>IF(F144+SUM(E$99:E144)=D$92,F144,D$92-SUM(E$99:E144))</f>
        <v>0</v>
      </c>
      <c r="E145" s="481">
        <f t="shared" si="44"/>
        <v>0</v>
      </c>
      <c r="F145" s="482">
        <f t="shared" si="45"/>
        <v>0</v>
      </c>
      <c r="G145" s="482">
        <f t="shared" si="46"/>
        <v>0</v>
      </c>
      <c r="H145" s="483">
        <f t="shared" si="47"/>
        <v>0</v>
      </c>
      <c r="I145" s="539">
        <f t="shared" si="48"/>
        <v>0</v>
      </c>
      <c r="J145" s="475">
        <f t="shared" si="33"/>
        <v>0</v>
      </c>
      <c r="K145" s="475"/>
      <c r="L145" s="484"/>
      <c r="M145" s="475">
        <f t="shared" si="49"/>
        <v>0</v>
      </c>
      <c r="N145" s="484"/>
      <c r="O145" s="475">
        <f t="shared" si="50"/>
        <v>0</v>
      </c>
      <c r="P145" s="475">
        <f t="shared" si="51"/>
        <v>0</v>
      </c>
    </row>
    <row r="146" spans="2:16" ht="12.5">
      <c r="B146" s="160" t="str">
        <f t="shared" si="32"/>
        <v/>
      </c>
      <c r="C146" s="469">
        <f>IF(D93="","-",+C145+1)</f>
        <v>2062</v>
      </c>
      <c r="D146" s="344">
        <f>IF(F145+SUM(E$99:E145)=D$92,F145,D$92-SUM(E$99:E145))</f>
        <v>0</v>
      </c>
      <c r="E146" s="481">
        <f t="shared" si="44"/>
        <v>0</v>
      </c>
      <c r="F146" s="482">
        <f t="shared" si="45"/>
        <v>0</v>
      </c>
      <c r="G146" s="482">
        <f t="shared" si="46"/>
        <v>0</v>
      </c>
      <c r="H146" s="483">
        <f t="shared" si="47"/>
        <v>0</v>
      </c>
      <c r="I146" s="539">
        <f t="shared" si="48"/>
        <v>0</v>
      </c>
      <c r="J146" s="475">
        <f t="shared" si="33"/>
        <v>0</v>
      </c>
      <c r="K146" s="475"/>
      <c r="L146" s="484"/>
      <c r="M146" s="475">
        <f t="shared" si="49"/>
        <v>0</v>
      </c>
      <c r="N146" s="484"/>
      <c r="O146" s="475">
        <f t="shared" si="50"/>
        <v>0</v>
      </c>
      <c r="P146" s="475">
        <f t="shared" si="51"/>
        <v>0</v>
      </c>
    </row>
    <row r="147" spans="2:16" ht="12.5">
      <c r="B147" s="160" t="str">
        <f t="shared" si="32"/>
        <v/>
      </c>
      <c r="C147" s="469">
        <f>IF(D93="","-",+C146+1)</f>
        <v>2063</v>
      </c>
      <c r="D147" s="344">
        <f>IF(F146+SUM(E$99:E146)=D$92,F146,D$92-SUM(E$99:E146))</f>
        <v>0</v>
      </c>
      <c r="E147" s="481">
        <f t="shared" si="44"/>
        <v>0</v>
      </c>
      <c r="F147" s="482">
        <f t="shared" si="45"/>
        <v>0</v>
      </c>
      <c r="G147" s="482">
        <f t="shared" si="46"/>
        <v>0</v>
      </c>
      <c r="H147" s="483">
        <f t="shared" si="47"/>
        <v>0</v>
      </c>
      <c r="I147" s="539">
        <f t="shared" si="48"/>
        <v>0</v>
      </c>
      <c r="J147" s="475">
        <f t="shared" si="33"/>
        <v>0</v>
      </c>
      <c r="K147" s="475"/>
      <c r="L147" s="484"/>
      <c r="M147" s="475">
        <f t="shared" si="49"/>
        <v>0</v>
      </c>
      <c r="N147" s="484"/>
      <c r="O147" s="475">
        <f t="shared" si="50"/>
        <v>0</v>
      </c>
      <c r="P147" s="475">
        <f t="shared" si="51"/>
        <v>0</v>
      </c>
    </row>
    <row r="148" spans="2:16" ht="12.5">
      <c r="B148" s="160" t="str">
        <f t="shared" si="32"/>
        <v/>
      </c>
      <c r="C148" s="469">
        <f>IF(D93="","-",+C147+1)</f>
        <v>2064</v>
      </c>
      <c r="D148" s="344">
        <f>IF(F147+SUM(E$99:E147)=D$92,F147,D$92-SUM(E$99:E147))</f>
        <v>0</v>
      </c>
      <c r="E148" s="481">
        <f t="shared" si="44"/>
        <v>0</v>
      </c>
      <c r="F148" s="482">
        <f t="shared" si="45"/>
        <v>0</v>
      </c>
      <c r="G148" s="482">
        <f t="shared" si="46"/>
        <v>0</v>
      </c>
      <c r="H148" s="483">
        <f t="shared" si="47"/>
        <v>0</v>
      </c>
      <c r="I148" s="539">
        <f t="shared" si="48"/>
        <v>0</v>
      </c>
      <c r="J148" s="475">
        <f t="shared" si="33"/>
        <v>0</v>
      </c>
      <c r="K148" s="475"/>
      <c r="L148" s="484"/>
      <c r="M148" s="475">
        <f t="shared" si="49"/>
        <v>0</v>
      </c>
      <c r="N148" s="484"/>
      <c r="O148" s="475">
        <f t="shared" si="50"/>
        <v>0</v>
      </c>
      <c r="P148" s="475">
        <f t="shared" si="51"/>
        <v>0</v>
      </c>
    </row>
    <row r="149" spans="2:16" ht="12.5">
      <c r="B149" s="160" t="str">
        <f t="shared" si="32"/>
        <v/>
      </c>
      <c r="C149" s="469">
        <f>IF(D93="","-",+C148+1)</f>
        <v>2065</v>
      </c>
      <c r="D149" s="344">
        <f>IF(F148+SUM(E$99:E148)=D$92,F148,D$92-SUM(E$99:E148))</f>
        <v>0</v>
      </c>
      <c r="E149" s="481">
        <f t="shared" si="44"/>
        <v>0</v>
      </c>
      <c r="F149" s="482">
        <f t="shared" si="45"/>
        <v>0</v>
      </c>
      <c r="G149" s="482">
        <f t="shared" si="46"/>
        <v>0</v>
      </c>
      <c r="H149" s="483">
        <f t="shared" si="47"/>
        <v>0</v>
      </c>
      <c r="I149" s="539">
        <f t="shared" si="48"/>
        <v>0</v>
      </c>
      <c r="J149" s="475">
        <f t="shared" si="33"/>
        <v>0</v>
      </c>
      <c r="K149" s="475"/>
      <c r="L149" s="484"/>
      <c r="M149" s="475">
        <f t="shared" si="49"/>
        <v>0</v>
      </c>
      <c r="N149" s="484"/>
      <c r="O149" s="475">
        <f t="shared" si="50"/>
        <v>0</v>
      </c>
      <c r="P149" s="475">
        <f t="shared" si="51"/>
        <v>0</v>
      </c>
    </row>
    <row r="150" spans="2:16" ht="12.5">
      <c r="B150" s="160" t="str">
        <f t="shared" si="32"/>
        <v/>
      </c>
      <c r="C150" s="469">
        <f>IF(D93="","-",+C149+1)</f>
        <v>2066</v>
      </c>
      <c r="D150" s="344">
        <f>IF(F149+SUM(E$99:E149)=D$92,F149,D$92-SUM(E$99:E149))</f>
        <v>0</v>
      </c>
      <c r="E150" s="481">
        <f t="shared" si="44"/>
        <v>0</v>
      </c>
      <c r="F150" s="482">
        <f t="shared" si="45"/>
        <v>0</v>
      </c>
      <c r="G150" s="482">
        <f t="shared" si="46"/>
        <v>0</v>
      </c>
      <c r="H150" s="483">
        <f t="shared" si="47"/>
        <v>0</v>
      </c>
      <c r="I150" s="539">
        <f t="shared" si="48"/>
        <v>0</v>
      </c>
      <c r="J150" s="475">
        <f t="shared" si="33"/>
        <v>0</v>
      </c>
      <c r="K150" s="475"/>
      <c r="L150" s="484"/>
      <c r="M150" s="475">
        <f t="shared" si="49"/>
        <v>0</v>
      </c>
      <c r="N150" s="484"/>
      <c r="O150" s="475">
        <f t="shared" si="50"/>
        <v>0</v>
      </c>
      <c r="P150" s="475">
        <f t="shared" si="51"/>
        <v>0</v>
      </c>
    </row>
    <row r="151" spans="2:16" ht="12.5">
      <c r="B151" s="160" t="str">
        <f t="shared" si="32"/>
        <v/>
      </c>
      <c r="C151" s="469">
        <f>IF(D93="","-",+C150+1)</f>
        <v>2067</v>
      </c>
      <c r="D151" s="344">
        <f>IF(F150+SUM(E$99:E150)=D$92,F150,D$92-SUM(E$99:E150))</f>
        <v>0</v>
      </c>
      <c r="E151" s="481">
        <f t="shared" si="44"/>
        <v>0</v>
      </c>
      <c r="F151" s="482">
        <f t="shared" si="45"/>
        <v>0</v>
      </c>
      <c r="G151" s="482">
        <f t="shared" si="46"/>
        <v>0</v>
      </c>
      <c r="H151" s="483">
        <f t="shared" si="47"/>
        <v>0</v>
      </c>
      <c r="I151" s="539">
        <f t="shared" si="48"/>
        <v>0</v>
      </c>
      <c r="J151" s="475">
        <f t="shared" si="33"/>
        <v>0</v>
      </c>
      <c r="K151" s="475"/>
      <c r="L151" s="484"/>
      <c r="M151" s="475">
        <f t="shared" si="49"/>
        <v>0</v>
      </c>
      <c r="N151" s="484"/>
      <c r="O151" s="475">
        <f t="shared" si="50"/>
        <v>0</v>
      </c>
      <c r="P151" s="475">
        <f t="shared" si="51"/>
        <v>0</v>
      </c>
    </row>
    <row r="152" spans="2:16" ht="12.5">
      <c r="B152" s="160" t="str">
        <f t="shared" si="32"/>
        <v/>
      </c>
      <c r="C152" s="469">
        <f>IF(D93="","-",+C151+1)</f>
        <v>2068</v>
      </c>
      <c r="D152" s="344">
        <f>IF(F151+SUM(E$99:E151)=D$92,F151,D$92-SUM(E$99:E151))</f>
        <v>0</v>
      </c>
      <c r="E152" s="481">
        <f t="shared" si="44"/>
        <v>0</v>
      </c>
      <c r="F152" s="482">
        <f t="shared" si="45"/>
        <v>0</v>
      </c>
      <c r="G152" s="482">
        <f t="shared" si="46"/>
        <v>0</v>
      </c>
      <c r="H152" s="483">
        <f t="shared" si="47"/>
        <v>0</v>
      </c>
      <c r="I152" s="539">
        <f t="shared" si="48"/>
        <v>0</v>
      </c>
      <c r="J152" s="475">
        <f t="shared" si="33"/>
        <v>0</v>
      </c>
      <c r="K152" s="475"/>
      <c r="L152" s="484"/>
      <c r="M152" s="475">
        <f t="shared" si="49"/>
        <v>0</v>
      </c>
      <c r="N152" s="484"/>
      <c r="O152" s="475">
        <f t="shared" si="50"/>
        <v>0</v>
      </c>
      <c r="P152" s="475">
        <f t="shared" si="51"/>
        <v>0</v>
      </c>
    </row>
    <row r="153" spans="2:16" ht="12.5">
      <c r="B153" s="160" t="str">
        <f t="shared" si="32"/>
        <v/>
      </c>
      <c r="C153" s="469">
        <f>IF(D93="","-",+C152+1)</f>
        <v>2069</v>
      </c>
      <c r="D153" s="344">
        <f>IF(F152+SUM(E$99:E152)=D$92,F152,D$92-SUM(E$99:E152))</f>
        <v>0</v>
      </c>
      <c r="E153" s="481">
        <f t="shared" si="44"/>
        <v>0</v>
      </c>
      <c r="F153" s="482">
        <f t="shared" si="45"/>
        <v>0</v>
      </c>
      <c r="G153" s="482">
        <f t="shared" si="46"/>
        <v>0</v>
      </c>
      <c r="H153" s="483">
        <f t="shared" si="47"/>
        <v>0</v>
      </c>
      <c r="I153" s="539">
        <f t="shared" si="48"/>
        <v>0</v>
      </c>
      <c r="J153" s="475">
        <f t="shared" si="33"/>
        <v>0</v>
      </c>
      <c r="K153" s="475"/>
      <c r="L153" s="484"/>
      <c r="M153" s="475">
        <f t="shared" si="49"/>
        <v>0</v>
      </c>
      <c r="N153" s="484"/>
      <c r="O153" s="475">
        <f t="shared" si="50"/>
        <v>0</v>
      </c>
      <c r="P153" s="475">
        <f t="shared" si="51"/>
        <v>0</v>
      </c>
    </row>
    <row r="154" spans="2:16" ht="13" thickBot="1">
      <c r="B154" s="160" t="str">
        <f t="shared" si="32"/>
        <v/>
      </c>
      <c r="C154" s="486">
        <f>IF(D93="","-",+C153+1)</f>
        <v>2070</v>
      </c>
      <c r="D154" s="573">
        <f>IF(F153+SUM(E$99:E153)=D$92,F153,D$92-SUM(E$99:E153))</f>
        <v>0</v>
      </c>
      <c r="E154" s="488">
        <f t="shared" si="44"/>
        <v>0</v>
      </c>
      <c r="F154" s="487">
        <f t="shared" si="45"/>
        <v>0</v>
      </c>
      <c r="G154" s="487">
        <f t="shared" si="46"/>
        <v>0</v>
      </c>
      <c r="H154" s="489">
        <f t="shared" ref="H154" si="52">+J$94*G154+E154</f>
        <v>0</v>
      </c>
      <c r="I154" s="542">
        <f t="shared" ref="I154" si="53">+J$95*G154+E154</f>
        <v>0</v>
      </c>
      <c r="J154" s="492">
        <f t="shared" si="33"/>
        <v>0</v>
      </c>
      <c r="K154" s="475"/>
      <c r="L154" s="491"/>
      <c r="M154" s="492">
        <f t="shared" si="49"/>
        <v>0</v>
      </c>
      <c r="N154" s="491"/>
      <c r="O154" s="492">
        <f t="shared" si="50"/>
        <v>0</v>
      </c>
      <c r="P154" s="492">
        <f t="shared" si="51"/>
        <v>0</v>
      </c>
    </row>
    <row r="155" spans="2:16" ht="12.5">
      <c r="C155" s="344" t="s">
        <v>77</v>
      </c>
      <c r="D155" s="345"/>
      <c r="E155" s="345">
        <f>SUM(E99:E154)</f>
        <v>1692023.1700000002</v>
      </c>
      <c r="F155" s="345"/>
      <c r="G155" s="345"/>
      <c r="H155" s="345">
        <f>SUM(H99:H154)</f>
        <v>6040185.9893071484</v>
      </c>
      <c r="I155" s="345">
        <f>SUM(I99:I154)</f>
        <v>6040185.9893071484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39" priority="1" stopIfTrue="1" operator="equal">
      <formula>$I$10</formula>
    </cfRule>
  </conditionalFormatting>
  <conditionalFormatting sqref="C99:C154">
    <cfRule type="cellIs" dxfId="3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67">
    <tabColor theme="9" tint="-0.249977111117893"/>
  </sheetPr>
  <dimension ref="A1:P162"/>
  <sheetViews>
    <sheetView topLeftCell="A71" zoomScaleNormal="100" zoomScaleSheetLayoutView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18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202931.90780697661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202931.90780697661</v>
      </c>
      <c r="O6" s="231"/>
      <c r="P6" s="231"/>
    </row>
    <row r="7" spans="1:16" ht="13.5" thickBot="1">
      <c r="C7" s="428" t="s">
        <v>46</v>
      </c>
      <c r="D7" s="596" t="s">
        <v>263</v>
      </c>
      <c r="E7" s="597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606" t="s">
        <v>266</v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268</v>
      </c>
      <c r="E9" s="574" t="s">
        <v>378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1725647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2014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4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45411.76315789474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2014</v>
      </c>
      <c r="D17" s="575">
        <v>1725646.85</v>
      </c>
      <c r="E17" s="598">
        <v>22123.677564102563</v>
      </c>
      <c r="F17" s="575">
        <v>1703523.1724358976</v>
      </c>
      <c r="G17" s="598">
        <v>256628.57821434946</v>
      </c>
      <c r="H17" s="599">
        <v>256628.57821434946</v>
      </c>
      <c r="I17" s="472">
        <v>0</v>
      </c>
      <c r="J17" s="472"/>
      <c r="K17" s="473">
        <f t="shared" ref="K17:K22" si="0">G17</f>
        <v>256628.57821434946</v>
      </c>
      <c r="L17" s="600">
        <f t="shared" ref="L17:L22" si="1">IF(K17&lt;&gt;0,+G17-K17,0)</f>
        <v>0</v>
      </c>
      <c r="M17" s="473">
        <f t="shared" ref="M17:M22" si="2">H17</f>
        <v>256628.57821434946</v>
      </c>
      <c r="N17" s="475">
        <f>IF(M17&lt;&gt;0,+H17-M17,0)</f>
        <v>0</v>
      </c>
      <c r="O17" s="472">
        <f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2015</v>
      </c>
      <c r="D18" s="575">
        <v>1703523.1724358976</v>
      </c>
      <c r="E18" s="576">
        <v>33185.516346153847</v>
      </c>
      <c r="F18" s="575">
        <v>1670337.6560897438</v>
      </c>
      <c r="G18" s="576">
        <v>263477.7363505594</v>
      </c>
      <c r="H18" s="599">
        <v>263477.7363505594</v>
      </c>
      <c r="I18" s="472">
        <v>0</v>
      </c>
      <c r="J18" s="472"/>
      <c r="K18" s="473">
        <f t="shared" si="0"/>
        <v>263477.7363505594</v>
      </c>
      <c r="L18" s="600">
        <f t="shared" si="1"/>
        <v>0</v>
      </c>
      <c r="M18" s="473">
        <f t="shared" si="2"/>
        <v>263477.7363505594</v>
      </c>
      <c r="N18" s="475">
        <f>IF(M18&lt;&gt;0,+H18-M18,0)</f>
        <v>0</v>
      </c>
      <c r="O18" s="472">
        <f>+N18-L18</f>
        <v>0</v>
      </c>
      <c r="P18" s="241"/>
    </row>
    <row r="19" spans="2:16" ht="12.5">
      <c r="B19" s="160" t="str">
        <f>IF(D19=F18,"","IU")</f>
        <v/>
      </c>
      <c r="C19" s="469">
        <f>IF(D11="","-",+C18+1)</f>
        <v>2016</v>
      </c>
      <c r="D19" s="575">
        <v>1670337.6560897438</v>
      </c>
      <c r="E19" s="576">
        <v>33185.516346153847</v>
      </c>
      <c r="F19" s="575">
        <v>1637152.13974359</v>
      </c>
      <c r="G19" s="576">
        <v>247913.51634615386</v>
      </c>
      <c r="H19" s="599">
        <v>247913.51634615386</v>
      </c>
      <c r="I19" s="472">
        <f>H19-G19</f>
        <v>0</v>
      </c>
      <c r="J19" s="472"/>
      <c r="K19" s="473">
        <f t="shared" si="0"/>
        <v>247913.51634615386</v>
      </c>
      <c r="L19" s="600">
        <f t="shared" si="1"/>
        <v>0</v>
      </c>
      <c r="M19" s="473">
        <f t="shared" si="2"/>
        <v>247913.51634615386</v>
      </c>
      <c r="N19" s="475">
        <f>IF(M19&lt;&gt;0,+H19-M19,0)</f>
        <v>0</v>
      </c>
      <c r="O19" s="472">
        <f>+N19-L19</f>
        <v>0</v>
      </c>
      <c r="P19" s="241"/>
    </row>
    <row r="20" spans="2:16" ht="12.5">
      <c r="B20" s="160" t="str">
        <f t="shared" ref="B20:B72" si="3">IF(D20=F19,"","IU")</f>
        <v>IU</v>
      </c>
      <c r="C20" s="469">
        <f>IF(D11="","-",+C19+1)</f>
        <v>2017</v>
      </c>
      <c r="D20" s="575">
        <v>1637152</v>
      </c>
      <c r="E20" s="576">
        <v>37514</v>
      </c>
      <c r="F20" s="575">
        <v>1599638</v>
      </c>
      <c r="G20" s="576">
        <v>241085</v>
      </c>
      <c r="H20" s="599">
        <v>241085</v>
      </c>
      <c r="I20" s="472">
        <f t="shared" ref="I20:I72" si="4">H20-G20</f>
        <v>0</v>
      </c>
      <c r="J20" s="472"/>
      <c r="K20" s="473">
        <f t="shared" si="0"/>
        <v>241085</v>
      </c>
      <c r="L20" s="600">
        <f t="shared" si="1"/>
        <v>0</v>
      </c>
      <c r="M20" s="473">
        <f t="shared" si="2"/>
        <v>241085</v>
      </c>
      <c r="N20" s="475">
        <f>IF(M20&lt;&gt;0,+H20-M20,0)</f>
        <v>0</v>
      </c>
      <c r="O20" s="472">
        <f>+N20-L20</f>
        <v>0</v>
      </c>
      <c r="P20" s="241"/>
    </row>
    <row r="21" spans="2:16" ht="12.5">
      <c r="B21" s="160" t="str">
        <f t="shared" si="3"/>
        <v>IU</v>
      </c>
      <c r="C21" s="469">
        <f>IF(D11="","-",+C20+1)</f>
        <v>2018</v>
      </c>
      <c r="D21" s="575">
        <v>1599638.0777870682</v>
      </c>
      <c r="E21" s="576">
        <v>38347.707777777781</v>
      </c>
      <c r="F21" s="575">
        <v>1561290.3700092905</v>
      </c>
      <c r="G21" s="576">
        <v>227622.42905835263</v>
      </c>
      <c r="H21" s="599">
        <v>227622.42905835263</v>
      </c>
      <c r="I21" s="472">
        <f t="shared" si="4"/>
        <v>0</v>
      </c>
      <c r="J21" s="472"/>
      <c r="K21" s="473">
        <f t="shared" si="0"/>
        <v>227622.42905835263</v>
      </c>
      <c r="L21" s="600">
        <f t="shared" si="1"/>
        <v>0</v>
      </c>
      <c r="M21" s="473">
        <f t="shared" si="2"/>
        <v>227622.42905835263</v>
      </c>
      <c r="N21" s="475">
        <f>IF(M21&lt;&gt;0,+H21-M21,0)</f>
        <v>0</v>
      </c>
      <c r="O21" s="472">
        <f>+N21-L21</f>
        <v>0</v>
      </c>
      <c r="P21" s="241"/>
    </row>
    <row r="22" spans="2:16" ht="12.5">
      <c r="B22" s="160" t="str">
        <f t="shared" si="3"/>
        <v/>
      </c>
      <c r="C22" s="469">
        <f>IF(D11="","-",+C21+1)</f>
        <v>2019</v>
      </c>
      <c r="D22" s="575">
        <v>1561290.3700092905</v>
      </c>
      <c r="E22" s="576">
        <v>43141.171249999999</v>
      </c>
      <c r="F22" s="575">
        <v>1518149.1987592906</v>
      </c>
      <c r="G22" s="576">
        <v>215061.09551654221</v>
      </c>
      <c r="H22" s="599">
        <v>215061.09551654221</v>
      </c>
      <c r="I22" s="472">
        <f t="shared" si="4"/>
        <v>0</v>
      </c>
      <c r="J22" s="472"/>
      <c r="K22" s="473">
        <f t="shared" si="0"/>
        <v>215061.09551654221</v>
      </c>
      <c r="L22" s="600">
        <f t="shared" si="1"/>
        <v>0</v>
      </c>
      <c r="M22" s="473">
        <f t="shared" si="2"/>
        <v>215061.09551654221</v>
      </c>
      <c r="N22" s="475">
        <f t="shared" ref="N22:N72" si="5">IF(M22&lt;&gt;0,+H22-M22,0)</f>
        <v>0</v>
      </c>
      <c r="O22" s="475">
        <f t="shared" ref="O22:O72" si="6">+N22-L22</f>
        <v>0</v>
      </c>
      <c r="P22" s="241"/>
    </row>
    <row r="23" spans="2:16" ht="12.5">
      <c r="B23" s="160" t="str">
        <f t="shared" si="3"/>
        <v>IU</v>
      </c>
      <c r="C23" s="469">
        <f>IF(D11="","-",+C22+1)</f>
        <v>2020</v>
      </c>
      <c r="D23" s="575">
        <v>1522942.7241880344</v>
      </c>
      <c r="E23" s="576">
        <v>41086.829761904766</v>
      </c>
      <c r="F23" s="575">
        <v>1481855.8944261298</v>
      </c>
      <c r="G23" s="576">
        <v>203353.13199328393</v>
      </c>
      <c r="H23" s="599">
        <v>203353.13199328393</v>
      </c>
      <c r="I23" s="472">
        <f t="shared" si="4"/>
        <v>0</v>
      </c>
      <c r="J23" s="472"/>
      <c r="K23" s="473">
        <f t="shared" ref="K23" si="7">G23</f>
        <v>203353.13199328393</v>
      </c>
      <c r="L23" s="600">
        <f t="shared" ref="L23" si="8">IF(K23&lt;&gt;0,+G23-K23,0)</f>
        <v>0</v>
      </c>
      <c r="M23" s="473">
        <f t="shared" ref="M23" si="9">H23</f>
        <v>203353.13199328393</v>
      </c>
      <c r="N23" s="475">
        <f t="shared" si="5"/>
        <v>0</v>
      </c>
      <c r="O23" s="475">
        <f t="shared" si="6"/>
        <v>0</v>
      </c>
      <c r="P23" s="241"/>
    </row>
    <row r="24" spans="2:16" ht="12.5">
      <c r="B24" s="160" t="str">
        <f t="shared" si="3"/>
        <v>IU</v>
      </c>
      <c r="C24" s="469">
        <f>IF(D11="","-",+C23+1)</f>
        <v>2021</v>
      </c>
      <c r="D24" s="575">
        <v>1477062.4309539073</v>
      </c>
      <c r="E24" s="576">
        <v>40131.322093023256</v>
      </c>
      <c r="F24" s="575">
        <v>1436931.1088608841</v>
      </c>
      <c r="G24" s="576">
        <v>195063.32209302325</v>
      </c>
      <c r="H24" s="599">
        <v>195063.32209302325</v>
      </c>
      <c r="I24" s="472">
        <f t="shared" si="4"/>
        <v>0</v>
      </c>
      <c r="J24" s="472"/>
      <c r="K24" s="473">
        <f t="shared" ref="K24" si="10">G24</f>
        <v>195063.32209302325</v>
      </c>
      <c r="L24" s="600">
        <f t="shared" ref="L24" si="11">IF(K24&lt;&gt;0,+G24-K24,0)</f>
        <v>0</v>
      </c>
      <c r="M24" s="473">
        <f t="shared" ref="M24" si="12">H24</f>
        <v>195063.32209302325</v>
      </c>
      <c r="N24" s="475">
        <f t="shared" si="5"/>
        <v>0</v>
      </c>
      <c r="O24" s="475">
        <f t="shared" si="6"/>
        <v>0</v>
      </c>
      <c r="P24" s="241"/>
    </row>
    <row r="25" spans="2:16" ht="12.5">
      <c r="B25" s="160" t="str">
        <f t="shared" si="3"/>
        <v/>
      </c>
      <c r="C25" s="469">
        <f>IF(D11="","-",+C24+1)</f>
        <v>2022</v>
      </c>
      <c r="D25" s="575">
        <v>1436931.1088608841</v>
      </c>
      <c r="E25" s="576">
        <v>41086.829761904766</v>
      </c>
      <c r="F25" s="575">
        <v>1395844.2790989794</v>
      </c>
      <c r="G25" s="576">
        <v>191574.82976190478</v>
      </c>
      <c r="H25" s="599">
        <v>191574.82976190478</v>
      </c>
      <c r="I25" s="472">
        <f t="shared" si="4"/>
        <v>0</v>
      </c>
      <c r="J25" s="472"/>
      <c r="K25" s="473">
        <f t="shared" ref="K25" si="13">G25</f>
        <v>191574.82976190478</v>
      </c>
      <c r="L25" s="600">
        <f t="shared" ref="L25" si="14">IF(K25&lt;&gt;0,+G25-K25,0)</f>
        <v>0</v>
      </c>
      <c r="M25" s="473">
        <f t="shared" ref="M25" si="15">H25</f>
        <v>191574.82976190478</v>
      </c>
      <c r="N25" s="475">
        <f t="shared" si="5"/>
        <v>0</v>
      </c>
      <c r="O25" s="475">
        <f t="shared" si="6"/>
        <v>0</v>
      </c>
      <c r="P25" s="241"/>
    </row>
    <row r="26" spans="2:16" ht="12.5">
      <c r="B26" s="160" t="str">
        <f t="shared" si="3"/>
        <v>IU</v>
      </c>
      <c r="C26" s="469">
        <f>IF(D11="","-",+C25+1)</f>
        <v>2023</v>
      </c>
      <c r="D26" s="575">
        <v>1395844.4290989791</v>
      </c>
      <c r="E26" s="576">
        <v>44247.358974358976</v>
      </c>
      <c r="F26" s="575">
        <v>1351597.0701246201</v>
      </c>
      <c r="G26" s="576">
        <v>205572.35897435897</v>
      </c>
      <c r="H26" s="599">
        <v>205572.35897435897</v>
      </c>
      <c r="I26" s="472">
        <f t="shared" si="4"/>
        <v>0</v>
      </c>
      <c r="J26" s="472"/>
      <c r="K26" s="473">
        <f t="shared" ref="K26" si="16">G26</f>
        <v>205572.35897435897</v>
      </c>
      <c r="L26" s="600">
        <f t="shared" ref="L26" si="17">IF(K26&lt;&gt;0,+G26-K26,0)</f>
        <v>0</v>
      </c>
      <c r="M26" s="473">
        <f t="shared" ref="M26" si="18">H26</f>
        <v>205572.35897435897</v>
      </c>
      <c r="N26" s="475">
        <f t="shared" si="5"/>
        <v>0</v>
      </c>
      <c r="O26" s="475">
        <f t="shared" si="6"/>
        <v>0</v>
      </c>
      <c r="P26" s="241"/>
    </row>
    <row r="27" spans="2:16" ht="12.5">
      <c r="B27" s="160" t="str">
        <f t="shared" si="3"/>
        <v/>
      </c>
      <c r="C27" s="469">
        <f>IF(D11="","-",+C26+1)</f>
        <v>2024</v>
      </c>
      <c r="D27" s="575">
        <v>1351597.0701246201</v>
      </c>
      <c r="E27" s="576">
        <v>44247.358974358976</v>
      </c>
      <c r="F27" s="575">
        <v>1307349.7111502611</v>
      </c>
      <c r="G27" s="576">
        <v>202931.90780697661</v>
      </c>
      <c r="H27" s="599">
        <v>202931.90780697661</v>
      </c>
      <c r="I27" s="472">
        <f t="shared" si="4"/>
        <v>0</v>
      </c>
      <c r="J27" s="472"/>
      <c r="K27" s="473">
        <f t="shared" ref="K27" si="19">G27</f>
        <v>202931.90780697661</v>
      </c>
      <c r="L27" s="600">
        <f t="shared" ref="L27" si="20">IF(K27&lt;&gt;0,+G27-K27,0)</f>
        <v>0</v>
      </c>
      <c r="M27" s="473">
        <f t="shared" ref="M27" si="21">H27</f>
        <v>202931.90780697661</v>
      </c>
      <c r="N27" s="475">
        <f t="shared" ref="N27" si="22">IF(M27&lt;&gt;0,+H27-M27,0)</f>
        <v>0</v>
      </c>
      <c r="O27" s="475">
        <f t="shared" ref="O27" si="23">+N27-L27</f>
        <v>0</v>
      </c>
      <c r="P27" s="241"/>
    </row>
    <row r="28" spans="2:16" ht="12.5">
      <c r="B28" s="160" t="str">
        <f t="shared" si="3"/>
        <v/>
      </c>
      <c r="C28" s="469">
        <f>IF(D11="","-",+C27+1)</f>
        <v>2025</v>
      </c>
      <c r="D28" s="482">
        <f>IF(F27+SUM(E$17:E27)=D$10,F27,D$10-SUM(E$17:E27))</f>
        <v>1307349.7111502611</v>
      </c>
      <c r="E28" s="481">
        <f t="shared" ref="E28:E72" si="24">IF(+$I$14&lt;F27,$I$14,D28)</f>
        <v>45411.76315789474</v>
      </c>
      <c r="F28" s="482">
        <f t="shared" ref="F28:F72" si="25">+D28-E28</f>
        <v>1261937.9479923663</v>
      </c>
      <c r="G28" s="483">
        <f t="shared" ref="G28:G72" si="26">(D28+F28)/2*I$12+E28</f>
        <v>191527.39330629754</v>
      </c>
      <c r="H28" s="452">
        <f t="shared" ref="H28:H72" si="27">+(D28+F28)/2*I$13+E28</f>
        <v>191527.39330629754</v>
      </c>
      <c r="I28" s="472">
        <f t="shared" si="4"/>
        <v>0</v>
      </c>
      <c r="J28" s="472"/>
      <c r="K28" s="484"/>
      <c r="L28" s="475">
        <f t="shared" ref="L28:L72" si="28">IF(K28&lt;&gt;0,+G28-K28,0)</f>
        <v>0</v>
      </c>
      <c r="M28" s="484"/>
      <c r="N28" s="475">
        <f t="shared" si="5"/>
        <v>0</v>
      </c>
      <c r="O28" s="475">
        <f t="shared" si="6"/>
        <v>0</v>
      </c>
      <c r="P28" s="241"/>
    </row>
    <row r="29" spans="2:16" ht="12.5">
      <c r="B29" s="160" t="str">
        <f t="shared" si="3"/>
        <v/>
      </c>
      <c r="C29" s="469">
        <f>IF(D11="","-",+C28+1)</f>
        <v>2026</v>
      </c>
      <c r="D29" s="482">
        <f>IF(F28+SUM(E$17:E28)=D$10,F28,D$10-SUM(E$17:E28))</f>
        <v>1261937.9479923663</v>
      </c>
      <c r="E29" s="481">
        <f t="shared" si="24"/>
        <v>45411.76315789474</v>
      </c>
      <c r="F29" s="482">
        <f t="shared" si="25"/>
        <v>1216526.1848344714</v>
      </c>
      <c r="G29" s="483">
        <f t="shared" si="26"/>
        <v>186362.2508463987</v>
      </c>
      <c r="H29" s="452">
        <f t="shared" si="27"/>
        <v>186362.2508463987</v>
      </c>
      <c r="I29" s="472">
        <f t="shared" si="4"/>
        <v>0</v>
      </c>
      <c r="J29" s="472"/>
      <c r="K29" s="484"/>
      <c r="L29" s="475">
        <f t="shared" si="28"/>
        <v>0</v>
      </c>
      <c r="M29" s="484"/>
      <c r="N29" s="475">
        <f t="shared" si="5"/>
        <v>0</v>
      </c>
      <c r="O29" s="475">
        <f t="shared" si="6"/>
        <v>0</v>
      </c>
      <c r="P29" s="241"/>
    </row>
    <row r="30" spans="2:16" ht="12.5">
      <c r="B30" s="160" t="str">
        <f t="shared" si="3"/>
        <v/>
      </c>
      <c r="C30" s="469">
        <f>IF(D11="","-",+C29+1)</f>
        <v>2027</v>
      </c>
      <c r="D30" s="482">
        <f>IF(F29+SUM(E$17:E29)=D$10,F29,D$10-SUM(E$17:E29))</f>
        <v>1216526.1848344714</v>
      </c>
      <c r="E30" s="481">
        <f t="shared" si="24"/>
        <v>45411.76315789474</v>
      </c>
      <c r="F30" s="482">
        <f t="shared" si="25"/>
        <v>1171114.4216765766</v>
      </c>
      <c r="G30" s="483">
        <f t="shared" si="26"/>
        <v>181197.10838649989</v>
      </c>
      <c r="H30" s="452">
        <f t="shared" si="27"/>
        <v>181197.10838649989</v>
      </c>
      <c r="I30" s="472">
        <f t="shared" si="4"/>
        <v>0</v>
      </c>
      <c r="J30" s="472"/>
      <c r="K30" s="484"/>
      <c r="L30" s="475">
        <f t="shared" si="28"/>
        <v>0</v>
      </c>
      <c r="M30" s="484"/>
      <c r="N30" s="475">
        <f t="shared" si="5"/>
        <v>0</v>
      </c>
      <c r="O30" s="475">
        <f t="shared" si="6"/>
        <v>0</v>
      </c>
      <c r="P30" s="241"/>
    </row>
    <row r="31" spans="2:16" ht="12.5">
      <c r="B31" s="160" t="str">
        <f t="shared" si="3"/>
        <v/>
      </c>
      <c r="C31" s="469">
        <f>IF(D11="","-",+C30+1)</f>
        <v>2028</v>
      </c>
      <c r="D31" s="482">
        <f>IF(F30+SUM(E$17:E30)=D$10,F30,D$10-SUM(E$17:E30))</f>
        <v>1171114.4216765766</v>
      </c>
      <c r="E31" s="481">
        <f t="shared" si="24"/>
        <v>45411.76315789474</v>
      </c>
      <c r="F31" s="482">
        <f t="shared" si="25"/>
        <v>1125702.6585186818</v>
      </c>
      <c r="G31" s="483">
        <f t="shared" si="26"/>
        <v>176031.96592660106</v>
      </c>
      <c r="H31" s="452">
        <f t="shared" si="27"/>
        <v>176031.96592660106</v>
      </c>
      <c r="I31" s="472">
        <f t="shared" si="4"/>
        <v>0</v>
      </c>
      <c r="J31" s="472"/>
      <c r="K31" s="484"/>
      <c r="L31" s="475">
        <f t="shared" si="28"/>
        <v>0</v>
      </c>
      <c r="M31" s="484"/>
      <c r="N31" s="475">
        <f t="shared" si="5"/>
        <v>0</v>
      </c>
      <c r="O31" s="475">
        <f t="shared" si="6"/>
        <v>0</v>
      </c>
      <c r="P31" s="241"/>
    </row>
    <row r="32" spans="2:16" ht="12.5">
      <c r="B32" s="160" t="str">
        <f t="shared" si="3"/>
        <v/>
      </c>
      <c r="C32" s="469">
        <f>IF(D11="","-",+C31+1)</f>
        <v>2029</v>
      </c>
      <c r="D32" s="482">
        <f>IF(F31+SUM(E$17:E31)=D$10,F31,D$10-SUM(E$17:E31))</f>
        <v>1125702.6585186818</v>
      </c>
      <c r="E32" s="481">
        <f t="shared" si="24"/>
        <v>45411.76315789474</v>
      </c>
      <c r="F32" s="482">
        <f t="shared" si="25"/>
        <v>1080290.8953607869</v>
      </c>
      <c r="G32" s="483">
        <f t="shared" si="26"/>
        <v>170866.82346670222</v>
      </c>
      <c r="H32" s="452">
        <f t="shared" si="27"/>
        <v>170866.82346670222</v>
      </c>
      <c r="I32" s="472">
        <f t="shared" si="4"/>
        <v>0</v>
      </c>
      <c r="J32" s="472"/>
      <c r="K32" s="484"/>
      <c r="L32" s="475">
        <f t="shared" si="28"/>
        <v>0</v>
      </c>
      <c r="M32" s="484"/>
      <c r="N32" s="475">
        <f t="shared" si="5"/>
        <v>0</v>
      </c>
      <c r="O32" s="475">
        <f t="shared" si="6"/>
        <v>0</v>
      </c>
      <c r="P32" s="241"/>
    </row>
    <row r="33" spans="2:16" ht="12.5">
      <c r="B33" s="160" t="str">
        <f t="shared" si="3"/>
        <v/>
      </c>
      <c r="C33" s="469">
        <f>IF(D11="","-",+C32+1)</f>
        <v>2030</v>
      </c>
      <c r="D33" s="482">
        <f>IF(F32+SUM(E$17:E32)=D$10,F32,D$10-SUM(E$17:E32))</f>
        <v>1080290.8953607869</v>
      </c>
      <c r="E33" s="481">
        <f t="shared" si="24"/>
        <v>45411.76315789474</v>
      </c>
      <c r="F33" s="482">
        <f t="shared" si="25"/>
        <v>1034879.1322028922</v>
      </c>
      <c r="G33" s="483">
        <f t="shared" si="26"/>
        <v>165701.68100680338</v>
      </c>
      <c r="H33" s="452">
        <f t="shared" si="27"/>
        <v>165701.68100680338</v>
      </c>
      <c r="I33" s="472">
        <f t="shared" si="4"/>
        <v>0</v>
      </c>
      <c r="J33" s="472"/>
      <c r="K33" s="484"/>
      <c r="L33" s="475">
        <f t="shared" si="28"/>
        <v>0</v>
      </c>
      <c r="M33" s="484"/>
      <c r="N33" s="475">
        <f t="shared" si="5"/>
        <v>0</v>
      </c>
      <c r="O33" s="475">
        <f t="shared" si="6"/>
        <v>0</v>
      </c>
      <c r="P33" s="241"/>
    </row>
    <row r="34" spans="2:16" ht="12.5">
      <c r="B34" s="160" t="str">
        <f t="shared" si="3"/>
        <v/>
      </c>
      <c r="C34" s="469">
        <f>IF(D11="","-",+C33+1)</f>
        <v>2031</v>
      </c>
      <c r="D34" s="482">
        <f>IF(F33+SUM(E$17:E33)=D$10,F33,D$10-SUM(E$17:E33))</f>
        <v>1034879.1322028922</v>
      </c>
      <c r="E34" s="481">
        <f t="shared" si="24"/>
        <v>45411.76315789474</v>
      </c>
      <c r="F34" s="482">
        <f t="shared" si="25"/>
        <v>989467.3690449975</v>
      </c>
      <c r="G34" s="483">
        <f t="shared" si="26"/>
        <v>160536.5385469046</v>
      </c>
      <c r="H34" s="452">
        <f t="shared" si="27"/>
        <v>160536.5385469046</v>
      </c>
      <c r="I34" s="472">
        <f t="shared" si="4"/>
        <v>0</v>
      </c>
      <c r="J34" s="472"/>
      <c r="K34" s="484"/>
      <c r="L34" s="475">
        <f t="shared" si="28"/>
        <v>0</v>
      </c>
      <c r="M34" s="484"/>
      <c r="N34" s="475">
        <f t="shared" si="5"/>
        <v>0</v>
      </c>
      <c r="O34" s="475">
        <f t="shared" si="6"/>
        <v>0</v>
      </c>
      <c r="P34" s="241"/>
    </row>
    <row r="35" spans="2:16" ht="12.5">
      <c r="B35" s="160" t="str">
        <f t="shared" si="3"/>
        <v/>
      </c>
      <c r="C35" s="469">
        <f>IF(D11="","-",+C34+1)</f>
        <v>2032</v>
      </c>
      <c r="D35" s="482">
        <f>IF(F34+SUM(E$17:E34)=D$10,F34,D$10-SUM(E$17:E34))</f>
        <v>989467.3690449975</v>
      </c>
      <c r="E35" s="481">
        <f t="shared" si="24"/>
        <v>45411.76315789474</v>
      </c>
      <c r="F35" s="482">
        <f t="shared" si="25"/>
        <v>944055.60588710278</v>
      </c>
      <c r="G35" s="483">
        <f t="shared" si="26"/>
        <v>155371.39608700576</v>
      </c>
      <c r="H35" s="452">
        <f t="shared" si="27"/>
        <v>155371.39608700576</v>
      </c>
      <c r="I35" s="472">
        <f t="shared" si="4"/>
        <v>0</v>
      </c>
      <c r="J35" s="472"/>
      <c r="K35" s="484"/>
      <c r="L35" s="475">
        <f t="shared" si="28"/>
        <v>0</v>
      </c>
      <c r="M35" s="484"/>
      <c r="N35" s="475">
        <f t="shared" si="5"/>
        <v>0</v>
      </c>
      <c r="O35" s="475">
        <f t="shared" si="6"/>
        <v>0</v>
      </c>
      <c r="P35" s="241"/>
    </row>
    <row r="36" spans="2:16" ht="12.5">
      <c r="B36" s="160" t="str">
        <f t="shared" si="3"/>
        <v/>
      </c>
      <c r="C36" s="469">
        <f>IF(D11="","-",+C35+1)</f>
        <v>2033</v>
      </c>
      <c r="D36" s="482">
        <f>IF(F35+SUM(E$17:E35)=D$10,F35,D$10-SUM(E$17:E35))</f>
        <v>944055.60588710278</v>
      </c>
      <c r="E36" s="481">
        <f t="shared" si="24"/>
        <v>45411.76315789474</v>
      </c>
      <c r="F36" s="482">
        <f t="shared" si="25"/>
        <v>898643.84272920806</v>
      </c>
      <c r="G36" s="483">
        <f t="shared" si="26"/>
        <v>150206.25362710695</v>
      </c>
      <c r="H36" s="452">
        <f t="shared" si="27"/>
        <v>150206.25362710695</v>
      </c>
      <c r="I36" s="472">
        <f t="shared" si="4"/>
        <v>0</v>
      </c>
      <c r="J36" s="472"/>
      <c r="K36" s="484"/>
      <c r="L36" s="475">
        <f t="shared" si="28"/>
        <v>0</v>
      </c>
      <c r="M36" s="484"/>
      <c r="N36" s="475">
        <f t="shared" si="5"/>
        <v>0</v>
      </c>
      <c r="O36" s="475">
        <f t="shared" si="6"/>
        <v>0</v>
      </c>
      <c r="P36" s="241"/>
    </row>
    <row r="37" spans="2:16" ht="12.5">
      <c r="B37" s="160" t="str">
        <f t="shared" si="3"/>
        <v/>
      </c>
      <c r="C37" s="469">
        <f>IF(D11="","-",+C36+1)</f>
        <v>2034</v>
      </c>
      <c r="D37" s="482">
        <f>IF(F36+SUM(E$17:E36)=D$10,F36,D$10-SUM(E$17:E36))</f>
        <v>898643.84272920806</v>
      </c>
      <c r="E37" s="481">
        <f t="shared" si="24"/>
        <v>45411.76315789474</v>
      </c>
      <c r="F37" s="482">
        <f t="shared" si="25"/>
        <v>853232.07957131334</v>
      </c>
      <c r="G37" s="483">
        <f t="shared" si="26"/>
        <v>145041.11116720815</v>
      </c>
      <c r="H37" s="452">
        <f t="shared" si="27"/>
        <v>145041.11116720815</v>
      </c>
      <c r="I37" s="472">
        <f t="shared" si="4"/>
        <v>0</v>
      </c>
      <c r="J37" s="472"/>
      <c r="K37" s="484"/>
      <c r="L37" s="475">
        <f t="shared" si="28"/>
        <v>0</v>
      </c>
      <c r="M37" s="484"/>
      <c r="N37" s="475">
        <f t="shared" si="5"/>
        <v>0</v>
      </c>
      <c r="O37" s="475">
        <f t="shared" si="6"/>
        <v>0</v>
      </c>
      <c r="P37" s="241"/>
    </row>
    <row r="38" spans="2:16" ht="12.5">
      <c r="B38" s="160" t="str">
        <f t="shared" si="3"/>
        <v/>
      </c>
      <c r="C38" s="469">
        <f>IF(D11="","-",+C37+1)</f>
        <v>2035</v>
      </c>
      <c r="D38" s="482">
        <f>IF(F37+SUM(E$17:E37)=D$10,F37,D$10-SUM(E$17:E37))</f>
        <v>853232.07957131334</v>
      </c>
      <c r="E38" s="481">
        <f t="shared" si="24"/>
        <v>45411.76315789474</v>
      </c>
      <c r="F38" s="482">
        <f t="shared" si="25"/>
        <v>807820.31641341862</v>
      </c>
      <c r="G38" s="483">
        <f t="shared" si="26"/>
        <v>139875.96870730934</v>
      </c>
      <c r="H38" s="452">
        <f t="shared" si="27"/>
        <v>139875.96870730934</v>
      </c>
      <c r="I38" s="472">
        <f t="shared" si="4"/>
        <v>0</v>
      </c>
      <c r="J38" s="472"/>
      <c r="K38" s="484"/>
      <c r="L38" s="475">
        <f t="shared" si="28"/>
        <v>0</v>
      </c>
      <c r="M38" s="484"/>
      <c r="N38" s="475">
        <f t="shared" si="5"/>
        <v>0</v>
      </c>
      <c r="O38" s="475">
        <f t="shared" si="6"/>
        <v>0</v>
      </c>
      <c r="P38" s="241"/>
    </row>
    <row r="39" spans="2:16" ht="12.5">
      <c r="B39" s="160" t="str">
        <f t="shared" si="3"/>
        <v/>
      </c>
      <c r="C39" s="469">
        <f>IF(D11="","-",+C38+1)</f>
        <v>2036</v>
      </c>
      <c r="D39" s="482">
        <f>IF(F38+SUM(E$17:E38)=D$10,F38,D$10-SUM(E$17:E38))</f>
        <v>807820.31641341862</v>
      </c>
      <c r="E39" s="481">
        <f t="shared" si="24"/>
        <v>45411.76315789474</v>
      </c>
      <c r="F39" s="482">
        <f t="shared" si="25"/>
        <v>762408.5532555239</v>
      </c>
      <c r="G39" s="483">
        <f t="shared" si="26"/>
        <v>134710.8262474105</v>
      </c>
      <c r="H39" s="452">
        <f t="shared" si="27"/>
        <v>134710.8262474105</v>
      </c>
      <c r="I39" s="472">
        <f t="shared" si="4"/>
        <v>0</v>
      </c>
      <c r="J39" s="472"/>
      <c r="K39" s="484"/>
      <c r="L39" s="475">
        <f t="shared" si="28"/>
        <v>0</v>
      </c>
      <c r="M39" s="484"/>
      <c r="N39" s="475">
        <f t="shared" si="5"/>
        <v>0</v>
      </c>
      <c r="O39" s="475">
        <f t="shared" si="6"/>
        <v>0</v>
      </c>
      <c r="P39" s="241"/>
    </row>
    <row r="40" spans="2:16" ht="12.5">
      <c r="B40" s="160" t="str">
        <f t="shared" si="3"/>
        <v/>
      </c>
      <c r="C40" s="469">
        <f>IF(D11="","-",+C39+1)</f>
        <v>2037</v>
      </c>
      <c r="D40" s="482">
        <f>IF(F39+SUM(E$17:E39)=D$10,F39,D$10-SUM(E$17:E39))</f>
        <v>762408.5532555239</v>
      </c>
      <c r="E40" s="481">
        <f t="shared" si="24"/>
        <v>45411.76315789474</v>
      </c>
      <c r="F40" s="482">
        <f t="shared" si="25"/>
        <v>716996.79009762919</v>
      </c>
      <c r="G40" s="483">
        <f t="shared" si="26"/>
        <v>129545.68378751169</v>
      </c>
      <c r="H40" s="452">
        <f t="shared" si="27"/>
        <v>129545.68378751169</v>
      </c>
      <c r="I40" s="472">
        <f t="shared" si="4"/>
        <v>0</v>
      </c>
      <c r="J40" s="472"/>
      <c r="K40" s="484"/>
      <c r="L40" s="475">
        <f t="shared" si="28"/>
        <v>0</v>
      </c>
      <c r="M40" s="484"/>
      <c r="N40" s="475">
        <f t="shared" si="5"/>
        <v>0</v>
      </c>
      <c r="O40" s="475">
        <f t="shared" si="6"/>
        <v>0</v>
      </c>
      <c r="P40" s="241"/>
    </row>
    <row r="41" spans="2:16" ht="12.5">
      <c r="B41" s="160" t="str">
        <f t="shared" si="3"/>
        <v/>
      </c>
      <c r="C41" s="469">
        <f>IF(D11="","-",+C40+1)</f>
        <v>2038</v>
      </c>
      <c r="D41" s="482">
        <f>IF(F40+SUM(E$17:E40)=D$10,F40,D$10-SUM(E$17:E40))</f>
        <v>716996.79009762919</v>
      </c>
      <c r="E41" s="481">
        <f t="shared" si="24"/>
        <v>45411.76315789474</v>
      </c>
      <c r="F41" s="482">
        <f t="shared" si="25"/>
        <v>671585.02693973447</v>
      </c>
      <c r="G41" s="483">
        <f t="shared" si="26"/>
        <v>124380.54132761288</v>
      </c>
      <c r="H41" s="452">
        <f t="shared" si="27"/>
        <v>124380.54132761288</v>
      </c>
      <c r="I41" s="472">
        <f t="shared" si="4"/>
        <v>0</v>
      </c>
      <c r="J41" s="472"/>
      <c r="K41" s="484"/>
      <c r="L41" s="475">
        <f t="shared" si="28"/>
        <v>0</v>
      </c>
      <c r="M41" s="484"/>
      <c r="N41" s="475">
        <f t="shared" si="5"/>
        <v>0</v>
      </c>
      <c r="O41" s="475">
        <f t="shared" si="6"/>
        <v>0</v>
      </c>
      <c r="P41" s="241"/>
    </row>
    <row r="42" spans="2:16" ht="12.5">
      <c r="B42" s="160" t="str">
        <f t="shared" si="3"/>
        <v/>
      </c>
      <c r="C42" s="469">
        <f>IF(D11="","-",+C41+1)</f>
        <v>2039</v>
      </c>
      <c r="D42" s="482">
        <f>IF(F41+SUM(E$17:E41)=D$10,F41,D$10-SUM(E$17:E41))</f>
        <v>671585.02693973447</v>
      </c>
      <c r="E42" s="481">
        <f t="shared" si="24"/>
        <v>45411.76315789474</v>
      </c>
      <c r="F42" s="482">
        <f t="shared" si="25"/>
        <v>626173.26378183975</v>
      </c>
      <c r="G42" s="483">
        <f t="shared" si="26"/>
        <v>119215.39886771407</v>
      </c>
      <c r="H42" s="452">
        <f t="shared" si="27"/>
        <v>119215.39886771407</v>
      </c>
      <c r="I42" s="472">
        <f t="shared" si="4"/>
        <v>0</v>
      </c>
      <c r="J42" s="472"/>
      <c r="K42" s="484"/>
      <c r="L42" s="475">
        <f t="shared" si="28"/>
        <v>0</v>
      </c>
      <c r="M42" s="484"/>
      <c r="N42" s="475">
        <f t="shared" si="5"/>
        <v>0</v>
      </c>
      <c r="O42" s="475">
        <f t="shared" si="6"/>
        <v>0</v>
      </c>
      <c r="P42" s="241"/>
    </row>
    <row r="43" spans="2:16" ht="12.5">
      <c r="B43" s="160" t="str">
        <f t="shared" si="3"/>
        <v/>
      </c>
      <c r="C43" s="469">
        <f>IF(D11="","-",+C42+1)</f>
        <v>2040</v>
      </c>
      <c r="D43" s="482">
        <f>IF(F42+SUM(E$17:E42)=D$10,F42,D$10-SUM(E$17:E42))</f>
        <v>626173.26378183975</v>
      </c>
      <c r="E43" s="481">
        <f t="shared" si="24"/>
        <v>45411.76315789474</v>
      </c>
      <c r="F43" s="482">
        <f t="shared" si="25"/>
        <v>580761.50062394503</v>
      </c>
      <c r="G43" s="483">
        <f t="shared" si="26"/>
        <v>114050.25640781524</v>
      </c>
      <c r="H43" s="452">
        <f t="shared" si="27"/>
        <v>114050.25640781524</v>
      </c>
      <c r="I43" s="472">
        <f t="shared" si="4"/>
        <v>0</v>
      </c>
      <c r="J43" s="472"/>
      <c r="K43" s="484"/>
      <c r="L43" s="475">
        <f t="shared" si="28"/>
        <v>0</v>
      </c>
      <c r="M43" s="484"/>
      <c r="N43" s="475">
        <f t="shared" si="5"/>
        <v>0</v>
      </c>
      <c r="O43" s="475">
        <f t="shared" si="6"/>
        <v>0</v>
      </c>
      <c r="P43" s="241"/>
    </row>
    <row r="44" spans="2:16" ht="12.5">
      <c r="B44" s="160" t="str">
        <f t="shared" si="3"/>
        <v/>
      </c>
      <c r="C44" s="469">
        <f>IF(D11="","-",+C43+1)</f>
        <v>2041</v>
      </c>
      <c r="D44" s="482">
        <f>IF(F43+SUM(E$17:E43)=D$10,F43,D$10-SUM(E$17:E43))</f>
        <v>580761.50062394503</v>
      </c>
      <c r="E44" s="481">
        <f t="shared" si="24"/>
        <v>45411.76315789474</v>
      </c>
      <c r="F44" s="482">
        <f t="shared" si="25"/>
        <v>535349.73746605031</v>
      </c>
      <c r="G44" s="483">
        <f t="shared" si="26"/>
        <v>108885.11394791646</v>
      </c>
      <c r="H44" s="452">
        <f t="shared" si="27"/>
        <v>108885.11394791646</v>
      </c>
      <c r="I44" s="472">
        <f t="shared" si="4"/>
        <v>0</v>
      </c>
      <c r="J44" s="472"/>
      <c r="K44" s="484"/>
      <c r="L44" s="475">
        <f t="shared" si="28"/>
        <v>0</v>
      </c>
      <c r="M44" s="484"/>
      <c r="N44" s="475">
        <f t="shared" si="5"/>
        <v>0</v>
      </c>
      <c r="O44" s="475">
        <f t="shared" si="6"/>
        <v>0</v>
      </c>
      <c r="P44" s="241"/>
    </row>
    <row r="45" spans="2:16" ht="12.5">
      <c r="B45" s="160" t="str">
        <f t="shared" si="3"/>
        <v/>
      </c>
      <c r="C45" s="469">
        <f>IF(D11="","-",+C44+1)</f>
        <v>2042</v>
      </c>
      <c r="D45" s="482">
        <f>IF(F44+SUM(E$17:E44)=D$10,F44,D$10-SUM(E$17:E44))</f>
        <v>535349.73746605031</v>
      </c>
      <c r="E45" s="481">
        <f t="shared" si="24"/>
        <v>45411.76315789474</v>
      </c>
      <c r="F45" s="482">
        <f t="shared" si="25"/>
        <v>489937.97430815559</v>
      </c>
      <c r="G45" s="483">
        <f t="shared" si="26"/>
        <v>103719.97148801762</v>
      </c>
      <c r="H45" s="452">
        <f t="shared" si="27"/>
        <v>103719.97148801762</v>
      </c>
      <c r="I45" s="472">
        <f t="shared" si="4"/>
        <v>0</v>
      </c>
      <c r="J45" s="472"/>
      <c r="K45" s="484"/>
      <c r="L45" s="475">
        <f t="shared" si="28"/>
        <v>0</v>
      </c>
      <c r="M45" s="484"/>
      <c r="N45" s="475">
        <f t="shared" si="5"/>
        <v>0</v>
      </c>
      <c r="O45" s="475">
        <f t="shared" si="6"/>
        <v>0</v>
      </c>
      <c r="P45" s="241"/>
    </row>
    <row r="46" spans="2:16" ht="12.5">
      <c r="B46" s="160" t="str">
        <f t="shared" si="3"/>
        <v/>
      </c>
      <c r="C46" s="469">
        <f>IF(D11="","-",+C45+1)</f>
        <v>2043</v>
      </c>
      <c r="D46" s="482">
        <f>IF(F45+SUM(E$17:E45)=D$10,F45,D$10-SUM(E$17:E45))</f>
        <v>489937.97430815559</v>
      </c>
      <c r="E46" s="481">
        <f t="shared" si="24"/>
        <v>45411.76315789474</v>
      </c>
      <c r="F46" s="482">
        <f t="shared" si="25"/>
        <v>444526.21115026088</v>
      </c>
      <c r="G46" s="483">
        <f t="shared" si="26"/>
        <v>98554.829028118809</v>
      </c>
      <c r="H46" s="452">
        <f t="shared" si="27"/>
        <v>98554.829028118809</v>
      </c>
      <c r="I46" s="472">
        <f t="shared" si="4"/>
        <v>0</v>
      </c>
      <c r="J46" s="472"/>
      <c r="K46" s="484"/>
      <c r="L46" s="475">
        <f t="shared" si="28"/>
        <v>0</v>
      </c>
      <c r="M46" s="484"/>
      <c r="N46" s="475">
        <f t="shared" si="5"/>
        <v>0</v>
      </c>
      <c r="O46" s="475">
        <f t="shared" si="6"/>
        <v>0</v>
      </c>
      <c r="P46" s="241"/>
    </row>
    <row r="47" spans="2:16" ht="12.5">
      <c r="B47" s="160" t="str">
        <f t="shared" si="3"/>
        <v/>
      </c>
      <c r="C47" s="469">
        <f>IF(D11="","-",+C46+1)</f>
        <v>2044</v>
      </c>
      <c r="D47" s="482">
        <f>IF(F46+SUM(E$17:E46)=D$10,F46,D$10-SUM(E$17:E46))</f>
        <v>444526.21115026088</v>
      </c>
      <c r="E47" s="481">
        <f t="shared" si="24"/>
        <v>45411.76315789474</v>
      </c>
      <c r="F47" s="482">
        <f t="shared" si="25"/>
        <v>399114.44799236616</v>
      </c>
      <c r="G47" s="483">
        <f t="shared" si="26"/>
        <v>93389.68656822</v>
      </c>
      <c r="H47" s="452">
        <f t="shared" si="27"/>
        <v>93389.68656822</v>
      </c>
      <c r="I47" s="472">
        <f t="shared" si="4"/>
        <v>0</v>
      </c>
      <c r="J47" s="472"/>
      <c r="K47" s="484"/>
      <c r="L47" s="475">
        <f t="shared" si="28"/>
        <v>0</v>
      </c>
      <c r="M47" s="484"/>
      <c r="N47" s="475">
        <f t="shared" si="5"/>
        <v>0</v>
      </c>
      <c r="O47" s="475">
        <f t="shared" si="6"/>
        <v>0</v>
      </c>
      <c r="P47" s="241"/>
    </row>
    <row r="48" spans="2:16" ht="12.5">
      <c r="B48" s="160" t="str">
        <f t="shared" si="3"/>
        <v/>
      </c>
      <c r="C48" s="469">
        <f>IF(D11="","-",+C47+1)</f>
        <v>2045</v>
      </c>
      <c r="D48" s="482">
        <f>IF(F47+SUM(E$17:E47)=D$10,F47,D$10-SUM(E$17:E47))</f>
        <v>399114.44799236616</v>
      </c>
      <c r="E48" s="481">
        <f t="shared" si="24"/>
        <v>45411.76315789474</v>
      </c>
      <c r="F48" s="482">
        <f t="shared" si="25"/>
        <v>353702.68483447144</v>
      </c>
      <c r="G48" s="483">
        <f t="shared" si="26"/>
        <v>88224.544108321192</v>
      </c>
      <c r="H48" s="452">
        <f t="shared" si="27"/>
        <v>88224.544108321192</v>
      </c>
      <c r="I48" s="472">
        <f t="shared" si="4"/>
        <v>0</v>
      </c>
      <c r="J48" s="472"/>
      <c r="K48" s="484"/>
      <c r="L48" s="475">
        <f t="shared" si="28"/>
        <v>0</v>
      </c>
      <c r="M48" s="484"/>
      <c r="N48" s="475">
        <f t="shared" si="5"/>
        <v>0</v>
      </c>
      <c r="O48" s="475">
        <f t="shared" si="6"/>
        <v>0</v>
      </c>
      <c r="P48" s="241"/>
    </row>
    <row r="49" spans="2:16" ht="12.5">
      <c r="B49" s="160" t="str">
        <f t="shared" si="3"/>
        <v/>
      </c>
      <c r="C49" s="469">
        <f>IF(D11="","-",+C48+1)</f>
        <v>2046</v>
      </c>
      <c r="D49" s="482">
        <f>IF(F48+SUM(E$17:E48)=D$10,F48,D$10-SUM(E$17:E48))</f>
        <v>353702.68483447144</v>
      </c>
      <c r="E49" s="481">
        <f t="shared" si="24"/>
        <v>45411.76315789474</v>
      </c>
      <c r="F49" s="482">
        <f t="shared" si="25"/>
        <v>308290.92167657672</v>
      </c>
      <c r="G49" s="483">
        <f t="shared" si="26"/>
        <v>83059.401648422368</v>
      </c>
      <c r="H49" s="452">
        <f t="shared" si="27"/>
        <v>83059.401648422368</v>
      </c>
      <c r="I49" s="472">
        <f t="shared" si="4"/>
        <v>0</v>
      </c>
      <c r="J49" s="472"/>
      <c r="K49" s="484"/>
      <c r="L49" s="475">
        <f t="shared" si="28"/>
        <v>0</v>
      </c>
      <c r="M49" s="484"/>
      <c r="N49" s="475">
        <f t="shared" si="5"/>
        <v>0</v>
      </c>
      <c r="O49" s="475">
        <f t="shared" si="6"/>
        <v>0</v>
      </c>
      <c r="P49" s="241"/>
    </row>
    <row r="50" spans="2:16" ht="12.5">
      <c r="B50" s="160" t="str">
        <f t="shared" si="3"/>
        <v/>
      </c>
      <c r="C50" s="469">
        <f>IF(D11="","-",+C49+1)</f>
        <v>2047</v>
      </c>
      <c r="D50" s="482">
        <f>IF(F49+SUM(E$17:E49)=D$10,F49,D$10-SUM(E$17:E49))</f>
        <v>308290.92167657672</v>
      </c>
      <c r="E50" s="481">
        <f t="shared" si="24"/>
        <v>45411.76315789474</v>
      </c>
      <c r="F50" s="482">
        <f t="shared" si="25"/>
        <v>262879.158518682</v>
      </c>
      <c r="G50" s="483">
        <f t="shared" si="26"/>
        <v>77894.259188523545</v>
      </c>
      <c r="H50" s="452">
        <f t="shared" si="27"/>
        <v>77894.259188523545</v>
      </c>
      <c r="I50" s="472">
        <f t="shared" si="4"/>
        <v>0</v>
      </c>
      <c r="J50" s="472"/>
      <c r="K50" s="484"/>
      <c r="L50" s="475">
        <f t="shared" si="28"/>
        <v>0</v>
      </c>
      <c r="M50" s="484"/>
      <c r="N50" s="475">
        <f t="shared" si="5"/>
        <v>0</v>
      </c>
      <c r="O50" s="475">
        <f t="shared" si="6"/>
        <v>0</v>
      </c>
      <c r="P50" s="241"/>
    </row>
    <row r="51" spans="2:16" ht="12.5">
      <c r="B51" s="160" t="str">
        <f t="shared" si="3"/>
        <v/>
      </c>
      <c r="C51" s="469">
        <f>IF(D11="","-",+C50+1)</f>
        <v>2048</v>
      </c>
      <c r="D51" s="482">
        <f>IF(F50+SUM(E$17:E50)=D$10,F50,D$10-SUM(E$17:E50))</f>
        <v>262879.158518682</v>
      </c>
      <c r="E51" s="481">
        <f t="shared" si="24"/>
        <v>45411.76315789474</v>
      </c>
      <c r="F51" s="482">
        <f t="shared" si="25"/>
        <v>217467.39536078725</v>
      </c>
      <c r="G51" s="483">
        <f t="shared" si="26"/>
        <v>72729.116728624736</v>
      </c>
      <c r="H51" s="452">
        <f t="shared" si="27"/>
        <v>72729.116728624736</v>
      </c>
      <c r="I51" s="472">
        <f t="shared" si="4"/>
        <v>0</v>
      </c>
      <c r="J51" s="472"/>
      <c r="K51" s="484"/>
      <c r="L51" s="475">
        <f t="shared" si="28"/>
        <v>0</v>
      </c>
      <c r="M51" s="484"/>
      <c r="N51" s="475">
        <f t="shared" si="5"/>
        <v>0</v>
      </c>
      <c r="O51" s="475">
        <f t="shared" si="6"/>
        <v>0</v>
      </c>
      <c r="P51" s="241"/>
    </row>
    <row r="52" spans="2:16" ht="12.5">
      <c r="B52" s="160" t="str">
        <f t="shared" si="3"/>
        <v/>
      </c>
      <c r="C52" s="469">
        <f>IF(D11="","-",+C51+1)</f>
        <v>2049</v>
      </c>
      <c r="D52" s="482">
        <f>IF(F51+SUM(E$17:E51)=D$10,F51,D$10-SUM(E$17:E51))</f>
        <v>217467.39536078725</v>
      </c>
      <c r="E52" s="481">
        <f t="shared" si="24"/>
        <v>45411.76315789474</v>
      </c>
      <c r="F52" s="482">
        <f t="shared" si="25"/>
        <v>172055.63220289251</v>
      </c>
      <c r="G52" s="483">
        <f t="shared" si="26"/>
        <v>67563.974268725913</v>
      </c>
      <c r="H52" s="452">
        <f t="shared" si="27"/>
        <v>67563.974268725913</v>
      </c>
      <c r="I52" s="472">
        <f t="shared" si="4"/>
        <v>0</v>
      </c>
      <c r="J52" s="472"/>
      <c r="K52" s="484"/>
      <c r="L52" s="475">
        <f t="shared" si="28"/>
        <v>0</v>
      </c>
      <c r="M52" s="484"/>
      <c r="N52" s="475">
        <f t="shared" si="5"/>
        <v>0</v>
      </c>
      <c r="O52" s="475">
        <f t="shared" si="6"/>
        <v>0</v>
      </c>
      <c r="P52" s="241"/>
    </row>
    <row r="53" spans="2:16" ht="12.5">
      <c r="B53" s="160" t="str">
        <f t="shared" si="3"/>
        <v/>
      </c>
      <c r="C53" s="469">
        <f>IF(D11="","-",+C52+1)</f>
        <v>2050</v>
      </c>
      <c r="D53" s="482">
        <f>IF(F52+SUM(E$17:E52)=D$10,F52,D$10-SUM(E$17:E52))</f>
        <v>172055.63220289251</v>
      </c>
      <c r="E53" s="481">
        <f t="shared" si="24"/>
        <v>45411.76315789474</v>
      </c>
      <c r="F53" s="482">
        <f t="shared" si="25"/>
        <v>126643.86904499776</v>
      </c>
      <c r="G53" s="483">
        <f t="shared" si="26"/>
        <v>62398.831808827104</v>
      </c>
      <c r="H53" s="452">
        <f t="shared" si="27"/>
        <v>62398.831808827104</v>
      </c>
      <c r="I53" s="472">
        <f t="shared" si="4"/>
        <v>0</v>
      </c>
      <c r="J53" s="472"/>
      <c r="K53" s="484"/>
      <c r="L53" s="475">
        <f t="shared" si="28"/>
        <v>0</v>
      </c>
      <c r="M53" s="484"/>
      <c r="N53" s="475">
        <f t="shared" si="5"/>
        <v>0</v>
      </c>
      <c r="O53" s="475">
        <f t="shared" si="6"/>
        <v>0</v>
      </c>
      <c r="P53" s="241"/>
    </row>
    <row r="54" spans="2:16" ht="12.5">
      <c r="B54" s="160" t="str">
        <f t="shared" si="3"/>
        <v/>
      </c>
      <c r="C54" s="469">
        <f>IF(D11="","-",+C53+1)</f>
        <v>2051</v>
      </c>
      <c r="D54" s="482">
        <f>IF(F53+SUM(E$17:E53)=D$10,F53,D$10-SUM(E$17:E53))</f>
        <v>126643.86904499776</v>
      </c>
      <c r="E54" s="481">
        <f t="shared" si="24"/>
        <v>45411.76315789474</v>
      </c>
      <c r="F54" s="482">
        <f t="shared" si="25"/>
        <v>81232.105887103011</v>
      </c>
      <c r="G54" s="483">
        <f t="shared" si="26"/>
        <v>57233.689348928281</v>
      </c>
      <c r="H54" s="452">
        <f t="shared" si="27"/>
        <v>57233.689348928281</v>
      </c>
      <c r="I54" s="472">
        <f t="shared" si="4"/>
        <v>0</v>
      </c>
      <c r="J54" s="472"/>
      <c r="K54" s="484"/>
      <c r="L54" s="475">
        <f t="shared" si="28"/>
        <v>0</v>
      </c>
      <c r="M54" s="484"/>
      <c r="N54" s="475">
        <f t="shared" si="5"/>
        <v>0</v>
      </c>
      <c r="O54" s="475">
        <f t="shared" si="6"/>
        <v>0</v>
      </c>
      <c r="P54" s="241"/>
    </row>
    <row r="55" spans="2:16" ht="12.5">
      <c r="B55" s="160" t="str">
        <f t="shared" si="3"/>
        <v/>
      </c>
      <c r="C55" s="469">
        <f>IF(D11="","-",+C54+1)</f>
        <v>2052</v>
      </c>
      <c r="D55" s="482">
        <f>IF(F54+SUM(E$17:E54)=D$10,F54,D$10-SUM(E$17:E54))</f>
        <v>81232.105887103011</v>
      </c>
      <c r="E55" s="481">
        <f t="shared" si="24"/>
        <v>45411.76315789474</v>
      </c>
      <c r="F55" s="482">
        <f t="shared" si="25"/>
        <v>35820.342729208271</v>
      </c>
      <c r="G55" s="483">
        <f t="shared" si="26"/>
        <v>52068.546889029465</v>
      </c>
      <c r="H55" s="452">
        <f t="shared" si="27"/>
        <v>52068.546889029465</v>
      </c>
      <c r="I55" s="472">
        <f t="shared" si="4"/>
        <v>0</v>
      </c>
      <c r="J55" s="472"/>
      <c r="K55" s="484"/>
      <c r="L55" s="475">
        <f t="shared" si="28"/>
        <v>0</v>
      </c>
      <c r="M55" s="484"/>
      <c r="N55" s="475">
        <f t="shared" si="5"/>
        <v>0</v>
      </c>
      <c r="O55" s="475">
        <f t="shared" si="6"/>
        <v>0</v>
      </c>
      <c r="P55" s="241"/>
    </row>
    <row r="56" spans="2:16" ht="12.5">
      <c r="B56" s="160" t="str">
        <f t="shared" si="3"/>
        <v/>
      </c>
      <c r="C56" s="469">
        <f>IF(D11="","-",+C55+1)</f>
        <v>2053</v>
      </c>
      <c r="D56" s="482">
        <f>IF(F55+SUM(E$17:E55)=D$10,F55,D$10-SUM(E$17:E55))</f>
        <v>35820.342729208271</v>
      </c>
      <c r="E56" s="481">
        <f t="shared" si="24"/>
        <v>35820.342729208271</v>
      </c>
      <c r="F56" s="482">
        <f t="shared" si="25"/>
        <v>0</v>
      </c>
      <c r="G56" s="483">
        <f t="shared" si="26"/>
        <v>37857.448979800931</v>
      </c>
      <c r="H56" s="452">
        <f t="shared" si="27"/>
        <v>37857.448979800931</v>
      </c>
      <c r="I56" s="472">
        <f t="shared" si="4"/>
        <v>0</v>
      </c>
      <c r="J56" s="472"/>
      <c r="K56" s="484"/>
      <c r="L56" s="475">
        <f t="shared" si="28"/>
        <v>0</v>
      </c>
      <c r="M56" s="484"/>
      <c r="N56" s="475">
        <f t="shared" si="5"/>
        <v>0</v>
      </c>
      <c r="O56" s="475">
        <f t="shared" si="6"/>
        <v>0</v>
      </c>
      <c r="P56" s="241"/>
    </row>
    <row r="57" spans="2:16" ht="12.5">
      <c r="B57" s="160" t="str">
        <f t="shared" si="3"/>
        <v/>
      </c>
      <c r="C57" s="469">
        <f>IF(D11="","-",+C56+1)</f>
        <v>2054</v>
      </c>
      <c r="D57" s="482">
        <f>IF(F56+SUM(E$17:E56)=D$10,F56,D$10-SUM(E$17:E56))</f>
        <v>0</v>
      </c>
      <c r="E57" s="481">
        <f t="shared" si="24"/>
        <v>0</v>
      </c>
      <c r="F57" s="482">
        <f t="shared" si="25"/>
        <v>0</v>
      </c>
      <c r="G57" s="483">
        <f t="shared" si="26"/>
        <v>0</v>
      </c>
      <c r="H57" s="452">
        <f t="shared" si="27"/>
        <v>0</v>
      </c>
      <c r="I57" s="472">
        <f t="shared" si="4"/>
        <v>0</v>
      </c>
      <c r="J57" s="472"/>
      <c r="K57" s="484"/>
      <c r="L57" s="475">
        <f t="shared" si="28"/>
        <v>0</v>
      </c>
      <c r="M57" s="484"/>
      <c r="N57" s="475">
        <f t="shared" si="5"/>
        <v>0</v>
      </c>
      <c r="O57" s="475">
        <f t="shared" si="6"/>
        <v>0</v>
      </c>
      <c r="P57" s="241"/>
    </row>
    <row r="58" spans="2:16" ht="12.5">
      <c r="B58" s="160" t="str">
        <f t="shared" si="3"/>
        <v/>
      </c>
      <c r="C58" s="469">
        <f>IF(D11="","-",+C57+1)</f>
        <v>2055</v>
      </c>
      <c r="D58" s="482">
        <f>IF(F57+SUM(E$17:E57)=D$10,F57,D$10-SUM(E$17:E57))</f>
        <v>0</v>
      </c>
      <c r="E58" s="481">
        <f t="shared" si="24"/>
        <v>0</v>
      </c>
      <c r="F58" s="482">
        <f t="shared" si="25"/>
        <v>0</v>
      </c>
      <c r="G58" s="483">
        <f t="shared" si="26"/>
        <v>0</v>
      </c>
      <c r="H58" s="452">
        <f t="shared" si="27"/>
        <v>0</v>
      </c>
      <c r="I58" s="472">
        <f t="shared" si="4"/>
        <v>0</v>
      </c>
      <c r="J58" s="472"/>
      <c r="K58" s="484"/>
      <c r="L58" s="475">
        <f t="shared" si="28"/>
        <v>0</v>
      </c>
      <c r="M58" s="484"/>
      <c r="N58" s="475">
        <f t="shared" si="5"/>
        <v>0</v>
      </c>
      <c r="O58" s="475">
        <f t="shared" si="6"/>
        <v>0</v>
      </c>
      <c r="P58" s="241"/>
    </row>
    <row r="59" spans="2:16" ht="12.5">
      <c r="B59" s="160" t="str">
        <f t="shared" si="3"/>
        <v/>
      </c>
      <c r="C59" s="469">
        <f>IF(D11="","-",+C58+1)</f>
        <v>2056</v>
      </c>
      <c r="D59" s="482">
        <f>IF(F58+SUM(E$17:E58)=D$10,F58,D$10-SUM(E$17:E58))</f>
        <v>0</v>
      </c>
      <c r="E59" s="481">
        <f t="shared" si="24"/>
        <v>0</v>
      </c>
      <c r="F59" s="482">
        <f t="shared" si="25"/>
        <v>0</v>
      </c>
      <c r="G59" s="483">
        <f t="shared" si="26"/>
        <v>0</v>
      </c>
      <c r="H59" s="452">
        <f t="shared" si="27"/>
        <v>0</v>
      </c>
      <c r="I59" s="472">
        <f t="shared" si="4"/>
        <v>0</v>
      </c>
      <c r="J59" s="472"/>
      <c r="K59" s="484"/>
      <c r="L59" s="475">
        <f t="shared" si="28"/>
        <v>0</v>
      </c>
      <c r="M59" s="484"/>
      <c r="N59" s="475">
        <f t="shared" si="5"/>
        <v>0</v>
      </c>
      <c r="O59" s="475">
        <f t="shared" si="6"/>
        <v>0</v>
      </c>
      <c r="P59" s="241"/>
    </row>
    <row r="60" spans="2:16" ht="12.5">
      <c r="B60" s="160" t="str">
        <f t="shared" si="3"/>
        <v/>
      </c>
      <c r="C60" s="469">
        <f>IF(D11="","-",+C59+1)</f>
        <v>2057</v>
      </c>
      <c r="D60" s="482">
        <f>IF(F59+SUM(E$17:E59)=D$10,F59,D$10-SUM(E$17:E59))</f>
        <v>0</v>
      </c>
      <c r="E60" s="481">
        <f t="shared" si="24"/>
        <v>0</v>
      </c>
      <c r="F60" s="482">
        <f t="shared" si="25"/>
        <v>0</v>
      </c>
      <c r="G60" s="483">
        <f t="shared" si="26"/>
        <v>0</v>
      </c>
      <c r="H60" s="452">
        <f t="shared" si="27"/>
        <v>0</v>
      </c>
      <c r="I60" s="472">
        <f t="shared" si="4"/>
        <v>0</v>
      </c>
      <c r="J60" s="472"/>
      <c r="K60" s="484"/>
      <c r="L60" s="475">
        <f t="shared" si="28"/>
        <v>0</v>
      </c>
      <c r="M60" s="484"/>
      <c r="N60" s="475">
        <f t="shared" si="5"/>
        <v>0</v>
      </c>
      <c r="O60" s="475">
        <f t="shared" si="6"/>
        <v>0</v>
      </c>
      <c r="P60" s="241"/>
    </row>
    <row r="61" spans="2:16" ht="12.5">
      <c r="B61" s="160" t="str">
        <f t="shared" si="3"/>
        <v/>
      </c>
      <c r="C61" s="469">
        <f>IF(D11="","-",+C60+1)</f>
        <v>2058</v>
      </c>
      <c r="D61" s="482">
        <f>IF(F60+SUM(E$17:E60)=D$10,F60,D$10-SUM(E$17:E60))</f>
        <v>0</v>
      </c>
      <c r="E61" s="481">
        <f t="shared" si="24"/>
        <v>0</v>
      </c>
      <c r="F61" s="482">
        <f t="shared" si="25"/>
        <v>0</v>
      </c>
      <c r="G61" s="483">
        <f t="shared" si="26"/>
        <v>0</v>
      </c>
      <c r="H61" s="452">
        <f t="shared" si="27"/>
        <v>0</v>
      </c>
      <c r="I61" s="472">
        <f t="shared" si="4"/>
        <v>0</v>
      </c>
      <c r="J61" s="472"/>
      <c r="K61" s="484"/>
      <c r="L61" s="475">
        <f t="shared" si="28"/>
        <v>0</v>
      </c>
      <c r="M61" s="484"/>
      <c r="N61" s="475">
        <f t="shared" si="5"/>
        <v>0</v>
      </c>
      <c r="O61" s="475">
        <f t="shared" si="6"/>
        <v>0</v>
      </c>
      <c r="P61" s="241"/>
    </row>
    <row r="62" spans="2:16" ht="12.5">
      <c r="B62" s="160" t="str">
        <f t="shared" si="3"/>
        <v/>
      </c>
      <c r="C62" s="469">
        <f>IF(D11="","-",+C61+1)</f>
        <v>2059</v>
      </c>
      <c r="D62" s="482">
        <f>IF(F61+SUM(E$17:E61)=D$10,F61,D$10-SUM(E$17:E61))</f>
        <v>0</v>
      </c>
      <c r="E62" s="481">
        <f t="shared" si="24"/>
        <v>0</v>
      </c>
      <c r="F62" s="482">
        <f t="shared" si="25"/>
        <v>0</v>
      </c>
      <c r="G62" s="483">
        <f t="shared" si="26"/>
        <v>0</v>
      </c>
      <c r="H62" s="452">
        <f t="shared" si="27"/>
        <v>0</v>
      </c>
      <c r="I62" s="472">
        <f t="shared" si="4"/>
        <v>0</v>
      </c>
      <c r="J62" s="472"/>
      <c r="K62" s="484"/>
      <c r="L62" s="475">
        <f t="shared" si="28"/>
        <v>0</v>
      </c>
      <c r="M62" s="484"/>
      <c r="N62" s="475">
        <f t="shared" si="5"/>
        <v>0</v>
      </c>
      <c r="O62" s="475">
        <f t="shared" si="6"/>
        <v>0</v>
      </c>
      <c r="P62" s="241"/>
    </row>
    <row r="63" spans="2:16" ht="12.5">
      <c r="B63" s="160" t="str">
        <f t="shared" si="3"/>
        <v/>
      </c>
      <c r="C63" s="469">
        <f>IF(D11="","-",+C62+1)</f>
        <v>2060</v>
      </c>
      <c r="D63" s="482">
        <f>IF(F62+SUM(E$17:E62)=D$10,F62,D$10-SUM(E$17:E62))</f>
        <v>0</v>
      </c>
      <c r="E63" s="481">
        <f t="shared" si="24"/>
        <v>0</v>
      </c>
      <c r="F63" s="482">
        <f t="shared" si="25"/>
        <v>0</v>
      </c>
      <c r="G63" s="483">
        <f t="shared" si="26"/>
        <v>0</v>
      </c>
      <c r="H63" s="452">
        <f t="shared" si="27"/>
        <v>0</v>
      </c>
      <c r="I63" s="472">
        <f t="shared" si="4"/>
        <v>0</v>
      </c>
      <c r="J63" s="472"/>
      <c r="K63" s="484"/>
      <c r="L63" s="475">
        <f t="shared" si="28"/>
        <v>0</v>
      </c>
      <c r="M63" s="484"/>
      <c r="N63" s="475">
        <f t="shared" si="5"/>
        <v>0</v>
      </c>
      <c r="O63" s="475">
        <f t="shared" si="6"/>
        <v>0</v>
      </c>
      <c r="P63" s="241"/>
    </row>
    <row r="64" spans="2:16" ht="12.5">
      <c r="B64" s="160" t="str">
        <f t="shared" si="3"/>
        <v/>
      </c>
      <c r="C64" s="469">
        <f>IF(D11="","-",+C63+1)</f>
        <v>2061</v>
      </c>
      <c r="D64" s="482">
        <f>IF(F63+SUM(E$17:E63)=D$10,F63,D$10-SUM(E$17:E63))</f>
        <v>0</v>
      </c>
      <c r="E64" s="481">
        <f t="shared" si="24"/>
        <v>0</v>
      </c>
      <c r="F64" s="482">
        <f t="shared" si="25"/>
        <v>0</v>
      </c>
      <c r="G64" s="483">
        <f t="shared" si="26"/>
        <v>0</v>
      </c>
      <c r="H64" s="452">
        <f t="shared" si="27"/>
        <v>0</v>
      </c>
      <c r="I64" s="472">
        <f t="shared" si="4"/>
        <v>0</v>
      </c>
      <c r="J64" s="472"/>
      <c r="K64" s="484"/>
      <c r="L64" s="475">
        <f t="shared" si="28"/>
        <v>0</v>
      </c>
      <c r="M64" s="484"/>
      <c r="N64" s="475">
        <f t="shared" si="5"/>
        <v>0</v>
      </c>
      <c r="O64" s="475">
        <f t="shared" si="6"/>
        <v>0</v>
      </c>
      <c r="P64" s="241"/>
    </row>
    <row r="65" spans="2:16" ht="12.5">
      <c r="B65" s="160" t="str">
        <f t="shared" si="3"/>
        <v/>
      </c>
      <c r="C65" s="469">
        <f>IF(D11="","-",+C64+1)</f>
        <v>2062</v>
      </c>
      <c r="D65" s="482">
        <f>IF(F64+SUM(E$17:E64)=D$10,F64,D$10-SUM(E$17:E64))</f>
        <v>0</v>
      </c>
      <c r="E65" s="481">
        <f t="shared" si="24"/>
        <v>0</v>
      </c>
      <c r="F65" s="482">
        <f t="shared" si="25"/>
        <v>0</v>
      </c>
      <c r="G65" s="483">
        <f t="shared" si="26"/>
        <v>0</v>
      </c>
      <c r="H65" s="452">
        <f t="shared" si="27"/>
        <v>0</v>
      </c>
      <c r="I65" s="472">
        <f t="shared" si="4"/>
        <v>0</v>
      </c>
      <c r="J65" s="472"/>
      <c r="K65" s="484"/>
      <c r="L65" s="475">
        <f t="shared" si="28"/>
        <v>0</v>
      </c>
      <c r="M65" s="484"/>
      <c r="N65" s="475">
        <f t="shared" si="5"/>
        <v>0</v>
      </c>
      <c r="O65" s="475">
        <f t="shared" si="6"/>
        <v>0</v>
      </c>
      <c r="P65" s="241"/>
    </row>
    <row r="66" spans="2:16" ht="12.5">
      <c r="B66" s="160" t="str">
        <f t="shared" si="3"/>
        <v/>
      </c>
      <c r="C66" s="469">
        <f>IF(D11="","-",+C65+1)</f>
        <v>2063</v>
      </c>
      <c r="D66" s="482">
        <f>IF(F65+SUM(E$17:E65)=D$10,F65,D$10-SUM(E$17:E65))</f>
        <v>0</v>
      </c>
      <c r="E66" s="481">
        <f t="shared" si="24"/>
        <v>0</v>
      </c>
      <c r="F66" s="482">
        <f t="shared" si="25"/>
        <v>0</v>
      </c>
      <c r="G66" s="483">
        <f t="shared" si="26"/>
        <v>0</v>
      </c>
      <c r="H66" s="452">
        <f t="shared" si="27"/>
        <v>0</v>
      </c>
      <c r="I66" s="472">
        <f t="shared" si="4"/>
        <v>0</v>
      </c>
      <c r="J66" s="472"/>
      <c r="K66" s="484"/>
      <c r="L66" s="475">
        <f t="shared" si="28"/>
        <v>0</v>
      </c>
      <c r="M66" s="484"/>
      <c r="N66" s="475">
        <f t="shared" si="5"/>
        <v>0</v>
      </c>
      <c r="O66" s="475">
        <f t="shared" si="6"/>
        <v>0</v>
      </c>
      <c r="P66" s="241"/>
    </row>
    <row r="67" spans="2:16" ht="12.5">
      <c r="B67" s="160" t="str">
        <f t="shared" si="3"/>
        <v/>
      </c>
      <c r="C67" s="469">
        <f>IF(D11="","-",+C66+1)</f>
        <v>2064</v>
      </c>
      <c r="D67" s="482">
        <f>IF(F66+SUM(E$17:E66)=D$10,F66,D$10-SUM(E$17:E66))</f>
        <v>0</v>
      </c>
      <c r="E67" s="481">
        <f t="shared" si="24"/>
        <v>0</v>
      </c>
      <c r="F67" s="482">
        <f t="shared" si="25"/>
        <v>0</v>
      </c>
      <c r="G67" s="483">
        <f t="shared" si="26"/>
        <v>0</v>
      </c>
      <c r="H67" s="452">
        <f t="shared" si="27"/>
        <v>0</v>
      </c>
      <c r="I67" s="472">
        <f t="shared" si="4"/>
        <v>0</v>
      </c>
      <c r="J67" s="472"/>
      <c r="K67" s="484"/>
      <c r="L67" s="475">
        <f t="shared" si="28"/>
        <v>0</v>
      </c>
      <c r="M67" s="484"/>
      <c r="N67" s="475">
        <f t="shared" si="5"/>
        <v>0</v>
      </c>
      <c r="O67" s="475">
        <f t="shared" si="6"/>
        <v>0</v>
      </c>
      <c r="P67" s="241"/>
    </row>
    <row r="68" spans="2:16" ht="12.5">
      <c r="B68" s="160" t="str">
        <f t="shared" si="3"/>
        <v/>
      </c>
      <c r="C68" s="469">
        <f>IF(D11="","-",+C67+1)</f>
        <v>2065</v>
      </c>
      <c r="D68" s="482">
        <f>IF(F67+SUM(E$17:E67)=D$10,F67,D$10-SUM(E$17:E67))</f>
        <v>0</v>
      </c>
      <c r="E68" s="481">
        <f t="shared" si="24"/>
        <v>0</v>
      </c>
      <c r="F68" s="482">
        <f t="shared" si="25"/>
        <v>0</v>
      </c>
      <c r="G68" s="483">
        <f t="shared" si="26"/>
        <v>0</v>
      </c>
      <c r="H68" s="452">
        <f t="shared" si="27"/>
        <v>0</v>
      </c>
      <c r="I68" s="472">
        <f t="shared" si="4"/>
        <v>0</v>
      </c>
      <c r="J68" s="472"/>
      <c r="K68" s="484"/>
      <c r="L68" s="475">
        <f t="shared" si="28"/>
        <v>0</v>
      </c>
      <c r="M68" s="484"/>
      <c r="N68" s="475">
        <f t="shared" si="5"/>
        <v>0</v>
      </c>
      <c r="O68" s="475">
        <f t="shared" si="6"/>
        <v>0</v>
      </c>
      <c r="P68" s="241"/>
    </row>
    <row r="69" spans="2:16" ht="12.5">
      <c r="B69" s="160" t="str">
        <f t="shared" si="3"/>
        <v/>
      </c>
      <c r="C69" s="469">
        <f>IF(D11="","-",+C68+1)</f>
        <v>2066</v>
      </c>
      <c r="D69" s="482">
        <f>IF(F68+SUM(E$17:E68)=D$10,F68,D$10-SUM(E$17:E68))</f>
        <v>0</v>
      </c>
      <c r="E69" s="481">
        <f t="shared" si="24"/>
        <v>0</v>
      </c>
      <c r="F69" s="482">
        <f t="shared" si="25"/>
        <v>0</v>
      </c>
      <c r="G69" s="483">
        <f t="shared" si="26"/>
        <v>0</v>
      </c>
      <c r="H69" s="452">
        <f t="shared" si="27"/>
        <v>0</v>
      </c>
      <c r="I69" s="472">
        <f t="shared" si="4"/>
        <v>0</v>
      </c>
      <c r="J69" s="472"/>
      <c r="K69" s="484"/>
      <c r="L69" s="475">
        <f t="shared" si="28"/>
        <v>0</v>
      </c>
      <c r="M69" s="484"/>
      <c r="N69" s="475">
        <f t="shared" si="5"/>
        <v>0</v>
      </c>
      <c r="O69" s="475">
        <f t="shared" si="6"/>
        <v>0</v>
      </c>
      <c r="P69" s="241"/>
    </row>
    <row r="70" spans="2:16" ht="12.5">
      <c r="B70" s="160" t="str">
        <f t="shared" si="3"/>
        <v/>
      </c>
      <c r="C70" s="469">
        <f>IF(D11="","-",+C69+1)</f>
        <v>2067</v>
      </c>
      <c r="D70" s="482">
        <f>IF(F69+SUM(E$17:E69)=D$10,F69,D$10-SUM(E$17:E69))</f>
        <v>0</v>
      </c>
      <c r="E70" s="481">
        <f t="shared" si="24"/>
        <v>0</v>
      </c>
      <c r="F70" s="482">
        <f t="shared" si="25"/>
        <v>0</v>
      </c>
      <c r="G70" s="483">
        <f t="shared" si="26"/>
        <v>0</v>
      </c>
      <c r="H70" s="452">
        <f t="shared" si="27"/>
        <v>0</v>
      </c>
      <c r="I70" s="472">
        <f t="shared" si="4"/>
        <v>0</v>
      </c>
      <c r="J70" s="472"/>
      <c r="K70" s="484"/>
      <c r="L70" s="475">
        <f t="shared" si="28"/>
        <v>0</v>
      </c>
      <c r="M70" s="484"/>
      <c r="N70" s="475">
        <f t="shared" si="5"/>
        <v>0</v>
      </c>
      <c r="O70" s="475">
        <f t="shared" si="6"/>
        <v>0</v>
      </c>
      <c r="P70" s="241"/>
    </row>
    <row r="71" spans="2:16" ht="12.5">
      <c r="B71" s="160" t="str">
        <f t="shared" si="3"/>
        <v/>
      </c>
      <c r="C71" s="469">
        <f>IF(D11="","-",+C70+1)</f>
        <v>2068</v>
      </c>
      <c r="D71" s="482">
        <f>IF(F70+SUM(E$17:E70)=D$10,F70,D$10-SUM(E$17:E70))</f>
        <v>0</v>
      </c>
      <c r="E71" s="481">
        <f t="shared" si="24"/>
        <v>0</v>
      </c>
      <c r="F71" s="482">
        <f t="shared" si="25"/>
        <v>0</v>
      </c>
      <c r="G71" s="483">
        <f t="shared" si="26"/>
        <v>0</v>
      </c>
      <c r="H71" s="452">
        <f t="shared" si="27"/>
        <v>0</v>
      </c>
      <c r="I71" s="472">
        <f t="shared" si="4"/>
        <v>0</v>
      </c>
      <c r="J71" s="472"/>
      <c r="K71" s="484"/>
      <c r="L71" s="475">
        <f t="shared" si="28"/>
        <v>0</v>
      </c>
      <c r="M71" s="484"/>
      <c r="N71" s="475">
        <f t="shared" si="5"/>
        <v>0</v>
      </c>
      <c r="O71" s="475">
        <f t="shared" si="6"/>
        <v>0</v>
      </c>
      <c r="P71" s="241"/>
    </row>
    <row r="72" spans="2:16" ht="13" thickBot="1">
      <c r="B72" s="160" t="str">
        <f t="shared" si="3"/>
        <v/>
      </c>
      <c r="C72" s="486">
        <f>IF(D11="","-",+C71+1)</f>
        <v>2069</v>
      </c>
      <c r="D72" s="487">
        <f>IF(F71+SUM(E$17:E71)=D$10,F71,D$10-SUM(E$17:E71))</f>
        <v>0</v>
      </c>
      <c r="E72" s="488">
        <f t="shared" si="24"/>
        <v>0</v>
      </c>
      <c r="F72" s="487">
        <f t="shared" si="25"/>
        <v>0</v>
      </c>
      <c r="G72" s="487">
        <f t="shared" si="26"/>
        <v>0</v>
      </c>
      <c r="H72" s="487">
        <f t="shared" si="27"/>
        <v>0</v>
      </c>
      <c r="I72" s="490">
        <f t="shared" si="4"/>
        <v>0</v>
      </c>
      <c r="J72" s="472"/>
      <c r="K72" s="491"/>
      <c r="L72" s="492">
        <f t="shared" si="28"/>
        <v>0</v>
      </c>
      <c r="M72" s="491"/>
      <c r="N72" s="492">
        <f t="shared" si="5"/>
        <v>0</v>
      </c>
      <c r="O72" s="492">
        <f t="shared" si="6"/>
        <v>0</v>
      </c>
      <c r="P72" s="241"/>
    </row>
    <row r="73" spans="2:16" ht="12.5">
      <c r="C73" s="344" t="s">
        <v>77</v>
      </c>
      <c r="D73" s="345"/>
      <c r="E73" s="345">
        <f>SUM(E17:E72)</f>
        <v>1725647.0000000009</v>
      </c>
      <c r="F73" s="345"/>
      <c r="G73" s="345">
        <f>SUM(G17:G72)</f>
        <v>5898484.5178298829</v>
      </c>
      <c r="H73" s="345">
        <f>SUM(H17:H72)</f>
        <v>5898484.5178298829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18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202931.90780697661</v>
      </c>
      <c r="N87" s="505">
        <f>IF(J92&lt;D11,0,VLOOKUP(J92,C17:O72,11))</f>
        <v>202931.90780697661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225540.64299495853</v>
      </c>
      <c r="N88" s="509">
        <f>IF(J92&lt;D11,0,VLOOKUP(J92,C99:P154,7))</f>
        <v>225540.64299495853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Darlington-Red Rock 138 kV line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22608.735187981918</v>
      </c>
      <c r="N89" s="514">
        <f>+N88-N87</f>
        <v>22608.735187981918</v>
      </c>
      <c r="O89" s="515">
        <f>+O88-O87</f>
        <v>0</v>
      </c>
      <c r="P89" s="231"/>
    </row>
    <row r="90" spans="1:16" ht="13.5" thickBot="1">
      <c r="C90" s="493"/>
      <c r="D90" s="607" t="s">
        <v>269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TP2012112</v>
      </c>
      <c r="E91" s="519" t="str">
        <f>E9</f>
        <v xml:space="preserve">  SPP Project ID = 30746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605">
        <f>D10</f>
        <v>1725647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2014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4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45412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2014</v>
      </c>
      <c r="D99" s="581"/>
      <c r="E99" s="582"/>
      <c r="F99" s="583"/>
      <c r="G99" s="601"/>
      <c r="H99" s="602"/>
      <c r="I99" s="603"/>
      <c r="J99" s="475">
        <v>0</v>
      </c>
      <c r="K99" s="475"/>
      <c r="L99" s="473">
        <f t="shared" ref="L99:L104" si="29">H99</f>
        <v>0</v>
      </c>
      <c r="M99" s="346">
        <f t="shared" ref="M99:M104" si="30">IF(L99&lt;&gt;0,+H99-L99,0)</f>
        <v>0</v>
      </c>
      <c r="N99" s="473">
        <f t="shared" ref="N99:N104" si="31">I99</f>
        <v>0</v>
      </c>
      <c r="O99" s="472">
        <f>IF(N99&lt;&gt;0,+I99-N99,0)</f>
        <v>0</v>
      </c>
      <c r="P99" s="475">
        <f>+O99-M99</f>
        <v>0</v>
      </c>
    </row>
    <row r="100" spans="1:16" ht="12.5">
      <c r="B100" s="160" t="str">
        <f>IF(D100=F99,"","IU")</f>
        <v>IU</v>
      </c>
      <c r="C100" s="469">
        <f>IF(D93="","-",+C99+1)</f>
        <v>2015</v>
      </c>
      <c r="D100" s="581">
        <v>1703523.1724358976</v>
      </c>
      <c r="E100" s="582">
        <v>32760</v>
      </c>
      <c r="F100" s="583">
        <v>1670763.1724358976</v>
      </c>
      <c r="G100" s="583">
        <v>1687143.1724358976</v>
      </c>
      <c r="H100" s="602">
        <v>262957.1205792831</v>
      </c>
      <c r="I100" s="603">
        <v>262957.1205792831</v>
      </c>
      <c r="J100" s="475">
        <f>+I100-H100</f>
        <v>0</v>
      </c>
      <c r="K100" s="475"/>
      <c r="L100" s="473">
        <f t="shared" si="29"/>
        <v>262957.1205792831</v>
      </c>
      <c r="M100" s="346">
        <f t="shared" si="30"/>
        <v>0</v>
      </c>
      <c r="N100" s="473">
        <f t="shared" si="31"/>
        <v>262957.1205792831</v>
      </c>
      <c r="O100" s="472">
        <f>IF(N100&lt;&gt;0,+I100-N100,0)</f>
        <v>0</v>
      </c>
      <c r="P100" s="475">
        <f>+O100-M100</f>
        <v>0</v>
      </c>
    </row>
    <row r="101" spans="1:16" ht="12.5">
      <c r="B101" s="160" t="str">
        <f t="shared" ref="B101:B154" si="32">IF(D101=F100,"","IU")</f>
        <v>IU</v>
      </c>
      <c r="C101" s="469">
        <f>IF(D93="","-",+C100+1)</f>
        <v>2016</v>
      </c>
      <c r="D101" s="581">
        <v>1692887</v>
      </c>
      <c r="E101" s="582">
        <v>37514</v>
      </c>
      <c r="F101" s="583">
        <v>1655373</v>
      </c>
      <c r="G101" s="583">
        <v>1674130</v>
      </c>
      <c r="H101" s="602">
        <v>250555.65084872485</v>
      </c>
      <c r="I101" s="603">
        <v>250555.65084872485</v>
      </c>
      <c r="J101" s="475">
        <f t="shared" ref="J101:J154" si="33">+I101-H101</f>
        <v>0</v>
      </c>
      <c r="K101" s="475"/>
      <c r="L101" s="473">
        <f t="shared" si="29"/>
        <v>250555.65084872485</v>
      </c>
      <c r="M101" s="346">
        <f t="shared" si="30"/>
        <v>0</v>
      </c>
      <c r="N101" s="473">
        <f t="shared" si="31"/>
        <v>250555.65084872485</v>
      </c>
      <c r="O101" s="472">
        <f>IF(N101&lt;&gt;0,+I101-N101,0)</f>
        <v>0</v>
      </c>
      <c r="P101" s="475">
        <f>+O101-M101</f>
        <v>0</v>
      </c>
    </row>
    <row r="102" spans="1:16" ht="12.5">
      <c r="B102" s="160" t="str">
        <f t="shared" si="32"/>
        <v/>
      </c>
      <c r="C102" s="469">
        <f>IF(D93="","-",+C101+1)</f>
        <v>2017</v>
      </c>
      <c r="D102" s="581">
        <v>1655373</v>
      </c>
      <c r="E102" s="582">
        <v>37514</v>
      </c>
      <c r="F102" s="583">
        <v>1617859</v>
      </c>
      <c r="G102" s="583">
        <v>1636616</v>
      </c>
      <c r="H102" s="602">
        <v>245122.86632871011</v>
      </c>
      <c r="I102" s="603">
        <v>245122.86632871011</v>
      </c>
      <c r="J102" s="475">
        <f t="shared" si="33"/>
        <v>0</v>
      </c>
      <c r="K102" s="475"/>
      <c r="L102" s="473">
        <f t="shared" si="29"/>
        <v>245122.86632871011</v>
      </c>
      <c r="M102" s="346">
        <f t="shared" si="30"/>
        <v>0</v>
      </c>
      <c r="N102" s="473">
        <f t="shared" si="31"/>
        <v>245122.86632871011</v>
      </c>
      <c r="O102" s="472">
        <f>IF(N102&lt;&gt;0,+I102-N102,0)</f>
        <v>0</v>
      </c>
      <c r="P102" s="475">
        <f>+O102-M102</f>
        <v>0</v>
      </c>
    </row>
    <row r="103" spans="1:16" ht="12.5">
      <c r="B103" s="160" t="str">
        <f t="shared" si="32"/>
        <v/>
      </c>
      <c r="C103" s="469">
        <f>IF(D93="","-",+C102+1)</f>
        <v>2018</v>
      </c>
      <c r="D103" s="581">
        <v>1617859</v>
      </c>
      <c r="E103" s="582">
        <v>40131</v>
      </c>
      <c r="F103" s="583">
        <v>1577728</v>
      </c>
      <c r="G103" s="583">
        <v>1597793.5</v>
      </c>
      <c r="H103" s="602">
        <v>204281.22089486517</v>
      </c>
      <c r="I103" s="603">
        <v>204281.22089486517</v>
      </c>
      <c r="J103" s="475">
        <f t="shared" si="33"/>
        <v>0</v>
      </c>
      <c r="K103" s="475"/>
      <c r="L103" s="473">
        <f t="shared" si="29"/>
        <v>204281.22089486517</v>
      </c>
      <c r="M103" s="346">
        <f t="shared" si="30"/>
        <v>0</v>
      </c>
      <c r="N103" s="473">
        <f t="shared" si="31"/>
        <v>204281.22089486517</v>
      </c>
      <c r="O103" s="472">
        <f>IF(N103&lt;&gt;0,+I103-N103,0)</f>
        <v>0</v>
      </c>
      <c r="P103" s="475">
        <f>+O103-M103</f>
        <v>0</v>
      </c>
    </row>
    <row r="104" spans="1:16" ht="12.5">
      <c r="B104" s="160" t="str">
        <f t="shared" si="32"/>
        <v/>
      </c>
      <c r="C104" s="469">
        <f>IF(D93="","-",+C103+1)</f>
        <v>2019</v>
      </c>
      <c r="D104" s="581">
        <v>1577728</v>
      </c>
      <c r="E104" s="582">
        <v>42089</v>
      </c>
      <c r="F104" s="583">
        <v>1535639</v>
      </c>
      <c r="G104" s="583">
        <v>1556683.5</v>
      </c>
      <c r="H104" s="602">
        <v>202604.90301828689</v>
      </c>
      <c r="I104" s="603">
        <v>202604.90301828689</v>
      </c>
      <c r="J104" s="475">
        <f t="shared" si="33"/>
        <v>0</v>
      </c>
      <c r="K104" s="475"/>
      <c r="L104" s="473">
        <f t="shared" si="29"/>
        <v>202604.90301828689</v>
      </c>
      <c r="M104" s="346">
        <f t="shared" si="30"/>
        <v>0</v>
      </c>
      <c r="N104" s="473">
        <f t="shared" si="31"/>
        <v>202604.90301828689</v>
      </c>
      <c r="O104" s="475">
        <f t="shared" ref="O104:O130" si="34">IF(N104&lt;&gt;0,+I104-N104,0)</f>
        <v>0</v>
      </c>
      <c r="P104" s="475">
        <f t="shared" ref="P104:P130" si="35">+O104-M104</f>
        <v>0</v>
      </c>
    </row>
    <row r="105" spans="1:16" ht="12.5">
      <c r="B105" s="160" t="str">
        <f t="shared" si="32"/>
        <v/>
      </c>
      <c r="C105" s="469">
        <f>IF(D93="","-",+C104+1)</f>
        <v>2020</v>
      </c>
      <c r="D105" s="581">
        <v>1535639</v>
      </c>
      <c r="E105" s="582">
        <v>40131</v>
      </c>
      <c r="F105" s="583">
        <v>1495508</v>
      </c>
      <c r="G105" s="583">
        <v>1515573.5</v>
      </c>
      <c r="H105" s="602">
        <v>214872.45782422918</v>
      </c>
      <c r="I105" s="603">
        <v>214872.45782422918</v>
      </c>
      <c r="J105" s="475">
        <f t="shared" si="33"/>
        <v>0</v>
      </c>
      <c r="K105" s="475"/>
      <c r="L105" s="473">
        <f t="shared" ref="L105" si="36">H105</f>
        <v>214872.45782422918</v>
      </c>
      <c r="M105" s="346">
        <f t="shared" ref="M105" si="37">IF(L105&lt;&gt;0,+H105-L105,0)</f>
        <v>0</v>
      </c>
      <c r="N105" s="473">
        <f t="shared" ref="N105" si="38">I105</f>
        <v>214872.45782422918</v>
      </c>
      <c r="O105" s="475">
        <f t="shared" si="34"/>
        <v>0</v>
      </c>
      <c r="P105" s="475">
        <f t="shared" si="35"/>
        <v>0</v>
      </c>
    </row>
    <row r="106" spans="1:16" ht="12.5">
      <c r="B106" s="160" t="str">
        <f t="shared" si="32"/>
        <v/>
      </c>
      <c r="C106" s="469">
        <f>IF(D93="","-",+C105+1)</f>
        <v>2021</v>
      </c>
      <c r="D106" s="581">
        <v>1495508</v>
      </c>
      <c r="E106" s="582">
        <v>42089</v>
      </c>
      <c r="F106" s="583">
        <v>1453419</v>
      </c>
      <c r="G106" s="583">
        <v>1474463.5</v>
      </c>
      <c r="H106" s="602">
        <v>209872.31988794773</v>
      </c>
      <c r="I106" s="603">
        <v>209872.31988794773</v>
      </c>
      <c r="J106" s="475">
        <f t="shared" si="33"/>
        <v>0</v>
      </c>
      <c r="K106" s="475"/>
      <c r="L106" s="473">
        <f t="shared" ref="L106" si="39">H106</f>
        <v>209872.31988794773</v>
      </c>
      <c r="M106" s="346">
        <f t="shared" ref="M106" si="40">IF(L106&lt;&gt;0,+H106-L106,0)</f>
        <v>0</v>
      </c>
      <c r="N106" s="473">
        <f t="shared" ref="N106" si="41">I106</f>
        <v>209872.31988794773</v>
      </c>
      <c r="O106" s="475">
        <f t="shared" si="34"/>
        <v>0</v>
      </c>
      <c r="P106" s="475">
        <f t="shared" si="35"/>
        <v>0</v>
      </c>
    </row>
    <row r="107" spans="1:16" ht="12.5">
      <c r="B107" s="160" t="str">
        <f t="shared" si="32"/>
        <v/>
      </c>
      <c r="C107" s="469">
        <f>IF(D93="","-",+C106+1)</f>
        <v>2022</v>
      </c>
      <c r="D107" s="581">
        <v>1453419</v>
      </c>
      <c r="E107" s="582">
        <v>44247</v>
      </c>
      <c r="F107" s="583">
        <v>1409172</v>
      </c>
      <c r="G107" s="583">
        <v>1431295.5</v>
      </c>
      <c r="H107" s="602">
        <v>201950.93523897958</v>
      </c>
      <c r="I107" s="603">
        <v>201950.93523897958</v>
      </c>
      <c r="J107" s="475">
        <f t="shared" si="33"/>
        <v>0</v>
      </c>
      <c r="K107" s="475"/>
      <c r="L107" s="473">
        <f t="shared" ref="L107" si="42">H107</f>
        <v>201950.93523897958</v>
      </c>
      <c r="M107" s="346">
        <f t="shared" ref="M107" si="43">IF(L107&lt;&gt;0,+H107-L107,0)</f>
        <v>0</v>
      </c>
      <c r="N107" s="473">
        <f t="shared" ref="N107" si="44">I107</f>
        <v>201950.93523897958</v>
      </c>
      <c r="O107" s="475">
        <f t="shared" ref="O107" si="45">IF(N107&lt;&gt;0,+I107-N107,0)</f>
        <v>0</v>
      </c>
      <c r="P107" s="475">
        <f t="shared" ref="P107" si="46">+O107-M107</f>
        <v>0</v>
      </c>
    </row>
    <row r="108" spans="1:16" ht="12.5">
      <c r="B108" s="160" t="str">
        <f t="shared" si="32"/>
        <v/>
      </c>
      <c r="C108" s="469">
        <f>IF(D93="","-",+C107+1)</f>
        <v>2023</v>
      </c>
      <c r="D108" s="581">
        <v>1409172</v>
      </c>
      <c r="E108" s="582">
        <v>45412</v>
      </c>
      <c r="F108" s="583">
        <v>1363760</v>
      </c>
      <c r="G108" s="583">
        <v>1386466</v>
      </c>
      <c r="H108" s="602">
        <v>203783.92534158818</v>
      </c>
      <c r="I108" s="603">
        <v>203783.92534158818</v>
      </c>
      <c r="J108" s="475">
        <f t="shared" si="33"/>
        <v>0</v>
      </c>
      <c r="K108" s="475"/>
      <c r="L108" s="473">
        <f t="shared" ref="L108" si="47">H108</f>
        <v>203783.92534158818</v>
      </c>
      <c r="M108" s="346">
        <f t="shared" ref="M108" si="48">IF(L108&lt;&gt;0,+H108-L108,0)</f>
        <v>0</v>
      </c>
      <c r="N108" s="473">
        <f t="shared" ref="N108" si="49">I108</f>
        <v>203783.92534158818</v>
      </c>
      <c r="O108" s="475">
        <f t="shared" ref="O108" si="50">IF(N108&lt;&gt;0,+I108-N108,0)</f>
        <v>0</v>
      </c>
      <c r="P108" s="475">
        <f t="shared" ref="P108" si="51">+O108-M108</f>
        <v>0</v>
      </c>
    </row>
    <row r="109" spans="1:16" ht="12.5">
      <c r="B109" s="160" t="str">
        <f t="shared" si="32"/>
        <v/>
      </c>
      <c r="C109" s="469">
        <f>IF(D93="","-",+C108+1)</f>
        <v>2024</v>
      </c>
      <c r="D109" s="344">
        <f>IF(F108+SUM(E$99:E108)=D$92,F108,D$92-SUM(E$99:E108))</f>
        <v>1363760</v>
      </c>
      <c r="E109" s="481">
        <f t="shared" ref="E109:E154" si="52">IF(+J$96&lt;F108,J$96,D109)</f>
        <v>45412</v>
      </c>
      <c r="F109" s="482">
        <f t="shared" ref="F109:F154" si="53">+D109-E109</f>
        <v>1318348</v>
      </c>
      <c r="G109" s="482">
        <f t="shared" ref="G109:G154" si="54">+(F109+D109)/2</f>
        <v>1341054</v>
      </c>
      <c r="H109" s="483">
        <f t="shared" ref="H109:H153" si="55">(D109+F109)/2*J$94+E109</f>
        <v>225540.64299495853</v>
      </c>
      <c r="I109" s="539">
        <f t="shared" ref="I109:I153" si="56">+J$95*G109+E109</f>
        <v>225540.64299495853</v>
      </c>
      <c r="J109" s="475">
        <f t="shared" si="33"/>
        <v>0</v>
      </c>
      <c r="K109" s="475"/>
      <c r="L109" s="484"/>
      <c r="M109" s="475">
        <f t="shared" ref="M109:M130" si="57">IF(L109&lt;&gt;0,+H109-L109,0)</f>
        <v>0</v>
      </c>
      <c r="N109" s="484"/>
      <c r="O109" s="475">
        <f t="shared" si="34"/>
        <v>0</v>
      </c>
      <c r="P109" s="475">
        <f t="shared" si="35"/>
        <v>0</v>
      </c>
    </row>
    <row r="110" spans="1:16" ht="12.5">
      <c r="B110" s="160" t="str">
        <f t="shared" si="32"/>
        <v/>
      </c>
      <c r="C110" s="469">
        <f>IF(D93="","-",+C109+1)</f>
        <v>2025</v>
      </c>
      <c r="D110" s="344">
        <f>IF(F109+SUM(E$99:E109)=D$92,F109,D$92-SUM(E$99:E109))</f>
        <v>1318348</v>
      </c>
      <c r="E110" s="481">
        <f t="shared" si="52"/>
        <v>45412</v>
      </c>
      <c r="F110" s="482">
        <f t="shared" si="53"/>
        <v>1272936</v>
      </c>
      <c r="G110" s="482">
        <f t="shared" si="54"/>
        <v>1295642</v>
      </c>
      <c r="H110" s="483">
        <f t="shared" si="55"/>
        <v>219440.96174745689</v>
      </c>
      <c r="I110" s="539">
        <f t="shared" si="56"/>
        <v>219440.96174745689</v>
      </c>
      <c r="J110" s="475">
        <f t="shared" si="33"/>
        <v>0</v>
      </c>
      <c r="K110" s="475"/>
      <c r="L110" s="484"/>
      <c r="M110" s="475">
        <f t="shared" si="57"/>
        <v>0</v>
      </c>
      <c r="N110" s="484"/>
      <c r="O110" s="475">
        <f t="shared" si="34"/>
        <v>0</v>
      </c>
      <c r="P110" s="475">
        <f t="shared" si="35"/>
        <v>0</v>
      </c>
    </row>
    <row r="111" spans="1:16" ht="12.5">
      <c r="B111" s="160" t="str">
        <f t="shared" si="32"/>
        <v/>
      </c>
      <c r="C111" s="469">
        <f>IF(D93="","-",+C110+1)</f>
        <v>2026</v>
      </c>
      <c r="D111" s="344">
        <f>IF(F110+SUM(E$99:E110)=D$92,F110,D$92-SUM(E$99:E110))</f>
        <v>1272936</v>
      </c>
      <c r="E111" s="481">
        <f t="shared" si="52"/>
        <v>45412</v>
      </c>
      <c r="F111" s="482">
        <f t="shared" si="53"/>
        <v>1227524</v>
      </c>
      <c r="G111" s="482">
        <f t="shared" si="54"/>
        <v>1250230</v>
      </c>
      <c r="H111" s="483">
        <f t="shared" si="55"/>
        <v>213341.28049995526</v>
      </c>
      <c r="I111" s="539">
        <f t="shared" si="56"/>
        <v>213341.28049995526</v>
      </c>
      <c r="J111" s="475">
        <f t="shared" si="33"/>
        <v>0</v>
      </c>
      <c r="K111" s="475"/>
      <c r="L111" s="484"/>
      <c r="M111" s="475">
        <f t="shared" si="57"/>
        <v>0</v>
      </c>
      <c r="N111" s="484"/>
      <c r="O111" s="475">
        <f t="shared" si="34"/>
        <v>0</v>
      </c>
      <c r="P111" s="475">
        <f t="shared" si="35"/>
        <v>0</v>
      </c>
    </row>
    <row r="112" spans="1:16" ht="12.5">
      <c r="B112" s="160" t="str">
        <f t="shared" si="32"/>
        <v/>
      </c>
      <c r="C112" s="469">
        <f>IF(D93="","-",+C111+1)</f>
        <v>2027</v>
      </c>
      <c r="D112" s="344">
        <f>IF(F111+SUM(E$99:E111)=D$92,F111,D$92-SUM(E$99:E111))</f>
        <v>1227524</v>
      </c>
      <c r="E112" s="481">
        <f t="shared" si="52"/>
        <v>45412</v>
      </c>
      <c r="F112" s="482">
        <f t="shared" si="53"/>
        <v>1182112</v>
      </c>
      <c r="G112" s="482">
        <f t="shared" si="54"/>
        <v>1204818</v>
      </c>
      <c r="H112" s="483">
        <f t="shared" si="55"/>
        <v>207241.59925245363</v>
      </c>
      <c r="I112" s="539">
        <f t="shared" si="56"/>
        <v>207241.59925245363</v>
      </c>
      <c r="J112" s="475">
        <f t="shared" si="33"/>
        <v>0</v>
      </c>
      <c r="K112" s="475"/>
      <c r="L112" s="484"/>
      <c r="M112" s="475">
        <f t="shared" si="57"/>
        <v>0</v>
      </c>
      <c r="N112" s="484"/>
      <c r="O112" s="475">
        <f t="shared" si="34"/>
        <v>0</v>
      </c>
      <c r="P112" s="475">
        <f t="shared" si="35"/>
        <v>0</v>
      </c>
    </row>
    <row r="113" spans="2:16" ht="12.5">
      <c r="B113" s="160" t="str">
        <f t="shared" si="32"/>
        <v/>
      </c>
      <c r="C113" s="469">
        <f>IF(D93="","-",+C112+1)</f>
        <v>2028</v>
      </c>
      <c r="D113" s="344">
        <f>IF(F112+SUM(E$99:E112)=D$92,F112,D$92-SUM(E$99:E112))</f>
        <v>1182112</v>
      </c>
      <c r="E113" s="481">
        <f t="shared" si="52"/>
        <v>45412</v>
      </c>
      <c r="F113" s="482">
        <f t="shared" si="53"/>
        <v>1136700</v>
      </c>
      <c r="G113" s="482">
        <f t="shared" si="54"/>
        <v>1159406</v>
      </c>
      <c r="H113" s="483">
        <f t="shared" si="55"/>
        <v>201141.91800495199</v>
      </c>
      <c r="I113" s="539">
        <f t="shared" si="56"/>
        <v>201141.91800495199</v>
      </c>
      <c r="J113" s="475">
        <f t="shared" si="33"/>
        <v>0</v>
      </c>
      <c r="K113" s="475"/>
      <c r="L113" s="484"/>
      <c r="M113" s="475">
        <f t="shared" si="57"/>
        <v>0</v>
      </c>
      <c r="N113" s="484"/>
      <c r="O113" s="475">
        <f t="shared" si="34"/>
        <v>0</v>
      </c>
      <c r="P113" s="475">
        <f t="shared" si="35"/>
        <v>0</v>
      </c>
    </row>
    <row r="114" spans="2:16" ht="12.5">
      <c r="B114" s="160" t="str">
        <f t="shared" si="32"/>
        <v/>
      </c>
      <c r="C114" s="469">
        <f>IF(D93="","-",+C113+1)</f>
        <v>2029</v>
      </c>
      <c r="D114" s="344">
        <f>IF(F113+SUM(E$99:E113)=D$92,F113,D$92-SUM(E$99:E113))</f>
        <v>1136700</v>
      </c>
      <c r="E114" s="481">
        <f t="shared" si="52"/>
        <v>45412</v>
      </c>
      <c r="F114" s="482">
        <f t="shared" si="53"/>
        <v>1091288</v>
      </c>
      <c r="G114" s="482">
        <f t="shared" si="54"/>
        <v>1113994</v>
      </c>
      <c r="H114" s="483">
        <f t="shared" si="55"/>
        <v>195042.23675745036</v>
      </c>
      <c r="I114" s="539">
        <f t="shared" si="56"/>
        <v>195042.23675745036</v>
      </c>
      <c r="J114" s="475">
        <f t="shared" si="33"/>
        <v>0</v>
      </c>
      <c r="K114" s="475"/>
      <c r="L114" s="484"/>
      <c r="M114" s="475">
        <f t="shared" si="57"/>
        <v>0</v>
      </c>
      <c r="N114" s="484"/>
      <c r="O114" s="475">
        <f t="shared" si="34"/>
        <v>0</v>
      </c>
      <c r="P114" s="475">
        <f t="shared" si="35"/>
        <v>0</v>
      </c>
    </row>
    <row r="115" spans="2:16" ht="12.5">
      <c r="B115" s="160" t="str">
        <f t="shared" si="32"/>
        <v/>
      </c>
      <c r="C115" s="469">
        <f>IF(D93="","-",+C114+1)</f>
        <v>2030</v>
      </c>
      <c r="D115" s="344">
        <f>IF(F114+SUM(E$99:E114)=D$92,F114,D$92-SUM(E$99:E114))</f>
        <v>1091288</v>
      </c>
      <c r="E115" s="481">
        <f t="shared" si="52"/>
        <v>45412</v>
      </c>
      <c r="F115" s="482">
        <f t="shared" si="53"/>
        <v>1045876</v>
      </c>
      <c r="G115" s="482">
        <f t="shared" si="54"/>
        <v>1068582</v>
      </c>
      <c r="H115" s="483">
        <f t="shared" si="55"/>
        <v>188942.55550994872</v>
      </c>
      <c r="I115" s="539">
        <f t="shared" si="56"/>
        <v>188942.55550994872</v>
      </c>
      <c r="J115" s="475">
        <f t="shared" si="33"/>
        <v>0</v>
      </c>
      <c r="K115" s="475"/>
      <c r="L115" s="484"/>
      <c r="M115" s="475">
        <f t="shared" si="57"/>
        <v>0</v>
      </c>
      <c r="N115" s="484"/>
      <c r="O115" s="475">
        <f t="shared" si="34"/>
        <v>0</v>
      </c>
      <c r="P115" s="475">
        <f t="shared" si="35"/>
        <v>0</v>
      </c>
    </row>
    <row r="116" spans="2:16" ht="12.5">
      <c r="B116" s="160" t="str">
        <f t="shared" si="32"/>
        <v/>
      </c>
      <c r="C116" s="469">
        <f>IF(D93="","-",+C115+1)</f>
        <v>2031</v>
      </c>
      <c r="D116" s="344">
        <f>IF(F115+SUM(E$99:E115)=D$92,F115,D$92-SUM(E$99:E115))</f>
        <v>1045876</v>
      </c>
      <c r="E116" s="481">
        <f t="shared" si="52"/>
        <v>45412</v>
      </c>
      <c r="F116" s="482">
        <f t="shared" si="53"/>
        <v>1000464</v>
      </c>
      <c r="G116" s="482">
        <f t="shared" si="54"/>
        <v>1023170</v>
      </c>
      <c r="H116" s="483">
        <f t="shared" si="55"/>
        <v>182842.87426244709</v>
      </c>
      <c r="I116" s="539">
        <f t="shared" si="56"/>
        <v>182842.87426244709</v>
      </c>
      <c r="J116" s="475">
        <f t="shared" si="33"/>
        <v>0</v>
      </c>
      <c r="K116" s="475"/>
      <c r="L116" s="484"/>
      <c r="M116" s="475">
        <f t="shared" si="57"/>
        <v>0</v>
      </c>
      <c r="N116" s="484"/>
      <c r="O116" s="475">
        <f t="shared" si="34"/>
        <v>0</v>
      </c>
      <c r="P116" s="475">
        <f t="shared" si="35"/>
        <v>0</v>
      </c>
    </row>
    <row r="117" spans="2:16" ht="12.5">
      <c r="B117" s="160" t="str">
        <f t="shared" si="32"/>
        <v/>
      </c>
      <c r="C117" s="469">
        <f>IF(D93="","-",+C116+1)</f>
        <v>2032</v>
      </c>
      <c r="D117" s="344">
        <f>IF(F116+SUM(E$99:E116)=D$92,F116,D$92-SUM(E$99:E116))</f>
        <v>1000464</v>
      </c>
      <c r="E117" s="481">
        <f t="shared" si="52"/>
        <v>45412</v>
      </c>
      <c r="F117" s="482">
        <f t="shared" si="53"/>
        <v>955052</v>
      </c>
      <c r="G117" s="482">
        <f t="shared" si="54"/>
        <v>977758</v>
      </c>
      <c r="H117" s="483">
        <f t="shared" si="55"/>
        <v>176743.19301494546</v>
      </c>
      <c r="I117" s="539">
        <f t="shared" si="56"/>
        <v>176743.19301494546</v>
      </c>
      <c r="J117" s="475">
        <f t="shared" si="33"/>
        <v>0</v>
      </c>
      <c r="K117" s="475"/>
      <c r="L117" s="484"/>
      <c r="M117" s="475">
        <f t="shared" si="57"/>
        <v>0</v>
      </c>
      <c r="N117" s="484"/>
      <c r="O117" s="475">
        <f t="shared" si="34"/>
        <v>0</v>
      </c>
      <c r="P117" s="475">
        <f t="shared" si="35"/>
        <v>0</v>
      </c>
    </row>
    <row r="118" spans="2:16" ht="12.5">
      <c r="B118" s="160" t="str">
        <f t="shared" si="32"/>
        <v/>
      </c>
      <c r="C118" s="469">
        <f>IF(D93="","-",+C117+1)</f>
        <v>2033</v>
      </c>
      <c r="D118" s="344">
        <f>IF(F117+SUM(E$99:E117)=D$92,F117,D$92-SUM(E$99:E117))</f>
        <v>955052</v>
      </c>
      <c r="E118" s="481">
        <f t="shared" si="52"/>
        <v>45412</v>
      </c>
      <c r="F118" s="482">
        <f t="shared" si="53"/>
        <v>909640</v>
      </c>
      <c r="G118" s="482">
        <f t="shared" si="54"/>
        <v>932346</v>
      </c>
      <c r="H118" s="483">
        <f t="shared" si="55"/>
        <v>170643.51176744379</v>
      </c>
      <c r="I118" s="539">
        <f t="shared" si="56"/>
        <v>170643.51176744379</v>
      </c>
      <c r="J118" s="475">
        <f t="shared" si="33"/>
        <v>0</v>
      </c>
      <c r="K118" s="475"/>
      <c r="L118" s="484"/>
      <c r="M118" s="475">
        <f t="shared" si="57"/>
        <v>0</v>
      </c>
      <c r="N118" s="484"/>
      <c r="O118" s="475">
        <f t="shared" si="34"/>
        <v>0</v>
      </c>
      <c r="P118" s="475">
        <f t="shared" si="35"/>
        <v>0</v>
      </c>
    </row>
    <row r="119" spans="2:16" ht="12.5">
      <c r="B119" s="160" t="str">
        <f t="shared" si="32"/>
        <v/>
      </c>
      <c r="C119" s="469">
        <f>IF(D93="","-",+C118+1)</f>
        <v>2034</v>
      </c>
      <c r="D119" s="344">
        <f>IF(F118+SUM(E$99:E118)=D$92,F118,D$92-SUM(E$99:E118))</f>
        <v>909640</v>
      </c>
      <c r="E119" s="481">
        <f t="shared" si="52"/>
        <v>45412</v>
      </c>
      <c r="F119" s="482">
        <f t="shared" si="53"/>
        <v>864228</v>
      </c>
      <c r="G119" s="482">
        <f t="shared" si="54"/>
        <v>886934</v>
      </c>
      <c r="H119" s="483">
        <f t="shared" si="55"/>
        <v>164543.83051994216</v>
      </c>
      <c r="I119" s="539">
        <f t="shared" si="56"/>
        <v>164543.83051994216</v>
      </c>
      <c r="J119" s="475">
        <f t="shared" si="33"/>
        <v>0</v>
      </c>
      <c r="K119" s="475"/>
      <c r="L119" s="484"/>
      <c r="M119" s="475">
        <f t="shared" si="57"/>
        <v>0</v>
      </c>
      <c r="N119" s="484"/>
      <c r="O119" s="475">
        <f t="shared" si="34"/>
        <v>0</v>
      </c>
      <c r="P119" s="475">
        <f t="shared" si="35"/>
        <v>0</v>
      </c>
    </row>
    <row r="120" spans="2:16" ht="12.5">
      <c r="B120" s="160" t="str">
        <f t="shared" si="32"/>
        <v/>
      </c>
      <c r="C120" s="469">
        <f>IF(D93="","-",+C119+1)</f>
        <v>2035</v>
      </c>
      <c r="D120" s="344">
        <f>IF(F119+SUM(E$99:E119)=D$92,F119,D$92-SUM(E$99:E119))</f>
        <v>864228</v>
      </c>
      <c r="E120" s="481">
        <f t="shared" si="52"/>
        <v>45412</v>
      </c>
      <c r="F120" s="482">
        <f t="shared" si="53"/>
        <v>818816</v>
      </c>
      <c r="G120" s="482">
        <f t="shared" si="54"/>
        <v>841522</v>
      </c>
      <c r="H120" s="483">
        <f t="shared" si="55"/>
        <v>158444.14927244053</v>
      </c>
      <c r="I120" s="539">
        <f t="shared" si="56"/>
        <v>158444.14927244053</v>
      </c>
      <c r="J120" s="475">
        <f t="shared" si="33"/>
        <v>0</v>
      </c>
      <c r="K120" s="475"/>
      <c r="L120" s="484"/>
      <c r="M120" s="475">
        <f t="shared" si="57"/>
        <v>0</v>
      </c>
      <c r="N120" s="484"/>
      <c r="O120" s="475">
        <f t="shared" si="34"/>
        <v>0</v>
      </c>
      <c r="P120" s="475">
        <f t="shared" si="35"/>
        <v>0</v>
      </c>
    </row>
    <row r="121" spans="2:16" ht="12.5">
      <c r="B121" s="160" t="str">
        <f t="shared" si="32"/>
        <v/>
      </c>
      <c r="C121" s="469">
        <f>IF(D93="","-",+C120+1)</f>
        <v>2036</v>
      </c>
      <c r="D121" s="344">
        <f>IF(F120+SUM(E$99:E120)=D$92,F120,D$92-SUM(E$99:E120))</f>
        <v>818816</v>
      </c>
      <c r="E121" s="481">
        <f t="shared" si="52"/>
        <v>45412</v>
      </c>
      <c r="F121" s="482">
        <f t="shared" si="53"/>
        <v>773404</v>
      </c>
      <c r="G121" s="482">
        <f t="shared" si="54"/>
        <v>796110</v>
      </c>
      <c r="H121" s="483">
        <f t="shared" si="55"/>
        <v>152344.46802493889</v>
      </c>
      <c r="I121" s="539">
        <f t="shared" si="56"/>
        <v>152344.46802493889</v>
      </c>
      <c r="J121" s="475">
        <f t="shared" si="33"/>
        <v>0</v>
      </c>
      <c r="K121" s="475"/>
      <c r="L121" s="484"/>
      <c r="M121" s="475">
        <f t="shared" si="57"/>
        <v>0</v>
      </c>
      <c r="N121" s="484"/>
      <c r="O121" s="475">
        <f t="shared" si="34"/>
        <v>0</v>
      </c>
      <c r="P121" s="475">
        <f t="shared" si="35"/>
        <v>0</v>
      </c>
    </row>
    <row r="122" spans="2:16" ht="12.5">
      <c r="B122" s="160" t="str">
        <f t="shared" si="32"/>
        <v/>
      </c>
      <c r="C122" s="469">
        <f>IF(D93="","-",+C121+1)</f>
        <v>2037</v>
      </c>
      <c r="D122" s="344">
        <f>IF(F121+SUM(E$99:E121)=D$92,F121,D$92-SUM(E$99:E121))</f>
        <v>773404</v>
      </c>
      <c r="E122" s="481">
        <f t="shared" si="52"/>
        <v>45412</v>
      </c>
      <c r="F122" s="482">
        <f t="shared" si="53"/>
        <v>727992</v>
      </c>
      <c r="G122" s="482">
        <f t="shared" si="54"/>
        <v>750698</v>
      </c>
      <c r="H122" s="483">
        <f t="shared" si="55"/>
        <v>146244.78677743726</v>
      </c>
      <c r="I122" s="539">
        <f t="shared" si="56"/>
        <v>146244.78677743726</v>
      </c>
      <c r="J122" s="475">
        <f t="shared" si="33"/>
        <v>0</v>
      </c>
      <c r="K122" s="475"/>
      <c r="L122" s="484"/>
      <c r="M122" s="475">
        <f t="shared" si="57"/>
        <v>0</v>
      </c>
      <c r="N122" s="484"/>
      <c r="O122" s="475">
        <f t="shared" si="34"/>
        <v>0</v>
      </c>
      <c r="P122" s="475">
        <f t="shared" si="35"/>
        <v>0</v>
      </c>
    </row>
    <row r="123" spans="2:16" ht="12.5">
      <c r="B123" s="160" t="str">
        <f t="shared" si="32"/>
        <v/>
      </c>
      <c r="C123" s="469">
        <f>IF(D93="","-",+C122+1)</f>
        <v>2038</v>
      </c>
      <c r="D123" s="344">
        <f>IF(F122+SUM(E$99:E122)=D$92,F122,D$92-SUM(E$99:E122))</f>
        <v>727992</v>
      </c>
      <c r="E123" s="481">
        <f t="shared" si="52"/>
        <v>45412</v>
      </c>
      <c r="F123" s="482">
        <f t="shared" si="53"/>
        <v>682580</v>
      </c>
      <c r="G123" s="482">
        <f t="shared" si="54"/>
        <v>705286</v>
      </c>
      <c r="H123" s="483">
        <f t="shared" si="55"/>
        <v>140145.10552993562</v>
      </c>
      <c r="I123" s="539">
        <f t="shared" si="56"/>
        <v>140145.10552993562</v>
      </c>
      <c r="J123" s="475">
        <f t="shared" si="33"/>
        <v>0</v>
      </c>
      <c r="K123" s="475"/>
      <c r="L123" s="484"/>
      <c r="M123" s="475">
        <f t="shared" si="57"/>
        <v>0</v>
      </c>
      <c r="N123" s="484"/>
      <c r="O123" s="475">
        <f t="shared" si="34"/>
        <v>0</v>
      </c>
      <c r="P123" s="475">
        <f t="shared" si="35"/>
        <v>0</v>
      </c>
    </row>
    <row r="124" spans="2:16" ht="12.5">
      <c r="B124" s="160" t="str">
        <f t="shared" si="32"/>
        <v/>
      </c>
      <c r="C124" s="469">
        <f>IF(D93="","-",+C123+1)</f>
        <v>2039</v>
      </c>
      <c r="D124" s="344">
        <f>IF(F123+SUM(E$99:E123)=D$92,F123,D$92-SUM(E$99:E123))</f>
        <v>682580</v>
      </c>
      <c r="E124" s="481">
        <f t="shared" si="52"/>
        <v>45412</v>
      </c>
      <c r="F124" s="482">
        <f t="shared" si="53"/>
        <v>637168</v>
      </c>
      <c r="G124" s="482">
        <f t="shared" si="54"/>
        <v>659874</v>
      </c>
      <c r="H124" s="483">
        <f t="shared" si="55"/>
        <v>134045.42428243399</v>
      </c>
      <c r="I124" s="539">
        <f t="shared" si="56"/>
        <v>134045.42428243399</v>
      </c>
      <c r="J124" s="475">
        <f t="shared" si="33"/>
        <v>0</v>
      </c>
      <c r="K124" s="475"/>
      <c r="L124" s="484"/>
      <c r="M124" s="475">
        <f t="shared" si="57"/>
        <v>0</v>
      </c>
      <c r="N124" s="484"/>
      <c r="O124" s="475">
        <f t="shared" si="34"/>
        <v>0</v>
      </c>
      <c r="P124" s="475">
        <f t="shared" si="35"/>
        <v>0</v>
      </c>
    </row>
    <row r="125" spans="2:16" ht="12.5">
      <c r="B125" s="160" t="str">
        <f t="shared" si="32"/>
        <v/>
      </c>
      <c r="C125" s="469">
        <f>IF(D93="","-",+C124+1)</f>
        <v>2040</v>
      </c>
      <c r="D125" s="344">
        <f>IF(F124+SUM(E$99:E124)=D$92,F124,D$92-SUM(E$99:E124))</f>
        <v>637168</v>
      </c>
      <c r="E125" s="481">
        <f t="shared" si="52"/>
        <v>45412</v>
      </c>
      <c r="F125" s="482">
        <f t="shared" si="53"/>
        <v>591756</v>
      </c>
      <c r="G125" s="482">
        <f t="shared" si="54"/>
        <v>614462</v>
      </c>
      <c r="H125" s="483">
        <f t="shared" si="55"/>
        <v>127945.74303493237</v>
      </c>
      <c r="I125" s="539">
        <f t="shared" si="56"/>
        <v>127945.74303493237</v>
      </c>
      <c r="J125" s="475">
        <f t="shared" si="33"/>
        <v>0</v>
      </c>
      <c r="K125" s="475"/>
      <c r="L125" s="484"/>
      <c r="M125" s="475">
        <f t="shared" si="57"/>
        <v>0</v>
      </c>
      <c r="N125" s="484"/>
      <c r="O125" s="475">
        <f t="shared" si="34"/>
        <v>0</v>
      </c>
      <c r="P125" s="475">
        <f t="shared" si="35"/>
        <v>0</v>
      </c>
    </row>
    <row r="126" spans="2:16" ht="12.5">
      <c r="B126" s="160" t="str">
        <f t="shared" si="32"/>
        <v/>
      </c>
      <c r="C126" s="469">
        <f>IF(D93="","-",+C125+1)</f>
        <v>2041</v>
      </c>
      <c r="D126" s="344">
        <f>IF(F125+SUM(E$99:E125)=D$92,F125,D$92-SUM(E$99:E125))</f>
        <v>591756</v>
      </c>
      <c r="E126" s="481">
        <f t="shared" si="52"/>
        <v>45412</v>
      </c>
      <c r="F126" s="482">
        <f t="shared" si="53"/>
        <v>546344</v>
      </c>
      <c r="G126" s="482">
        <f t="shared" si="54"/>
        <v>569050</v>
      </c>
      <c r="H126" s="483">
        <f t="shared" si="55"/>
        <v>121846.06178743074</v>
      </c>
      <c r="I126" s="539">
        <f t="shared" si="56"/>
        <v>121846.06178743074</v>
      </c>
      <c r="J126" s="475">
        <f t="shared" si="33"/>
        <v>0</v>
      </c>
      <c r="K126" s="475"/>
      <c r="L126" s="484"/>
      <c r="M126" s="475">
        <f t="shared" si="57"/>
        <v>0</v>
      </c>
      <c r="N126" s="484"/>
      <c r="O126" s="475">
        <f t="shared" si="34"/>
        <v>0</v>
      </c>
      <c r="P126" s="475">
        <f t="shared" si="35"/>
        <v>0</v>
      </c>
    </row>
    <row r="127" spans="2:16" ht="12.5">
      <c r="B127" s="160" t="str">
        <f t="shared" si="32"/>
        <v/>
      </c>
      <c r="C127" s="469">
        <f>IF(D93="","-",+C126+1)</f>
        <v>2042</v>
      </c>
      <c r="D127" s="344">
        <f>IF(F126+SUM(E$99:E126)=D$92,F126,D$92-SUM(E$99:E126))</f>
        <v>546344</v>
      </c>
      <c r="E127" s="481">
        <f t="shared" si="52"/>
        <v>45412</v>
      </c>
      <c r="F127" s="482">
        <f t="shared" si="53"/>
        <v>500932</v>
      </c>
      <c r="G127" s="482">
        <f t="shared" si="54"/>
        <v>523638</v>
      </c>
      <c r="H127" s="483">
        <f t="shared" si="55"/>
        <v>115746.3805399291</v>
      </c>
      <c r="I127" s="539">
        <f t="shared" si="56"/>
        <v>115746.3805399291</v>
      </c>
      <c r="J127" s="475">
        <f t="shared" si="33"/>
        <v>0</v>
      </c>
      <c r="K127" s="475"/>
      <c r="L127" s="484"/>
      <c r="M127" s="475">
        <f t="shared" si="57"/>
        <v>0</v>
      </c>
      <c r="N127" s="484"/>
      <c r="O127" s="475">
        <f t="shared" si="34"/>
        <v>0</v>
      </c>
      <c r="P127" s="475">
        <f t="shared" si="35"/>
        <v>0</v>
      </c>
    </row>
    <row r="128" spans="2:16" ht="12.5">
      <c r="B128" s="160" t="str">
        <f t="shared" si="32"/>
        <v/>
      </c>
      <c r="C128" s="469">
        <f>IF(D93="","-",+C127+1)</f>
        <v>2043</v>
      </c>
      <c r="D128" s="344">
        <f>IF(F127+SUM(E$99:E127)=D$92,F127,D$92-SUM(E$99:E127))</f>
        <v>500932</v>
      </c>
      <c r="E128" s="481">
        <f t="shared" si="52"/>
        <v>45412</v>
      </c>
      <c r="F128" s="482">
        <f t="shared" si="53"/>
        <v>455520</v>
      </c>
      <c r="G128" s="482">
        <f t="shared" si="54"/>
        <v>478226</v>
      </c>
      <c r="H128" s="483">
        <f t="shared" si="55"/>
        <v>109646.69929242748</v>
      </c>
      <c r="I128" s="539">
        <f t="shared" si="56"/>
        <v>109646.69929242748</v>
      </c>
      <c r="J128" s="475">
        <f t="shared" si="33"/>
        <v>0</v>
      </c>
      <c r="K128" s="475"/>
      <c r="L128" s="484"/>
      <c r="M128" s="475">
        <f t="shared" si="57"/>
        <v>0</v>
      </c>
      <c r="N128" s="484"/>
      <c r="O128" s="475">
        <f t="shared" si="34"/>
        <v>0</v>
      </c>
      <c r="P128" s="475">
        <f t="shared" si="35"/>
        <v>0</v>
      </c>
    </row>
    <row r="129" spans="2:16" ht="12.5">
      <c r="B129" s="160" t="str">
        <f t="shared" si="32"/>
        <v/>
      </c>
      <c r="C129" s="469">
        <f>IF(D93="","-",+C128+1)</f>
        <v>2044</v>
      </c>
      <c r="D129" s="344">
        <f>IF(F128+SUM(E$99:E128)=D$92,F128,D$92-SUM(E$99:E128))</f>
        <v>455520</v>
      </c>
      <c r="E129" s="481">
        <f t="shared" si="52"/>
        <v>45412</v>
      </c>
      <c r="F129" s="482">
        <f t="shared" si="53"/>
        <v>410108</v>
      </c>
      <c r="G129" s="482">
        <f t="shared" si="54"/>
        <v>432814</v>
      </c>
      <c r="H129" s="483">
        <f t="shared" si="55"/>
        <v>103547.01804492585</v>
      </c>
      <c r="I129" s="539">
        <f t="shared" si="56"/>
        <v>103547.01804492585</v>
      </c>
      <c r="J129" s="475">
        <f t="shared" si="33"/>
        <v>0</v>
      </c>
      <c r="K129" s="475"/>
      <c r="L129" s="484"/>
      <c r="M129" s="475">
        <f t="shared" si="57"/>
        <v>0</v>
      </c>
      <c r="N129" s="484"/>
      <c r="O129" s="475">
        <f t="shared" si="34"/>
        <v>0</v>
      </c>
      <c r="P129" s="475">
        <f t="shared" si="35"/>
        <v>0</v>
      </c>
    </row>
    <row r="130" spans="2:16" ht="12.5">
      <c r="B130" s="160" t="str">
        <f t="shared" si="32"/>
        <v/>
      </c>
      <c r="C130" s="469">
        <f>IF(D93="","-",+C129+1)</f>
        <v>2045</v>
      </c>
      <c r="D130" s="344">
        <f>IF(F129+SUM(E$99:E129)=D$92,F129,D$92-SUM(E$99:E129))</f>
        <v>410108</v>
      </c>
      <c r="E130" s="481">
        <f t="shared" si="52"/>
        <v>45412</v>
      </c>
      <c r="F130" s="482">
        <f t="shared" si="53"/>
        <v>364696</v>
      </c>
      <c r="G130" s="482">
        <f t="shared" si="54"/>
        <v>387402</v>
      </c>
      <c r="H130" s="483">
        <f t="shared" si="55"/>
        <v>97447.336797424214</v>
      </c>
      <c r="I130" s="539">
        <f t="shared" si="56"/>
        <v>97447.336797424214</v>
      </c>
      <c r="J130" s="475">
        <f t="shared" si="33"/>
        <v>0</v>
      </c>
      <c r="K130" s="475"/>
      <c r="L130" s="484"/>
      <c r="M130" s="475">
        <f t="shared" si="57"/>
        <v>0</v>
      </c>
      <c r="N130" s="484"/>
      <c r="O130" s="475">
        <f t="shared" si="34"/>
        <v>0</v>
      </c>
      <c r="P130" s="475">
        <f t="shared" si="35"/>
        <v>0</v>
      </c>
    </row>
    <row r="131" spans="2:16" ht="12.5">
      <c r="B131" s="160" t="str">
        <f t="shared" si="32"/>
        <v/>
      </c>
      <c r="C131" s="469">
        <f>IF(D93="","-",+C130+1)</f>
        <v>2046</v>
      </c>
      <c r="D131" s="344">
        <f>IF(F130+SUM(E$99:E130)=D$92,F130,D$92-SUM(E$99:E130))</f>
        <v>364696</v>
      </c>
      <c r="E131" s="481">
        <f t="shared" si="52"/>
        <v>45412</v>
      </c>
      <c r="F131" s="482">
        <f t="shared" si="53"/>
        <v>319284</v>
      </c>
      <c r="G131" s="482">
        <f t="shared" si="54"/>
        <v>341990</v>
      </c>
      <c r="H131" s="483">
        <f t="shared" si="55"/>
        <v>91347.65554992258</v>
      </c>
      <c r="I131" s="539">
        <f t="shared" si="56"/>
        <v>91347.65554992258</v>
      </c>
      <c r="J131" s="475">
        <f t="shared" si="33"/>
        <v>0</v>
      </c>
      <c r="K131" s="475"/>
      <c r="L131" s="484"/>
      <c r="M131" s="475">
        <f t="shared" ref="M131:M154" si="58">IF(L541&lt;&gt;0,+H541-L541,0)</f>
        <v>0</v>
      </c>
      <c r="N131" s="484"/>
      <c r="O131" s="475">
        <f t="shared" ref="O131:O154" si="59">IF(N541&lt;&gt;0,+I541-N541,0)</f>
        <v>0</v>
      </c>
      <c r="P131" s="475">
        <f t="shared" ref="P131:P154" si="60">+O541-M541</f>
        <v>0</v>
      </c>
    </row>
    <row r="132" spans="2:16" ht="12.5">
      <c r="B132" s="160" t="str">
        <f t="shared" si="32"/>
        <v/>
      </c>
      <c r="C132" s="469">
        <f>IF(D93="","-",+C131+1)</f>
        <v>2047</v>
      </c>
      <c r="D132" s="344">
        <f>IF(F131+SUM(E$99:E131)=D$92,F131,D$92-SUM(E$99:E131))</f>
        <v>319284</v>
      </c>
      <c r="E132" s="481">
        <f t="shared" si="52"/>
        <v>45412</v>
      </c>
      <c r="F132" s="482">
        <f t="shared" si="53"/>
        <v>273872</v>
      </c>
      <c r="G132" s="482">
        <f t="shared" si="54"/>
        <v>296578</v>
      </c>
      <c r="H132" s="483">
        <f t="shared" si="55"/>
        <v>85247.974302420946</v>
      </c>
      <c r="I132" s="539">
        <f t="shared" si="56"/>
        <v>85247.974302420946</v>
      </c>
      <c r="J132" s="475">
        <f t="shared" si="33"/>
        <v>0</v>
      </c>
      <c r="K132" s="475"/>
      <c r="L132" s="484"/>
      <c r="M132" s="475">
        <f t="shared" si="58"/>
        <v>0</v>
      </c>
      <c r="N132" s="484"/>
      <c r="O132" s="475">
        <f t="shared" si="59"/>
        <v>0</v>
      </c>
      <c r="P132" s="475">
        <f t="shared" si="60"/>
        <v>0</v>
      </c>
    </row>
    <row r="133" spans="2:16" ht="12.5">
      <c r="B133" s="160" t="str">
        <f t="shared" si="32"/>
        <v/>
      </c>
      <c r="C133" s="469">
        <f>IF(D93="","-",+C132+1)</f>
        <v>2048</v>
      </c>
      <c r="D133" s="344">
        <f>IF(F132+SUM(E$99:E132)=D$92,F132,D$92-SUM(E$99:E132))</f>
        <v>273872</v>
      </c>
      <c r="E133" s="481">
        <f t="shared" si="52"/>
        <v>45412</v>
      </c>
      <c r="F133" s="482">
        <f t="shared" si="53"/>
        <v>228460</v>
      </c>
      <c r="G133" s="482">
        <f t="shared" si="54"/>
        <v>251166</v>
      </c>
      <c r="H133" s="483">
        <f t="shared" si="55"/>
        <v>79148.293054919312</v>
      </c>
      <c r="I133" s="539">
        <f t="shared" si="56"/>
        <v>79148.293054919312</v>
      </c>
      <c r="J133" s="475">
        <f t="shared" si="33"/>
        <v>0</v>
      </c>
      <c r="K133" s="475"/>
      <c r="L133" s="484"/>
      <c r="M133" s="475">
        <f t="shared" si="58"/>
        <v>0</v>
      </c>
      <c r="N133" s="484"/>
      <c r="O133" s="475">
        <f t="shared" si="59"/>
        <v>0</v>
      </c>
      <c r="P133" s="475">
        <f t="shared" si="60"/>
        <v>0</v>
      </c>
    </row>
    <row r="134" spans="2:16" ht="12.5">
      <c r="B134" s="160" t="str">
        <f t="shared" si="32"/>
        <v/>
      </c>
      <c r="C134" s="469">
        <f>IF(D93="","-",+C133+1)</f>
        <v>2049</v>
      </c>
      <c r="D134" s="344">
        <f>IF(F133+SUM(E$99:E133)=D$92,F133,D$92-SUM(E$99:E133))</f>
        <v>228460</v>
      </c>
      <c r="E134" s="481">
        <f t="shared" si="52"/>
        <v>45412</v>
      </c>
      <c r="F134" s="482">
        <f t="shared" si="53"/>
        <v>183048</v>
      </c>
      <c r="G134" s="482">
        <f t="shared" si="54"/>
        <v>205754</v>
      </c>
      <c r="H134" s="483">
        <f t="shared" si="55"/>
        <v>73048.611807417677</v>
      </c>
      <c r="I134" s="539">
        <f t="shared" si="56"/>
        <v>73048.611807417677</v>
      </c>
      <c r="J134" s="475">
        <f t="shared" si="33"/>
        <v>0</v>
      </c>
      <c r="K134" s="475"/>
      <c r="L134" s="484"/>
      <c r="M134" s="475">
        <f t="shared" si="58"/>
        <v>0</v>
      </c>
      <c r="N134" s="484"/>
      <c r="O134" s="475">
        <f t="shared" si="59"/>
        <v>0</v>
      </c>
      <c r="P134" s="475">
        <f t="shared" si="60"/>
        <v>0</v>
      </c>
    </row>
    <row r="135" spans="2:16" ht="12.5">
      <c r="B135" s="160" t="str">
        <f t="shared" si="32"/>
        <v/>
      </c>
      <c r="C135" s="469">
        <f>IF(D93="","-",+C134+1)</f>
        <v>2050</v>
      </c>
      <c r="D135" s="344">
        <f>IF(F134+SUM(E$99:E134)=D$92,F134,D$92-SUM(E$99:E134))</f>
        <v>183048</v>
      </c>
      <c r="E135" s="481">
        <f t="shared" si="52"/>
        <v>45412</v>
      </c>
      <c r="F135" s="482">
        <f t="shared" si="53"/>
        <v>137636</v>
      </c>
      <c r="G135" s="482">
        <f t="shared" si="54"/>
        <v>160342</v>
      </c>
      <c r="H135" s="483">
        <f t="shared" si="55"/>
        <v>66948.930559916043</v>
      </c>
      <c r="I135" s="539">
        <f t="shared" si="56"/>
        <v>66948.930559916043</v>
      </c>
      <c r="J135" s="475">
        <f t="shared" si="33"/>
        <v>0</v>
      </c>
      <c r="K135" s="475"/>
      <c r="L135" s="484"/>
      <c r="M135" s="475">
        <f t="shared" si="58"/>
        <v>0</v>
      </c>
      <c r="N135" s="484"/>
      <c r="O135" s="475">
        <f t="shared" si="59"/>
        <v>0</v>
      </c>
      <c r="P135" s="475">
        <f t="shared" si="60"/>
        <v>0</v>
      </c>
    </row>
    <row r="136" spans="2:16" ht="12.5">
      <c r="B136" s="160" t="str">
        <f t="shared" si="32"/>
        <v/>
      </c>
      <c r="C136" s="469">
        <f>IF(D93="","-",+C135+1)</f>
        <v>2051</v>
      </c>
      <c r="D136" s="344">
        <f>IF(F135+SUM(E$99:E135)=D$92,F135,D$92-SUM(E$99:E135))</f>
        <v>137636</v>
      </c>
      <c r="E136" s="481">
        <f t="shared" si="52"/>
        <v>45412</v>
      </c>
      <c r="F136" s="482">
        <f t="shared" si="53"/>
        <v>92224</v>
      </c>
      <c r="G136" s="482">
        <f t="shared" si="54"/>
        <v>114930</v>
      </c>
      <c r="H136" s="483">
        <f t="shared" si="55"/>
        <v>60849.249312414402</v>
      </c>
      <c r="I136" s="539">
        <f t="shared" si="56"/>
        <v>60849.249312414402</v>
      </c>
      <c r="J136" s="475">
        <f t="shared" si="33"/>
        <v>0</v>
      </c>
      <c r="K136" s="475"/>
      <c r="L136" s="484"/>
      <c r="M136" s="475">
        <f t="shared" si="58"/>
        <v>0</v>
      </c>
      <c r="N136" s="484"/>
      <c r="O136" s="475">
        <f t="shared" si="59"/>
        <v>0</v>
      </c>
      <c r="P136" s="475">
        <f t="shared" si="60"/>
        <v>0</v>
      </c>
    </row>
    <row r="137" spans="2:16" ht="12.5">
      <c r="B137" s="160" t="str">
        <f t="shared" si="32"/>
        <v/>
      </c>
      <c r="C137" s="469">
        <f>IF(D93="","-",+C136+1)</f>
        <v>2052</v>
      </c>
      <c r="D137" s="344">
        <f>IF(F136+SUM(E$99:E136)=D$92,F136,D$92-SUM(E$99:E136))</f>
        <v>92224</v>
      </c>
      <c r="E137" s="481">
        <f t="shared" si="52"/>
        <v>45412</v>
      </c>
      <c r="F137" s="482">
        <f t="shared" si="53"/>
        <v>46812</v>
      </c>
      <c r="G137" s="482">
        <f t="shared" si="54"/>
        <v>69518</v>
      </c>
      <c r="H137" s="483">
        <f t="shared" si="55"/>
        <v>54749.568064912768</v>
      </c>
      <c r="I137" s="539">
        <f t="shared" si="56"/>
        <v>54749.568064912768</v>
      </c>
      <c r="J137" s="475">
        <f t="shared" si="33"/>
        <v>0</v>
      </c>
      <c r="K137" s="475"/>
      <c r="L137" s="484"/>
      <c r="M137" s="475">
        <f t="shared" si="58"/>
        <v>0</v>
      </c>
      <c r="N137" s="484"/>
      <c r="O137" s="475">
        <f t="shared" si="59"/>
        <v>0</v>
      </c>
      <c r="P137" s="475">
        <f t="shared" si="60"/>
        <v>0</v>
      </c>
    </row>
    <row r="138" spans="2:16" ht="12.5">
      <c r="B138" s="160" t="str">
        <f t="shared" si="32"/>
        <v/>
      </c>
      <c r="C138" s="469">
        <f>IF(D93="","-",+C137+1)</f>
        <v>2053</v>
      </c>
      <c r="D138" s="344">
        <f>IF(F137+SUM(E$99:E137)=D$92,F137,D$92-SUM(E$99:E137))</f>
        <v>46812</v>
      </c>
      <c r="E138" s="481">
        <f t="shared" si="52"/>
        <v>45412</v>
      </c>
      <c r="F138" s="482">
        <f t="shared" si="53"/>
        <v>1400</v>
      </c>
      <c r="G138" s="482">
        <f t="shared" si="54"/>
        <v>24106</v>
      </c>
      <c r="H138" s="483">
        <f t="shared" si="55"/>
        <v>48649.886817411134</v>
      </c>
      <c r="I138" s="539">
        <f t="shared" si="56"/>
        <v>48649.886817411134</v>
      </c>
      <c r="J138" s="475">
        <f t="shared" si="33"/>
        <v>0</v>
      </c>
      <c r="K138" s="475"/>
      <c r="L138" s="484"/>
      <c r="M138" s="475">
        <f t="shared" si="58"/>
        <v>0</v>
      </c>
      <c r="N138" s="484"/>
      <c r="O138" s="475">
        <f t="shared" si="59"/>
        <v>0</v>
      </c>
      <c r="P138" s="475">
        <f t="shared" si="60"/>
        <v>0</v>
      </c>
    </row>
    <row r="139" spans="2:16" ht="12.5">
      <c r="B139" s="160" t="str">
        <f t="shared" si="32"/>
        <v/>
      </c>
      <c r="C139" s="469">
        <f>IF(D93="","-",+C138+1)</f>
        <v>2054</v>
      </c>
      <c r="D139" s="344">
        <f>IF(F138+SUM(E$99:E138)=D$92,F138,D$92-SUM(E$99:E138))</f>
        <v>1400</v>
      </c>
      <c r="E139" s="481">
        <f t="shared" si="52"/>
        <v>1400</v>
      </c>
      <c r="F139" s="482">
        <f t="shared" si="53"/>
        <v>0</v>
      </c>
      <c r="G139" s="482">
        <f t="shared" si="54"/>
        <v>700</v>
      </c>
      <c r="H139" s="483">
        <f t="shared" si="55"/>
        <v>1494.0230968301582</v>
      </c>
      <c r="I139" s="539">
        <f t="shared" si="56"/>
        <v>1494.0230968301582</v>
      </c>
      <c r="J139" s="475">
        <f t="shared" si="33"/>
        <v>0</v>
      </c>
      <c r="K139" s="475"/>
      <c r="L139" s="484"/>
      <c r="M139" s="475">
        <f t="shared" si="58"/>
        <v>0</v>
      </c>
      <c r="N139" s="484"/>
      <c r="O139" s="475">
        <f t="shared" si="59"/>
        <v>0</v>
      </c>
      <c r="P139" s="475">
        <f t="shared" si="60"/>
        <v>0</v>
      </c>
    </row>
    <row r="140" spans="2:16" ht="12.5">
      <c r="B140" s="160" t="str">
        <f t="shared" si="32"/>
        <v/>
      </c>
      <c r="C140" s="469">
        <f>IF(D93="","-",+C139+1)</f>
        <v>2055</v>
      </c>
      <c r="D140" s="344">
        <f>IF(F139+SUM(E$99:E139)=D$92,F139,D$92-SUM(E$99:E139))</f>
        <v>0</v>
      </c>
      <c r="E140" s="481">
        <f t="shared" si="52"/>
        <v>0</v>
      </c>
      <c r="F140" s="482">
        <f t="shared" si="53"/>
        <v>0</v>
      </c>
      <c r="G140" s="482">
        <f t="shared" si="54"/>
        <v>0</v>
      </c>
      <c r="H140" s="483">
        <f t="shared" si="55"/>
        <v>0</v>
      </c>
      <c r="I140" s="539">
        <f t="shared" si="56"/>
        <v>0</v>
      </c>
      <c r="J140" s="475">
        <f t="shared" si="33"/>
        <v>0</v>
      </c>
      <c r="K140" s="475"/>
      <c r="L140" s="484"/>
      <c r="M140" s="475">
        <f t="shared" si="58"/>
        <v>0</v>
      </c>
      <c r="N140" s="484"/>
      <c r="O140" s="475">
        <f t="shared" si="59"/>
        <v>0</v>
      </c>
      <c r="P140" s="475">
        <f t="shared" si="60"/>
        <v>0</v>
      </c>
    </row>
    <row r="141" spans="2:16" ht="12.5">
      <c r="B141" s="160" t="str">
        <f t="shared" si="32"/>
        <v/>
      </c>
      <c r="C141" s="469">
        <f>IF(D93="","-",+C140+1)</f>
        <v>2056</v>
      </c>
      <c r="D141" s="344">
        <f>IF(F140+SUM(E$99:E140)=D$92,F140,D$92-SUM(E$99:E140))</f>
        <v>0</v>
      </c>
      <c r="E141" s="481">
        <f t="shared" si="52"/>
        <v>0</v>
      </c>
      <c r="F141" s="482">
        <f t="shared" si="53"/>
        <v>0</v>
      </c>
      <c r="G141" s="482">
        <f t="shared" si="54"/>
        <v>0</v>
      </c>
      <c r="H141" s="483">
        <f t="shared" si="55"/>
        <v>0</v>
      </c>
      <c r="I141" s="539">
        <f t="shared" si="56"/>
        <v>0</v>
      </c>
      <c r="J141" s="475">
        <f t="shared" si="33"/>
        <v>0</v>
      </c>
      <c r="K141" s="475"/>
      <c r="L141" s="484"/>
      <c r="M141" s="475">
        <f t="shared" si="58"/>
        <v>0</v>
      </c>
      <c r="N141" s="484"/>
      <c r="O141" s="475">
        <f t="shared" si="59"/>
        <v>0</v>
      </c>
      <c r="P141" s="475">
        <f t="shared" si="60"/>
        <v>0</v>
      </c>
    </row>
    <row r="142" spans="2:16" ht="12.5">
      <c r="B142" s="160" t="str">
        <f t="shared" si="32"/>
        <v/>
      </c>
      <c r="C142" s="469">
        <f>IF(D93="","-",+C141+1)</f>
        <v>2057</v>
      </c>
      <c r="D142" s="344">
        <f>IF(F141+SUM(E$99:E141)=D$92,F141,D$92-SUM(E$99:E141))</f>
        <v>0</v>
      </c>
      <c r="E142" s="481">
        <f t="shared" si="52"/>
        <v>0</v>
      </c>
      <c r="F142" s="482">
        <f t="shared" si="53"/>
        <v>0</v>
      </c>
      <c r="G142" s="482">
        <f t="shared" si="54"/>
        <v>0</v>
      </c>
      <c r="H142" s="483">
        <f t="shared" si="55"/>
        <v>0</v>
      </c>
      <c r="I142" s="539">
        <f t="shared" si="56"/>
        <v>0</v>
      </c>
      <c r="J142" s="475">
        <f t="shared" si="33"/>
        <v>0</v>
      </c>
      <c r="K142" s="475"/>
      <c r="L142" s="484"/>
      <c r="M142" s="475">
        <f t="shared" si="58"/>
        <v>0</v>
      </c>
      <c r="N142" s="484"/>
      <c r="O142" s="475">
        <f t="shared" si="59"/>
        <v>0</v>
      </c>
      <c r="P142" s="475">
        <f t="shared" si="60"/>
        <v>0</v>
      </c>
    </row>
    <row r="143" spans="2:16" ht="12.5">
      <c r="B143" s="160" t="str">
        <f t="shared" si="32"/>
        <v/>
      </c>
      <c r="C143" s="469">
        <f>IF(D93="","-",+C142+1)</f>
        <v>2058</v>
      </c>
      <c r="D143" s="344">
        <f>IF(F142+SUM(E$99:E142)=D$92,F142,D$92-SUM(E$99:E142))</f>
        <v>0</v>
      </c>
      <c r="E143" s="481">
        <f t="shared" si="52"/>
        <v>0</v>
      </c>
      <c r="F143" s="482">
        <f t="shared" si="53"/>
        <v>0</v>
      </c>
      <c r="G143" s="482">
        <f t="shared" si="54"/>
        <v>0</v>
      </c>
      <c r="H143" s="483">
        <f t="shared" si="55"/>
        <v>0</v>
      </c>
      <c r="I143" s="539">
        <f t="shared" si="56"/>
        <v>0</v>
      </c>
      <c r="J143" s="475">
        <f t="shared" si="33"/>
        <v>0</v>
      </c>
      <c r="K143" s="475"/>
      <c r="L143" s="484"/>
      <c r="M143" s="475">
        <f t="shared" si="58"/>
        <v>0</v>
      </c>
      <c r="N143" s="484"/>
      <c r="O143" s="475">
        <f t="shared" si="59"/>
        <v>0</v>
      </c>
      <c r="P143" s="475">
        <f t="shared" si="60"/>
        <v>0</v>
      </c>
    </row>
    <row r="144" spans="2:16" ht="12.5">
      <c r="B144" s="160" t="str">
        <f t="shared" si="32"/>
        <v/>
      </c>
      <c r="C144" s="469">
        <f>IF(D93="","-",+C143+1)</f>
        <v>2059</v>
      </c>
      <c r="D144" s="344">
        <f>IF(F143+SUM(E$99:E143)=D$92,F143,D$92-SUM(E$99:E143))</f>
        <v>0</v>
      </c>
      <c r="E144" s="481">
        <f t="shared" si="52"/>
        <v>0</v>
      </c>
      <c r="F144" s="482">
        <f t="shared" si="53"/>
        <v>0</v>
      </c>
      <c r="G144" s="482">
        <f t="shared" si="54"/>
        <v>0</v>
      </c>
      <c r="H144" s="483">
        <f t="shared" si="55"/>
        <v>0</v>
      </c>
      <c r="I144" s="539">
        <f t="shared" si="56"/>
        <v>0</v>
      </c>
      <c r="J144" s="475">
        <f t="shared" si="33"/>
        <v>0</v>
      </c>
      <c r="K144" s="475"/>
      <c r="L144" s="484"/>
      <c r="M144" s="475">
        <f t="shared" si="58"/>
        <v>0</v>
      </c>
      <c r="N144" s="484"/>
      <c r="O144" s="475">
        <f t="shared" si="59"/>
        <v>0</v>
      </c>
      <c r="P144" s="475">
        <f t="shared" si="60"/>
        <v>0</v>
      </c>
    </row>
    <row r="145" spans="2:16" ht="12.5">
      <c r="B145" s="160" t="str">
        <f t="shared" si="32"/>
        <v/>
      </c>
      <c r="C145" s="469">
        <f>IF(D93="","-",+C144+1)</f>
        <v>2060</v>
      </c>
      <c r="D145" s="344">
        <f>IF(F144+SUM(E$99:E144)=D$92,F144,D$92-SUM(E$99:E144))</f>
        <v>0</v>
      </c>
      <c r="E145" s="481">
        <f t="shared" si="52"/>
        <v>0</v>
      </c>
      <c r="F145" s="482">
        <f t="shared" si="53"/>
        <v>0</v>
      </c>
      <c r="G145" s="482">
        <f t="shared" si="54"/>
        <v>0</v>
      </c>
      <c r="H145" s="483">
        <f t="shared" si="55"/>
        <v>0</v>
      </c>
      <c r="I145" s="539">
        <f t="shared" si="56"/>
        <v>0</v>
      </c>
      <c r="J145" s="475">
        <f t="shared" si="33"/>
        <v>0</v>
      </c>
      <c r="K145" s="475"/>
      <c r="L145" s="484"/>
      <c r="M145" s="475">
        <f t="shared" si="58"/>
        <v>0</v>
      </c>
      <c r="N145" s="484"/>
      <c r="O145" s="475">
        <f t="shared" si="59"/>
        <v>0</v>
      </c>
      <c r="P145" s="475">
        <f t="shared" si="60"/>
        <v>0</v>
      </c>
    </row>
    <row r="146" spans="2:16" ht="12.5">
      <c r="B146" s="160" t="str">
        <f t="shared" si="32"/>
        <v/>
      </c>
      <c r="C146" s="469">
        <f>IF(D93="","-",+C145+1)</f>
        <v>2061</v>
      </c>
      <c r="D146" s="344">
        <f>IF(F145+SUM(E$99:E145)=D$92,F145,D$92-SUM(E$99:E145))</f>
        <v>0</v>
      </c>
      <c r="E146" s="481">
        <f t="shared" si="52"/>
        <v>0</v>
      </c>
      <c r="F146" s="482">
        <f t="shared" si="53"/>
        <v>0</v>
      </c>
      <c r="G146" s="482">
        <f t="shared" si="54"/>
        <v>0</v>
      </c>
      <c r="H146" s="483">
        <f t="shared" si="55"/>
        <v>0</v>
      </c>
      <c r="I146" s="539">
        <f t="shared" si="56"/>
        <v>0</v>
      </c>
      <c r="J146" s="475">
        <f t="shared" si="33"/>
        <v>0</v>
      </c>
      <c r="K146" s="475"/>
      <c r="L146" s="484"/>
      <c r="M146" s="475">
        <f t="shared" si="58"/>
        <v>0</v>
      </c>
      <c r="N146" s="484"/>
      <c r="O146" s="475">
        <f t="shared" si="59"/>
        <v>0</v>
      </c>
      <c r="P146" s="475">
        <f t="shared" si="60"/>
        <v>0</v>
      </c>
    </row>
    <row r="147" spans="2:16" ht="12.5">
      <c r="B147" s="160" t="str">
        <f t="shared" si="32"/>
        <v/>
      </c>
      <c r="C147" s="469">
        <f>IF(D93="","-",+C146+1)</f>
        <v>2062</v>
      </c>
      <c r="D147" s="344">
        <f>IF(F146+SUM(E$99:E146)=D$92,F146,D$92-SUM(E$99:E146))</f>
        <v>0</v>
      </c>
      <c r="E147" s="481">
        <f t="shared" si="52"/>
        <v>0</v>
      </c>
      <c r="F147" s="482">
        <f t="shared" si="53"/>
        <v>0</v>
      </c>
      <c r="G147" s="482">
        <f t="shared" si="54"/>
        <v>0</v>
      </c>
      <c r="H147" s="483">
        <f t="shared" si="55"/>
        <v>0</v>
      </c>
      <c r="I147" s="539">
        <f t="shared" si="56"/>
        <v>0</v>
      </c>
      <c r="J147" s="475">
        <f t="shared" si="33"/>
        <v>0</v>
      </c>
      <c r="K147" s="475"/>
      <c r="L147" s="484"/>
      <c r="M147" s="475">
        <f t="shared" si="58"/>
        <v>0</v>
      </c>
      <c r="N147" s="484"/>
      <c r="O147" s="475">
        <f t="shared" si="59"/>
        <v>0</v>
      </c>
      <c r="P147" s="475">
        <f t="shared" si="60"/>
        <v>0</v>
      </c>
    </row>
    <row r="148" spans="2:16" ht="12.5">
      <c r="B148" s="160" t="str">
        <f t="shared" si="32"/>
        <v/>
      </c>
      <c r="C148" s="469">
        <f>IF(D93="","-",+C147+1)</f>
        <v>2063</v>
      </c>
      <c r="D148" s="344">
        <f>IF(F147+SUM(E$99:E147)=D$92,F147,D$92-SUM(E$99:E147))</f>
        <v>0</v>
      </c>
      <c r="E148" s="481">
        <f t="shared" si="52"/>
        <v>0</v>
      </c>
      <c r="F148" s="482">
        <f t="shared" si="53"/>
        <v>0</v>
      </c>
      <c r="G148" s="482">
        <f t="shared" si="54"/>
        <v>0</v>
      </c>
      <c r="H148" s="483">
        <f t="shared" si="55"/>
        <v>0</v>
      </c>
      <c r="I148" s="539">
        <f t="shared" si="56"/>
        <v>0</v>
      </c>
      <c r="J148" s="475">
        <f t="shared" si="33"/>
        <v>0</v>
      </c>
      <c r="K148" s="475"/>
      <c r="L148" s="484"/>
      <c r="M148" s="475">
        <f t="shared" si="58"/>
        <v>0</v>
      </c>
      <c r="N148" s="484"/>
      <c r="O148" s="475">
        <f t="shared" si="59"/>
        <v>0</v>
      </c>
      <c r="P148" s="475">
        <f t="shared" si="60"/>
        <v>0</v>
      </c>
    </row>
    <row r="149" spans="2:16" ht="12.5">
      <c r="B149" s="160" t="str">
        <f t="shared" si="32"/>
        <v/>
      </c>
      <c r="C149" s="469">
        <f>IF(D93="","-",+C148+1)</f>
        <v>2064</v>
      </c>
      <c r="D149" s="344">
        <f>IF(F148+SUM(E$99:E148)=D$92,F148,D$92-SUM(E$99:E148))</f>
        <v>0</v>
      </c>
      <c r="E149" s="481">
        <f t="shared" si="52"/>
        <v>0</v>
      </c>
      <c r="F149" s="482">
        <f t="shared" si="53"/>
        <v>0</v>
      </c>
      <c r="G149" s="482">
        <f t="shared" si="54"/>
        <v>0</v>
      </c>
      <c r="H149" s="483">
        <f t="shared" si="55"/>
        <v>0</v>
      </c>
      <c r="I149" s="539">
        <f t="shared" si="56"/>
        <v>0</v>
      </c>
      <c r="J149" s="475">
        <f t="shared" si="33"/>
        <v>0</v>
      </c>
      <c r="K149" s="475"/>
      <c r="L149" s="484"/>
      <c r="M149" s="475">
        <f t="shared" si="58"/>
        <v>0</v>
      </c>
      <c r="N149" s="484"/>
      <c r="O149" s="475">
        <f t="shared" si="59"/>
        <v>0</v>
      </c>
      <c r="P149" s="475">
        <f t="shared" si="60"/>
        <v>0</v>
      </c>
    </row>
    <row r="150" spans="2:16" ht="12.5">
      <c r="B150" s="160" t="str">
        <f t="shared" si="32"/>
        <v/>
      </c>
      <c r="C150" s="469">
        <f>IF(D93="","-",+C149+1)</f>
        <v>2065</v>
      </c>
      <c r="D150" s="344">
        <f>IF(F149+SUM(E$99:E149)=D$92,F149,D$92-SUM(E$99:E149))</f>
        <v>0</v>
      </c>
      <c r="E150" s="481">
        <f t="shared" si="52"/>
        <v>0</v>
      </c>
      <c r="F150" s="482">
        <f t="shared" si="53"/>
        <v>0</v>
      </c>
      <c r="G150" s="482">
        <f t="shared" si="54"/>
        <v>0</v>
      </c>
      <c r="H150" s="483">
        <f t="shared" si="55"/>
        <v>0</v>
      </c>
      <c r="I150" s="539">
        <f t="shared" si="56"/>
        <v>0</v>
      </c>
      <c r="J150" s="475">
        <f t="shared" si="33"/>
        <v>0</v>
      </c>
      <c r="K150" s="475"/>
      <c r="L150" s="484"/>
      <c r="M150" s="475">
        <f t="shared" si="58"/>
        <v>0</v>
      </c>
      <c r="N150" s="484"/>
      <c r="O150" s="475">
        <f t="shared" si="59"/>
        <v>0</v>
      </c>
      <c r="P150" s="475">
        <f t="shared" si="60"/>
        <v>0</v>
      </c>
    </row>
    <row r="151" spans="2:16" ht="12.5">
      <c r="B151" s="160" t="str">
        <f t="shared" si="32"/>
        <v/>
      </c>
      <c r="C151" s="469">
        <f>IF(D93="","-",+C150+1)</f>
        <v>2066</v>
      </c>
      <c r="D151" s="344">
        <f>IF(F150+SUM(E$99:E150)=D$92,F150,D$92-SUM(E$99:E150))</f>
        <v>0</v>
      </c>
      <c r="E151" s="481">
        <f t="shared" si="52"/>
        <v>0</v>
      </c>
      <c r="F151" s="482">
        <f t="shared" si="53"/>
        <v>0</v>
      </c>
      <c r="G151" s="482">
        <f t="shared" si="54"/>
        <v>0</v>
      </c>
      <c r="H151" s="483">
        <f t="shared" si="55"/>
        <v>0</v>
      </c>
      <c r="I151" s="539">
        <f t="shared" si="56"/>
        <v>0</v>
      </c>
      <c r="J151" s="475">
        <f t="shared" si="33"/>
        <v>0</v>
      </c>
      <c r="K151" s="475"/>
      <c r="L151" s="484"/>
      <c r="M151" s="475">
        <f t="shared" si="58"/>
        <v>0</v>
      </c>
      <c r="N151" s="484"/>
      <c r="O151" s="475">
        <f t="shared" si="59"/>
        <v>0</v>
      </c>
      <c r="P151" s="475">
        <f t="shared" si="60"/>
        <v>0</v>
      </c>
    </row>
    <row r="152" spans="2:16" ht="12.5">
      <c r="B152" s="160" t="str">
        <f t="shared" si="32"/>
        <v/>
      </c>
      <c r="C152" s="469">
        <f>IF(D93="","-",+C151+1)</f>
        <v>2067</v>
      </c>
      <c r="D152" s="344">
        <f>IF(F151+SUM(E$99:E151)=D$92,F151,D$92-SUM(E$99:E151))</f>
        <v>0</v>
      </c>
      <c r="E152" s="481">
        <f t="shared" si="52"/>
        <v>0</v>
      </c>
      <c r="F152" s="482">
        <f t="shared" si="53"/>
        <v>0</v>
      </c>
      <c r="G152" s="482">
        <f t="shared" si="54"/>
        <v>0</v>
      </c>
      <c r="H152" s="483">
        <f t="shared" si="55"/>
        <v>0</v>
      </c>
      <c r="I152" s="539">
        <f t="shared" si="56"/>
        <v>0</v>
      </c>
      <c r="J152" s="475">
        <f t="shared" si="33"/>
        <v>0</v>
      </c>
      <c r="K152" s="475"/>
      <c r="L152" s="484"/>
      <c r="M152" s="475">
        <f t="shared" si="58"/>
        <v>0</v>
      </c>
      <c r="N152" s="484"/>
      <c r="O152" s="475">
        <f t="shared" si="59"/>
        <v>0</v>
      </c>
      <c r="P152" s="475">
        <f t="shared" si="60"/>
        <v>0</v>
      </c>
    </row>
    <row r="153" spans="2:16" ht="12.5">
      <c r="B153" s="160" t="str">
        <f t="shared" si="32"/>
        <v/>
      </c>
      <c r="C153" s="469">
        <f>IF(D93="","-",+C152+1)</f>
        <v>2068</v>
      </c>
      <c r="D153" s="344">
        <f>IF(F152+SUM(E$99:E152)=D$92,F152,D$92-SUM(E$99:E152))</f>
        <v>0</v>
      </c>
      <c r="E153" s="481">
        <f t="shared" si="52"/>
        <v>0</v>
      </c>
      <c r="F153" s="482">
        <f t="shared" si="53"/>
        <v>0</v>
      </c>
      <c r="G153" s="482">
        <f t="shared" si="54"/>
        <v>0</v>
      </c>
      <c r="H153" s="483">
        <f t="shared" si="55"/>
        <v>0</v>
      </c>
      <c r="I153" s="539">
        <f t="shared" si="56"/>
        <v>0</v>
      </c>
      <c r="J153" s="475">
        <f t="shared" si="33"/>
        <v>0</v>
      </c>
      <c r="K153" s="475"/>
      <c r="L153" s="484"/>
      <c r="M153" s="475">
        <f t="shared" si="58"/>
        <v>0</v>
      </c>
      <c r="N153" s="484"/>
      <c r="O153" s="475">
        <f t="shared" si="59"/>
        <v>0</v>
      </c>
      <c r="P153" s="475">
        <f t="shared" si="60"/>
        <v>0</v>
      </c>
    </row>
    <row r="154" spans="2:16" ht="13" thickBot="1">
      <c r="B154" s="160" t="str">
        <f t="shared" si="32"/>
        <v/>
      </c>
      <c r="C154" s="486">
        <f>IF(D93="","-",+C153+1)</f>
        <v>2069</v>
      </c>
      <c r="D154" s="573">
        <f>IF(F153+SUM(E$99:E153)=D$92,F153,D$92-SUM(E$99:E153))</f>
        <v>0</v>
      </c>
      <c r="E154" s="488">
        <f t="shared" si="52"/>
        <v>0</v>
      </c>
      <c r="F154" s="487">
        <f t="shared" si="53"/>
        <v>0</v>
      </c>
      <c r="G154" s="487">
        <f t="shared" si="54"/>
        <v>0</v>
      </c>
      <c r="H154" s="489">
        <f t="shared" ref="H154" si="61">+J$94*G154+E154</f>
        <v>0</v>
      </c>
      <c r="I154" s="542">
        <f t="shared" ref="I154" si="62">+J$95*G154+E154</f>
        <v>0</v>
      </c>
      <c r="J154" s="492">
        <f t="shared" si="33"/>
        <v>0</v>
      </c>
      <c r="K154" s="475"/>
      <c r="L154" s="491"/>
      <c r="M154" s="492">
        <f t="shared" si="58"/>
        <v>0</v>
      </c>
      <c r="N154" s="491"/>
      <c r="O154" s="492">
        <f t="shared" si="59"/>
        <v>0</v>
      </c>
      <c r="P154" s="492">
        <f t="shared" si="60"/>
        <v>0</v>
      </c>
    </row>
    <row r="155" spans="2:16" ht="12.5">
      <c r="C155" s="344" t="s">
        <v>77</v>
      </c>
      <c r="D155" s="345"/>
      <c r="E155" s="345">
        <f>SUM(E99:E154)</f>
        <v>1725647</v>
      </c>
      <c r="F155" s="345"/>
      <c r="G155" s="345"/>
      <c r="H155" s="345">
        <f>SUM(H99:H154)</f>
        <v>6110353.3702449966</v>
      </c>
      <c r="I155" s="345">
        <f>SUM(I99:I154)</f>
        <v>6110353.3702449966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37" priority="1" stopIfTrue="1" operator="equal">
      <formula>$I$10</formula>
    </cfRule>
  </conditionalFormatting>
  <conditionalFormatting sqref="C99:C154">
    <cfRule type="cellIs" dxfId="3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68"/>
  <dimension ref="A1:P162"/>
  <sheetViews>
    <sheetView topLeftCell="A65" zoomScaleNormal="100" zoomScaleSheetLayoutView="78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19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166524.97704948511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166524.97704948511</v>
      </c>
      <c r="O6" s="231"/>
      <c r="P6" s="231"/>
    </row>
    <row r="7" spans="1:16" ht="13.5" thickBot="1">
      <c r="C7" s="428" t="s">
        <v>46</v>
      </c>
      <c r="D7" s="596" t="s">
        <v>276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291</v>
      </c>
      <c r="E9" s="574" t="s">
        <v>292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1338977.9100000004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2017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3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35236.260789473694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2017</v>
      </c>
      <c r="D17" s="581">
        <v>0</v>
      </c>
      <c r="E17" s="604">
        <v>21831.16304347826</v>
      </c>
      <c r="F17" s="581">
        <v>1317146.8369565217</v>
      </c>
      <c r="G17" s="604">
        <v>105641.6474528401</v>
      </c>
      <c r="H17" s="584">
        <v>105641.6474528401</v>
      </c>
      <c r="I17" s="472">
        <f t="shared" ref="I17:I72" si="0">H17-G17</f>
        <v>0</v>
      </c>
      <c r="J17" s="472"/>
      <c r="K17" s="474">
        <f t="shared" ref="K17:K22" si="1">+G17</f>
        <v>105641.6474528401</v>
      </c>
      <c r="L17" s="474">
        <f t="shared" ref="L17:L72" si="2">IF(K17&lt;&gt;0,+G17-K17,0)</f>
        <v>0</v>
      </c>
      <c r="M17" s="474">
        <f t="shared" ref="M17:M22" si="3">+H17</f>
        <v>105641.6474528401</v>
      </c>
      <c r="N17" s="474">
        <f t="shared" ref="N17:N72" si="4">IF(M17&lt;&gt;0,+H17-M17,0)</f>
        <v>0</v>
      </c>
      <c r="O17" s="475">
        <f t="shared" ref="O17:O72" si="5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2018</v>
      </c>
      <c r="D18" s="581">
        <v>1317146.8369565217</v>
      </c>
      <c r="E18" s="582">
        <v>29755.066666666666</v>
      </c>
      <c r="F18" s="581">
        <v>1287391.7702898551</v>
      </c>
      <c r="G18" s="582">
        <v>185713.45898482588</v>
      </c>
      <c r="H18" s="584">
        <v>185713.45898482588</v>
      </c>
      <c r="I18" s="472">
        <f t="shared" si="0"/>
        <v>0</v>
      </c>
      <c r="J18" s="472"/>
      <c r="K18" s="475">
        <f t="shared" si="1"/>
        <v>185713.45898482588</v>
      </c>
      <c r="L18" s="475">
        <f t="shared" si="2"/>
        <v>0</v>
      </c>
      <c r="M18" s="475">
        <f t="shared" si="3"/>
        <v>185713.45898482588</v>
      </c>
      <c r="N18" s="475">
        <f t="shared" si="4"/>
        <v>0</v>
      </c>
      <c r="O18" s="475">
        <f t="shared" si="5"/>
        <v>0</v>
      </c>
      <c r="P18" s="241"/>
    </row>
    <row r="19" spans="2:16" ht="12.5">
      <c r="B19" s="160" t="str">
        <f>IF(D19=F18,"","IU")</f>
        <v/>
      </c>
      <c r="C19" s="469">
        <f>IF(D11="","-",+C18+1)</f>
        <v>2019</v>
      </c>
      <c r="D19" s="581">
        <v>1287391.7702898551</v>
      </c>
      <c r="E19" s="582">
        <v>33474.449999999997</v>
      </c>
      <c r="F19" s="581">
        <v>1253917.3202898551</v>
      </c>
      <c r="G19" s="582">
        <v>175351.45606998727</v>
      </c>
      <c r="H19" s="584">
        <v>175351.45606998727</v>
      </c>
      <c r="I19" s="472">
        <f t="shared" si="0"/>
        <v>0</v>
      </c>
      <c r="J19" s="472"/>
      <c r="K19" s="475">
        <f t="shared" si="1"/>
        <v>175351.45606998727</v>
      </c>
      <c r="L19" s="475">
        <f t="shared" ref="L19" si="6">IF(K19&lt;&gt;0,+G19-K19,0)</f>
        <v>0</v>
      </c>
      <c r="M19" s="475">
        <f t="shared" si="3"/>
        <v>175351.45606998727</v>
      </c>
      <c r="N19" s="475">
        <f t="shared" si="4"/>
        <v>0</v>
      </c>
      <c r="O19" s="475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2020</v>
      </c>
      <c r="D20" s="581">
        <v>1257636.7036231884</v>
      </c>
      <c r="E20" s="582">
        <v>31880.428571428572</v>
      </c>
      <c r="F20" s="581">
        <v>1225756.2750517598</v>
      </c>
      <c r="G20" s="582">
        <v>165989.58089219453</v>
      </c>
      <c r="H20" s="584">
        <v>165989.58089219453</v>
      </c>
      <c r="I20" s="472">
        <f t="shared" si="0"/>
        <v>0</v>
      </c>
      <c r="J20" s="472"/>
      <c r="K20" s="475">
        <f t="shared" si="1"/>
        <v>165989.58089219453</v>
      </c>
      <c r="L20" s="475">
        <f t="shared" ref="L20" si="8">IF(K20&lt;&gt;0,+G20-K20,0)</f>
        <v>0</v>
      </c>
      <c r="M20" s="475">
        <f t="shared" si="3"/>
        <v>165989.58089219453</v>
      </c>
      <c r="N20" s="475">
        <f t="shared" si="4"/>
        <v>0</v>
      </c>
      <c r="O20" s="475">
        <f t="shared" si="5"/>
        <v>0</v>
      </c>
      <c r="P20" s="241"/>
    </row>
    <row r="21" spans="2:16" ht="12.5">
      <c r="B21" s="160" t="str">
        <f t="shared" si="7"/>
        <v>IU</v>
      </c>
      <c r="C21" s="469">
        <f>IF(D11="","-",+C20+1)</f>
        <v>2021</v>
      </c>
      <c r="D21" s="581">
        <v>1222036.8917184265</v>
      </c>
      <c r="E21" s="582">
        <v>31139.023255813954</v>
      </c>
      <c r="F21" s="581">
        <v>1190897.8684626126</v>
      </c>
      <c r="G21" s="582">
        <v>161222.32913848371</v>
      </c>
      <c r="H21" s="584">
        <v>161222.32913848371</v>
      </c>
      <c r="I21" s="472">
        <f t="shared" si="0"/>
        <v>0</v>
      </c>
      <c r="J21" s="472"/>
      <c r="K21" s="475">
        <f t="shared" si="1"/>
        <v>161222.32913848371</v>
      </c>
      <c r="L21" s="475">
        <f t="shared" ref="L21" si="9">IF(K21&lt;&gt;0,+G21-K21,0)</f>
        <v>0</v>
      </c>
      <c r="M21" s="475">
        <f t="shared" si="3"/>
        <v>161222.32913848371</v>
      </c>
      <c r="N21" s="475">
        <f t="shared" si="4"/>
        <v>0</v>
      </c>
      <c r="O21" s="475">
        <f t="shared" si="5"/>
        <v>0</v>
      </c>
      <c r="P21" s="241"/>
    </row>
    <row r="22" spans="2:16" ht="12.5">
      <c r="B22" s="160" t="str">
        <f t="shared" si="7"/>
        <v/>
      </c>
      <c r="C22" s="469">
        <f>IF(D11="","-",+C21+1)</f>
        <v>2022</v>
      </c>
      <c r="D22" s="581">
        <v>1190897.8684626126</v>
      </c>
      <c r="E22" s="582">
        <v>31880.428571428572</v>
      </c>
      <c r="F22" s="581">
        <v>1159017.439891184</v>
      </c>
      <c r="G22" s="582">
        <v>158554.07703900614</v>
      </c>
      <c r="H22" s="584">
        <v>158554.07703900614</v>
      </c>
      <c r="I22" s="472">
        <f t="shared" si="0"/>
        <v>0</v>
      </c>
      <c r="J22" s="472"/>
      <c r="K22" s="475">
        <f t="shared" si="1"/>
        <v>158554.07703900614</v>
      </c>
      <c r="L22" s="475">
        <f t="shared" ref="L22" si="10">IF(K22&lt;&gt;0,+G22-K22,0)</f>
        <v>0</v>
      </c>
      <c r="M22" s="475">
        <f t="shared" si="3"/>
        <v>158554.07703900614</v>
      </c>
      <c r="N22" s="475">
        <f t="shared" si="4"/>
        <v>0</v>
      </c>
      <c r="O22" s="475">
        <f t="shared" si="5"/>
        <v>0</v>
      </c>
      <c r="P22" s="241"/>
    </row>
    <row r="23" spans="2:16" ht="12.5">
      <c r="B23" s="160" t="str">
        <f t="shared" si="7"/>
        <v>IU</v>
      </c>
      <c r="C23" s="469">
        <f>IF(D11="","-",+C22+1)</f>
        <v>2023</v>
      </c>
      <c r="D23" s="581">
        <v>1159017.3498911844</v>
      </c>
      <c r="E23" s="582">
        <v>34332.766923076932</v>
      </c>
      <c r="F23" s="581">
        <v>1124684.5829681074</v>
      </c>
      <c r="G23" s="582">
        <v>170622.90008256794</v>
      </c>
      <c r="H23" s="584">
        <v>170622.90008256794</v>
      </c>
      <c r="I23" s="472">
        <f t="shared" si="0"/>
        <v>0</v>
      </c>
      <c r="J23" s="472"/>
      <c r="K23" s="475">
        <f t="shared" ref="K23" si="11">+G23</f>
        <v>170622.90008256794</v>
      </c>
      <c r="L23" s="475">
        <f t="shared" ref="L23" si="12">IF(K23&lt;&gt;0,+G23-K23,0)</f>
        <v>0</v>
      </c>
      <c r="M23" s="475">
        <f t="shared" ref="M23" si="13">+H23</f>
        <v>170622.90008256794</v>
      </c>
      <c r="N23" s="475">
        <f t="shared" si="4"/>
        <v>0</v>
      </c>
      <c r="O23" s="475">
        <f t="shared" si="5"/>
        <v>0</v>
      </c>
      <c r="P23" s="241"/>
    </row>
    <row r="24" spans="2:16" ht="12.5">
      <c r="B24" s="160" t="str">
        <f t="shared" si="7"/>
        <v/>
      </c>
      <c r="C24" s="469">
        <f>IF(D11="","-",+C23+1)</f>
        <v>2024</v>
      </c>
      <c r="D24" s="581">
        <v>1124684.5829681074</v>
      </c>
      <c r="E24" s="582">
        <v>34332.766923076932</v>
      </c>
      <c r="F24" s="581">
        <v>1090351.8160450305</v>
      </c>
      <c r="G24" s="582">
        <v>166524.97704948511</v>
      </c>
      <c r="H24" s="584">
        <v>166524.97704948511</v>
      </c>
      <c r="I24" s="472">
        <f t="shared" si="0"/>
        <v>0</v>
      </c>
      <c r="J24" s="472"/>
      <c r="K24" s="475">
        <f t="shared" ref="K24" si="14">+G24</f>
        <v>166524.97704948511</v>
      </c>
      <c r="L24" s="475">
        <f t="shared" ref="L24" si="15">IF(K24&lt;&gt;0,+G24-K24,0)</f>
        <v>0</v>
      </c>
      <c r="M24" s="475">
        <f t="shared" ref="M24" si="16">+H24</f>
        <v>166524.97704948511</v>
      </c>
      <c r="N24" s="475">
        <f t="shared" ref="N24" si="17">IF(M24&lt;&gt;0,+H24-M24,0)</f>
        <v>0</v>
      </c>
      <c r="O24" s="475">
        <f t="shared" ref="O24" si="18">+N24-L24</f>
        <v>0</v>
      </c>
      <c r="P24" s="241"/>
    </row>
    <row r="25" spans="2:16" ht="12.5">
      <c r="B25" s="160" t="str">
        <f t="shared" si="7"/>
        <v/>
      </c>
      <c r="C25" s="469">
        <f>IF(D11="","-",+C24+1)</f>
        <v>2025</v>
      </c>
      <c r="D25" s="480">
        <f>IF(F24+SUM(E$17:E24)=D$10,F24,D$10-SUM(E$17:E24))</f>
        <v>1090351.8160450305</v>
      </c>
      <c r="E25" s="481">
        <f t="shared" ref="E25:E72" si="19">IF(+I$14&lt;F24,I$14,D25)</f>
        <v>35236.260789473694</v>
      </c>
      <c r="F25" s="482">
        <f t="shared" ref="F25:F72" si="20">+D25-E25</f>
        <v>1055115.5552555567</v>
      </c>
      <c r="G25" s="483">
        <f t="shared" ref="G25:G72" si="21">(D25+F25)/2*I$12+E25</f>
        <v>157249.19141828196</v>
      </c>
      <c r="H25" s="452">
        <f t="shared" ref="H25:H72" si="22">+(D25+F25)/2*I$13+E25</f>
        <v>157249.19141828196</v>
      </c>
      <c r="I25" s="472">
        <f t="shared" si="0"/>
        <v>0</v>
      </c>
      <c r="J25" s="472"/>
      <c r="K25" s="484"/>
      <c r="L25" s="475">
        <f t="shared" si="2"/>
        <v>0</v>
      </c>
      <c r="M25" s="484"/>
      <c r="N25" s="475">
        <f t="shared" si="4"/>
        <v>0</v>
      </c>
      <c r="O25" s="475">
        <f t="shared" si="5"/>
        <v>0</v>
      </c>
      <c r="P25" s="241"/>
    </row>
    <row r="26" spans="2:16" ht="12.5">
      <c r="B26" s="160" t="str">
        <f t="shared" si="7"/>
        <v/>
      </c>
      <c r="C26" s="469">
        <f>IF(D11="","-",+C25+1)</f>
        <v>2026</v>
      </c>
      <c r="D26" s="480">
        <f>IF(F25+SUM(E$17:E25)=D$10,F25,D$10-SUM(E$17:E25))</f>
        <v>1055115.5552555567</v>
      </c>
      <c r="E26" s="481">
        <f t="shared" si="19"/>
        <v>35236.260789473694</v>
      </c>
      <c r="F26" s="482">
        <f t="shared" si="20"/>
        <v>1019879.2944660831</v>
      </c>
      <c r="G26" s="483">
        <f t="shared" si="21"/>
        <v>153241.4125064839</v>
      </c>
      <c r="H26" s="452">
        <f t="shared" si="22"/>
        <v>153241.4125064839</v>
      </c>
      <c r="I26" s="472">
        <f t="shared" si="0"/>
        <v>0</v>
      </c>
      <c r="J26" s="472"/>
      <c r="K26" s="484"/>
      <c r="L26" s="475">
        <f t="shared" si="2"/>
        <v>0</v>
      </c>
      <c r="M26" s="484"/>
      <c r="N26" s="475">
        <f t="shared" si="4"/>
        <v>0</v>
      </c>
      <c r="O26" s="475">
        <f t="shared" si="5"/>
        <v>0</v>
      </c>
      <c r="P26" s="241"/>
    </row>
    <row r="27" spans="2:16" ht="12.5">
      <c r="B27" s="160" t="str">
        <f t="shared" si="7"/>
        <v/>
      </c>
      <c r="C27" s="469">
        <f>IF(D11="","-",+C26+1)</f>
        <v>2027</v>
      </c>
      <c r="D27" s="480">
        <f>IF(F26+SUM(E$17:E26)=D$10,F26,D$10-SUM(E$17:E26))</f>
        <v>1019879.2944660831</v>
      </c>
      <c r="E27" s="481">
        <f t="shared" si="19"/>
        <v>35236.260789473694</v>
      </c>
      <c r="F27" s="482">
        <f t="shared" si="20"/>
        <v>984643.0336766094</v>
      </c>
      <c r="G27" s="483">
        <f t="shared" si="21"/>
        <v>149233.63359468585</v>
      </c>
      <c r="H27" s="452">
        <f t="shared" si="22"/>
        <v>149233.63359468585</v>
      </c>
      <c r="I27" s="472">
        <f t="shared" si="0"/>
        <v>0</v>
      </c>
      <c r="J27" s="472"/>
      <c r="K27" s="484"/>
      <c r="L27" s="475">
        <f t="shared" si="2"/>
        <v>0</v>
      </c>
      <c r="M27" s="484"/>
      <c r="N27" s="475">
        <f t="shared" si="4"/>
        <v>0</v>
      </c>
      <c r="O27" s="475">
        <f t="shared" si="5"/>
        <v>0</v>
      </c>
      <c r="P27" s="241"/>
    </row>
    <row r="28" spans="2:16" ht="12.5">
      <c r="B28" s="160" t="str">
        <f t="shared" si="7"/>
        <v/>
      </c>
      <c r="C28" s="469">
        <f>IF(D11="","-",+C27+1)</f>
        <v>2028</v>
      </c>
      <c r="D28" s="480">
        <f>IF(F27+SUM(E$17:E27)=D$10,F27,D$10-SUM(E$17:E27))</f>
        <v>984643.0336766094</v>
      </c>
      <c r="E28" s="481">
        <f t="shared" si="19"/>
        <v>35236.260789473694</v>
      </c>
      <c r="F28" s="482">
        <f t="shared" si="20"/>
        <v>949406.77288713574</v>
      </c>
      <c r="G28" s="483">
        <f t="shared" si="21"/>
        <v>145225.85468288782</v>
      </c>
      <c r="H28" s="452">
        <f t="shared" si="22"/>
        <v>145225.85468288782</v>
      </c>
      <c r="I28" s="472">
        <f t="shared" si="0"/>
        <v>0</v>
      </c>
      <c r="J28" s="472"/>
      <c r="K28" s="484"/>
      <c r="L28" s="475">
        <f t="shared" si="2"/>
        <v>0</v>
      </c>
      <c r="M28" s="484"/>
      <c r="N28" s="475">
        <f t="shared" si="4"/>
        <v>0</v>
      </c>
      <c r="O28" s="475">
        <f t="shared" si="5"/>
        <v>0</v>
      </c>
      <c r="P28" s="241"/>
    </row>
    <row r="29" spans="2:16" ht="12.5">
      <c r="B29" s="160" t="str">
        <f t="shared" si="7"/>
        <v/>
      </c>
      <c r="C29" s="469">
        <f>IF(D11="","-",+C28+1)</f>
        <v>2029</v>
      </c>
      <c r="D29" s="480">
        <f>IF(F28+SUM(E$17:E28)=D$10,F28,D$10-SUM(E$17:E28))</f>
        <v>949406.77288713574</v>
      </c>
      <c r="E29" s="481">
        <f t="shared" si="19"/>
        <v>35236.260789473694</v>
      </c>
      <c r="F29" s="482">
        <f t="shared" si="20"/>
        <v>914170.51209766208</v>
      </c>
      <c r="G29" s="483">
        <f t="shared" si="21"/>
        <v>141218.07577108973</v>
      </c>
      <c r="H29" s="452">
        <f t="shared" si="22"/>
        <v>141218.07577108973</v>
      </c>
      <c r="I29" s="472">
        <f t="shared" si="0"/>
        <v>0</v>
      </c>
      <c r="J29" s="472"/>
      <c r="K29" s="484"/>
      <c r="L29" s="475">
        <f t="shared" si="2"/>
        <v>0</v>
      </c>
      <c r="M29" s="484"/>
      <c r="N29" s="475">
        <f t="shared" si="4"/>
        <v>0</v>
      </c>
      <c r="O29" s="475">
        <f t="shared" si="5"/>
        <v>0</v>
      </c>
      <c r="P29" s="241"/>
    </row>
    <row r="30" spans="2:16" ht="12.5">
      <c r="B30" s="160" t="str">
        <f t="shared" si="7"/>
        <v/>
      </c>
      <c r="C30" s="469">
        <f>IF(D11="","-",+C29+1)</f>
        <v>2030</v>
      </c>
      <c r="D30" s="480">
        <f>IF(F29+SUM(E$17:E29)=D$10,F29,D$10-SUM(E$17:E29))</f>
        <v>914170.51209766208</v>
      </c>
      <c r="E30" s="481">
        <f t="shared" si="19"/>
        <v>35236.260789473694</v>
      </c>
      <c r="F30" s="482">
        <f t="shared" si="20"/>
        <v>878934.25130818842</v>
      </c>
      <c r="G30" s="483">
        <f t="shared" si="21"/>
        <v>137210.2968592917</v>
      </c>
      <c r="H30" s="452">
        <f t="shared" si="22"/>
        <v>137210.2968592917</v>
      </c>
      <c r="I30" s="472">
        <f t="shared" si="0"/>
        <v>0</v>
      </c>
      <c r="J30" s="472"/>
      <c r="K30" s="484"/>
      <c r="L30" s="475">
        <f t="shared" si="2"/>
        <v>0</v>
      </c>
      <c r="M30" s="484"/>
      <c r="N30" s="475">
        <f t="shared" si="4"/>
        <v>0</v>
      </c>
      <c r="O30" s="475">
        <f t="shared" si="5"/>
        <v>0</v>
      </c>
      <c r="P30" s="241"/>
    </row>
    <row r="31" spans="2:16" ht="12.5">
      <c r="B31" s="160" t="str">
        <f t="shared" si="7"/>
        <v/>
      </c>
      <c r="C31" s="469">
        <f>IF(D11="","-",+C30+1)</f>
        <v>2031</v>
      </c>
      <c r="D31" s="480">
        <f>IF(F30+SUM(E$17:E30)=D$10,F30,D$10-SUM(E$17:E30))</f>
        <v>878934.25130818842</v>
      </c>
      <c r="E31" s="481">
        <f t="shared" si="19"/>
        <v>35236.260789473694</v>
      </c>
      <c r="F31" s="482">
        <f t="shared" si="20"/>
        <v>843697.99051871477</v>
      </c>
      <c r="G31" s="483">
        <f t="shared" si="21"/>
        <v>133202.51794749364</v>
      </c>
      <c r="H31" s="452">
        <f t="shared" si="22"/>
        <v>133202.51794749364</v>
      </c>
      <c r="I31" s="472">
        <f t="shared" si="0"/>
        <v>0</v>
      </c>
      <c r="J31" s="472"/>
      <c r="K31" s="484"/>
      <c r="L31" s="475">
        <f t="shared" si="2"/>
        <v>0</v>
      </c>
      <c r="M31" s="484"/>
      <c r="N31" s="475">
        <f t="shared" si="4"/>
        <v>0</v>
      </c>
      <c r="O31" s="475">
        <f t="shared" si="5"/>
        <v>0</v>
      </c>
      <c r="P31" s="241"/>
    </row>
    <row r="32" spans="2:16" ht="12.5">
      <c r="B32" s="160" t="str">
        <f t="shared" si="7"/>
        <v/>
      </c>
      <c r="C32" s="469">
        <f>IF(D11="","-",+C31+1)</f>
        <v>2032</v>
      </c>
      <c r="D32" s="480">
        <f>IF(F31+SUM(E$17:E31)=D$10,F31,D$10-SUM(E$17:E31))</f>
        <v>843697.99051871477</v>
      </c>
      <c r="E32" s="481">
        <f t="shared" si="19"/>
        <v>35236.260789473694</v>
      </c>
      <c r="F32" s="482">
        <f t="shared" si="20"/>
        <v>808461.72972924111</v>
      </c>
      <c r="G32" s="483">
        <f t="shared" si="21"/>
        <v>129194.73903569559</v>
      </c>
      <c r="H32" s="452">
        <f t="shared" si="22"/>
        <v>129194.73903569559</v>
      </c>
      <c r="I32" s="472">
        <f t="shared" si="0"/>
        <v>0</v>
      </c>
      <c r="J32" s="472"/>
      <c r="K32" s="484"/>
      <c r="L32" s="475">
        <f t="shared" si="2"/>
        <v>0</v>
      </c>
      <c r="M32" s="484"/>
      <c r="N32" s="475">
        <f t="shared" si="4"/>
        <v>0</v>
      </c>
      <c r="O32" s="475">
        <f t="shared" si="5"/>
        <v>0</v>
      </c>
      <c r="P32" s="241"/>
    </row>
    <row r="33" spans="2:16" ht="12.5">
      <c r="B33" s="160" t="str">
        <f t="shared" si="7"/>
        <v/>
      </c>
      <c r="C33" s="469">
        <f>IF(D11="","-",+C32+1)</f>
        <v>2033</v>
      </c>
      <c r="D33" s="480">
        <f>IF(F32+SUM(E$17:E32)=D$10,F32,D$10-SUM(E$17:E32))</f>
        <v>808461.72972924111</v>
      </c>
      <c r="E33" s="481">
        <f t="shared" si="19"/>
        <v>35236.260789473694</v>
      </c>
      <c r="F33" s="482">
        <f t="shared" si="20"/>
        <v>773225.46893976745</v>
      </c>
      <c r="G33" s="483">
        <f t="shared" si="21"/>
        <v>125186.96012389753</v>
      </c>
      <c r="H33" s="452">
        <f t="shared" si="22"/>
        <v>125186.96012389753</v>
      </c>
      <c r="I33" s="472">
        <f t="shared" si="0"/>
        <v>0</v>
      </c>
      <c r="J33" s="472"/>
      <c r="K33" s="484"/>
      <c r="L33" s="475">
        <f t="shared" si="2"/>
        <v>0</v>
      </c>
      <c r="M33" s="484"/>
      <c r="N33" s="475">
        <f t="shared" si="4"/>
        <v>0</v>
      </c>
      <c r="O33" s="475">
        <f t="shared" si="5"/>
        <v>0</v>
      </c>
      <c r="P33" s="241"/>
    </row>
    <row r="34" spans="2:16" ht="12.5">
      <c r="B34" s="160" t="str">
        <f t="shared" si="7"/>
        <v/>
      </c>
      <c r="C34" s="469">
        <f>IF(D11="","-",+C33+1)</f>
        <v>2034</v>
      </c>
      <c r="D34" s="480">
        <f>IF(F33+SUM(E$17:E33)=D$10,F33,D$10-SUM(E$17:E33))</f>
        <v>773225.46893976745</v>
      </c>
      <c r="E34" s="481">
        <f t="shared" si="19"/>
        <v>35236.260789473694</v>
      </c>
      <c r="F34" s="482">
        <f t="shared" si="20"/>
        <v>737989.20815029379</v>
      </c>
      <c r="G34" s="483">
        <f t="shared" si="21"/>
        <v>121179.1812120995</v>
      </c>
      <c r="H34" s="452">
        <f t="shared" si="22"/>
        <v>121179.1812120995</v>
      </c>
      <c r="I34" s="472">
        <f t="shared" si="0"/>
        <v>0</v>
      </c>
      <c r="J34" s="472"/>
      <c r="K34" s="484"/>
      <c r="L34" s="475">
        <f t="shared" si="2"/>
        <v>0</v>
      </c>
      <c r="M34" s="484"/>
      <c r="N34" s="475">
        <f t="shared" si="4"/>
        <v>0</v>
      </c>
      <c r="O34" s="475">
        <f t="shared" si="5"/>
        <v>0</v>
      </c>
      <c r="P34" s="241"/>
    </row>
    <row r="35" spans="2:16" ht="12.5">
      <c r="B35" s="160" t="str">
        <f t="shared" si="7"/>
        <v/>
      </c>
      <c r="C35" s="469">
        <f>IF(D11="","-",+C34+1)</f>
        <v>2035</v>
      </c>
      <c r="D35" s="480">
        <f>IF(F34+SUM(E$17:E34)=D$10,F34,D$10-SUM(E$17:E34))</f>
        <v>737989.20815029379</v>
      </c>
      <c r="E35" s="481">
        <f t="shared" si="19"/>
        <v>35236.260789473694</v>
      </c>
      <c r="F35" s="482">
        <f t="shared" si="20"/>
        <v>702752.94736082014</v>
      </c>
      <c r="G35" s="483">
        <f t="shared" si="21"/>
        <v>117171.40230030144</v>
      </c>
      <c r="H35" s="452">
        <f t="shared" si="22"/>
        <v>117171.40230030144</v>
      </c>
      <c r="I35" s="472">
        <f t="shared" si="0"/>
        <v>0</v>
      </c>
      <c r="J35" s="472"/>
      <c r="K35" s="484"/>
      <c r="L35" s="475">
        <f t="shared" si="2"/>
        <v>0</v>
      </c>
      <c r="M35" s="484"/>
      <c r="N35" s="475">
        <f t="shared" si="4"/>
        <v>0</v>
      </c>
      <c r="O35" s="475">
        <f t="shared" si="5"/>
        <v>0</v>
      </c>
      <c r="P35" s="241"/>
    </row>
    <row r="36" spans="2:16" ht="12.5">
      <c r="B36" s="160" t="str">
        <f t="shared" si="7"/>
        <v/>
      </c>
      <c r="C36" s="469">
        <f>IF(D11="","-",+C35+1)</f>
        <v>2036</v>
      </c>
      <c r="D36" s="480">
        <f>IF(F35+SUM(E$17:E35)=D$10,F35,D$10-SUM(E$17:E35))</f>
        <v>702752.94736082014</v>
      </c>
      <c r="E36" s="481">
        <f t="shared" si="19"/>
        <v>35236.260789473694</v>
      </c>
      <c r="F36" s="482">
        <f t="shared" si="20"/>
        <v>667516.68657134648</v>
      </c>
      <c r="G36" s="483">
        <f t="shared" si="21"/>
        <v>113163.62338850339</v>
      </c>
      <c r="H36" s="452">
        <f t="shared" si="22"/>
        <v>113163.62338850339</v>
      </c>
      <c r="I36" s="472">
        <f t="shared" si="0"/>
        <v>0</v>
      </c>
      <c r="J36" s="472"/>
      <c r="K36" s="484"/>
      <c r="L36" s="475">
        <f t="shared" si="2"/>
        <v>0</v>
      </c>
      <c r="M36" s="484"/>
      <c r="N36" s="475">
        <f t="shared" si="4"/>
        <v>0</v>
      </c>
      <c r="O36" s="475">
        <f t="shared" si="5"/>
        <v>0</v>
      </c>
      <c r="P36" s="241"/>
    </row>
    <row r="37" spans="2:16" ht="12.5">
      <c r="B37" s="160" t="str">
        <f t="shared" si="7"/>
        <v/>
      </c>
      <c r="C37" s="469">
        <f>IF(D11="","-",+C36+1)</f>
        <v>2037</v>
      </c>
      <c r="D37" s="480">
        <f>IF(F36+SUM(E$17:E36)=D$10,F36,D$10-SUM(E$17:E36))</f>
        <v>667516.68657134648</v>
      </c>
      <c r="E37" s="481">
        <f t="shared" si="19"/>
        <v>35236.260789473694</v>
      </c>
      <c r="F37" s="482">
        <f t="shared" si="20"/>
        <v>632280.42578187282</v>
      </c>
      <c r="G37" s="483">
        <f t="shared" si="21"/>
        <v>109155.84447670533</v>
      </c>
      <c r="H37" s="452">
        <f t="shared" si="22"/>
        <v>109155.84447670533</v>
      </c>
      <c r="I37" s="472">
        <f t="shared" si="0"/>
        <v>0</v>
      </c>
      <c r="J37" s="472"/>
      <c r="K37" s="484"/>
      <c r="L37" s="475">
        <f t="shared" si="2"/>
        <v>0</v>
      </c>
      <c r="M37" s="484"/>
      <c r="N37" s="475">
        <f t="shared" si="4"/>
        <v>0</v>
      </c>
      <c r="O37" s="475">
        <f t="shared" si="5"/>
        <v>0</v>
      </c>
      <c r="P37" s="241"/>
    </row>
    <row r="38" spans="2:16" ht="12.5">
      <c r="B38" s="160" t="str">
        <f t="shared" si="7"/>
        <v/>
      </c>
      <c r="C38" s="469">
        <f>IF(D11="","-",+C37+1)</f>
        <v>2038</v>
      </c>
      <c r="D38" s="480">
        <f>IF(F37+SUM(E$17:E37)=D$10,F37,D$10-SUM(E$17:E37))</f>
        <v>632280.42578187282</v>
      </c>
      <c r="E38" s="481">
        <f t="shared" si="19"/>
        <v>35236.260789473694</v>
      </c>
      <c r="F38" s="482">
        <f t="shared" si="20"/>
        <v>597044.16499239916</v>
      </c>
      <c r="G38" s="483">
        <f t="shared" si="21"/>
        <v>105148.0655649073</v>
      </c>
      <c r="H38" s="452">
        <f t="shared" si="22"/>
        <v>105148.0655649073</v>
      </c>
      <c r="I38" s="472">
        <f t="shared" si="0"/>
        <v>0</v>
      </c>
      <c r="J38" s="472"/>
      <c r="K38" s="484"/>
      <c r="L38" s="475">
        <f t="shared" si="2"/>
        <v>0</v>
      </c>
      <c r="M38" s="484"/>
      <c r="N38" s="475">
        <f t="shared" si="4"/>
        <v>0</v>
      </c>
      <c r="O38" s="475">
        <f t="shared" si="5"/>
        <v>0</v>
      </c>
      <c r="P38" s="241"/>
    </row>
    <row r="39" spans="2:16" ht="12.5">
      <c r="B39" s="160" t="str">
        <f t="shared" si="7"/>
        <v/>
      </c>
      <c r="C39" s="469">
        <f>IF(D11="","-",+C38+1)</f>
        <v>2039</v>
      </c>
      <c r="D39" s="480">
        <f>IF(F38+SUM(E$17:E38)=D$10,F38,D$10-SUM(E$17:E38))</f>
        <v>597044.16499239916</v>
      </c>
      <c r="E39" s="481">
        <f t="shared" si="19"/>
        <v>35236.260789473694</v>
      </c>
      <c r="F39" s="482">
        <f t="shared" si="20"/>
        <v>561807.90420292551</v>
      </c>
      <c r="G39" s="483">
        <f t="shared" si="21"/>
        <v>101140.28665310924</v>
      </c>
      <c r="H39" s="452">
        <f t="shared" si="22"/>
        <v>101140.28665310924</v>
      </c>
      <c r="I39" s="472">
        <f t="shared" si="0"/>
        <v>0</v>
      </c>
      <c r="J39" s="472"/>
      <c r="K39" s="484"/>
      <c r="L39" s="475">
        <f t="shared" si="2"/>
        <v>0</v>
      </c>
      <c r="M39" s="484"/>
      <c r="N39" s="475">
        <f t="shared" si="4"/>
        <v>0</v>
      </c>
      <c r="O39" s="475">
        <f t="shared" si="5"/>
        <v>0</v>
      </c>
      <c r="P39" s="241"/>
    </row>
    <row r="40" spans="2:16" ht="12.5">
      <c r="B40" s="160" t="str">
        <f t="shared" si="7"/>
        <v/>
      </c>
      <c r="C40" s="469">
        <f>IF(D11="","-",+C39+1)</f>
        <v>2040</v>
      </c>
      <c r="D40" s="480">
        <f>IF(F39+SUM(E$17:E39)=D$10,F39,D$10-SUM(E$17:E39))</f>
        <v>561807.90420292551</v>
      </c>
      <c r="E40" s="481">
        <f t="shared" si="19"/>
        <v>35236.260789473694</v>
      </c>
      <c r="F40" s="482">
        <f t="shared" si="20"/>
        <v>526571.64341345185</v>
      </c>
      <c r="G40" s="483">
        <f t="shared" si="21"/>
        <v>97132.507741311187</v>
      </c>
      <c r="H40" s="452">
        <f t="shared" si="22"/>
        <v>97132.507741311187</v>
      </c>
      <c r="I40" s="472">
        <f t="shared" si="0"/>
        <v>0</v>
      </c>
      <c r="J40" s="472"/>
      <c r="K40" s="484"/>
      <c r="L40" s="475">
        <f t="shared" si="2"/>
        <v>0</v>
      </c>
      <c r="M40" s="484"/>
      <c r="N40" s="475">
        <f t="shared" si="4"/>
        <v>0</v>
      </c>
      <c r="O40" s="475">
        <f t="shared" si="5"/>
        <v>0</v>
      </c>
      <c r="P40" s="241"/>
    </row>
    <row r="41" spans="2:16" ht="12.5">
      <c r="B41" s="160" t="str">
        <f t="shared" si="7"/>
        <v/>
      </c>
      <c r="C41" s="469">
        <f>IF(D11="","-",+C40+1)</f>
        <v>2041</v>
      </c>
      <c r="D41" s="480">
        <f>IF(F40+SUM(E$17:E40)=D$10,F40,D$10-SUM(E$17:E40))</f>
        <v>526571.64341345185</v>
      </c>
      <c r="E41" s="481">
        <f t="shared" si="19"/>
        <v>35236.260789473694</v>
      </c>
      <c r="F41" s="482">
        <f t="shared" si="20"/>
        <v>491335.38262397813</v>
      </c>
      <c r="G41" s="483">
        <f t="shared" si="21"/>
        <v>93124.728829513129</v>
      </c>
      <c r="H41" s="452">
        <f t="shared" si="22"/>
        <v>93124.728829513129</v>
      </c>
      <c r="I41" s="472">
        <f t="shared" si="0"/>
        <v>0</v>
      </c>
      <c r="J41" s="472"/>
      <c r="K41" s="484"/>
      <c r="L41" s="475">
        <f t="shared" si="2"/>
        <v>0</v>
      </c>
      <c r="M41" s="484"/>
      <c r="N41" s="475">
        <f t="shared" si="4"/>
        <v>0</v>
      </c>
      <c r="O41" s="475">
        <f t="shared" si="5"/>
        <v>0</v>
      </c>
      <c r="P41" s="241"/>
    </row>
    <row r="42" spans="2:16" ht="12.5">
      <c r="B42" s="160" t="str">
        <f t="shared" si="7"/>
        <v/>
      </c>
      <c r="C42" s="469">
        <f>IF(D11="","-",+C41+1)</f>
        <v>2042</v>
      </c>
      <c r="D42" s="480">
        <f>IF(F41+SUM(E$17:E41)=D$10,F41,D$10-SUM(E$17:E41))</f>
        <v>491335.38262397813</v>
      </c>
      <c r="E42" s="481">
        <f t="shared" si="19"/>
        <v>35236.260789473694</v>
      </c>
      <c r="F42" s="482">
        <f t="shared" si="20"/>
        <v>456099.12183450442</v>
      </c>
      <c r="G42" s="483">
        <f t="shared" si="21"/>
        <v>89116.949917715072</v>
      </c>
      <c r="H42" s="452">
        <f t="shared" si="22"/>
        <v>89116.949917715072</v>
      </c>
      <c r="I42" s="472">
        <f t="shared" si="0"/>
        <v>0</v>
      </c>
      <c r="J42" s="472"/>
      <c r="K42" s="484"/>
      <c r="L42" s="475">
        <f t="shared" si="2"/>
        <v>0</v>
      </c>
      <c r="M42" s="484"/>
      <c r="N42" s="475">
        <f t="shared" si="4"/>
        <v>0</v>
      </c>
      <c r="O42" s="475">
        <f t="shared" si="5"/>
        <v>0</v>
      </c>
      <c r="P42" s="241"/>
    </row>
    <row r="43" spans="2:16" ht="12.5">
      <c r="B43" s="160" t="str">
        <f t="shared" si="7"/>
        <v/>
      </c>
      <c r="C43" s="469">
        <f>IF(D11="","-",+C42+1)</f>
        <v>2043</v>
      </c>
      <c r="D43" s="480">
        <f>IF(F42+SUM(E$17:E42)=D$10,F42,D$10-SUM(E$17:E42))</f>
        <v>456099.12183450442</v>
      </c>
      <c r="E43" s="481">
        <f t="shared" si="19"/>
        <v>35236.260789473694</v>
      </c>
      <c r="F43" s="482">
        <f t="shared" si="20"/>
        <v>420862.8610450307</v>
      </c>
      <c r="G43" s="483">
        <f t="shared" si="21"/>
        <v>85109.171005917015</v>
      </c>
      <c r="H43" s="452">
        <f t="shared" si="22"/>
        <v>85109.171005917015</v>
      </c>
      <c r="I43" s="472">
        <f t="shared" si="0"/>
        <v>0</v>
      </c>
      <c r="J43" s="472"/>
      <c r="K43" s="484"/>
      <c r="L43" s="475">
        <f t="shared" si="2"/>
        <v>0</v>
      </c>
      <c r="M43" s="484"/>
      <c r="N43" s="475">
        <f t="shared" si="4"/>
        <v>0</v>
      </c>
      <c r="O43" s="475">
        <f t="shared" si="5"/>
        <v>0</v>
      </c>
      <c r="P43" s="241"/>
    </row>
    <row r="44" spans="2:16" ht="12.5">
      <c r="B44" s="160" t="str">
        <f t="shared" si="7"/>
        <v/>
      </c>
      <c r="C44" s="469">
        <f>IF(D11="","-",+C43+1)</f>
        <v>2044</v>
      </c>
      <c r="D44" s="480">
        <f>IF(F43+SUM(E$17:E43)=D$10,F43,D$10-SUM(E$17:E43))</f>
        <v>420862.8610450307</v>
      </c>
      <c r="E44" s="481">
        <f t="shared" si="19"/>
        <v>35236.260789473694</v>
      </c>
      <c r="F44" s="482">
        <f t="shared" si="20"/>
        <v>385626.60025555699</v>
      </c>
      <c r="G44" s="483">
        <f t="shared" si="21"/>
        <v>81101.392094118957</v>
      </c>
      <c r="H44" s="452">
        <f t="shared" si="22"/>
        <v>81101.392094118957</v>
      </c>
      <c r="I44" s="472">
        <f t="shared" si="0"/>
        <v>0</v>
      </c>
      <c r="J44" s="472"/>
      <c r="K44" s="484"/>
      <c r="L44" s="475">
        <f t="shared" si="2"/>
        <v>0</v>
      </c>
      <c r="M44" s="484"/>
      <c r="N44" s="475">
        <f t="shared" si="4"/>
        <v>0</v>
      </c>
      <c r="O44" s="475">
        <f t="shared" si="5"/>
        <v>0</v>
      </c>
      <c r="P44" s="241"/>
    </row>
    <row r="45" spans="2:16" ht="12.5">
      <c r="B45" s="160" t="str">
        <f t="shared" si="7"/>
        <v/>
      </c>
      <c r="C45" s="469">
        <f>IF(D11="","-",+C44+1)</f>
        <v>2045</v>
      </c>
      <c r="D45" s="480">
        <f>IF(F44+SUM(E$17:E44)=D$10,F44,D$10-SUM(E$17:E44))</f>
        <v>385626.60025555699</v>
      </c>
      <c r="E45" s="481">
        <f t="shared" si="19"/>
        <v>35236.260789473694</v>
      </c>
      <c r="F45" s="482">
        <f t="shared" si="20"/>
        <v>350390.33946608327</v>
      </c>
      <c r="G45" s="483">
        <f t="shared" si="21"/>
        <v>77093.6131823209</v>
      </c>
      <c r="H45" s="452">
        <f t="shared" si="22"/>
        <v>77093.6131823209</v>
      </c>
      <c r="I45" s="472">
        <f t="shared" si="0"/>
        <v>0</v>
      </c>
      <c r="J45" s="472"/>
      <c r="K45" s="484"/>
      <c r="L45" s="475">
        <f t="shared" si="2"/>
        <v>0</v>
      </c>
      <c r="M45" s="484"/>
      <c r="N45" s="475">
        <f t="shared" si="4"/>
        <v>0</v>
      </c>
      <c r="O45" s="475">
        <f t="shared" si="5"/>
        <v>0</v>
      </c>
      <c r="P45" s="241"/>
    </row>
    <row r="46" spans="2:16" ht="12.5">
      <c r="B46" s="160" t="str">
        <f t="shared" si="7"/>
        <v/>
      </c>
      <c r="C46" s="469">
        <f>IF(D11="","-",+C45+1)</f>
        <v>2046</v>
      </c>
      <c r="D46" s="480">
        <f>IF(F45+SUM(E$17:E45)=D$10,F45,D$10-SUM(E$17:E45))</f>
        <v>350390.33946608327</v>
      </c>
      <c r="E46" s="481">
        <f t="shared" si="19"/>
        <v>35236.260789473694</v>
      </c>
      <c r="F46" s="482">
        <f t="shared" si="20"/>
        <v>315154.07867660956</v>
      </c>
      <c r="G46" s="483">
        <f t="shared" si="21"/>
        <v>73085.834270522842</v>
      </c>
      <c r="H46" s="452">
        <f t="shared" si="22"/>
        <v>73085.834270522842</v>
      </c>
      <c r="I46" s="472">
        <f t="shared" si="0"/>
        <v>0</v>
      </c>
      <c r="J46" s="472"/>
      <c r="K46" s="484"/>
      <c r="L46" s="475">
        <f t="shared" si="2"/>
        <v>0</v>
      </c>
      <c r="M46" s="484"/>
      <c r="N46" s="475">
        <f t="shared" si="4"/>
        <v>0</v>
      </c>
      <c r="O46" s="475">
        <f t="shared" si="5"/>
        <v>0</v>
      </c>
      <c r="P46" s="241"/>
    </row>
    <row r="47" spans="2:16" ht="12.5">
      <c r="B47" s="160" t="str">
        <f t="shared" si="7"/>
        <v/>
      </c>
      <c r="C47" s="469">
        <f>IF(D11="","-",+C46+1)</f>
        <v>2047</v>
      </c>
      <c r="D47" s="480">
        <f>IF(F46+SUM(E$17:E46)=D$10,F46,D$10-SUM(E$17:E46))</f>
        <v>315154.07867660956</v>
      </c>
      <c r="E47" s="481">
        <f t="shared" si="19"/>
        <v>35236.260789473694</v>
      </c>
      <c r="F47" s="482">
        <f t="shared" si="20"/>
        <v>279917.81788713584</v>
      </c>
      <c r="G47" s="483">
        <f t="shared" si="21"/>
        <v>69078.055358724785</v>
      </c>
      <c r="H47" s="452">
        <f t="shared" si="22"/>
        <v>69078.055358724785</v>
      </c>
      <c r="I47" s="472">
        <f t="shared" si="0"/>
        <v>0</v>
      </c>
      <c r="J47" s="472"/>
      <c r="K47" s="484"/>
      <c r="L47" s="475">
        <f t="shared" si="2"/>
        <v>0</v>
      </c>
      <c r="M47" s="484"/>
      <c r="N47" s="475">
        <f t="shared" si="4"/>
        <v>0</v>
      </c>
      <c r="O47" s="475">
        <f t="shared" si="5"/>
        <v>0</v>
      </c>
      <c r="P47" s="241"/>
    </row>
    <row r="48" spans="2:16" ht="12.5">
      <c r="B48" s="160" t="str">
        <f t="shared" si="7"/>
        <v/>
      </c>
      <c r="C48" s="469">
        <f>IF(D11="","-",+C47+1)</f>
        <v>2048</v>
      </c>
      <c r="D48" s="480">
        <f>IF(F47+SUM(E$17:E47)=D$10,F47,D$10-SUM(E$17:E47))</f>
        <v>279917.81788713584</v>
      </c>
      <c r="E48" s="481">
        <f t="shared" si="19"/>
        <v>35236.260789473694</v>
      </c>
      <c r="F48" s="482">
        <f t="shared" si="20"/>
        <v>244681.55709766215</v>
      </c>
      <c r="G48" s="483">
        <f t="shared" si="21"/>
        <v>65070.276446926735</v>
      </c>
      <c r="H48" s="452">
        <f t="shared" si="22"/>
        <v>65070.276446926735</v>
      </c>
      <c r="I48" s="472">
        <f t="shared" si="0"/>
        <v>0</v>
      </c>
      <c r="J48" s="472"/>
      <c r="K48" s="484"/>
      <c r="L48" s="475">
        <f t="shared" si="2"/>
        <v>0</v>
      </c>
      <c r="M48" s="484"/>
      <c r="N48" s="475">
        <f t="shared" si="4"/>
        <v>0</v>
      </c>
      <c r="O48" s="475">
        <f t="shared" si="5"/>
        <v>0</v>
      </c>
      <c r="P48" s="241"/>
    </row>
    <row r="49" spans="2:16" ht="12.5">
      <c r="B49" s="160" t="str">
        <f t="shared" si="7"/>
        <v/>
      </c>
      <c r="C49" s="469">
        <f>IF(D11="","-",+C48+1)</f>
        <v>2049</v>
      </c>
      <c r="D49" s="480">
        <f>IF(F48+SUM(E$17:E48)=D$10,F48,D$10-SUM(E$17:E48))</f>
        <v>244681.55709766215</v>
      </c>
      <c r="E49" s="481">
        <f t="shared" si="19"/>
        <v>35236.260789473694</v>
      </c>
      <c r="F49" s="482">
        <f t="shared" si="20"/>
        <v>209445.29630818847</v>
      </c>
      <c r="G49" s="483">
        <f t="shared" si="21"/>
        <v>61062.497535128678</v>
      </c>
      <c r="H49" s="452">
        <f t="shared" si="22"/>
        <v>61062.497535128678</v>
      </c>
      <c r="I49" s="472">
        <f t="shared" si="0"/>
        <v>0</v>
      </c>
      <c r="J49" s="472"/>
      <c r="K49" s="484"/>
      <c r="L49" s="475">
        <f t="shared" si="2"/>
        <v>0</v>
      </c>
      <c r="M49" s="484"/>
      <c r="N49" s="475">
        <f t="shared" si="4"/>
        <v>0</v>
      </c>
      <c r="O49" s="475">
        <f t="shared" si="5"/>
        <v>0</v>
      </c>
      <c r="P49" s="241"/>
    </row>
    <row r="50" spans="2:16" ht="12.5">
      <c r="B50" s="160" t="str">
        <f t="shared" si="7"/>
        <v/>
      </c>
      <c r="C50" s="469">
        <f>IF(D11="","-",+C49+1)</f>
        <v>2050</v>
      </c>
      <c r="D50" s="480">
        <f>IF(F49+SUM(E$17:E49)=D$10,F49,D$10-SUM(E$17:E49))</f>
        <v>209445.29630818847</v>
      </c>
      <c r="E50" s="481">
        <f t="shared" si="19"/>
        <v>35236.260789473694</v>
      </c>
      <c r="F50" s="482">
        <f t="shared" si="20"/>
        <v>174209.03551871478</v>
      </c>
      <c r="G50" s="483">
        <f t="shared" si="21"/>
        <v>57054.718623330627</v>
      </c>
      <c r="H50" s="452">
        <f t="shared" si="22"/>
        <v>57054.718623330627</v>
      </c>
      <c r="I50" s="472">
        <f t="shared" si="0"/>
        <v>0</v>
      </c>
      <c r="J50" s="472"/>
      <c r="K50" s="484"/>
      <c r="L50" s="475">
        <f t="shared" si="2"/>
        <v>0</v>
      </c>
      <c r="M50" s="484"/>
      <c r="N50" s="475">
        <f t="shared" si="4"/>
        <v>0</v>
      </c>
      <c r="O50" s="475">
        <f t="shared" si="5"/>
        <v>0</v>
      </c>
      <c r="P50" s="241"/>
    </row>
    <row r="51" spans="2:16" ht="12.5">
      <c r="B51" s="160" t="str">
        <f t="shared" si="7"/>
        <v/>
      </c>
      <c r="C51" s="469">
        <f>IF(D11="","-",+C50+1)</f>
        <v>2051</v>
      </c>
      <c r="D51" s="480">
        <f>IF(F50+SUM(E$17:E50)=D$10,F50,D$10-SUM(E$17:E50))</f>
        <v>174209.03551871478</v>
      </c>
      <c r="E51" s="481">
        <f t="shared" si="19"/>
        <v>35236.260789473694</v>
      </c>
      <c r="F51" s="482">
        <f t="shared" si="20"/>
        <v>138972.77472924109</v>
      </c>
      <c r="G51" s="483">
        <f t="shared" si="21"/>
        <v>53046.93971153257</v>
      </c>
      <c r="H51" s="452">
        <f t="shared" si="22"/>
        <v>53046.93971153257</v>
      </c>
      <c r="I51" s="472">
        <f t="shared" si="0"/>
        <v>0</v>
      </c>
      <c r="J51" s="472"/>
      <c r="K51" s="484"/>
      <c r="L51" s="475">
        <f t="shared" si="2"/>
        <v>0</v>
      </c>
      <c r="M51" s="484"/>
      <c r="N51" s="475">
        <f t="shared" si="4"/>
        <v>0</v>
      </c>
      <c r="O51" s="475">
        <f t="shared" si="5"/>
        <v>0</v>
      </c>
      <c r="P51" s="241"/>
    </row>
    <row r="52" spans="2:16" ht="12.5">
      <c r="B52" s="160" t="str">
        <f t="shared" si="7"/>
        <v/>
      </c>
      <c r="C52" s="469">
        <f>IF(D11="","-",+C51+1)</f>
        <v>2052</v>
      </c>
      <c r="D52" s="480">
        <f>IF(F51+SUM(E$17:E51)=D$10,F51,D$10-SUM(E$17:E51))</f>
        <v>138972.77472924109</v>
      </c>
      <c r="E52" s="481">
        <f t="shared" si="19"/>
        <v>35236.260789473694</v>
      </c>
      <c r="F52" s="482">
        <f t="shared" si="20"/>
        <v>103736.51393976741</v>
      </c>
      <c r="G52" s="483">
        <f t="shared" si="21"/>
        <v>49039.160799734513</v>
      </c>
      <c r="H52" s="452">
        <f t="shared" si="22"/>
        <v>49039.160799734513</v>
      </c>
      <c r="I52" s="472">
        <f t="shared" si="0"/>
        <v>0</v>
      </c>
      <c r="J52" s="472"/>
      <c r="K52" s="484"/>
      <c r="L52" s="475">
        <f t="shared" si="2"/>
        <v>0</v>
      </c>
      <c r="M52" s="484"/>
      <c r="N52" s="475">
        <f t="shared" si="4"/>
        <v>0</v>
      </c>
      <c r="O52" s="475">
        <f t="shared" si="5"/>
        <v>0</v>
      </c>
      <c r="P52" s="241"/>
    </row>
    <row r="53" spans="2:16" ht="12.5">
      <c r="B53" s="160" t="str">
        <f t="shared" si="7"/>
        <v/>
      </c>
      <c r="C53" s="469">
        <f>IF(D11="","-",+C52+1)</f>
        <v>2053</v>
      </c>
      <c r="D53" s="480">
        <f>IF(F52+SUM(E$17:E52)=D$10,F52,D$10-SUM(E$17:E52))</f>
        <v>103736.51393976741</v>
      </c>
      <c r="E53" s="481">
        <f t="shared" si="19"/>
        <v>35236.260789473694</v>
      </c>
      <c r="F53" s="482">
        <f t="shared" si="20"/>
        <v>68500.25315029372</v>
      </c>
      <c r="G53" s="483">
        <f t="shared" si="21"/>
        <v>45031.381887936463</v>
      </c>
      <c r="H53" s="452">
        <f t="shared" si="22"/>
        <v>45031.381887936463</v>
      </c>
      <c r="I53" s="472">
        <f t="shared" si="0"/>
        <v>0</v>
      </c>
      <c r="J53" s="472"/>
      <c r="K53" s="484"/>
      <c r="L53" s="475">
        <f t="shared" si="2"/>
        <v>0</v>
      </c>
      <c r="M53" s="484"/>
      <c r="N53" s="475">
        <f t="shared" si="4"/>
        <v>0</v>
      </c>
      <c r="O53" s="475">
        <f t="shared" si="5"/>
        <v>0</v>
      </c>
      <c r="P53" s="241"/>
    </row>
    <row r="54" spans="2:16" ht="12.5">
      <c r="B54" s="160" t="str">
        <f t="shared" si="7"/>
        <v/>
      </c>
      <c r="C54" s="469">
        <f>IF(D11="","-",+C53+1)</f>
        <v>2054</v>
      </c>
      <c r="D54" s="480">
        <f>IF(F53+SUM(E$17:E53)=D$10,F53,D$10-SUM(E$17:E53))</f>
        <v>68500.25315029372</v>
      </c>
      <c r="E54" s="481">
        <f t="shared" si="19"/>
        <v>35236.260789473694</v>
      </c>
      <c r="F54" s="482">
        <f t="shared" si="20"/>
        <v>33263.992360820026</v>
      </c>
      <c r="G54" s="483">
        <f t="shared" si="21"/>
        <v>41023.602976138405</v>
      </c>
      <c r="H54" s="452">
        <f t="shared" si="22"/>
        <v>41023.602976138405</v>
      </c>
      <c r="I54" s="472">
        <f t="shared" si="0"/>
        <v>0</v>
      </c>
      <c r="J54" s="472"/>
      <c r="K54" s="484"/>
      <c r="L54" s="475">
        <f t="shared" si="2"/>
        <v>0</v>
      </c>
      <c r="M54" s="484"/>
      <c r="N54" s="475">
        <f t="shared" si="4"/>
        <v>0</v>
      </c>
      <c r="O54" s="475">
        <f t="shared" si="5"/>
        <v>0</v>
      </c>
      <c r="P54" s="241"/>
    </row>
    <row r="55" spans="2:16" ht="12.5">
      <c r="B55" s="160" t="str">
        <f t="shared" si="7"/>
        <v/>
      </c>
      <c r="C55" s="469">
        <f>IF(D11="","-",+C54+1)</f>
        <v>2055</v>
      </c>
      <c r="D55" s="480">
        <f>IF(F54+SUM(E$17:E54)=D$10,F54,D$10-SUM(E$17:E54))</f>
        <v>33263.992360820026</v>
      </c>
      <c r="E55" s="481">
        <f t="shared" si="19"/>
        <v>33263.992360820026</v>
      </c>
      <c r="F55" s="482">
        <f t="shared" si="20"/>
        <v>0</v>
      </c>
      <c r="G55" s="483">
        <f t="shared" si="21"/>
        <v>35155.718726202867</v>
      </c>
      <c r="H55" s="452">
        <f t="shared" si="22"/>
        <v>35155.718726202867</v>
      </c>
      <c r="I55" s="472">
        <f t="shared" si="0"/>
        <v>0</v>
      </c>
      <c r="J55" s="472"/>
      <c r="K55" s="484"/>
      <c r="L55" s="475">
        <f t="shared" si="2"/>
        <v>0</v>
      </c>
      <c r="M55" s="484"/>
      <c r="N55" s="475">
        <f t="shared" si="4"/>
        <v>0</v>
      </c>
      <c r="O55" s="475">
        <f t="shared" si="5"/>
        <v>0</v>
      </c>
      <c r="P55" s="241"/>
    </row>
    <row r="56" spans="2:16" ht="12.5">
      <c r="B56" s="160" t="str">
        <f t="shared" si="7"/>
        <v/>
      </c>
      <c r="C56" s="469">
        <f>IF(D11="","-",+C55+1)</f>
        <v>2056</v>
      </c>
      <c r="D56" s="480">
        <f>IF(F55+SUM(E$17:E55)=D$10,F55,D$10-SUM(E$17:E55))</f>
        <v>0</v>
      </c>
      <c r="E56" s="481">
        <f t="shared" si="19"/>
        <v>0</v>
      </c>
      <c r="F56" s="482">
        <f t="shared" si="20"/>
        <v>0</v>
      </c>
      <c r="G56" s="483">
        <f t="shared" si="21"/>
        <v>0</v>
      </c>
      <c r="H56" s="452">
        <f t="shared" si="22"/>
        <v>0</v>
      </c>
      <c r="I56" s="472">
        <f t="shared" si="0"/>
        <v>0</v>
      </c>
      <c r="J56" s="472"/>
      <c r="K56" s="484"/>
      <c r="L56" s="475">
        <f t="shared" si="2"/>
        <v>0</v>
      </c>
      <c r="M56" s="484"/>
      <c r="N56" s="475">
        <f t="shared" si="4"/>
        <v>0</v>
      </c>
      <c r="O56" s="475">
        <f t="shared" si="5"/>
        <v>0</v>
      </c>
      <c r="P56" s="241"/>
    </row>
    <row r="57" spans="2:16" ht="12.5">
      <c r="B57" s="160" t="str">
        <f t="shared" si="7"/>
        <v/>
      </c>
      <c r="C57" s="469">
        <f>IF(D11="","-",+C56+1)</f>
        <v>2057</v>
      </c>
      <c r="D57" s="480">
        <f>IF(F56+SUM(E$17:E56)=D$10,F56,D$10-SUM(E$17:E56))</f>
        <v>0</v>
      </c>
      <c r="E57" s="481">
        <f t="shared" si="19"/>
        <v>0</v>
      </c>
      <c r="F57" s="482">
        <f t="shared" si="20"/>
        <v>0</v>
      </c>
      <c r="G57" s="483">
        <f t="shared" si="21"/>
        <v>0</v>
      </c>
      <c r="H57" s="452">
        <f t="shared" si="22"/>
        <v>0</v>
      </c>
      <c r="I57" s="472">
        <f t="shared" si="0"/>
        <v>0</v>
      </c>
      <c r="J57" s="472"/>
      <c r="K57" s="484"/>
      <c r="L57" s="475">
        <f t="shared" si="2"/>
        <v>0</v>
      </c>
      <c r="M57" s="484"/>
      <c r="N57" s="475">
        <f t="shared" si="4"/>
        <v>0</v>
      </c>
      <c r="O57" s="475">
        <f t="shared" si="5"/>
        <v>0</v>
      </c>
      <c r="P57" s="241"/>
    </row>
    <row r="58" spans="2:16" ht="12.5">
      <c r="B58" s="160" t="str">
        <f t="shared" si="7"/>
        <v/>
      </c>
      <c r="C58" s="469">
        <f>IF(D11="","-",+C57+1)</f>
        <v>2058</v>
      </c>
      <c r="D58" s="480">
        <f>IF(F57+SUM(E$17:E57)=D$10,F57,D$10-SUM(E$17:E57))</f>
        <v>0</v>
      </c>
      <c r="E58" s="481">
        <f t="shared" si="19"/>
        <v>0</v>
      </c>
      <c r="F58" s="482">
        <f t="shared" si="20"/>
        <v>0</v>
      </c>
      <c r="G58" s="483">
        <f t="shared" si="21"/>
        <v>0</v>
      </c>
      <c r="H58" s="452">
        <f t="shared" si="22"/>
        <v>0</v>
      </c>
      <c r="I58" s="472">
        <f t="shared" si="0"/>
        <v>0</v>
      </c>
      <c r="J58" s="472"/>
      <c r="K58" s="484"/>
      <c r="L58" s="475">
        <f t="shared" si="2"/>
        <v>0</v>
      </c>
      <c r="M58" s="484"/>
      <c r="N58" s="475">
        <f t="shared" si="4"/>
        <v>0</v>
      </c>
      <c r="O58" s="475">
        <f t="shared" si="5"/>
        <v>0</v>
      </c>
      <c r="P58" s="241"/>
    </row>
    <row r="59" spans="2:16" ht="12.5">
      <c r="B59" s="160" t="str">
        <f t="shared" si="7"/>
        <v/>
      </c>
      <c r="C59" s="469">
        <f>IF(D11="","-",+C58+1)</f>
        <v>2059</v>
      </c>
      <c r="D59" s="480">
        <f>IF(F58+SUM(E$17:E58)=D$10,F58,D$10-SUM(E$17:E58))</f>
        <v>0</v>
      </c>
      <c r="E59" s="481">
        <f t="shared" si="19"/>
        <v>0</v>
      </c>
      <c r="F59" s="482">
        <f t="shared" si="20"/>
        <v>0</v>
      </c>
      <c r="G59" s="483">
        <f t="shared" si="21"/>
        <v>0</v>
      </c>
      <c r="H59" s="452">
        <f t="shared" si="22"/>
        <v>0</v>
      </c>
      <c r="I59" s="472">
        <f t="shared" si="0"/>
        <v>0</v>
      </c>
      <c r="J59" s="472"/>
      <c r="K59" s="484"/>
      <c r="L59" s="475">
        <f t="shared" si="2"/>
        <v>0</v>
      </c>
      <c r="M59" s="484"/>
      <c r="N59" s="475">
        <f t="shared" si="4"/>
        <v>0</v>
      </c>
      <c r="O59" s="475">
        <f t="shared" si="5"/>
        <v>0</v>
      </c>
      <c r="P59" s="241"/>
    </row>
    <row r="60" spans="2:16" ht="12.5">
      <c r="B60" s="160" t="str">
        <f t="shared" si="7"/>
        <v/>
      </c>
      <c r="C60" s="469">
        <f>IF(D11="","-",+C59+1)</f>
        <v>2060</v>
      </c>
      <c r="D60" s="480">
        <f>IF(F59+SUM(E$17:E59)=D$10,F59,D$10-SUM(E$17:E59))</f>
        <v>0</v>
      </c>
      <c r="E60" s="481">
        <f t="shared" si="19"/>
        <v>0</v>
      </c>
      <c r="F60" s="482">
        <f t="shared" si="20"/>
        <v>0</v>
      </c>
      <c r="G60" s="483">
        <f t="shared" si="21"/>
        <v>0</v>
      </c>
      <c r="H60" s="452">
        <f t="shared" si="22"/>
        <v>0</v>
      </c>
      <c r="I60" s="472">
        <f t="shared" si="0"/>
        <v>0</v>
      </c>
      <c r="J60" s="472"/>
      <c r="K60" s="484"/>
      <c r="L60" s="475">
        <f t="shared" si="2"/>
        <v>0</v>
      </c>
      <c r="M60" s="484"/>
      <c r="N60" s="475">
        <f t="shared" si="4"/>
        <v>0</v>
      </c>
      <c r="O60" s="475">
        <f t="shared" si="5"/>
        <v>0</v>
      </c>
      <c r="P60" s="241"/>
    </row>
    <row r="61" spans="2:16" ht="12.5">
      <c r="B61" s="160" t="str">
        <f t="shared" si="7"/>
        <v/>
      </c>
      <c r="C61" s="469">
        <f>IF(D11="","-",+C60+1)</f>
        <v>2061</v>
      </c>
      <c r="D61" s="480">
        <f>IF(F60+SUM(E$17:E60)=D$10,F60,D$10-SUM(E$17:E60))</f>
        <v>0</v>
      </c>
      <c r="E61" s="481">
        <f t="shared" si="19"/>
        <v>0</v>
      </c>
      <c r="F61" s="482">
        <f t="shared" si="20"/>
        <v>0</v>
      </c>
      <c r="G61" s="483">
        <f t="shared" si="21"/>
        <v>0</v>
      </c>
      <c r="H61" s="452">
        <f t="shared" si="22"/>
        <v>0</v>
      </c>
      <c r="I61" s="472">
        <f t="shared" si="0"/>
        <v>0</v>
      </c>
      <c r="J61" s="472"/>
      <c r="K61" s="484"/>
      <c r="L61" s="475">
        <f t="shared" si="2"/>
        <v>0</v>
      </c>
      <c r="M61" s="484"/>
      <c r="N61" s="475">
        <f t="shared" si="4"/>
        <v>0</v>
      </c>
      <c r="O61" s="475">
        <f t="shared" si="5"/>
        <v>0</v>
      </c>
      <c r="P61" s="241"/>
    </row>
    <row r="62" spans="2:16" ht="12.5">
      <c r="B62" s="160" t="str">
        <f t="shared" si="7"/>
        <v/>
      </c>
      <c r="C62" s="469">
        <f>IF(D11="","-",+C61+1)</f>
        <v>2062</v>
      </c>
      <c r="D62" s="480">
        <f>IF(F61+SUM(E$17:E61)=D$10,F61,D$10-SUM(E$17:E61))</f>
        <v>0</v>
      </c>
      <c r="E62" s="481">
        <f t="shared" si="19"/>
        <v>0</v>
      </c>
      <c r="F62" s="482">
        <f t="shared" si="20"/>
        <v>0</v>
      </c>
      <c r="G62" s="483">
        <f t="shared" si="21"/>
        <v>0</v>
      </c>
      <c r="H62" s="452">
        <f t="shared" si="22"/>
        <v>0</v>
      </c>
      <c r="I62" s="472">
        <f t="shared" si="0"/>
        <v>0</v>
      </c>
      <c r="J62" s="472"/>
      <c r="K62" s="484"/>
      <c r="L62" s="475">
        <f t="shared" si="2"/>
        <v>0</v>
      </c>
      <c r="M62" s="484"/>
      <c r="N62" s="475">
        <f t="shared" si="4"/>
        <v>0</v>
      </c>
      <c r="O62" s="475">
        <f t="shared" si="5"/>
        <v>0</v>
      </c>
      <c r="P62" s="241"/>
    </row>
    <row r="63" spans="2:16" ht="12.5">
      <c r="B63" s="160" t="str">
        <f t="shared" si="7"/>
        <v/>
      </c>
      <c r="C63" s="469">
        <f>IF(D11="","-",+C62+1)</f>
        <v>2063</v>
      </c>
      <c r="D63" s="480">
        <f>IF(F62+SUM(E$17:E62)=D$10,F62,D$10-SUM(E$17:E62))</f>
        <v>0</v>
      </c>
      <c r="E63" s="481">
        <f t="shared" si="19"/>
        <v>0</v>
      </c>
      <c r="F63" s="482">
        <f t="shared" si="20"/>
        <v>0</v>
      </c>
      <c r="G63" s="483">
        <f t="shared" si="21"/>
        <v>0</v>
      </c>
      <c r="H63" s="452">
        <f t="shared" si="22"/>
        <v>0</v>
      </c>
      <c r="I63" s="472">
        <f t="shared" si="0"/>
        <v>0</v>
      </c>
      <c r="J63" s="472"/>
      <c r="K63" s="484"/>
      <c r="L63" s="475">
        <f t="shared" si="2"/>
        <v>0</v>
      </c>
      <c r="M63" s="484"/>
      <c r="N63" s="475">
        <f t="shared" si="4"/>
        <v>0</v>
      </c>
      <c r="O63" s="475">
        <f t="shared" si="5"/>
        <v>0</v>
      </c>
      <c r="P63" s="241"/>
    </row>
    <row r="64" spans="2:16" ht="12.5">
      <c r="B64" s="160" t="str">
        <f t="shared" si="7"/>
        <v/>
      </c>
      <c r="C64" s="469">
        <f>IF(D11="","-",+C63+1)</f>
        <v>2064</v>
      </c>
      <c r="D64" s="480">
        <f>IF(F63+SUM(E$17:E63)=D$10,F63,D$10-SUM(E$17:E63))</f>
        <v>0</v>
      </c>
      <c r="E64" s="481">
        <f t="shared" si="19"/>
        <v>0</v>
      </c>
      <c r="F64" s="482">
        <f t="shared" si="20"/>
        <v>0</v>
      </c>
      <c r="G64" s="483">
        <f t="shared" si="21"/>
        <v>0</v>
      </c>
      <c r="H64" s="452">
        <f t="shared" si="22"/>
        <v>0</v>
      </c>
      <c r="I64" s="472">
        <f t="shared" si="0"/>
        <v>0</v>
      </c>
      <c r="J64" s="472"/>
      <c r="K64" s="484"/>
      <c r="L64" s="475">
        <f t="shared" si="2"/>
        <v>0</v>
      </c>
      <c r="M64" s="484"/>
      <c r="N64" s="475">
        <f t="shared" si="4"/>
        <v>0</v>
      </c>
      <c r="O64" s="475">
        <f t="shared" si="5"/>
        <v>0</v>
      </c>
      <c r="P64" s="241"/>
    </row>
    <row r="65" spans="2:16" ht="12.5">
      <c r="B65" s="160" t="str">
        <f t="shared" si="7"/>
        <v/>
      </c>
      <c r="C65" s="469">
        <f>IF(D11="","-",+C64+1)</f>
        <v>2065</v>
      </c>
      <c r="D65" s="480">
        <f>IF(F64+SUM(E$17:E64)=D$10,F64,D$10-SUM(E$17:E64))</f>
        <v>0</v>
      </c>
      <c r="E65" s="481">
        <f t="shared" si="19"/>
        <v>0</v>
      </c>
      <c r="F65" s="482">
        <f t="shared" si="20"/>
        <v>0</v>
      </c>
      <c r="G65" s="483">
        <f t="shared" si="21"/>
        <v>0</v>
      </c>
      <c r="H65" s="452">
        <f t="shared" si="22"/>
        <v>0</v>
      </c>
      <c r="I65" s="472">
        <f t="shared" si="0"/>
        <v>0</v>
      </c>
      <c r="J65" s="472"/>
      <c r="K65" s="484"/>
      <c r="L65" s="475">
        <f t="shared" si="2"/>
        <v>0</v>
      </c>
      <c r="M65" s="484"/>
      <c r="N65" s="475">
        <f t="shared" si="4"/>
        <v>0</v>
      </c>
      <c r="O65" s="475">
        <f t="shared" si="5"/>
        <v>0</v>
      </c>
      <c r="P65" s="241"/>
    </row>
    <row r="66" spans="2:16" ht="12.5">
      <c r="B66" s="160" t="str">
        <f t="shared" si="7"/>
        <v/>
      </c>
      <c r="C66" s="469">
        <f>IF(D11="","-",+C65+1)</f>
        <v>2066</v>
      </c>
      <c r="D66" s="480">
        <f>IF(F65+SUM(E$17:E65)=D$10,F65,D$10-SUM(E$17:E65))</f>
        <v>0</v>
      </c>
      <c r="E66" s="481">
        <f t="shared" si="19"/>
        <v>0</v>
      </c>
      <c r="F66" s="482">
        <f t="shared" si="20"/>
        <v>0</v>
      </c>
      <c r="G66" s="483">
        <f t="shared" si="21"/>
        <v>0</v>
      </c>
      <c r="H66" s="452">
        <f t="shared" si="22"/>
        <v>0</v>
      </c>
      <c r="I66" s="472">
        <f t="shared" si="0"/>
        <v>0</v>
      </c>
      <c r="J66" s="472"/>
      <c r="K66" s="484"/>
      <c r="L66" s="475">
        <f t="shared" si="2"/>
        <v>0</v>
      </c>
      <c r="M66" s="484"/>
      <c r="N66" s="475">
        <f t="shared" si="4"/>
        <v>0</v>
      </c>
      <c r="O66" s="475">
        <f t="shared" si="5"/>
        <v>0</v>
      </c>
      <c r="P66" s="241"/>
    </row>
    <row r="67" spans="2:16" ht="12.5">
      <c r="B67" s="160" t="str">
        <f t="shared" si="7"/>
        <v/>
      </c>
      <c r="C67" s="469">
        <f>IF(D11="","-",+C66+1)</f>
        <v>2067</v>
      </c>
      <c r="D67" s="480">
        <f>IF(F66+SUM(E$17:E66)=D$10,F66,D$10-SUM(E$17:E66))</f>
        <v>0</v>
      </c>
      <c r="E67" s="481">
        <f t="shared" si="19"/>
        <v>0</v>
      </c>
      <c r="F67" s="482">
        <f t="shared" si="20"/>
        <v>0</v>
      </c>
      <c r="G67" s="483">
        <f t="shared" si="21"/>
        <v>0</v>
      </c>
      <c r="H67" s="452">
        <f t="shared" si="22"/>
        <v>0</v>
      </c>
      <c r="I67" s="472">
        <f t="shared" si="0"/>
        <v>0</v>
      </c>
      <c r="J67" s="472"/>
      <c r="K67" s="484"/>
      <c r="L67" s="475">
        <f t="shared" si="2"/>
        <v>0</v>
      </c>
      <c r="M67" s="484"/>
      <c r="N67" s="475">
        <f t="shared" si="4"/>
        <v>0</v>
      </c>
      <c r="O67" s="475">
        <f t="shared" si="5"/>
        <v>0</v>
      </c>
      <c r="P67" s="241"/>
    </row>
    <row r="68" spans="2:16" ht="12.5">
      <c r="B68" s="160" t="str">
        <f t="shared" si="7"/>
        <v/>
      </c>
      <c r="C68" s="469">
        <f>IF(D11="","-",+C67+1)</f>
        <v>2068</v>
      </c>
      <c r="D68" s="480">
        <f>IF(F67+SUM(E$17:E67)=D$10,F67,D$10-SUM(E$17:E67))</f>
        <v>0</v>
      </c>
      <c r="E68" s="481">
        <f t="shared" si="19"/>
        <v>0</v>
      </c>
      <c r="F68" s="482">
        <f t="shared" si="20"/>
        <v>0</v>
      </c>
      <c r="G68" s="483">
        <f t="shared" si="21"/>
        <v>0</v>
      </c>
      <c r="H68" s="452">
        <f t="shared" si="22"/>
        <v>0</v>
      </c>
      <c r="I68" s="472">
        <f t="shared" si="0"/>
        <v>0</v>
      </c>
      <c r="J68" s="472"/>
      <c r="K68" s="484"/>
      <c r="L68" s="475">
        <f t="shared" si="2"/>
        <v>0</v>
      </c>
      <c r="M68" s="484"/>
      <c r="N68" s="475">
        <f t="shared" si="4"/>
        <v>0</v>
      </c>
      <c r="O68" s="475">
        <f t="shared" si="5"/>
        <v>0</v>
      </c>
      <c r="P68" s="241"/>
    </row>
    <row r="69" spans="2:16" ht="12.5">
      <c r="B69" s="160" t="str">
        <f t="shared" si="7"/>
        <v/>
      </c>
      <c r="C69" s="469">
        <f>IF(D11="","-",+C68+1)</f>
        <v>2069</v>
      </c>
      <c r="D69" s="480">
        <f>IF(F68+SUM(E$17:E68)=D$10,F68,D$10-SUM(E$17:E68))</f>
        <v>0</v>
      </c>
      <c r="E69" s="481">
        <f t="shared" si="19"/>
        <v>0</v>
      </c>
      <c r="F69" s="482">
        <f t="shared" si="20"/>
        <v>0</v>
      </c>
      <c r="G69" s="483">
        <f t="shared" si="21"/>
        <v>0</v>
      </c>
      <c r="H69" s="452">
        <f t="shared" si="22"/>
        <v>0</v>
      </c>
      <c r="I69" s="472">
        <f t="shared" si="0"/>
        <v>0</v>
      </c>
      <c r="J69" s="472"/>
      <c r="K69" s="484"/>
      <c r="L69" s="475">
        <f t="shared" si="2"/>
        <v>0</v>
      </c>
      <c r="M69" s="484"/>
      <c r="N69" s="475">
        <f t="shared" si="4"/>
        <v>0</v>
      </c>
      <c r="O69" s="475">
        <f t="shared" si="5"/>
        <v>0</v>
      </c>
      <c r="P69" s="241"/>
    </row>
    <row r="70" spans="2:16" ht="12.5">
      <c r="B70" s="160" t="str">
        <f t="shared" si="7"/>
        <v/>
      </c>
      <c r="C70" s="469">
        <f>IF(D11="","-",+C69+1)</f>
        <v>2070</v>
      </c>
      <c r="D70" s="480">
        <f>IF(F69+SUM(E$17:E69)=D$10,F69,D$10-SUM(E$17:E69))</f>
        <v>0</v>
      </c>
      <c r="E70" s="481">
        <f t="shared" si="19"/>
        <v>0</v>
      </c>
      <c r="F70" s="482">
        <f t="shared" si="20"/>
        <v>0</v>
      </c>
      <c r="G70" s="483">
        <f t="shared" si="21"/>
        <v>0</v>
      </c>
      <c r="H70" s="452">
        <f t="shared" si="22"/>
        <v>0</v>
      </c>
      <c r="I70" s="472">
        <f t="shared" si="0"/>
        <v>0</v>
      </c>
      <c r="J70" s="472"/>
      <c r="K70" s="484"/>
      <c r="L70" s="475">
        <f t="shared" si="2"/>
        <v>0</v>
      </c>
      <c r="M70" s="484"/>
      <c r="N70" s="475">
        <f t="shared" si="4"/>
        <v>0</v>
      </c>
      <c r="O70" s="475">
        <f t="shared" si="5"/>
        <v>0</v>
      </c>
      <c r="P70" s="241"/>
    </row>
    <row r="71" spans="2:16" ht="12.5">
      <c r="B71" s="160" t="str">
        <f t="shared" si="7"/>
        <v/>
      </c>
      <c r="C71" s="469">
        <f>IF(D11="","-",+C70+1)</f>
        <v>2071</v>
      </c>
      <c r="D71" s="480">
        <f>IF(F70+SUM(E$17:E70)=D$10,F70,D$10-SUM(E$17:E70))</f>
        <v>0</v>
      </c>
      <c r="E71" s="481">
        <f t="shared" si="19"/>
        <v>0</v>
      </c>
      <c r="F71" s="482">
        <f t="shared" si="20"/>
        <v>0</v>
      </c>
      <c r="G71" s="483">
        <f t="shared" si="21"/>
        <v>0</v>
      </c>
      <c r="H71" s="452">
        <f t="shared" si="22"/>
        <v>0</v>
      </c>
      <c r="I71" s="472">
        <f t="shared" si="0"/>
        <v>0</v>
      </c>
      <c r="J71" s="472"/>
      <c r="K71" s="484"/>
      <c r="L71" s="475">
        <f t="shared" si="2"/>
        <v>0</v>
      </c>
      <c r="M71" s="484"/>
      <c r="N71" s="475">
        <f t="shared" si="4"/>
        <v>0</v>
      </c>
      <c r="O71" s="475">
        <f t="shared" si="5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2072</v>
      </c>
      <c r="D72" s="608">
        <f>IF(F71+SUM(E$17:E71)=D$10,F71,D$10-SUM(E$17:E71))</f>
        <v>0</v>
      </c>
      <c r="E72" s="488">
        <f t="shared" si="19"/>
        <v>0</v>
      </c>
      <c r="F72" s="487">
        <f t="shared" si="20"/>
        <v>0</v>
      </c>
      <c r="G72" s="541">
        <f t="shared" si="21"/>
        <v>0</v>
      </c>
      <c r="H72" s="432">
        <f t="shared" si="22"/>
        <v>0</v>
      </c>
      <c r="I72" s="490">
        <f t="shared" si="0"/>
        <v>0</v>
      </c>
      <c r="J72" s="472"/>
      <c r="K72" s="491"/>
      <c r="L72" s="492">
        <f t="shared" si="2"/>
        <v>0</v>
      </c>
      <c r="M72" s="491"/>
      <c r="N72" s="492">
        <f t="shared" si="4"/>
        <v>0</v>
      </c>
      <c r="O72" s="492">
        <f t="shared" si="5"/>
        <v>0</v>
      </c>
      <c r="P72" s="241"/>
    </row>
    <row r="73" spans="2:16" ht="12.5">
      <c r="C73" s="344" t="s">
        <v>77</v>
      </c>
      <c r="D73" s="345"/>
      <c r="E73" s="345">
        <f>SUM(E17:E72)</f>
        <v>1338977.9100000011</v>
      </c>
      <c r="F73" s="345"/>
      <c r="G73" s="345">
        <f>SUM(G17:G72)</f>
        <v>4298868.0613518991</v>
      </c>
      <c r="H73" s="345">
        <f>SUM(H17:H72)</f>
        <v>4298868.0613518991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19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166524.97704948511</v>
      </c>
      <c r="N87" s="505">
        <f>IF(J92&lt;D11,0,VLOOKUP(J92,C17:O72,11))</f>
        <v>166524.97704948511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183304.36671170784</v>
      </c>
      <c r="N88" s="509">
        <f>IF(J92&lt;D11,0,VLOOKUP(J92,C99:P154,7))</f>
        <v>183304.36671170784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Valliant-NW Texarkana 345 kV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16779.389662222733</v>
      </c>
      <c r="N89" s="514">
        <f>+N88-N87</f>
        <v>16779.389662222733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TP2009089</v>
      </c>
      <c r="E91" s="519" t="str">
        <f>E9</f>
        <v xml:space="preserve">  SPP Project ID = 936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IF(D11=I10,0,D10)</f>
        <v>1338977.9100000004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2017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3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35236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2017</v>
      </c>
      <c r="D99" s="581">
        <v>0</v>
      </c>
      <c r="E99" s="604">
        <v>21831</v>
      </c>
      <c r="F99" s="581">
        <v>1317147</v>
      </c>
      <c r="G99" s="604">
        <v>658573.5</v>
      </c>
      <c r="H99" s="584">
        <v>105372.70906867021</v>
      </c>
      <c r="I99" s="603">
        <v>105372.70906867021</v>
      </c>
      <c r="J99" s="475">
        <f t="shared" ref="J99:J130" si="23">+I99-H99</f>
        <v>0</v>
      </c>
      <c r="K99" s="475"/>
      <c r="L99" s="474">
        <f>+H99</f>
        <v>105372.70906867021</v>
      </c>
      <c r="M99" s="474">
        <f t="shared" ref="M99:M130" si="24">IF(L99&lt;&gt;0,+H99-L99,0)</f>
        <v>0</v>
      </c>
      <c r="N99" s="474">
        <f>+I99</f>
        <v>105372.70906867021</v>
      </c>
      <c r="O99" s="474">
        <f t="shared" ref="O99:O130" si="25">IF(N99&lt;&gt;0,+I99-N99,0)</f>
        <v>0</v>
      </c>
      <c r="P99" s="474">
        <f t="shared" ref="P99:P130" si="26">+O99-M99</f>
        <v>0</v>
      </c>
    </row>
    <row r="100" spans="1:16" ht="12.5">
      <c r="B100" s="160" t="str">
        <f>IF(D100=F99,"","IU")</f>
        <v/>
      </c>
      <c r="C100" s="469">
        <f>IF(D93="","-",+C99+1)</f>
        <v>2018</v>
      </c>
      <c r="D100" s="581">
        <v>1317147</v>
      </c>
      <c r="E100" s="582">
        <v>31139</v>
      </c>
      <c r="F100" s="583">
        <v>1286008</v>
      </c>
      <c r="G100" s="583">
        <v>1301577.5</v>
      </c>
      <c r="H100" s="602">
        <v>164857.30223166285</v>
      </c>
      <c r="I100" s="603">
        <v>164857.30223166285</v>
      </c>
      <c r="J100" s="475">
        <f t="shared" si="23"/>
        <v>0</v>
      </c>
      <c r="K100" s="475"/>
      <c r="L100" s="473">
        <f t="shared" ref="L100:L105" si="27">H100</f>
        <v>164857.30223166285</v>
      </c>
      <c r="M100" s="346">
        <f t="shared" ref="M100:M105" si="28">IF(L100&lt;&gt;0,+H100-L100,0)</f>
        <v>0</v>
      </c>
      <c r="N100" s="473">
        <f t="shared" ref="N100:N105" si="29">I100</f>
        <v>164857.30223166285</v>
      </c>
      <c r="O100" s="472">
        <f>IF(N100&lt;&gt;0,+I100-N100,0)</f>
        <v>0</v>
      </c>
      <c r="P100" s="475">
        <f>+O100-M100</f>
        <v>0</v>
      </c>
    </row>
    <row r="101" spans="1:16" ht="12.5">
      <c r="B101" s="160" t="str">
        <f t="shared" ref="B101:B154" si="30">IF(D101=F100,"","IU")</f>
        <v/>
      </c>
      <c r="C101" s="469">
        <f>IF(D93="","-",+C100+1)</f>
        <v>2019</v>
      </c>
      <c r="D101" s="581">
        <v>1286008</v>
      </c>
      <c r="E101" s="582">
        <v>32658</v>
      </c>
      <c r="F101" s="583">
        <v>1253350</v>
      </c>
      <c r="G101" s="583">
        <v>1269679</v>
      </c>
      <c r="H101" s="602">
        <v>163579.71352002863</v>
      </c>
      <c r="I101" s="603">
        <v>163579.71352002863</v>
      </c>
      <c r="J101" s="475">
        <f t="shared" si="23"/>
        <v>0</v>
      </c>
      <c r="K101" s="475"/>
      <c r="L101" s="473">
        <f t="shared" si="27"/>
        <v>163579.71352002863</v>
      </c>
      <c r="M101" s="346">
        <f t="shared" si="28"/>
        <v>0</v>
      </c>
      <c r="N101" s="473">
        <f t="shared" si="29"/>
        <v>163579.71352002863</v>
      </c>
      <c r="O101" s="475">
        <f t="shared" si="25"/>
        <v>0</v>
      </c>
      <c r="P101" s="475">
        <f t="shared" si="26"/>
        <v>0</v>
      </c>
    </row>
    <row r="102" spans="1:16" ht="12.5">
      <c r="B102" s="160" t="str">
        <f t="shared" si="30"/>
        <v/>
      </c>
      <c r="C102" s="469">
        <f>IF(D93="","-",+C101+1)</f>
        <v>2020</v>
      </c>
      <c r="D102" s="581">
        <v>1253350</v>
      </c>
      <c r="E102" s="582">
        <v>31139</v>
      </c>
      <c r="F102" s="583">
        <v>1222211</v>
      </c>
      <c r="G102" s="583">
        <v>1237780.5</v>
      </c>
      <c r="H102" s="602">
        <v>173851.68865310939</v>
      </c>
      <c r="I102" s="603">
        <v>173851.68865310939</v>
      </c>
      <c r="J102" s="475">
        <f t="shared" si="23"/>
        <v>0</v>
      </c>
      <c r="K102" s="475"/>
      <c r="L102" s="473">
        <f t="shared" si="27"/>
        <v>173851.68865310939</v>
      </c>
      <c r="M102" s="346">
        <f t="shared" si="28"/>
        <v>0</v>
      </c>
      <c r="N102" s="473">
        <f t="shared" si="29"/>
        <v>173851.68865310939</v>
      </c>
      <c r="O102" s="475">
        <f t="shared" si="25"/>
        <v>0</v>
      </c>
      <c r="P102" s="475">
        <f t="shared" si="26"/>
        <v>0</v>
      </c>
    </row>
    <row r="103" spans="1:16" ht="12.5">
      <c r="B103" s="160" t="str">
        <f t="shared" si="30"/>
        <v/>
      </c>
      <c r="C103" s="469">
        <f>IF(D93="","-",+C102+1)</f>
        <v>2021</v>
      </c>
      <c r="D103" s="581">
        <v>1222211</v>
      </c>
      <c r="E103" s="582">
        <v>32658</v>
      </c>
      <c r="F103" s="583">
        <v>1189553</v>
      </c>
      <c r="G103" s="583">
        <v>1205882</v>
      </c>
      <c r="H103" s="602">
        <v>169878.68084636764</v>
      </c>
      <c r="I103" s="603">
        <v>169878.68084636764</v>
      </c>
      <c r="J103" s="475">
        <f t="shared" si="23"/>
        <v>0</v>
      </c>
      <c r="K103" s="475"/>
      <c r="L103" s="473">
        <f t="shared" si="27"/>
        <v>169878.68084636764</v>
      </c>
      <c r="M103" s="346">
        <f t="shared" si="28"/>
        <v>0</v>
      </c>
      <c r="N103" s="473">
        <f t="shared" si="29"/>
        <v>169878.68084636764</v>
      </c>
      <c r="O103" s="475">
        <f t="shared" si="25"/>
        <v>0</v>
      </c>
      <c r="P103" s="475">
        <f t="shared" si="26"/>
        <v>0</v>
      </c>
    </row>
    <row r="104" spans="1:16" ht="12.5">
      <c r="B104" s="160" t="str">
        <f t="shared" si="30"/>
        <v/>
      </c>
      <c r="C104" s="469">
        <f>IF(D93="","-",+C103+1)</f>
        <v>2022</v>
      </c>
      <c r="D104" s="581">
        <v>1189553</v>
      </c>
      <c r="E104" s="582">
        <v>34333</v>
      </c>
      <c r="F104" s="583">
        <v>1155220</v>
      </c>
      <c r="G104" s="583">
        <v>1172386.5</v>
      </c>
      <c r="H104" s="602">
        <v>163509.65476559798</v>
      </c>
      <c r="I104" s="603">
        <v>163509.65476559798</v>
      </c>
      <c r="J104" s="475">
        <f t="shared" si="23"/>
        <v>0</v>
      </c>
      <c r="K104" s="475"/>
      <c r="L104" s="473">
        <f t="shared" si="27"/>
        <v>163509.65476559798</v>
      </c>
      <c r="M104" s="346">
        <f t="shared" si="28"/>
        <v>0</v>
      </c>
      <c r="N104" s="473">
        <f t="shared" si="29"/>
        <v>163509.65476559798</v>
      </c>
      <c r="O104" s="475">
        <f t="shared" ref="O104" si="31">IF(N104&lt;&gt;0,+I104-N104,0)</f>
        <v>0</v>
      </c>
      <c r="P104" s="475">
        <f t="shared" ref="P104" si="32">+O104-M104</f>
        <v>0</v>
      </c>
    </row>
    <row r="105" spans="1:16" ht="12.5">
      <c r="B105" s="160" t="str">
        <f t="shared" si="30"/>
        <v>IU</v>
      </c>
      <c r="C105" s="469">
        <f>IF(D93="","-",+C104+1)</f>
        <v>2023</v>
      </c>
      <c r="D105" s="581">
        <v>1155219.9100000004</v>
      </c>
      <c r="E105" s="582">
        <v>35236</v>
      </c>
      <c r="F105" s="583">
        <v>1119983.9100000004</v>
      </c>
      <c r="G105" s="583">
        <v>1137601.9100000004</v>
      </c>
      <c r="H105" s="602">
        <v>165180.91372956004</v>
      </c>
      <c r="I105" s="603">
        <v>165180.91372956004</v>
      </c>
      <c r="J105" s="475">
        <f t="shared" si="23"/>
        <v>0</v>
      </c>
      <c r="K105" s="475"/>
      <c r="L105" s="473">
        <f t="shared" si="27"/>
        <v>165180.91372956004</v>
      </c>
      <c r="M105" s="346">
        <f t="shared" si="28"/>
        <v>0</v>
      </c>
      <c r="N105" s="473">
        <f t="shared" si="29"/>
        <v>165180.91372956004</v>
      </c>
      <c r="O105" s="475">
        <f t="shared" ref="O105" si="33">IF(N105&lt;&gt;0,+I105-N105,0)</f>
        <v>0</v>
      </c>
      <c r="P105" s="475">
        <f t="shared" ref="P105" si="34">+O105-M105</f>
        <v>0</v>
      </c>
    </row>
    <row r="106" spans="1:16" ht="12.5">
      <c r="B106" s="160" t="str">
        <f t="shared" si="30"/>
        <v/>
      </c>
      <c r="C106" s="469">
        <f>IF(D93="","-",+C105+1)</f>
        <v>2024</v>
      </c>
      <c r="D106" s="344">
        <f>IF(F105+SUM(E$99:E105)=D$92,F105,D$92-SUM(E$99:E105))</f>
        <v>1119983.9100000004</v>
      </c>
      <c r="E106" s="481">
        <f t="shared" ref="E106:E154" si="35">IF(+J$96&lt;F105,J$96,D106)</f>
        <v>35236</v>
      </c>
      <c r="F106" s="482">
        <f t="shared" ref="F106:F154" si="36">+D106-E106</f>
        <v>1084747.9100000004</v>
      </c>
      <c r="G106" s="482">
        <f t="shared" ref="G106:G154" si="37">+(F106+D106)/2</f>
        <v>1102365.9100000004</v>
      </c>
      <c r="H106" s="483">
        <f t="shared" ref="H106:H153" si="38">(D106+F106)/2*J$94+E106</f>
        <v>183304.36671170784</v>
      </c>
      <c r="I106" s="539">
        <f t="shared" ref="I106:I153" si="39">+J$95*G106+E106</f>
        <v>183304.36671170784</v>
      </c>
      <c r="J106" s="475">
        <f t="shared" si="23"/>
        <v>0</v>
      </c>
      <c r="K106" s="475"/>
      <c r="L106" s="484"/>
      <c r="M106" s="475">
        <f t="shared" si="24"/>
        <v>0</v>
      </c>
      <c r="N106" s="484"/>
      <c r="O106" s="475">
        <f t="shared" si="25"/>
        <v>0</v>
      </c>
      <c r="P106" s="475">
        <f t="shared" si="26"/>
        <v>0</v>
      </c>
    </row>
    <row r="107" spans="1:16" ht="12.5">
      <c r="B107" s="160" t="str">
        <f t="shared" si="30"/>
        <v/>
      </c>
      <c r="C107" s="469">
        <f>IF(D93="","-",+C106+1)</f>
        <v>2025</v>
      </c>
      <c r="D107" s="344">
        <f>IF(F106+SUM(E$99:E106)=D$92,F106,D$92-SUM(E$99:E106))</f>
        <v>1084747.9100000004</v>
      </c>
      <c r="E107" s="481">
        <f t="shared" si="35"/>
        <v>35236</v>
      </c>
      <c r="F107" s="482">
        <f t="shared" si="36"/>
        <v>1049511.9100000004</v>
      </c>
      <c r="G107" s="482">
        <f t="shared" si="37"/>
        <v>1067129.9100000004</v>
      </c>
      <c r="H107" s="483">
        <f t="shared" si="38"/>
        <v>178571.51265469717</v>
      </c>
      <c r="I107" s="539">
        <f t="shared" si="39"/>
        <v>178571.51265469717</v>
      </c>
      <c r="J107" s="475">
        <f t="shared" si="23"/>
        <v>0</v>
      </c>
      <c r="K107" s="475"/>
      <c r="L107" s="484"/>
      <c r="M107" s="475">
        <f t="shared" si="24"/>
        <v>0</v>
      </c>
      <c r="N107" s="484"/>
      <c r="O107" s="475">
        <f t="shared" si="25"/>
        <v>0</v>
      </c>
      <c r="P107" s="475">
        <f t="shared" si="26"/>
        <v>0</v>
      </c>
    </row>
    <row r="108" spans="1:16" ht="12.5">
      <c r="B108" s="160" t="str">
        <f t="shared" si="30"/>
        <v/>
      </c>
      <c r="C108" s="469">
        <f>IF(D93="","-",+C107+1)</f>
        <v>2026</v>
      </c>
      <c r="D108" s="344">
        <f>IF(F107+SUM(E$99:E107)=D$92,F107,D$92-SUM(E$99:E107))</f>
        <v>1049511.9100000004</v>
      </c>
      <c r="E108" s="481">
        <f t="shared" si="35"/>
        <v>35236</v>
      </c>
      <c r="F108" s="482">
        <f t="shared" si="36"/>
        <v>1014275.9100000004</v>
      </c>
      <c r="G108" s="482">
        <f t="shared" si="37"/>
        <v>1031893.9100000004</v>
      </c>
      <c r="H108" s="483">
        <f t="shared" si="38"/>
        <v>173838.65859768653</v>
      </c>
      <c r="I108" s="539">
        <f t="shared" si="39"/>
        <v>173838.65859768653</v>
      </c>
      <c r="J108" s="475">
        <f t="shared" si="23"/>
        <v>0</v>
      </c>
      <c r="K108" s="475"/>
      <c r="L108" s="484"/>
      <c r="M108" s="475">
        <f t="shared" si="24"/>
        <v>0</v>
      </c>
      <c r="N108" s="484"/>
      <c r="O108" s="475">
        <f t="shared" si="25"/>
        <v>0</v>
      </c>
      <c r="P108" s="475">
        <f t="shared" si="26"/>
        <v>0</v>
      </c>
    </row>
    <row r="109" spans="1:16" ht="12.5">
      <c r="B109" s="160" t="str">
        <f t="shared" si="30"/>
        <v/>
      </c>
      <c r="C109" s="469">
        <f>IF(D93="","-",+C108+1)</f>
        <v>2027</v>
      </c>
      <c r="D109" s="344">
        <f>IF(F108+SUM(E$99:E108)=D$92,F108,D$92-SUM(E$99:E108))</f>
        <v>1014275.9100000004</v>
      </c>
      <c r="E109" s="481">
        <f t="shared" si="35"/>
        <v>35236</v>
      </c>
      <c r="F109" s="482">
        <f t="shared" si="36"/>
        <v>979039.91000000038</v>
      </c>
      <c r="G109" s="482">
        <f t="shared" si="37"/>
        <v>996657.91000000038</v>
      </c>
      <c r="H109" s="483">
        <f t="shared" si="38"/>
        <v>169105.80454067589</v>
      </c>
      <c r="I109" s="539">
        <f t="shared" si="39"/>
        <v>169105.80454067589</v>
      </c>
      <c r="J109" s="475">
        <f t="shared" si="23"/>
        <v>0</v>
      </c>
      <c r="K109" s="475"/>
      <c r="L109" s="484"/>
      <c r="M109" s="475">
        <f t="shared" si="24"/>
        <v>0</v>
      </c>
      <c r="N109" s="484"/>
      <c r="O109" s="475">
        <f t="shared" si="25"/>
        <v>0</v>
      </c>
      <c r="P109" s="475">
        <f t="shared" si="26"/>
        <v>0</v>
      </c>
    </row>
    <row r="110" spans="1:16" ht="12.5">
      <c r="B110" s="160" t="str">
        <f t="shared" si="30"/>
        <v/>
      </c>
      <c r="C110" s="469">
        <f>IF(D93="","-",+C109+1)</f>
        <v>2028</v>
      </c>
      <c r="D110" s="344">
        <f>IF(F109+SUM(E$99:E109)=D$92,F109,D$92-SUM(E$99:E109))</f>
        <v>979039.91000000038</v>
      </c>
      <c r="E110" s="481">
        <f t="shared" si="35"/>
        <v>35236</v>
      </c>
      <c r="F110" s="482">
        <f t="shared" si="36"/>
        <v>943803.91000000038</v>
      </c>
      <c r="G110" s="482">
        <f t="shared" si="37"/>
        <v>961421.91000000038</v>
      </c>
      <c r="H110" s="483">
        <f t="shared" si="38"/>
        <v>164372.95048366522</v>
      </c>
      <c r="I110" s="539">
        <f t="shared" si="39"/>
        <v>164372.95048366522</v>
      </c>
      <c r="J110" s="475">
        <f t="shared" si="23"/>
        <v>0</v>
      </c>
      <c r="K110" s="475"/>
      <c r="L110" s="484"/>
      <c r="M110" s="475">
        <f t="shared" si="24"/>
        <v>0</v>
      </c>
      <c r="N110" s="484"/>
      <c r="O110" s="475">
        <f t="shared" si="25"/>
        <v>0</v>
      </c>
      <c r="P110" s="475">
        <f t="shared" si="26"/>
        <v>0</v>
      </c>
    </row>
    <row r="111" spans="1:16" ht="12.5">
      <c r="B111" s="160" t="str">
        <f t="shared" si="30"/>
        <v/>
      </c>
      <c r="C111" s="469">
        <f>IF(D93="","-",+C110+1)</f>
        <v>2029</v>
      </c>
      <c r="D111" s="344">
        <f>IF(F110+SUM(E$99:E110)=D$92,F110,D$92-SUM(E$99:E110))</f>
        <v>943803.91000000038</v>
      </c>
      <c r="E111" s="481">
        <f t="shared" si="35"/>
        <v>35236</v>
      </c>
      <c r="F111" s="482">
        <f t="shared" si="36"/>
        <v>908567.91000000038</v>
      </c>
      <c r="G111" s="482">
        <f t="shared" si="37"/>
        <v>926185.91000000038</v>
      </c>
      <c r="H111" s="483">
        <f t="shared" si="38"/>
        <v>159640.09642665461</v>
      </c>
      <c r="I111" s="539">
        <f t="shared" si="39"/>
        <v>159640.09642665461</v>
      </c>
      <c r="J111" s="475">
        <f t="shared" si="23"/>
        <v>0</v>
      </c>
      <c r="K111" s="475"/>
      <c r="L111" s="484"/>
      <c r="M111" s="475">
        <f t="shared" si="24"/>
        <v>0</v>
      </c>
      <c r="N111" s="484"/>
      <c r="O111" s="475">
        <f t="shared" si="25"/>
        <v>0</v>
      </c>
      <c r="P111" s="475">
        <f t="shared" si="26"/>
        <v>0</v>
      </c>
    </row>
    <row r="112" spans="1:16" ht="12.5">
      <c r="B112" s="160" t="str">
        <f t="shared" si="30"/>
        <v/>
      </c>
      <c r="C112" s="469">
        <f>IF(D93="","-",+C111+1)</f>
        <v>2030</v>
      </c>
      <c r="D112" s="344">
        <f>IF(F111+SUM(E$99:E111)=D$92,F111,D$92-SUM(E$99:E111))</f>
        <v>908567.91000000038</v>
      </c>
      <c r="E112" s="481">
        <f t="shared" si="35"/>
        <v>35236</v>
      </c>
      <c r="F112" s="482">
        <f t="shared" si="36"/>
        <v>873331.91000000038</v>
      </c>
      <c r="G112" s="482">
        <f t="shared" si="37"/>
        <v>890949.91000000038</v>
      </c>
      <c r="H112" s="483">
        <f t="shared" si="38"/>
        <v>154907.24236964394</v>
      </c>
      <c r="I112" s="539">
        <f t="shared" si="39"/>
        <v>154907.24236964394</v>
      </c>
      <c r="J112" s="475">
        <f t="shared" si="23"/>
        <v>0</v>
      </c>
      <c r="K112" s="475"/>
      <c r="L112" s="484"/>
      <c r="M112" s="475">
        <f t="shared" si="24"/>
        <v>0</v>
      </c>
      <c r="N112" s="484"/>
      <c r="O112" s="475">
        <f t="shared" si="25"/>
        <v>0</v>
      </c>
      <c r="P112" s="475">
        <f t="shared" si="26"/>
        <v>0</v>
      </c>
    </row>
    <row r="113" spans="2:16" ht="12.5">
      <c r="B113" s="160" t="str">
        <f t="shared" si="30"/>
        <v/>
      </c>
      <c r="C113" s="469">
        <f>IF(D93="","-",+C112+1)</f>
        <v>2031</v>
      </c>
      <c r="D113" s="344">
        <f>IF(F112+SUM(E$99:E112)=D$92,F112,D$92-SUM(E$99:E112))</f>
        <v>873331.91000000038</v>
      </c>
      <c r="E113" s="481">
        <f t="shared" si="35"/>
        <v>35236</v>
      </c>
      <c r="F113" s="482">
        <f t="shared" si="36"/>
        <v>838095.91000000038</v>
      </c>
      <c r="G113" s="482">
        <f t="shared" si="37"/>
        <v>855713.91000000038</v>
      </c>
      <c r="H113" s="483">
        <f t="shared" si="38"/>
        <v>150174.38831263329</v>
      </c>
      <c r="I113" s="539">
        <f t="shared" si="39"/>
        <v>150174.38831263329</v>
      </c>
      <c r="J113" s="475">
        <f t="shared" si="23"/>
        <v>0</v>
      </c>
      <c r="K113" s="475"/>
      <c r="L113" s="484"/>
      <c r="M113" s="475">
        <f t="shared" si="24"/>
        <v>0</v>
      </c>
      <c r="N113" s="484"/>
      <c r="O113" s="475">
        <f t="shared" si="25"/>
        <v>0</v>
      </c>
      <c r="P113" s="475">
        <f t="shared" si="26"/>
        <v>0</v>
      </c>
    </row>
    <row r="114" spans="2:16" ht="12.5">
      <c r="B114" s="160" t="str">
        <f t="shared" si="30"/>
        <v/>
      </c>
      <c r="C114" s="469">
        <f>IF(D93="","-",+C113+1)</f>
        <v>2032</v>
      </c>
      <c r="D114" s="344">
        <f>IF(F113+SUM(E$99:E113)=D$92,F113,D$92-SUM(E$99:E113))</f>
        <v>838095.91000000038</v>
      </c>
      <c r="E114" s="481">
        <f t="shared" si="35"/>
        <v>35236</v>
      </c>
      <c r="F114" s="482">
        <f t="shared" si="36"/>
        <v>802859.91000000038</v>
      </c>
      <c r="G114" s="482">
        <f t="shared" si="37"/>
        <v>820477.91000000038</v>
      </c>
      <c r="H114" s="483">
        <f t="shared" si="38"/>
        <v>145441.53425562265</v>
      </c>
      <c r="I114" s="539">
        <f t="shared" si="39"/>
        <v>145441.53425562265</v>
      </c>
      <c r="J114" s="475">
        <f t="shared" si="23"/>
        <v>0</v>
      </c>
      <c r="K114" s="475"/>
      <c r="L114" s="484"/>
      <c r="M114" s="475">
        <f t="shared" si="24"/>
        <v>0</v>
      </c>
      <c r="N114" s="484"/>
      <c r="O114" s="475">
        <f t="shared" si="25"/>
        <v>0</v>
      </c>
      <c r="P114" s="475">
        <f t="shared" si="26"/>
        <v>0</v>
      </c>
    </row>
    <row r="115" spans="2:16" ht="12.5">
      <c r="B115" s="160" t="str">
        <f t="shared" si="30"/>
        <v/>
      </c>
      <c r="C115" s="469">
        <f>IF(D93="","-",+C114+1)</f>
        <v>2033</v>
      </c>
      <c r="D115" s="344">
        <f>IF(F114+SUM(E$99:E114)=D$92,F114,D$92-SUM(E$99:E114))</f>
        <v>802859.91000000038</v>
      </c>
      <c r="E115" s="481">
        <f t="shared" si="35"/>
        <v>35236</v>
      </c>
      <c r="F115" s="482">
        <f t="shared" si="36"/>
        <v>767623.91000000038</v>
      </c>
      <c r="G115" s="482">
        <f t="shared" si="37"/>
        <v>785241.91000000038</v>
      </c>
      <c r="H115" s="483">
        <f t="shared" si="38"/>
        <v>140708.68019861198</v>
      </c>
      <c r="I115" s="539">
        <f t="shared" si="39"/>
        <v>140708.68019861198</v>
      </c>
      <c r="J115" s="475">
        <f t="shared" si="23"/>
        <v>0</v>
      </c>
      <c r="K115" s="475"/>
      <c r="L115" s="484"/>
      <c r="M115" s="475">
        <f t="shared" si="24"/>
        <v>0</v>
      </c>
      <c r="N115" s="484"/>
      <c r="O115" s="475">
        <f t="shared" si="25"/>
        <v>0</v>
      </c>
      <c r="P115" s="475">
        <f t="shared" si="26"/>
        <v>0</v>
      </c>
    </row>
    <row r="116" spans="2:16" ht="12.5">
      <c r="B116" s="160" t="str">
        <f t="shared" si="30"/>
        <v/>
      </c>
      <c r="C116" s="469">
        <f>IF(D93="","-",+C115+1)</f>
        <v>2034</v>
      </c>
      <c r="D116" s="344">
        <f>IF(F115+SUM(E$99:E115)=D$92,F115,D$92-SUM(E$99:E115))</f>
        <v>767623.91000000038</v>
      </c>
      <c r="E116" s="481">
        <f t="shared" si="35"/>
        <v>35236</v>
      </c>
      <c r="F116" s="482">
        <f t="shared" si="36"/>
        <v>732387.91000000038</v>
      </c>
      <c r="G116" s="482">
        <f t="shared" si="37"/>
        <v>750005.91000000038</v>
      </c>
      <c r="H116" s="483">
        <f t="shared" si="38"/>
        <v>135975.82614160137</v>
      </c>
      <c r="I116" s="539">
        <f t="shared" si="39"/>
        <v>135975.82614160137</v>
      </c>
      <c r="J116" s="475">
        <f t="shared" si="23"/>
        <v>0</v>
      </c>
      <c r="K116" s="475"/>
      <c r="L116" s="484"/>
      <c r="M116" s="475">
        <f t="shared" si="24"/>
        <v>0</v>
      </c>
      <c r="N116" s="484"/>
      <c r="O116" s="475">
        <f t="shared" si="25"/>
        <v>0</v>
      </c>
      <c r="P116" s="475">
        <f t="shared" si="26"/>
        <v>0</v>
      </c>
    </row>
    <row r="117" spans="2:16" ht="12.5">
      <c r="B117" s="160" t="str">
        <f t="shared" si="30"/>
        <v/>
      </c>
      <c r="C117" s="469">
        <f>IF(D93="","-",+C116+1)</f>
        <v>2035</v>
      </c>
      <c r="D117" s="344">
        <f>IF(F116+SUM(E$99:E116)=D$92,F116,D$92-SUM(E$99:E116))</f>
        <v>732387.91000000038</v>
      </c>
      <c r="E117" s="481">
        <f t="shared" si="35"/>
        <v>35236</v>
      </c>
      <c r="F117" s="482">
        <f t="shared" si="36"/>
        <v>697151.91000000038</v>
      </c>
      <c r="G117" s="482">
        <f t="shared" si="37"/>
        <v>714769.91000000038</v>
      </c>
      <c r="H117" s="483">
        <f t="shared" si="38"/>
        <v>131242.9720845907</v>
      </c>
      <c r="I117" s="539">
        <f t="shared" si="39"/>
        <v>131242.9720845907</v>
      </c>
      <c r="J117" s="475">
        <f t="shared" si="23"/>
        <v>0</v>
      </c>
      <c r="K117" s="475"/>
      <c r="L117" s="484"/>
      <c r="M117" s="475">
        <f t="shared" si="24"/>
        <v>0</v>
      </c>
      <c r="N117" s="484"/>
      <c r="O117" s="475">
        <f t="shared" si="25"/>
        <v>0</v>
      </c>
      <c r="P117" s="475">
        <f t="shared" si="26"/>
        <v>0</v>
      </c>
    </row>
    <row r="118" spans="2:16" ht="12.5">
      <c r="B118" s="160" t="str">
        <f t="shared" si="30"/>
        <v/>
      </c>
      <c r="C118" s="469">
        <f>IF(D93="","-",+C117+1)</f>
        <v>2036</v>
      </c>
      <c r="D118" s="344">
        <f>IF(F117+SUM(E$99:E117)=D$92,F117,D$92-SUM(E$99:E117))</f>
        <v>697151.91000000038</v>
      </c>
      <c r="E118" s="481">
        <f t="shared" si="35"/>
        <v>35236</v>
      </c>
      <c r="F118" s="482">
        <f t="shared" si="36"/>
        <v>661915.91000000038</v>
      </c>
      <c r="G118" s="482">
        <f t="shared" si="37"/>
        <v>679533.91000000038</v>
      </c>
      <c r="H118" s="483">
        <f t="shared" si="38"/>
        <v>126510.11802758006</v>
      </c>
      <c r="I118" s="539">
        <f t="shared" si="39"/>
        <v>126510.11802758006</v>
      </c>
      <c r="J118" s="475">
        <f t="shared" si="23"/>
        <v>0</v>
      </c>
      <c r="K118" s="475"/>
      <c r="L118" s="484"/>
      <c r="M118" s="475">
        <f t="shared" si="24"/>
        <v>0</v>
      </c>
      <c r="N118" s="484"/>
      <c r="O118" s="475">
        <f t="shared" si="25"/>
        <v>0</v>
      </c>
      <c r="P118" s="475">
        <f t="shared" si="26"/>
        <v>0</v>
      </c>
    </row>
    <row r="119" spans="2:16" ht="12.5">
      <c r="B119" s="160" t="str">
        <f t="shared" si="30"/>
        <v/>
      </c>
      <c r="C119" s="469">
        <f>IF(D93="","-",+C118+1)</f>
        <v>2037</v>
      </c>
      <c r="D119" s="344">
        <f>IF(F118+SUM(E$99:E118)=D$92,F118,D$92-SUM(E$99:E118))</f>
        <v>661915.91000000038</v>
      </c>
      <c r="E119" s="481">
        <f t="shared" si="35"/>
        <v>35236</v>
      </c>
      <c r="F119" s="482">
        <f t="shared" si="36"/>
        <v>626679.91000000038</v>
      </c>
      <c r="G119" s="482">
        <f t="shared" si="37"/>
        <v>644297.91000000038</v>
      </c>
      <c r="H119" s="483">
        <f t="shared" si="38"/>
        <v>121777.2639705694</v>
      </c>
      <c r="I119" s="539">
        <f t="shared" si="39"/>
        <v>121777.2639705694</v>
      </c>
      <c r="J119" s="475">
        <f t="shared" si="23"/>
        <v>0</v>
      </c>
      <c r="K119" s="475"/>
      <c r="L119" s="484"/>
      <c r="M119" s="475">
        <f t="shared" si="24"/>
        <v>0</v>
      </c>
      <c r="N119" s="484"/>
      <c r="O119" s="475">
        <f t="shared" si="25"/>
        <v>0</v>
      </c>
      <c r="P119" s="475">
        <f t="shared" si="26"/>
        <v>0</v>
      </c>
    </row>
    <row r="120" spans="2:16" ht="12.5">
      <c r="B120" s="160" t="str">
        <f t="shared" si="30"/>
        <v/>
      </c>
      <c r="C120" s="469">
        <f>IF(D93="","-",+C119+1)</f>
        <v>2038</v>
      </c>
      <c r="D120" s="344">
        <f>IF(F119+SUM(E$99:E119)=D$92,F119,D$92-SUM(E$99:E119))</f>
        <v>626679.91000000038</v>
      </c>
      <c r="E120" s="481">
        <f t="shared" si="35"/>
        <v>35236</v>
      </c>
      <c r="F120" s="482">
        <f t="shared" si="36"/>
        <v>591443.91000000038</v>
      </c>
      <c r="G120" s="482">
        <f t="shared" si="37"/>
        <v>609061.91000000038</v>
      </c>
      <c r="H120" s="483">
        <f t="shared" si="38"/>
        <v>117044.40991355876</v>
      </c>
      <c r="I120" s="539">
        <f t="shared" si="39"/>
        <v>117044.40991355876</v>
      </c>
      <c r="J120" s="475">
        <f t="shared" si="23"/>
        <v>0</v>
      </c>
      <c r="K120" s="475"/>
      <c r="L120" s="484"/>
      <c r="M120" s="475">
        <f t="shared" si="24"/>
        <v>0</v>
      </c>
      <c r="N120" s="484"/>
      <c r="O120" s="475">
        <f t="shared" si="25"/>
        <v>0</v>
      </c>
      <c r="P120" s="475">
        <f t="shared" si="26"/>
        <v>0</v>
      </c>
    </row>
    <row r="121" spans="2:16" ht="12.5">
      <c r="B121" s="160" t="str">
        <f t="shared" si="30"/>
        <v/>
      </c>
      <c r="C121" s="469">
        <f>IF(D93="","-",+C120+1)</f>
        <v>2039</v>
      </c>
      <c r="D121" s="344">
        <f>IF(F120+SUM(E$99:E120)=D$92,F120,D$92-SUM(E$99:E120))</f>
        <v>591443.91000000038</v>
      </c>
      <c r="E121" s="481">
        <f t="shared" si="35"/>
        <v>35236</v>
      </c>
      <c r="F121" s="482">
        <f t="shared" si="36"/>
        <v>556207.91000000038</v>
      </c>
      <c r="G121" s="482">
        <f t="shared" si="37"/>
        <v>573825.91000000038</v>
      </c>
      <c r="H121" s="483">
        <f t="shared" si="38"/>
        <v>112311.5558565481</v>
      </c>
      <c r="I121" s="539">
        <f t="shared" si="39"/>
        <v>112311.5558565481</v>
      </c>
      <c r="J121" s="475">
        <f t="shared" si="23"/>
        <v>0</v>
      </c>
      <c r="K121" s="475"/>
      <c r="L121" s="484"/>
      <c r="M121" s="475">
        <f t="shared" si="24"/>
        <v>0</v>
      </c>
      <c r="N121" s="484"/>
      <c r="O121" s="475">
        <f t="shared" si="25"/>
        <v>0</v>
      </c>
      <c r="P121" s="475">
        <f t="shared" si="26"/>
        <v>0</v>
      </c>
    </row>
    <row r="122" spans="2:16" ht="12.5">
      <c r="B122" s="160" t="str">
        <f t="shared" si="30"/>
        <v/>
      </c>
      <c r="C122" s="469">
        <f>IF(D93="","-",+C121+1)</f>
        <v>2040</v>
      </c>
      <c r="D122" s="344">
        <f>IF(F121+SUM(E$99:E121)=D$92,F121,D$92-SUM(E$99:E121))</f>
        <v>556207.91000000038</v>
      </c>
      <c r="E122" s="481">
        <f t="shared" si="35"/>
        <v>35236</v>
      </c>
      <c r="F122" s="482">
        <f t="shared" si="36"/>
        <v>520971.91000000038</v>
      </c>
      <c r="G122" s="482">
        <f t="shared" si="37"/>
        <v>538589.91000000038</v>
      </c>
      <c r="H122" s="483">
        <f t="shared" si="38"/>
        <v>107578.70179953746</v>
      </c>
      <c r="I122" s="539">
        <f t="shared" si="39"/>
        <v>107578.70179953746</v>
      </c>
      <c r="J122" s="475">
        <f t="shared" si="23"/>
        <v>0</v>
      </c>
      <c r="K122" s="475"/>
      <c r="L122" s="484"/>
      <c r="M122" s="475">
        <f t="shared" si="24"/>
        <v>0</v>
      </c>
      <c r="N122" s="484"/>
      <c r="O122" s="475">
        <f t="shared" si="25"/>
        <v>0</v>
      </c>
      <c r="P122" s="475">
        <f t="shared" si="26"/>
        <v>0</v>
      </c>
    </row>
    <row r="123" spans="2:16" ht="12.5">
      <c r="B123" s="160" t="str">
        <f t="shared" si="30"/>
        <v/>
      </c>
      <c r="C123" s="469">
        <f>IF(D93="","-",+C122+1)</f>
        <v>2041</v>
      </c>
      <c r="D123" s="344">
        <f>IF(F122+SUM(E$99:E122)=D$92,F122,D$92-SUM(E$99:E122))</f>
        <v>520971.91000000038</v>
      </c>
      <c r="E123" s="481">
        <f t="shared" si="35"/>
        <v>35236</v>
      </c>
      <c r="F123" s="482">
        <f t="shared" si="36"/>
        <v>485735.91000000038</v>
      </c>
      <c r="G123" s="482">
        <f t="shared" si="37"/>
        <v>503353.91000000038</v>
      </c>
      <c r="H123" s="483">
        <f t="shared" si="38"/>
        <v>102845.84774252681</v>
      </c>
      <c r="I123" s="539">
        <f t="shared" si="39"/>
        <v>102845.84774252681</v>
      </c>
      <c r="J123" s="475">
        <f t="shared" si="23"/>
        <v>0</v>
      </c>
      <c r="K123" s="475"/>
      <c r="L123" s="484"/>
      <c r="M123" s="475">
        <f t="shared" si="24"/>
        <v>0</v>
      </c>
      <c r="N123" s="484"/>
      <c r="O123" s="475">
        <f t="shared" si="25"/>
        <v>0</v>
      </c>
      <c r="P123" s="475">
        <f t="shared" si="26"/>
        <v>0</v>
      </c>
    </row>
    <row r="124" spans="2:16" ht="12.5">
      <c r="B124" s="160" t="str">
        <f t="shared" si="30"/>
        <v/>
      </c>
      <c r="C124" s="469">
        <f>IF(D93="","-",+C123+1)</f>
        <v>2042</v>
      </c>
      <c r="D124" s="344">
        <f>IF(F123+SUM(E$99:E123)=D$92,F123,D$92-SUM(E$99:E123))</f>
        <v>485735.91000000038</v>
      </c>
      <c r="E124" s="481">
        <f t="shared" si="35"/>
        <v>35236</v>
      </c>
      <c r="F124" s="482">
        <f t="shared" si="36"/>
        <v>450499.91000000038</v>
      </c>
      <c r="G124" s="482">
        <f t="shared" si="37"/>
        <v>468117.91000000038</v>
      </c>
      <c r="H124" s="483">
        <f t="shared" si="38"/>
        <v>98112.99368551615</v>
      </c>
      <c r="I124" s="539">
        <f t="shared" si="39"/>
        <v>98112.99368551615</v>
      </c>
      <c r="J124" s="475">
        <f t="shared" si="23"/>
        <v>0</v>
      </c>
      <c r="K124" s="475"/>
      <c r="L124" s="484"/>
      <c r="M124" s="475">
        <f t="shared" si="24"/>
        <v>0</v>
      </c>
      <c r="N124" s="484"/>
      <c r="O124" s="475">
        <f t="shared" si="25"/>
        <v>0</v>
      </c>
      <c r="P124" s="475">
        <f t="shared" si="26"/>
        <v>0</v>
      </c>
    </row>
    <row r="125" spans="2:16" ht="12.5">
      <c r="B125" s="160" t="str">
        <f t="shared" si="30"/>
        <v/>
      </c>
      <c r="C125" s="469">
        <f>IF(D93="","-",+C124+1)</f>
        <v>2043</v>
      </c>
      <c r="D125" s="344">
        <f>IF(F124+SUM(E$99:E124)=D$92,F124,D$92-SUM(E$99:E124))</f>
        <v>450499.91000000038</v>
      </c>
      <c r="E125" s="481">
        <f t="shared" si="35"/>
        <v>35236</v>
      </c>
      <c r="F125" s="482">
        <f t="shared" si="36"/>
        <v>415263.91000000038</v>
      </c>
      <c r="G125" s="482">
        <f t="shared" si="37"/>
        <v>432881.91000000038</v>
      </c>
      <c r="H125" s="483">
        <f t="shared" si="38"/>
        <v>93380.139628505509</v>
      </c>
      <c r="I125" s="539">
        <f t="shared" si="39"/>
        <v>93380.139628505509</v>
      </c>
      <c r="J125" s="475">
        <f t="shared" si="23"/>
        <v>0</v>
      </c>
      <c r="K125" s="475"/>
      <c r="L125" s="484"/>
      <c r="M125" s="475">
        <f t="shared" si="24"/>
        <v>0</v>
      </c>
      <c r="N125" s="484"/>
      <c r="O125" s="475">
        <f t="shared" si="25"/>
        <v>0</v>
      </c>
      <c r="P125" s="475">
        <f t="shared" si="26"/>
        <v>0</v>
      </c>
    </row>
    <row r="126" spans="2:16" ht="12.5">
      <c r="B126" s="160" t="str">
        <f t="shared" si="30"/>
        <v/>
      </c>
      <c r="C126" s="469">
        <f>IF(D93="","-",+C125+1)</f>
        <v>2044</v>
      </c>
      <c r="D126" s="344">
        <f>IF(F125+SUM(E$99:E125)=D$92,F125,D$92-SUM(E$99:E125))</f>
        <v>415263.91000000038</v>
      </c>
      <c r="E126" s="481">
        <f t="shared" si="35"/>
        <v>35236</v>
      </c>
      <c r="F126" s="482">
        <f t="shared" si="36"/>
        <v>380027.91000000038</v>
      </c>
      <c r="G126" s="482">
        <f t="shared" si="37"/>
        <v>397645.91000000038</v>
      </c>
      <c r="H126" s="483">
        <f t="shared" si="38"/>
        <v>88647.285571494867</v>
      </c>
      <c r="I126" s="539">
        <f t="shared" si="39"/>
        <v>88647.285571494867</v>
      </c>
      <c r="J126" s="475">
        <f t="shared" si="23"/>
        <v>0</v>
      </c>
      <c r="K126" s="475"/>
      <c r="L126" s="484"/>
      <c r="M126" s="475">
        <f t="shared" si="24"/>
        <v>0</v>
      </c>
      <c r="N126" s="484"/>
      <c r="O126" s="475">
        <f t="shared" si="25"/>
        <v>0</v>
      </c>
      <c r="P126" s="475">
        <f t="shared" si="26"/>
        <v>0</v>
      </c>
    </row>
    <row r="127" spans="2:16" ht="12.5">
      <c r="B127" s="160" t="str">
        <f t="shared" si="30"/>
        <v/>
      </c>
      <c r="C127" s="469">
        <f>IF(D93="","-",+C126+1)</f>
        <v>2045</v>
      </c>
      <c r="D127" s="344">
        <f>IF(F126+SUM(E$99:E126)=D$92,F126,D$92-SUM(E$99:E126))</f>
        <v>380027.91000000038</v>
      </c>
      <c r="E127" s="481">
        <f t="shared" si="35"/>
        <v>35236</v>
      </c>
      <c r="F127" s="482">
        <f t="shared" si="36"/>
        <v>344791.91000000038</v>
      </c>
      <c r="G127" s="482">
        <f t="shared" si="37"/>
        <v>362409.91000000038</v>
      </c>
      <c r="H127" s="483">
        <f t="shared" si="38"/>
        <v>83914.431514484226</v>
      </c>
      <c r="I127" s="539">
        <f t="shared" si="39"/>
        <v>83914.431514484226</v>
      </c>
      <c r="J127" s="475">
        <f t="shared" si="23"/>
        <v>0</v>
      </c>
      <c r="K127" s="475"/>
      <c r="L127" s="484"/>
      <c r="M127" s="475">
        <f t="shared" si="24"/>
        <v>0</v>
      </c>
      <c r="N127" s="484"/>
      <c r="O127" s="475">
        <f t="shared" si="25"/>
        <v>0</v>
      </c>
      <c r="P127" s="475">
        <f t="shared" si="26"/>
        <v>0</v>
      </c>
    </row>
    <row r="128" spans="2:16" ht="12.5">
      <c r="B128" s="160" t="str">
        <f t="shared" si="30"/>
        <v/>
      </c>
      <c r="C128" s="469">
        <f>IF(D93="","-",+C127+1)</f>
        <v>2046</v>
      </c>
      <c r="D128" s="344">
        <f>IF(F127+SUM(E$99:E127)=D$92,F127,D$92-SUM(E$99:E127))</f>
        <v>344791.91000000038</v>
      </c>
      <c r="E128" s="481">
        <f t="shared" si="35"/>
        <v>35236</v>
      </c>
      <c r="F128" s="482">
        <f t="shared" si="36"/>
        <v>309555.91000000038</v>
      </c>
      <c r="G128" s="482">
        <f t="shared" si="37"/>
        <v>327173.91000000038</v>
      </c>
      <c r="H128" s="483">
        <f t="shared" si="38"/>
        <v>79181.57745747357</v>
      </c>
      <c r="I128" s="539">
        <f t="shared" si="39"/>
        <v>79181.57745747357</v>
      </c>
      <c r="J128" s="475">
        <f t="shared" si="23"/>
        <v>0</v>
      </c>
      <c r="K128" s="475"/>
      <c r="L128" s="484"/>
      <c r="M128" s="475">
        <f t="shared" si="24"/>
        <v>0</v>
      </c>
      <c r="N128" s="484"/>
      <c r="O128" s="475">
        <f t="shared" si="25"/>
        <v>0</v>
      </c>
      <c r="P128" s="475">
        <f t="shared" si="26"/>
        <v>0</v>
      </c>
    </row>
    <row r="129" spans="2:16" ht="12.5">
      <c r="B129" s="160" t="str">
        <f t="shared" si="30"/>
        <v/>
      </c>
      <c r="C129" s="469">
        <f>IF(D93="","-",+C128+1)</f>
        <v>2047</v>
      </c>
      <c r="D129" s="344">
        <f>IF(F128+SUM(E$99:E128)=D$92,F128,D$92-SUM(E$99:E128))</f>
        <v>309555.91000000038</v>
      </c>
      <c r="E129" s="481">
        <f t="shared" si="35"/>
        <v>35236</v>
      </c>
      <c r="F129" s="482">
        <f t="shared" si="36"/>
        <v>274319.91000000038</v>
      </c>
      <c r="G129" s="482">
        <f t="shared" si="37"/>
        <v>291937.91000000038</v>
      </c>
      <c r="H129" s="483">
        <f t="shared" si="38"/>
        <v>74448.723400462914</v>
      </c>
      <c r="I129" s="539">
        <f t="shared" si="39"/>
        <v>74448.723400462914</v>
      </c>
      <c r="J129" s="475">
        <f t="shared" si="23"/>
        <v>0</v>
      </c>
      <c r="K129" s="475"/>
      <c r="L129" s="484"/>
      <c r="M129" s="475">
        <f t="shared" si="24"/>
        <v>0</v>
      </c>
      <c r="N129" s="484"/>
      <c r="O129" s="475">
        <f t="shared" si="25"/>
        <v>0</v>
      </c>
      <c r="P129" s="475">
        <f t="shared" si="26"/>
        <v>0</v>
      </c>
    </row>
    <row r="130" spans="2:16" ht="12.5">
      <c r="B130" s="160" t="str">
        <f t="shared" si="30"/>
        <v/>
      </c>
      <c r="C130" s="469">
        <f>IF(D93="","-",+C129+1)</f>
        <v>2048</v>
      </c>
      <c r="D130" s="344">
        <f>IF(F129+SUM(E$99:E129)=D$92,F129,D$92-SUM(E$99:E129))</f>
        <v>274319.91000000038</v>
      </c>
      <c r="E130" s="481">
        <f t="shared" si="35"/>
        <v>35236</v>
      </c>
      <c r="F130" s="482">
        <f t="shared" si="36"/>
        <v>239083.91000000038</v>
      </c>
      <c r="G130" s="482">
        <f t="shared" si="37"/>
        <v>256701.91000000038</v>
      </c>
      <c r="H130" s="483">
        <f t="shared" si="38"/>
        <v>69715.869343452272</v>
      </c>
      <c r="I130" s="539">
        <f t="shared" si="39"/>
        <v>69715.869343452272</v>
      </c>
      <c r="J130" s="475">
        <f t="shared" si="23"/>
        <v>0</v>
      </c>
      <c r="K130" s="475"/>
      <c r="L130" s="484"/>
      <c r="M130" s="475">
        <f t="shared" si="24"/>
        <v>0</v>
      </c>
      <c r="N130" s="484"/>
      <c r="O130" s="475">
        <f t="shared" si="25"/>
        <v>0</v>
      </c>
      <c r="P130" s="475">
        <f t="shared" si="26"/>
        <v>0</v>
      </c>
    </row>
    <row r="131" spans="2:16" ht="12.5">
      <c r="B131" s="160" t="str">
        <f t="shared" si="30"/>
        <v/>
      </c>
      <c r="C131" s="469">
        <f>IF(D93="","-",+C130+1)</f>
        <v>2049</v>
      </c>
      <c r="D131" s="344">
        <f>IF(F130+SUM(E$99:E130)=D$92,F130,D$92-SUM(E$99:E130))</f>
        <v>239083.91000000038</v>
      </c>
      <c r="E131" s="481">
        <f t="shared" si="35"/>
        <v>35236</v>
      </c>
      <c r="F131" s="482">
        <f t="shared" si="36"/>
        <v>203847.91000000038</v>
      </c>
      <c r="G131" s="482">
        <f t="shared" si="37"/>
        <v>221465.91000000038</v>
      </c>
      <c r="H131" s="483">
        <f t="shared" si="38"/>
        <v>64983.015286441616</v>
      </c>
      <c r="I131" s="539">
        <f t="shared" si="39"/>
        <v>64983.015286441616</v>
      </c>
      <c r="J131" s="475">
        <f t="shared" ref="J131:J154" si="40">+I541-H541</f>
        <v>0</v>
      </c>
      <c r="K131" s="475"/>
      <c r="L131" s="484"/>
      <c r="M131" s="475">
        <f t="shared" ref="M131:M154" si="41">IF(L541&lt;&gt;0,+H541-L541,0)</f>
        <v>0</v>
      </c>
      <c r="N131" s="484"/>
      <c r="O131" s="475">
        <f t="shared" ref="O131:O154" si="42">IF(N541&lt;&gt;0,+I541-N541,0)</f>
        <v>0</v>
      </c>
      <c r="P131" s="475">
        <f t="shared" ref="P131:P154" si="43">+O541-M541</f>
        <v>0</v>
      </c>
    </row>
    <row r="132" spans="2:16" ht="12.5">
      <c r="B132" s="160" t="str">
        <f t="shared" si="30"/>
        <v/>
      </c>
      <c r="C132" s="469">
        <f>IF(D93="","-",+C131+1)</f>
        <v>2050</v>
      </c>
      <c r="D132" s="344">
        <f>IF(F131+SUM(E$99:E131)=D$92,F131,D$92-SUM(E$99:E131))</f>
        <v>203847.91000000038</v>
      </c>
      <c r="E132" s="481">
        <f t="shared" si="35"/>
        <v>35236</v>
      </c>
      <c r="F132" s="482">
        <f t="shared" si="36"/>
        <v>168611.91000000038</v>
      </c>
      <c r="G132" s="482">
        <f t="shared" si="37"/>
        <v>186229.91000000038</v>
      </c>
      <c r="H132" s="483">
        <f t="shared" si="38"/>
        <v>60250.161229430974</v>
      </c>
      <c r="I132" s="539">
        <f t="shared" si="39"/>
        <v>60250.161229430974</v>
      </c>
      <c r="J132" s="475">
        <f t="shared" si="40"/>
        <v>0</v>
      </c>
      <c r="K132" s="475"/>
      <c r="L132" s="484"/>
      <c r="M132" s="475">
        <f t="shared" si="41"/>
        <v>0</v>
      </c>
      <c r="N132" s="484"/>
      <c r="O132" s="475">
        <f t="shared" si="42"/>
        <v>0</v>
      </c>
      <c r="P132" s="475">
        <f t="shared" si="43"/>
        <v>0</v>
      </c>
    </row>
    <row r="133" spans="2:16" ht="12.5">
      <c r="B133" s="160" t="str">
        <f t="shared" si="30"/>
        <v/>
      </c>
      <c r="C133" s="469">
        <f>IF(D93="","-",+C132+1)</f>
        <v>2051</v>
      </c>
      <c r="D133" s="344">
        <f>IF(F132+SUM(E$99:E132)=D$92,F132,D$92-SUM(E$99:E132))</f>
        <v>168611.91000000038</v>
      </c>
      <c r="E133" s="481">
        <f t="shared" si="35"/>
        <v>35236</v>
      </c>
      <c r="F133" s="482">
        <f t="shared" si="36"/>
        <v>133375.91000000038</v>
      </c>
      <c r="G133" s="482">
        <f t="shared" si="37"/>
        <v>150993.91000000038</v>
      </c>
      <c r="H133" s="483">
        <f t="shared" si="38"/>
        <v>55517.307172420326</v>
      </c>
      <c r="I133" s="539">
        <f t="shared" si="39"/>
        <v>55517.307172420326</v>
      </c>
      <c r="J133" s="475">
        <f t="shared" si="40"/>
        <v>0</v>
      </c>
      <c r="K133" s="475"/>
      <c r="L133" s="484"/>
      <c r="M133" s="475">
        <f t="shared" si="41"/>
        <v>0</v>
      </c>
      <c r="N133" s="484"/>
      <c r="O133" s="475">
        <f t="shared" si="42"/>
        <v>0</v>
      </c>
      <c r="P133" s="475">
        <f t="shared" si="43"/>
        <v>0</v>
      </c>
    </row>
    <row r="134" spans="2:16" ht="12.5">
      <c r="B134" s="160" t="str">
        <f t="shared" si="30"/>
        <v/>
      </c>
      <c r="C134" s="469">
        <f>IF(D93="","-",+C133+1)</f>
        <v>2052</v>
      </c>
      <c r="D134" s="344">
        <f>IF(F133+SUM(E$99:E133)=D$92,F133,D$92-SUM(E$99:E133))</f>
        <v>133375.91000000038</v>
      </c>
      <c r="E134" s="481">
        <f t="shared" si="35"/>
        <v>35236</v>
      </c>
      <c r="F134" s="482">
        <f t="shared" si="36"/>
        <v>98139.910000000382</v>
      </c>
      <c r="G134" s="482">
        <f t="shared" si="37"/>
        <v>115757.91000000038</v>
      </c>
      <c r="H134" s="483">
        <f t="shared" si="38"/>
        <v>50784.453115409677</v>
      </c>
      <c r="I134" s="539">
        <f t="shared" si="39"/>
        <v>50784.453115409677</v>
      </c>
      <c r="J134" s="475">
        <f t="shared" si="40"/>
        <v>0</v>
      </c>
      <c r="K134" s="475"/>
      <c r="L134" s="484"/>
      <c r="M134" s="475">
        <f t="shared" si="41"/>
        <v>0</v>
      </c>
      <c r="N134" s="484"/>
      <c r="O134" s="475">
        <f t="shared" si="42"/>
        <v>0</v>
      </c>
      <c r="P134" s="475">
        <f t="shared" si="43"/>
        <v>0</v>
      </c>
    </row>
    <row r="135" spans="2:16" ht="12.5">
      <c r="B135" s="160" t="str">
        <f t="shared" si="30"/>
        <v/>
      </c>
      <c r="C135" s="469">
        <f>IF(D93="","-",+C134+1)</f>
        <v>2053</v>
      </c>
      <c r="D135" s="344">
        <f>IF(F134+SUM(E$99:E134)=D$92,F134,D$92-SUM(E$99:E134))</f>
        <v>98139.910000000382</v>
      </c>
      <c r="E135" s="481">
        <f t="shared" si="35"/>
        <v>35236</v>
      </c>
      <c r="F135" s="482">
        <f t="shared" si="36"/>
        <v>62903.910000000382</v>
      </c>
      <c r="G135" s="482">
        <f t="shared" si="37"/>
        <v>80521.910000000382</v>
      </c>
      <c r="H135" s="483">
        <f t="shared" si="38"/>
        <v>46051.599058399028</v>
      </c>
      <c r="I135" s="539">
        <f t="shared" si="39"/>
        <v>46051.599058399028</v>
      </c>
      <c r="J135" s="475">
        <f t="shared" si="40"/>
        <v>0</v>
      </c>
      <c r="K135" s="475"/>
      <c r="L135" s="484"/>
      <c r="M135" s="475">
        <f t="shared" si="41"/>
        <v>0</v>
      </c>
      <c r="N135" s="484"/>
      <c r="O135" s="475">
        <f t="shared" si="42"/>
        <v>0</v>
      </c>
      <c r="P135" s="475">
        <f t="shared" si="43"/>
        <v>0</v>
      </c>
    </row>
    <row r="136" spans="2:16" ht="12.5">
      <c r="B136" s="160" t="str">
        <f t="shared" si="30"/>
        <v/>
      </c>
      <c r="C136" s="469">
        <f>IF(D93="","-",+C135+1)</f>
        <v>2054</v>
      </c>
      <c r="D136" s="344">
        <f>IF(F135+SUM(E$99:E135)=D$92,F135,D$92-SUM(E$99:E135))</f>
        <v>62903.910000000382</v>
      </c>
      <c r="E136" s="481">
        <f t="shared" si="35"/>
        <v>35236</v>
      </c>
      <c r="F136" s="482">
        <f t="shared" si="36"/>
        <v>27667.910000000382</v>
      </c>
      <c r="G136" s="482">
        <f t="shared" si="37"/>
        <v>45285.910000000382</v>
      </c>
      <c r="H136" s="483">
        <f t="shared" si="38"/>
        <v>41318.745001388379</v>
      </c>
      <c r="I136" s="539">
        <f t="shared" si="39"/>
        <v>41318.745001388379</v>
      </c>
      <c r="J136" s="475">
        <f t="shared" si="40"/>
        <v>0</v>
      </c>
      <c r="K136" s="475"/>
      <c r="L136" s="484"/>
      <c r="M136" s="475">
        <f t="shared" si="41"/>
        <v>0</v>
      </c>
      <c r="N136" s="484"/>
      <c r="O136" s="475">
        <f t="shared" si="42"/>
        <v>0</v>
      </c>
      <c r="P136" s="475">
        <f t="shared" si="43"/>
        <v>0</v>
      </c>
    </row>
    <row r="137" spans="2:16" ht="12.5">
      <c r="B137" s="160" t="str">
        <f t="shared" si="30"/>
        <v/>
      </c>
      <c r="C137" s="469">
        <f>IF(D93="","-",+C136+1)</f>
        <v>2055</v>
      </c>
      <c r="D137" s="344">
        <f>IF(F136+SUM(E$99:E136)=D$92,F136,D$92-SUM(E$99:E136))</f>
        <v>27667.910000000382</v>
      </c>
      <c r="E137" s="481">
        <f t="shared" si="35"/>
        <v>27667.910000000382</v>
      </c>
      <c r="F137" s="482">
        <f t="shared" si="36"/>
        <v>0</v>
      </c>
      <c r="G137" s="482">
        <f t="shared" si="37"/>
        <v>13833.955000000191</v>
      </c>
      <c r="H137" s="483">
        <f t="shared" si="38"/>
        <v>29526.068986441907</v>
      </c>
      <c r="I137" s="539">
        <f t="shared" si="39"/>
        <v>29526.068986441907</v>
      </c>
      <c r="J137" s="475">
        <f t="shared" si="40"/>
        <v>0</v>
      </c>
      <c r="K137" s="475"/>
      <c r="L137" s="484"/>
      <c r="M137" s="475">
        <f t="shared" si="41"/>
        <v>0</v>
      </c>
      <c r="N137" s="484"/>
      <c r="O137" s="475">
        <f t="shared" si="42"/>
        <v>0</v>
      </c>
      <c r="P137" s="475">
        <f t="shared" si="43"/>
        <v>0</v>
      </c>
    </row>
    <row r="138" spans="2:16" ht="12.5">
      <c r="B138" s="160" t="str">
        <f t="shared" si="30"/>
        <v/>
      </c>
      <c r="C138" s="469">
        <f>IF(D93="","-",+C137+1)</f>
        <v>2056</v>
      </c>
      <c r="D138" s="344">
        <f>IF(F137+SUM(E$99:E137)=D$92,F137,D$92-SUM(E$99:E137))</f>
        <v>0</v>
      </c>
      <c r="E138" s="481">
        <f t="shared" si="35"/>
        <v>0</v>
      </c>
      <c r="F138" s="482">
        <f t="shared" si="36"/>
        <v>0</v>
      </c>
      <c r="G138" s="482">
        <f t="shared" si="37"/>
        <v>0</v>
      </c>
      <c r="H138" s="483">
        <f t="shared" si="38"/>
        <v>0</v>
      </c>
      <c r="I138" s="539">
        <f t="shared" si="39"/>
        <v>0</v>
      </c>
      <c r="J138" s="475">
        <f t="shared" si="40"/>
        <v>0</v>
      </c>
      <c r="K138" s="475"/>
      <c r="L138" s="484"/>
      <c r="M138" s="475">
        <f t="shared" si="41"/>
        <v>0</v>
      </c>
      <c r="N138" s="484"/>
      <c r="O138" s="475">
        <f t="shared" si="42"/>
        <v>0</v>
      </c>
      <c r="P138" s="475">
        <f t="shared" si="43"/>
        <v>0</v>
      </c>
    </row>
    <row r="139" spans="2:16" ht="12.5">
      <c r="B139" s="160" t="str">
        <f t="shared" si="30"/>
        <v/>
      </c>
      <c r="C139" s="469">
        <f>IF(D93="","-",+C138+1)</f>
        <v>2057</v>
      </c>
      <c r="D139" s="344">
        <f>IF(F138+SUM(E$99:E138)=D$92,F138,D$92-SUM(E$99:E138))</f>
        <v>0</v>
      </c>
      <c r="E139" s="481">
        <f t="shared" si="35"/>
        <v>0</v>
      </c>
      <c r="F139" s="482">
        <f t="shared" si="36"/>
        <v>0</v>
      </c>
      <c r="G139" s="482">
        <f t="shared" si="37"/>
        <v>0</v>
      </c>
      <c r="H139" s="483">
        <f t="shared" si="38"/>
        <v>0</v>
      </c>
      <c r="I139" s="539">
        <f t="shared" si="39"/>
        <v>0</v>
      </c>
      <c r="J139" s="475">
        <f t="shared" si="40"/>
        <v>0</v>
      </c>
      <c r="K139" s="475"/>
      <c r="L139" s="484"/>
      <c r="M139" s="475">
        <f t="shared" si="41"/>
        <v>0</v>
      </c>
      <c r="N139" s="484"/>
      <c r="O139" s="475">
        <f t="shared" si="42"/>
        <v>0</v>
      </c>
      <c r="P139" s="475">
        <f t="shared" si="43"/>
        <v>0</v>
      </c>
    </row>
    <row r="140" spans="2:16" ht="12.5">
      <c r="B140" s="160" t="str">
        <f t="shared" si="30"/>
        <v/>
      </c>
      <c r="C140" s="469">
        <f>IF(D93="","-",+C139+1)</f>
        <v>2058</v>
      </c>
      <c r="D140" s="344">
        <f>IF(F139+SUM(E$99:E139)=D$92,F139,D$92-SUM(E$99:E139))</f>
        <v>0</v>
      </c>
      <c r="E140" s="481">
        <f t="shared" si="35"/>
        <v>0</v>
      </c>
      <c r="F140" s="482">
        <f t="shared" si="36"/>
        <v>0</v>
      </c>
      <c r="G140" s="482">
        <f t="shared" si="37"/>
        <v>0</v>
      </c>
      <c r="H140" s="483">
        <f t="shared" si="38"/>
        <v>0</v>
      </c>
      <c r="I140" s="539">
        <f t="shared" si="39"/>
        <v>0</v>
      </c>
      <c r="J140" s="475">
        <f t="shared" si="40"/>
        <v>0</v>
      </c>
      <c r="K140" s="475"/>
      <c r="L140" s="484"/>
      <c r="M140" s="475">
        <f t="shared" si="41"/>
        <v>0</v>
      </c>
      <c r="N140" s="484"/>
      <c r="O140" s="475">
        <f t="shared" si="42"/>
        <v>0</v>
      </c>
      <c r="P140" s="475">
        <f t="shared" si="43"/>
        <v>0</v>
      </c>
    </row>
    <row r="141" spans="2:16" ht="12.5">
      <c r="B141" s="160" t="str">
        <f t="shared" si="30"/>
        <v/>
      </c>
      <c r="C141" s="469">
        <f>IF(D93="","-",+C140+1)</f>
        <v>2059</v>
      </c>
      <c r="D141" s="344">
        <f>IF(F140+SUM(E$99:E140)=D$92,F140,D$92-SUM(E$99:E140))</f>
        <v>0</v>
      </c>
      <c r="E141" s="481">
        <f t="shared" si="35"/>
        <v>0</v>
      </c>
      <c r="F141" s="482">
        <f t="shared" si="36"/>
        <v>0</v>
      </c>
      <c r="G141" s="482">
        <f t="shared" si="37"/>
        <v>0</v>
      </c>
      <c r="H141" s="483">
        <f t="shared" si="38"/>
        <v>0</v>
      </c>
      <c r="I141" s="539">
        <f t="shared" si="39"/>
        <v>0</v>
      </c>
      <c r="J141" s="475">
        <f t="shared" si="40"/>
        <v>0</v>
      </c>
      <c r="K141" s="475"/>
      <c r="L141" s="484"/>
      <c r="M141" s="475">
        <f t="shared" si="41"/>
        <v>0</v>
      </c>
      <c r="N141" s="484"/>
      <c r="O141" s="475">
        <f t="shared" si="42"/>
        <v>0</v>
      </c>
      <c r="P141" s="475">
        <f t="shared" si="43"/>
        <v>0</v>
      </c>
    </row>
    <row r="142" spans="2:16" ht="12.5">
      <c r="B142" s="160" t="str">
        <f t="shared" si="30"/>
        <v/>
      </c>
      <c r="C142" s="469">
        <f>IF(D93="","-",+C141+1)</f>
        <v>2060</v>
      </c>
      <c r="D142" s="344">
        <f>IF(F141+SUM(E$99:E141)=D$92,F141,D$92-SUM(E$99:E141))</f>
        <v>0</v>
      </c>
      <c r="E142" s="481">
        <f t="shared" si="35"/>
        <v>0</v>
      </c>
      <c r="F142" s="482">
        <f t="shared" si="36"/>
        <v>0</v>
      </c>
      <c r="G142" s="482">
        <f t="shared" si="37"/>
        <v>0</v>
      </c>
      <c r="H142" s="483">
        <f t="shared" si="38"/>
        <v>0</v>
      </c>
      <c r="I142" s="539">
        <f t="shared" si="39"/>
        <v>0</v>
      </c>
      <c r="J142" s="475">
        <f t="shared" si="40"/>
        <v>0</v>
      </c>
      <c r="K142" s="475"/>
      <c r="L142" s="484"/>
      <c r="M142" s="475">
        <f t="shared" si="41"/>
        <v>0</v>
      </c>
      <c r="N142" s="484"/>
      <c r="O142" s="475">
        <f t="shared" si="42"/>
        <v>0</v>
      </c>
      <c r="P142" s="475">
        <f t="shared" si="43"/>
        <v>0</v>
      </c>
    </row>
    <row r="143" spans="2:16" ht="12.5">
      <c r="B143" s="160" t="str">
        <f t="shared" si="30"/>
        <v/>
      </c>
      <c r="C143" s="469">
        <f>IF(D93="","-",+C142+1)</f>
        <v>2061</v>
      </c>
      <c r="D143" s="344">
        <f>IF(F142+SUM(E$99:E142)=D$92,F142,D$92-SUM(E$99:E142))</f>
        <v>0</v>
      </c>
      <c r="E143" s="481">
        <f t="shared" si="35"/>
        <v>0</v>
      </c>
      <c r="F143" s="482">
        <f t="shared" si="36"/>
        <v>0</v>
      </c>
      <c r="G143" s="482">
        <f t="shared" si="37"/>
        <v>0</v>
      </c>
      <c r="H143" s="483">
        <f t="shared" si="38"/>
        <v>0</v>
      </c>
      <c r="I143" s="539">
        <f t="shared" si="39"/>
        <v>0</v>
      </c>
      <c r="J143" s="475">
        <f t="shared" si="40"/>
        <v>0</v>
      </c>
      <c r="K143" s="475"/>
      <c r="L143" s="484"/>
      <c r="M143" s="475">
        <f t="shared" si="41"/>
        <v>0</v>
      </c>
      <c r="N143" s="484"/>
      <c r="O143" s="475">
        <f t="shared" si="42"/>
        <v>0</v>
      </c>
      <c r="P143" s="475">
        <f t="shared" si="43"/>
        <v>0</v>
      </c>
    </row>
    <row r="144" spans="2:16" ht="12.5">
      <c r="B144" s="160" t="str">
        <f t="shared" si="30"/>
        <v/>
      </c>
      <c r="C144" s="469">
        <f>IF(D93="","-",+C143+1)</f>
        <v>2062</v>
      </c>
      <c r="D144" s="344">
        <f>IF(F143+SUM(E$99:E143)=D$92,F143,D$92-SUM(E$99:E143))</f>
        <v>0</v>
      </c>
      <c r="E144" s="481">
        <f t="shared" si="35"/>
        <v>0</v>
      </c>
      <c r="F144" s="482">
        <f t="shared" si="36"/>
        <v>0</v>
      </c>
      <c r="G144" s="482">
        <f t="shared" si="37"/>
        <v>0</v>
      </c>
      <c r="H144" s="483">
        <f t="shared" si="38"/>
        <v>0</v>
      </c>
      <c r="I144" s="539">
        <f t="shared" si="39"/>
        <v>0</v>
      </c>
      <c r="J144" s="475">
        <f t="shared" si="40"/>
        <v>0</v>
      </c>
      <c r="K144" s="475"/>
      <c r="L144" s="484"/>
      <c r="M144" s="475">
        <f t="shared" si="41"/>
        <v>0</v>
      </c>
      <c r="N144" s="484"/>
      <c r="O144" s="475">
        <f t="shared" si="42"/>
        <v>0</v>
      </c>
      <c r="P144" s="475">
        <f t="shared" si="43"/>
        <v>0</v>
      </c>
    </row>
    <row r="145" spans="2:16" ht="12.5">
      <c r="B145" s="160" t="str">
        <f t="shared" si="30"/>
        <v/>
      </c>
      <c r="C145" s="469">
        <f>IF(D93="","-",+C144+1)</f>
        <v>2063</v>
      </c>
      <c r="D145" s="344">
        <f>IF(F144+SUM(E$99:E144)=D$92,F144,D$92-SUM(E$99:E144))</f>
        <v>0</v>
      </c>
      <c r="E145" s="481">
        <f t="shared" si="35"/>
        <v>0</v>
      </c>
      <c r="F145" s="482">
        <f t="shared" si="36"/>
        <v>0</v>
      </c>
      <c r="G145" s="482">
        <f t="shared" si="37"/>
        <v>0</v>
      </c>
      <c r="H145" s="483">
        <f t="shared" si="38"/>
        <v>0</v>
      </c>
      <c r="I145" s="539">
        <f t="shared" si="39"/>
        <v>0</v>
      </c>
      <c r="J145" s="475">
        <f t="shared" si="40"/>
        <v>0</v>
      </c>
      <c r="K145" s="475"/>
      <c r="L145" s="484"/>
      <c r="M145" s="475">
        <f t="shared" si="41"/>
        <v>0</v>
      </c>
      <c r="N145" s="484"/>
      <c r="O145" s="475">
        <f t="shared" si="42"/>
        <v>0</v>
      </c>
      <c r="P145" s="475">
        <f t="shared" si="43"/>
        <v>0</v>
      </c>
    </row>
    <row r="146" spans="2:16" ht="12.5">
      <c r="B146" s="160" t="str">
        <f t="shared" si="30"/>
        <v/>
      </c>
      <c r="C146" s="469">
        <f>IF(D93="","-",+C145+1)</f>
        <v>2064</v>
      </c>
      <c r="D146" s="344">
        <f>IF(F145+SUM(E$99:E145)=D$92,F145,D$92-SUM(E$99:E145))</f>
        <v>0</v>
      </c>
      <c r="E146" s="481">
        <f t="shared" si="35"/>
        <v>0</v>
      </c>
      <c r="F146" s="482">
        <f t="shared" si="36"/>
        <v>0</v>
      </c>
      <c r="G146" s="482">
        <f t="shared" si="37"/>
        <v>0</v>
      </c>
      <c r="H146" s="483">
        <f t="shared" si="38"/>
        <v>0</v>
      </c>
      <c r="I146" s="539">
        <f t="shared" si="39"/>
        <v>0</v>
      </c>
      <c r="J146" s="475">
        <f t="shared" si="40"/>
        <v>0</v>
      </c>
      <c r="K146" s="475"/>
      <c r="L146" s="484"/>
      <c r="M146" s="475">
        <f t="shared" si="41"/>
        <v>0</v>
      </c>
      <c r="N146" s="484"/>
      <c r="O146" s="475">
        <f t="shared" si="42"/>
        <v>0</v>
      </c>
      <c r="P146" s="475">
        <f t="shared" si="43"/>
        <v>0</v>
      </c>
    </row>
    <row r="147" spans="2:16" ht="12.5">
      <c r="B147" s="160" t="str">
        <f t="shared" si="30"/>
        <v/>
      </c>
      <c r="C147" s="469">
        <f>IF(D93="","-",+C146+1)</f>
        <v>2065</v>
      </c>
      <c r="D147" s="344">
        <f>IF(F146+SUM(E$99:E146)=D$92,F146,D$92-SUM(E$99:E146))</f>
        <v>0</v>
      </c>
      <c r="E147" s="481">
        <f t="shared" si="35"/>
        <v>0</v>
      </c>
      <c r="F147" s="482">
        <f t="shared" si="36"/>
        <v>0</v>
      </c>
      <c r="G147" s="482">
        <f t="shared" si="37"/>
        <v>0</v>
      </c>
      <c r="H147" s="483">
        <f t="shared" si="38"/>
        <v>0</v>
      </c>
      <c r="I147" s="539">
        <f t="shared" si="39"/>
        <v>0</v>
      </c>
      <c r="J147" s="475">
        <f t="shared" si="40"/>
        <v>0</v>
      </c>
      <c r="K147" s="475"/>
      <c r="L147" s="484"/>
      <c r="M147" s="475">
        <f t="shared" si="41"/>
        <v>0</v>
      </c>
      <c r="N147" s="484"/>
      <c r="O147" s="475">
        <f t="shared" si="42"/>
        <v>0</v>
      </c>
      <c r="P147" s="475">
        <f t="shared" si="43"/>
        <v>0</v>
      </c>
    </row>
    <row r="148" spans="2:16" ht="12.5">
      <c r="B148" s="160" t="str">
        <f t="shared" si="30"/>
        <v/>
      </c>
      <c r="C148" s="469">
        <f>IF(D93="","-",+C147+1)</f>
        <v>2066</v>
      </c>
      <c r="D148" s="344">
        <f>IF(F147+SUM(E$99:E147)=D$92,F147,D$92-SUM(E$99:E147))</f>
        <v>0</v>
      </c>
      <c r="E148" s="481">
        <f t="shared" si="35"/>
        <v>0</v>
      </c>
      <c r="F148" s="482">
        <f t="shared" si="36"/>
        <v>0</v>
      </c>
      <c r="G148" s="482">
        <f t="shared" si="37"/>
        <v>0</v>
      </c>
      <c r="H148" s="483">
        <f t="shared" si="38"/>
        <v>0</v>
      </c>
      <c r="I148" s="539">
        <f t="shared" si="39"/>
        <v>0</v>
      </c>
      <c r="J148" s="475">
        <f t="shared" si="40"/>
        <v>0</v>
      </c>
      <c r="K148" s="475"/>
      <c r="L148" s="484"/>
      <c r="M148" s="475">
        <f t="shared" si="41"/>
        <v>0</v>
      </c>
      <c r="N148" s="484"/>
      <c r="O148" s="475">
        <f t="shared" si="42"/>
        <v>0</v>
      </c>
      <c r="P148" s="475">
        <f t="shared" si="43"/>
        <v>0</v>
      </c>
    </row>
    <row r="149" spans="2:16" ht="12.5">
      <c r="B149" s="160" t="str">
        <f t="shared" si="30"/>
        <v/>
      </c>
      <c r="C149" s="469">
        <f>IF(D93="","-",+C148+1)</f>
        <v>2067</v>
      </c>
      <c r="D149" s="344">
        <f>IF(F148+SUM(E$99:E148)=D$92,F148,D$92-SUM(E$99:E148))</f>
        <v>0</v>
      </c>
      <c r="E149" s="481">
        <f t="shared" si="35"/>
        <v>0</v>
      </c>
      <c r="F149" s="482">
        <f t="shared" si="36"/>
        <v>0</v>
      </c>
      <c r="G149" s="482">
        <f t="shared" si="37"/>
        <v>0</v>
      </c>
      <c r="H149" s="483">
        <f t="shared" si="38"/>
        <v>0</v>
      </c>
      <c r="I149" s="539">
        <f t="shared" si="39"/>
        <v>0</v>
      </c>
      <c r="J149" s="475">
        <f t="shared" si="40"/>
        <v>0</v>
      </c>
      <c r="K149" s="475"/>
      <c r="L149" s="484"/>
      <c r="M149" s="475">
        <f t="shared" si="41"/>
        <v>0</v>
      </c>
      <c r="N149" s="484"/>
      <c r="O149" s="475">
        <f t="shared" si="42"/>
        <v>0</v>
      </c>
      <c r="P149" s="475">
        <f t="shared" si="43"/>
        <v>0</v>
      </c>
    </row>
    <row r="150" spans="2:16" ht="12.5">
      <c r="B150" s="160" t="str">
        <f t="shared" si="30"/>
        <v/>
      </c>
      <c r="C150" s="469">
        <f>IF(D93="","-",+C149+1)</f>
        <v>2068</v>
      </c>
      <c r="D150" s="344">
        <f>IF(F149+SUM(E$99:E149)=D$92,F149,D$92-SUM(E$99:E149))</f>
        <v>0</v>
      </c>
      <c r="E150" s="481">
        <f t="shared" si="35"/>
        <v>0</v>
      </c>
      <c r="F150" s="482">
        <f t="shared" si="36"/>
        <v>0</v>
      </c>
      <c r="G150" s="482">
        <f t="shared" si="37"/>
        <v>0</v>
      </c>
      <c r="H150" s="483">
        <f t="shared" si="38"/>
        <v>0</v>
      </c>
      <c r="I150" s="539">
        <f t="shared" si="39"/>
        <v>0</v>
      </c>
      <c r="J150" s="475">
        <f t="shared" si="40"/>
        <v>0</v>
      </c>
      <c r="K150" s="475"/>
      <c r="L150" s="484"/>
      <c r="M150" s="475">
        <f t="shared" si="41"/>
        <v>0</v>
      </c>
      <c r="N150" s="484"/>
      <c r="O150" s="475">
        <f t="shared" si="42"/>
        <v>0</v>
      </c>
      <c r="P150" s="475">
        <f t="shared" si="43"/>
        <v>0</v>
      </c>
    </row>
    <row r="151" spans="2:16" ht="12.5">
      <c r="B151" s="160" t="str">
        <f t="shared" si="30"/>
        <v/>
      </c>
      <c r="C151" s="469">
        <f>IF(D93="","-",+C150+1)</f>
        <v>2069</v>
      </c>
      <c r="D151" s="344">
        <f>IF(F150+SUM(E$99:E150)=D$92,F150,D$92-SUM(E$99:E150))</f>
        <v>0</v>
      </c>
      <c r="E151" s="481">
        <f t="shared" si="35"/>
        <v>0</v>
      </c>
      <c r="F151" s="482">
        <f t="shared" si="36"/>
        <v>0</v>
      </c>
      <c r="G151" s="482">
        <f t="shared" si="37"/>
        <v>0</v>
      </c>
      <c r="H151" s="483">
        <f t="shared" si="38"/>
        <v>0</v>
      </c>
      <c r="I151" s="539">
        <f t="shared" si="39"/>
        <v>0</v>
      </c>
      <c r="J151" s="475">
        <f t="shared" si="40"/>
        <v>0</v>
      </c>
      <c r="K151" s="475"/>
      <c r="L151" s="484"/>
      <c r="M151" s="475">
        <f t="shared" si="41"/>
        <v>0</v>
      </c>
      <c r="N151" s="484"/>
      <c r="O151" s="475">
        <f t="shared" si="42"/>
        <v>0</v>
      </c>
      <c r="P151" s="475">
        <f t="shared" si="43"/>
        <v>0</v>
      </c>
    </row>
    <row r="152" spans="2:16" ht="12.5">
      <c r="B152" s="160" t="str">
        <f t="shared" si="30"/>
        <v/>
      </c>
      <c r="C152" s="469">
        <f>IF(D93="","-",+C151+1)</f>
        <v>2070</v>
      </c>
      <c r="D152" s="344">
        <f>IF(F151+SUM(E$99:E151)=D$92,F151,D$92-SUM(E$99:E151))</f>
        <v>0</v>
      </c>
      <c r="E152" s="481">
        <f t="shared" si="35"/>
        <v>0</v>
      </c>
      <c r="F152" s="482">
        <f t="shared" si="36"/>
        <v>0</v>
      </c>
      <c r="G152" s="482">
        <f t="shared" si="37"/>
        <v>0</v>
      </c>
      <c r="H152" s="483">
        <f t="shared" si="38"/>
        <v>0</v>
      </c>
      <c r="I152" s="539">
        <f t="shared" si="39"/>
        <v>0</v>
      </c>
      <c r="J152" s="475">
        <f t="shared" si="40"/>
        <v>0</v>
      </c>
      <c r="K152" s="475"/>
      <c r="L152" s="484"/>
      <c r="M152" s="475">
        <f t="shared" si="41"/>
        <v>0</v>
      </c>
      <c r="N152" s="484"/>
      <c r="O152" s="475">
        <f t="shared" si="42"/>
        <v>0</v>
      </c>
      <c r="P152" s="475">
        <f t="shared" si="43"/>
        <v>0</v>
      </c>
    </row>
    <row r="153" spans="2:16" ht="12.5">
      <c r="B153" s="160" t="str">
        <f t="shared" si="30"/>
        <v/>
      </c>
      <c r="C153" s="469">
        <f>IF(D93="","-",+C152+1)</f>
        <v>2071</v>
      </c>
      <c r="D153" s="344">
        <f>IF(F152+SUM(E$99:E152)=D$92,F152,D$92-SUM(E$99:E152))</f>
        <v>0</v>
      </c>
      <c r="E153" s="481">
        <f t="shared" si="35"/>
        <v>0</v>
      </c>
      <c r="F153" s="482">
        <f t="shared" si="36"/>
        <v>0</v>
      </c>
      <c r="G153" s="482">
        <f t="shared" si="37"/>
        <v>0</v>
      </c>
      <c r="H153" s="483">
        <f t="shared" si="38"/>
        <v>0</v>
      </c>
      <c r="I153" s="539">
        <f t="shared" si="39"/>
        <v>0</v>
      </c>
      <c r="J153" s="475">
        <f t="shared" si="40"/>
        <v>0</v>
      </c>
      <c r="K153" s="475"/>
      <c r="L153" s="484"/>
      <c r="M153" s="475">
        <f t="shared" si="41"/>
        <v>0</v>
      </c>
      <c r="N153" s="484"/>
      <c r="O153" s="475">
        <f t="shared" si="42"/>
        <v>0</v>
      </c>
      <c r="P153" s="475">
        <f t="shared" si="43"/>
        <v>0</v>
      </c>
    </row>
    <row r="154" spans="2:16" ht="13" thickBot="1">
      <c r="B154" s="160" t="str">
        <f t="shared" si="30"/>
        <v/>
      </c>
      <c r="C154" s="486">
        <f>IF(D93="","-",+C153+1)</f>
        <v>2072</v>
      </c>
      <c r="D154" s="540">
        <f>IF(F153+SUM(E$99:E153)=D$92,F153,D$92-SUM(E$99:E153))</f>
        <v>0</v>
      </c>
      <c r="E154" s="488">
        <f t="shared" si="35"/>
        <v>0</v>
      </c>
      <c r="F154" s="487">
        <f t="shared" si="36"/>
        <v>0</v>
      </c>
      <c r="G154" s="487">
        <f t="shared" si="37"/>
        <v>0</v>
      </c>
      <c r="H154" s="609">
        <f t="shared" ref="H154" si="44">+J$94*G154+E154</f>
        <v>0</v>
      </c>
      <c r="I154" s="610">
        <f t="shared" ref="I154" si="45">+J$95*G154+E154</f>
        <v>0</v>
      </c>
      <c r="J154" s="492">
        <f t="shared" si="40"/>
        <v>0</v>
      </c>
      <c r="K154" s="475"/>
      <c r="L154" s="491"/>
      <c r="M154" s="492">
        <f t="shared" si="41"/>
        <v>0</v>
      </c>
      <c r="N154" s="491"/>
      <c r="O154" s="492">
        <f t="shared" si="42"/>
        <v>0</v>
      </c>
      <c r="P154" s="492">
        <f t="shared" si="43"/>
        <v>0</v>
      </c>
    </row>
    <row r="155" spans="2:16" ht="12.5">
      <c r="C155" s="344" t="s">
        <v>77</v>
      </c>
      <c r="D155" s="345"/>
      <c r="E155" s="345">
        <f>SUM(E99:E154)</f>
        <v>1338977.9100000004</v>
      </c>
      <c r="F155" s="345"/>
      <c r="G155" s="345"/>
      <c r="H155" s="345">
        <f>SUM(H99:H154)</f>
        <v>4617414.9633544302</v>
      </c>
      <c r="I155" s="345">
        <f>SUM(I99:I154)</f>
        <v>4617414.9633544302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35" priority="1" stopIfTrue="1" operator="equal">
      <formula>$I$10</formula>
    </cfRule>
  </conditionalFormatting>
  <conditionalFormatting sqref="C99:C154">
    <cfRule type="cellIs" dxfId="3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69"/>
  <dimension ref="A1:P162"/>
  <sheetViews>
    <sheetView topLeftCell="A65" zoomScaleNormal="100" zoomScaleSheetLayoutView="78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20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254238.76371974818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254238.76371974818</v>
      </c>
      <c r="O6" s="231"/>
      <c r="P6" s="231"/>
    </row>
    <row r="7" spans="1:16" ht="13.5" thickBot="1">
      <c r="C7" s="428" t="s">
        <v>46</v>
      </c>
      <c r="D7" s="596" t="s">
        <v>277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293</v>
      </c>
      <c r="E9" s="574" t="s">
        <v>294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1961220.7100000002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2018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12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51611.071315789479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v>2017</v>
      </c>
      <c r="D17" s="581">
        <v>0</v>
      </c>
      <c r="E17" s="604">
        <v>0</v>
      </c>
      <c r="F17" s="581">
        <v>483000</v>
      </c>
      <c r="G17" s="604">
        <v>30733</v>
      </c>
      <c r="H17" s="584">
        <v>30733</v>
      </c>
      <c r="I17" s="472">
        <f t="shared" ref="I17:I72" si="0">H17-G17</f>
        <v>0</v>
      </c>
      <c r="J17" s="472"/>
      <c r="K17" s="474">
        <f t="shared" ref="K17:K22" si="1">+G17</f>
        <v>30733</v>
      </c>
      <c r="L17" s="474">
        <f t="shared" ref="L17:L72" si="2">IF(K17&lt;&gt;0,+G17-K17,0)</f>
        <v>0</v>
      </c>
      <c r="M17" s="474">
        <f t="shared" ref="M17:M22" si="3">+H17</f>
        <v>30733</v>
      </c>
      <c r="N17" s="474">
        <f t="shared" ref="N17:N72" si="4">IF(M17&lt;&gt;0,+H17-M17,0)</f>
        <v>0</v>
      </c>
      <c r="O17" s="475">
        <f t="shared" ref="O17:O72" si="5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2018</v>
      </c>
      <c r="D18" s="581">
        <v>483000</v>
      </c>
      <c r="E18" s="582">
        <v>10555.555555555555</v>
      </c>
      <c r="F18" s="581">
        <v>1140000</v>
      </c>
      <c r="G18" s="582">
        <v>78818.151758984837</v>
      </c>
      <c r="H18" s="584">
        <v>78818.151758984837</v>
      </c>
      <c r="I18" s="472">
        <f t="shared" si="0"/>
        <v>0</v>
      </c>
      <c r="J18" s="472"/>
      <c r="K18" s="475">
        <f t="shared" si="1"/>
        <v>78818.151758984837</v>
      </c>
      <c r="L18" s="475">
        <f t="shared" si="2"/>
        <v>0</v>
      </c>
      <c r="M18" s="475">
        <f t="shared" si="3"/>
        <v>78818.151758984837</v>
      </c>
      <c r="N18" s="475">
        <f t="shared" si="4"/>
        <v>0</v>
      </c>
      <c r="O18" s="475">
        <f t="shared" si="5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2019</v>
      </c>
      <c r="D19" s="581">
        <v>1129444.4444444445</v>
      </c>
      <c r="E19" s="582">
        <v>28500</v>
      </c>
      <c r="F19" s="581">
        <v>1100944.4444444445</v>
      </c>
      <c r="G19" s="582">
        <v>153018.85490841107</v>
      </c>
      <c r="H19" s="584">
        <v>153018.85490841107</v>
      </c>
      <c r="I19" s="472">
        <f t="shared" si="0"/>
        <v>0</v>
      </c>
      <c r="J19" s="472"/>
      <c r="K19" s="475">
        <f t="shared" si="1"/>
        <v>153018.85490841107</v>
      </c>
      <c r="L19" s="475">
        <f t="shared" ref="L19" si="6">IF(K19&lt;&gt;0,+G19-K19,0)</f>
        <v>0</v>
      </c>
      <c r="M19" s="475">
        <f t="shared" si="3"/>
        <v>153018.85490841107</v>
      </c>
      <c r="N19" s="475">
        <f t="shared" si="4"/>
        <v>0</v>
      </c>
      <c r="O19" s="475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2020</v>
      </c>
      <c r="D20" s="581">
        <v>1883840.111111111</v>
      </c>
      <c r="E20" s="582">
        <v>45707.833333333336</v>
      </c>
      <c r="F20" s="581">
        <v>1838132.2777777778</v>
      </c>
      <c r="G20" s="582">
        <v>246703.23209680832</v>
      </c>
      <c r="H20" s="584">
        <v>246703.23209680832</v>
      </c>
      <c r="I20" s="472">
        <f t="shared" si="0"/>
        <v>0</v>
      </c>
      <c r="J20" s="472"/>
      <c r="K20" s="475">
        <f t="shared" si="1"/>
        <v>246703.23209680832</v>
      </c>
      <c r="L20" s="475">
        <f t="shared" ref="L20" si="8">IF(K20&lt;&gt;0,+G20-K20,0)</f>
        <v>0</v>
      </c>
      <c r="M20" s="475">
        <f t="shared" si="3"/>
        <v>246703.23209680832</v>
      </c>
      <c r="N20" s="475">
        <f t="shared" si="4"/>
        <v>0</v>
      </c>
      <c r="O20" s="475">
        <f t="shared" si="5"/>
        <v>0</v>
      </c>
      <c r="P20" s="241"/>
    </row>
    <row r="21" spans="2:16" ht="12.5">
      <c r="B21" s="160" t="str">
        <f t="shared" si="7"/>
        <v>IU</v>
      </c>
      <c r="C21" s="469">
        <f>IF(D11="","-",+C20+1)</f>
        <v>2021</v>
      </c>
      <c r="D21" s="581">
        <v>1876457.611111111</v>
      </c>
      <c r="E21" s="582">
        <v>45609.79069767442</v>
      </c>
      <c r="F21" s="581">
        <v>1830847.8204134365</v>
      </c>
      <c r="G21" s="582">
        <v>245473.68855677257</v>
      </c>
      <c r="H21" s="584">
        <v>245473.68855677257</v>
      </c>
      <c r="I21" s="472">
        <f t="shared" si="0"/>
        <v>0</v>
      </c>
      <c r="J21" s="472"/>
      <c r="K21" s="475">
        <f t="shared" si="1"/>
        <v>245473.68855677257</v>
      </c>
      <c r="L21" s="475">
        <f t="shared" ref="L21" si="9">IF(K21&lt;&gt;0,+G21-K21,0)</f>
        <v>0</v>
      </c>
      <c r="M21" s="475">
        <f t="shared" si="3"/>
        <v>245473.68855677257</v>
      </c>
      <c r="N21" s="475">
        <f t="shared" si="4"/>
        <v>0</v>
      </c>
      <c r="O21" s="475">
        <f t="shared" si="5"/>
        <v>0</v>
      </c>
      <c r="P21" s="241"/>
    </row>
    <row r="22" spans="2:16" ht="12.5">
      <c r="B22" s="160" t="str">
        <f t="shared" si="7"/>
        <v/>
      </c>
      <c r="C22" s="469">
        <f>IF(D11="","-",+C21+1)</f>
        <v>2022</v>
      </c>
      <c r="D22" s="581">
        <v>1830847.8204134365</v>
      </c>
      <c r="E22" s="582">
        <v>46695.738095238092</v>
      </c>
      <c r="F22" s="581">
        <v>1784152.0823181984</v>
      </c>
      <c r="G22" s="582">
        <v>241564.55964853393</v>
      </c>
      <c r="H22" s="584">
        <v>241564.55964853393</v>
      </c>
      <c r="I22" s="472">
        <f t="shared" si="0"/>
        <v>0</v>
      </c>
      <c r="J22" s="472"/>
      <c r="K22" s="475">
        <f t="shared" si="1"/>
        <v>241564.55964853393</v>
      </c>
      <c r="L22" s="475">
        <f t="shared" ref="L22" si="10">IF(K22&lt;&gt;0,+G22-K22,0)</f>
        <v>0</v>
      </c>
      <c r="M22" s="475">
        <f t="shared" si="3"/>
        <v>241564.55964853393</v>
      </c>
      <c r="N22" s="475">
        <f t="shared" si="4"/>
        <v>0</v>
      </c>
      <c r="O22" s="475">
        <f t="shared" si="5"/>
        <v>0</v>
      </c>
      <c r="P22" s="241"/>
    </row>
    <row r="23" spans="2:16" ht="12.5">
      <c r="B23" s="160" t="str">
        <f t="shared" si="7"/>
        <v>IU</v>
      </c>
      <c r="C23" s="469">
        <f>IF(D11="","-",+C22+1)</f>
        <v>2023</v>
      </c>
      <c r="D23" s="581">
        <v>1784151.7923181988</v>
      </c>
      <c r="E23" s="582">
        <v>50287.710512820515</v>
      </c>
      <c r="F23" s="581">
        <v>1733864.0818053782</v>
      </c>
      <c r="G23" s="582">
        <v>260241.05207749119</v>
      </c>
      <c r="H23" s="584">
        <v>260241.05207749119</v>
      </c>
      <c r="I23" s="472">
        <f t="shared" si="0"/>
        <v>0</v>
      </c>
      <c r="J23" s="472"/>
      <c r="K23" s="475">
        <f t="shared" ref="K23" si="11">+G23</f>
        <v>260241.05207749119</v>
      </c>
      <c r="L23" s="475">
        <f t="shared" ref="L23" si="12">IF(K23&lt;&gt;0,+G23-K23,0)</f>
        <v>0</v>
      </c>
      <c r="M23" s="475">
        <f t="shared" ref="M23" si="13">+H23</f>
        <v>260241.05207749119</v>
      </c>
      <c r="N23" s="475">
        <f t="shared" si="4"/>
        <v>0</v>
      </c>
      <c r="O23" s="475">
        <f t="shared" si="5"/>
        <v>0</v>
      </c>
      <c r="P23" s="241"/>
    </row>
    <row r="24" spans="2:16" ht="12.5">
      <c r="B24" s="160" t="str">
        <f t="shared" si="7"/>
        <v/>
      </c>
      <c r="C24" s="469">
        <f>IF(D11="","-",+C23+1)</f>
        <v>2024</v>
      </c>
      <c r="D24" s="581">
        <v>1733864.0818053782</v>
      </c>
      <c r="E24" s="582">
        <v>50287.710512820515</v>
      </c>
      <c r="F24" s="581">
        <v>1683576.3712925576</v>
      </c>
      <c r="G24" s="582">
        <v>254238.76371974818</v>
      </c>
      <c r="H24" s="584">
        <v>254238.76371974818</v>
      </c>
      <c r="I24" s="472">
        <f t="shared" si="0"/>
        <v>0</v>
      </c>
      <c r="J24" s="472"/>
      <c r="K24" s="475">
        <f t="shared" ref="K24" si="14">+G24</f>
        <v>254238.76371974818</v>
      </c>
      <c r="L24" s="475">
        <f t="shared" ref="L24" si="15">IF(K24&lt;&gt;0,+G24-K24,0)</f>
        <v>0</v>
      </c>
      <c r="M24" s="475">
        <f t="shared" ref="M24" si="16">+H24</f>
        <v>254238.76371974818</v>
      </c>
      <c r="N24" s="475">
        <f t="shared" ref="N24" si="17">IF(M24&lt;&gt;0,+H24-M24,0)</f>
        <v>0</v>
      </c>
      <c r="O24" s="475">
        <f t="shared" ref="O24" si="18">+N24-L24</f>
        <v>0</v>
      </c>
      <c r="P24" s="241"/>
    </row>
    <row r="25" spans="2:16" ht="12.5">
      <c r="B25" s="160" t="str">
        <f t="shared" si="7"/>
        <v/>
      </c>
      <c r="C25" s="469">
        <f>IF(D11="","-",+C24+1)</f>
        <v>2025</v>
      </c>
      <c r="D25" s="480">
        <f>IF(F24+SUM(E$17:E24)=D$10,F24,D$10-SUM(E$17:E24))</f>
        <v>1683576.3712925576</v>
      </c>
      <c r="E25" s="481">
        <f t="shared" ref="E25:E72" si="19">IF(+I$14&lt;F24,I$14,D25)</f>
        <v>51611.071315789479</v>
      </c>
      <c r="F25" s="482">
        <f t="shared" ref="F25:F72" si="20">+D25-E25</f>
        <v>1631965.299976768</v>
      </c>
      <c r="G25" s="483">
        <f t="shared" ref="G25:G72" si="21">(D25+F25)/2*I$12+E25</f>
        <v>240166.23712484803</v>
      </c>
      <c r="H25" s="452">
        <f t="shared" ref="H25:H72" si="22">+(D25+F25)/2*I$13+E25</f>
        <v>240166.23712484803</v>
      </c>
      <c r="I25" s="472">
        <f t="shared" si="0"/>
        <v>0</v>
      </c>
      <c r="J25" s="472"/>
      <c r="K25" s="484"/>
      <c r="L25" s="475">
        <f t="shared" si="2"/>
        <v>0</v>
      </c>
      <c r="M25" s="484"/>
      <c r="N25" s="475">
        <f t="shared" si="4"/>
        <v>0</v>
      </c>
      <c r="O25" s="475">
        <f t="shared" si="5"/>
        <v>0</v>
      </c>
      <c r="P25" s="241"/>
    </row>
    <row r="26" spans="2:16" ht="12.5">
      <c r="B26" s="160" t="str">
        <f t="shared" si="7"/>
        <v/>
      </c>
      <c r="C26" s="469">
        <f>IF(D11="","-",+C25+1)</f>
        <v>2026</v>
      </c>
      <c r="D26" s="480">
        <f>IF(F25+SUM(E$17:E25)=D$10,F25,D$10-SUM(E$17:E25))</f>
        <v>1631965.299976768</v>
      </c>
      <c r="E26" s="481">
        <f t="shared" si="19"/>
        <v>51611.071315789479</v>
      </c>
      <c r="F26" s="482">
        <f t="shared" si="20"/>
        <v>1580354.2286609784</v>
      </c>
      <c r="G26" s="483">
        <f t="shared" si="21"/>
        <v>234295.98419220658</v>
      </c>
      <c r="H26" s="452">
        <f t="shared" si="22"/>
        <v>234295.98419220658</v>
      </c>
      <c r="I26" s="472">
        <f t="shared" si="0"/>
        <v>0</v>
      </c>
      <c r="J26" s="472"/>
      <c r="K26" s="484"/>
      <c r="L26" s="475">
        <f t="shared" si="2"/>
        <v>0</v>
      </c>
      <c r="M26" s="484"/>
      <c r="N26" s="475">
        <f t="shared" si="4"/>
        <v>0</v>
      </c>
      <c r="O26" s="475">
        <f t="shared" si="5"/>
        <v>0</v>
      </c>
      <c r="P26" s="241"/>
    </row>
    <row r="27" spans="2:16" ht="12.5">
      <c r="B27" s="160" t="str">
        <f t="shared" si="7"/>
        <v/>
      </c>
      <c r="C27" s="469">
        <f>IF(D11="","-",+C26+1)</f>
        <v>2027</v>
      </c>
      <c r="D27" s="480">
        <f>IF(F26+SUM(E$17:E26)=D$10,F26,D$10-SUM(E$17:E26))</f>
        <v>1580354.2286609784</v>
      </c>
      <c r="E27" s="481">
        <f t="shared" si="19"/>
        <v>51611.071315789479</v>
      </c>
      <c r="F27" s="482">
        <f t="shared" si="20"/>
        <v>1528743.1573451888</v>
      </c>
      <c r="G27" s="483">
        <f t="shared" si="21"/>
        <v>228425.73125956513</v>
      </c>
      <c r="H27" s="452">
        <f t="shared" si="22"/>
        <v>228425.73125956513</v>
      </c>
      <c r="I27" s="472">
        <f t="shared" si="0"/>
        <v>0</v>
      </c>
      <c r="J27" s="472"/>
      <c r="K27" s="484"/>
      <c r="L27" s="475">
        <f t="shared" si="2"/>
        <v>0</v>
      </c>
      <c r="M27" s="484"/>
      <c r="N27" s="475">
        <f t="shared" si="4"/>
        <v>0</v>
      </c>
      <c r="O27" s="475">
        <f t="shared" si="5"/>
        <v>0</v>
      </c>
      <c r="P27" s="241"/>
    </row>
    <row r="28" spans="2:16" ht="12.5">
      <c r="B28" s="160" t="str">
        <f t="shared" si="7"/>
        <v/>
      </c>
      <c r="C28" s="469">
        <f>IF(D11="","-",+C27+1)</f>
        <v>2028</v>
      </c>
      <c r="D28" s="480">
        <f>IF(F27+SUM(E$17:E27)=D$10,F27,D$10-SUM(E$17:E27))</f>
        <v>1528743.1573451888</v>
      </c>
      <c r="E28" s="481">
        <f t="shared" si="19"/>
        <v>51611.071315789479</v>
      </c>
      <c r="F28" s="482">
        <f t="shared" si="20"/>
        <v>1477132.0860293992</v>
      </c>
      <c r="G28" s="483">
        <f t="shared" si="21"/>
        <v>222555.47832692368</v>
      </c>
      <c r="H28" s="452">
        <f t="shared" si="22"/>
        <v>222555.47832692368</v>
      </c>
      <c r="I28" s="472">
        <f t="shared" si="0"/>
        <v>0</v>
      </c>
      <c r="J28" s="472"/>
      <c r="K28" s="484"/>
      <c r="L28" s="475">
        <f t="shared" si="2"/>
        <v>0</v>
      </c>
      <c r="M28" s="484"/>
      <c r="N28" s="475">
        <f t="shared" si="4"/>
        <v>0</v>
      </c>
      <c r="O28" s="475">
        <f t="shared" si="5"/>
        <v>0</v>
      </c>
      <c r="P28" s="241"/>
    </row>
    <row r="29" spans="2:16" ht="12.5">
      <c r="B29" s="160" t="str">
        <f t="shared" si="7"/>
        <v/>
      </c>
      <c r="C29" s="469">
        <f>IF(D11="","-",+C28+1)</f>
        <v>2029</v>
      </c>
      <c r="D29" s="480">
        <f>IF(F28+SUM(E$17:E28)=D$10,F28,D$10-SUM(E$17:E28))</f>
        <v>1477132.0860293992</v>
      </c>
      <c r="E29" s="481">
        <f t="shared" si="19"/>
        <v>51611.071315789479</v>
      </c>
      <c r="F29" s="482">
        <f t="shared" si="20"/>
        <v>1425521.0147136096</v>
      </c>
      <c r="G29" s="483">
        <f t="shared" si="21"/>
        <v>216685.22539428223</v>
      </c>
      <c r="H29" s="452">
        <f t="shared" si="22"/>
        <v>216685.22539428223</v>
      </c>
      <c r="I29" s="472">
        <f t="shared" si="0"/>
        <v>0</v>
      </c>
      <c r="J29" s="472"/>
      <c r="K29" s="484"/>
      <c r="L29" s="475">
        <f t="shared" si="2"/>
        <v>0</v>
      </c>
      <c r="M29" s="484"/>
      <c r="N29" s="475">
        <f t="shared" si="4"/>
        <v>0</v>
      </c>
      <c r="O29" s="475">
        <f t="shared" si="5"/>
        <v>0</v>
      </c>
      <c r="P29" s="241"/>
    </row>
    <row r="30" spans="2:16" ht="12.5">
      <c r="B30" s="160" t="str">
        <f t="shared" si="7"/>
        <v/>
      </c>
      <c r="C30" s="469">
        <f>IF(D11="","-",+C29+1)</f>
        <v>2030</v>
      </c>
      <c r="D30" s="480">
        <f>IF(F29+SUM(E$17:E29)=D$10,F29,D$10-SUM(E$17:E29))</f>
        <v>1425521.0147136096</v>
      </c>
      <c r="E30" s="481">
        <f t="shared" si="19"/>
        <v>51611.071315789479</v>
      </c>
      <c r="F30" s="482">
        <f t="shared" si="20"/>
        <v>1373909.94339782</v>
      </c>
      <c r="G30" s="483">
        <f t="shared" si="21"/>
        <v>210814.97246164078</v>
      </c>
      <c r="H30" s="452">
        <f t="shared" si="22"/>
        <v>210814.97246164078</v>
      </c>
      <c r="I30" s="472">
        <f t="shared" si="0"/>
        <v>0</v>
      </c>
      <c r="J30" s="472"/>
      <c r="K30" s="484"/>
      <c r="L30" s="475">
        <f t="shared" si="2"/>
        <v>0</v>
      </c>
      <c r="M30" s="484"/>
      <c r="N30" s="475">
        <f t="shared" si="4"/>
        <v>0</v>
      </c>
      <c r="O30" s="475">
        <f t="shared" si="5"/>
        <v>0</v>
      </c>
      <c r="P30" s="241"/>
    </row>
    <row r="31" spans="2:16" ht="12.5">
      <c r="B31" s="160" t="str">
        <f t="shared" si="7"/>
        <v/>
      </c>
      <c r="C31" s="469">
        <f>IF(D11="","-",+C30+1)</f>
        <v>2031</v>
      </c>
      <c r="D31" s="480">
        <f>IF(F30+SUM(E$17:E30)=D$10,F30,D$10-SUM(E$17:E30))</f>
        <v>1373909.94339782</v>
      </c>
      <c r="E31" s="481">
        <f t="shared" si="19"/>
        <v>51611.071315789479</v>
      </c>
      <c r="F31" s="482">
        <f t="shared" si="20"/>
        <v>1322298.8720820304</v>
      </c>
      <c r="G31" s="483">
        <f t="shared" si="21"/>
        <v>204944.71952899933</v>
      </c>
      <c r="H31" s="452">
        <f t="shared" si="22"/>
        <v>204944.71952899933</v>
      </c>
      <c r="I31" s="472">
        <f t="shared" si="0"/>
        <v>0</v>
      </c>
      <c r="J31" s="472"/>
      <c r="K31" s="484"/>
      <c r="L31" s="475">
        <f t="shared" si="2"/>
        <v>0</v>
      </c>
      <c r="M31" s="484"/>
      <c r="N31" s="475">
        <f t="shared" si="4"/>
        <v>0</v>
      </c>
      <c r="O31" s="475">
        <f t="shared" si="5"/>
        <v>0</v>
      </c>
      <c r="P31" s="241"/>
    </row>
    <row r="32" spans="2:16" ht="12.5">
      <c r="B32" s="160" t="str">
        <f t="shared" si="7"/>
        <v/>
      </c>
      <c r="C32" s="469">
        <f>IF(D11="","-",+C31+1)</f>
        <v>2032</v>
      </c>
      <c r="D32" s="480">
        <f>IF(F31+SUM(E$17:E31)=D$10,F31,D$10-SUM(E$17:E31))</f>
        <v>1322298.8720820304</v>
      </c>
      <c r="E32" s="481">
        <f t="shared" si="19"/>
        <v>51611.071315789479</v>
      </c>
      <c r="F32" s="482">
        <f t="shared" si="20"/>
        <v>1270687.8007662408</v>
      </c>
      <c r="G32" s="483">
        <f t="shared" si="21"/>
        <v>199074.46659635787</v>
      </c>
      <c r="H32" s="452">
        <f t="shared" si="22"/>
        <v>199074.46659635787</v>
      </c>
      <c r="I32" s="472">
        <f t="shared" si="0"/>
        <v>0</v>
      </c>
      <c r="J32" s="472"/>
      <c r="K32" s="484"/>
      <c r="L32" s="475">
        <f t="shared" si="2"/>
        <v>0</v>
      </c>
      <c r="M32" s="484"/>
      <c r="N32" s="475">
        <f t="shared" si="4"/>
        <v>0</v>
      </c>
      <c r="O32" s="475">
        <f t="shared" si="5"/>
        <v>0</v>
      </c>
      <c r="P32" s="241"/>
    </row>
    <row r="33" spans="2:16" ht="12.5">
      <c r="B33" s="160" t="str">
        <f t="shared" si="7"/>
        <v/>
      </c>
      <c r="C33" s="469">
        <f>IF(D11="","-",+C32+1)</f>
        <v>2033</v>
      </c>
      <c r="D33" s="480">
        <f>IF(F32+SUM(E$17:E32)=D$10,F32,D$10-SUM(E$17:E32))</f>
        <v>1270687.8007662408</v>
      </c>
      <c r="E33" s="481">
        <f t="shared" si="19"/>
        <v>51611.071315789479</v>
      </c>
      <c r="F33" s="482">
        <f t="shared" si="20"/>
        <v>1219076.7294504512</v>
      </c>
      <c r="G33" s="483">
        <f t="shared" si="21"/>
        <v>193204.21366371639</v>
      </c>
      <c r="H33" s="452">
        <f t="shared" si="22"/>
        <v>193204.21366371639</v>
      </c>
      <c r="I33" s="472">
        <f t="shared" si="0"/>
        <v>0</v>
      </c>
      <c r="J33" s="472"/>
      <c r="K33" s="484"/>
      <c r="L33" s="475">
        <f t="shared" si="2"/>
        <v>0</v>
      </c>
      <c r="M33" s="484"/>
      <c r="N33" s="475">
        <f t="shared" si="4"/>
        <v>0</v>
      </c>
      <c r="O33" s="475">
        <f t="shared" si="5"/>
        <v>0</v>
      </c>
      <c r="P33" s="241"/>
    </row>
    <row r="34" spans="2:16" ht="12.5">
      <c r="B34" s="160" t="str">
        <f t="shared" si="7"/>
        <v/>
      </c>
      <c r="C34" s="469">
        <f>IF(D11="","-",+C33+1)</f>
        <v>2034</v>
      </c>
      <c r="D34" s="480">
        <f>IF(F33+SUM(E$17:E33)=D$10,F33,D$10-SUM(E$17:E33))</f>
        <v>1219076.7294504512</v>
      </c>
      <c r="E34" s="481">
        <f t="shared" si="19"/>
        <v>51611.071315789479</v>
      </c>
      <c r="F34" s="482">
        <f t="shared" si="20"/>
        <v>1167465.6581346616</v>
      </c>
      <c r="G34" s="483">
        <f t="shared" si="21"/>
        <v>187333.96073107494</v>
      </c>
      <c r="H34" s="452">
        <f t="shared" si="22"/>
        <v>187333.96073107494</v>
      </c>
      <c r="I34" s="472">
        <f t="shared" si="0"/>
        <v>0</v>
      </c>
      <c r="J34" s="472"/>
      <c r="K34" s="484"/>
      <c r="L34" s="475">
        <f t="shared" si="2"/>
        <v>0</v>
      </c>
      <c r="M34" s="484"/>
      <c r="N34" s="475">
        <f t="shared" si="4"/>
        <v>0</v>
      </c>
      <c r="O34" s="475">
        <f t="shared" si="5"/>
        <v>0</v>
      </c>
      <c r="P34" s="241"/>
    </row>
    <row r="35" spans="2:16" ht="12.5">
      <c r="B35" s="160" t="str">
        <f t="shared" si="7"/>
        <v/>
      </c>
      <c r="C35" s="469">
        <f>IF(D11="","-",+C34+1)</f>
        <v>2035</v>
      </c>
      <c r="D35" s="480">
        <f>IF(F34+SUM(E$17:E34)=D$10,F34,D$10-SUM(E$17:E34))</f>
        <v>1167465.6581346616</v>
      </c>
      <c r="E35" s="481">
        <f t="shared" si="19"/>
        <v>51611.071315789479</v>
      </c>
      <c r="F35" s="482">
        <f t="shared" si="20"/>
        <v>1115854.586818872</v>
      </c>
      <c r="G35" s="483">
        <f t="shared" si="21"/>
        <v>181463.70779843349</v>
      </c>
      <c r="H35" s="452">
        <f t="shared" si="22"/>
        <v>181463.70779843349</v>
      </c>
      <c r="I35" s="472">
        <f t="shared" si="0"/>
        <v>0</v>
      </c>
      <c r="J35" s="472"/>
      <c r="K35" s="484"/>
      <c r="L35" s="475">
        <f t="shared" si="2"/>
        <v>0</v>
      </c>
      <c r="M35" s="484"/>
      <c r="N35" s="475">
        <f t="shared" si="4"/>
        <v>0</v>
      </c>
      <c r="O35" s="475">
        <f t="shared" si="5"/>
        <v>0</v>
      </c>
      <c r="P35" s="241"/>
    </row>
    <row r="36" spans="2:16" ht="12.5">
      <c r="B36" s="160" t="str">
        <f t="shared" si="7"/>
        <v/>
      </c>
      <c r="C36" s="469">
        <f>IF(D11="","-",+C35+1)</f>
        <v>2036</v>
      </c>
      <c r="D36" s="480">
        <f>IF(F35+SUM(E$17:E35)=D$10,F35,D$10-SUM(E$17:E35))</f>
        <v>1115854.586818872</v>
      </c>
      <c r="E36" s="481">
        <f t="shared" si="19"/>
        <v>51611.071315789479</v>
      </c>
      <c r="F36" s="482">
        <f t="shared" si="20"/>
        <v>1064243.5155030824</v>
      </c>
      <c r="G36" s="483">
        <f t="shared" si="21"/>
        <v>175593.45486579204</v>
      </c>
      <c r="H36" s="452">
        <f t="shared" si="22"/>
        <v>175593.45486579204</v>
      </c>
      <c r="I36" s="472">
        <f t="shared" si="0"/>
        <v>0</v>
      </c>
      <c r="J36" s="472"/>
      <c r="K36" s="484"/>
      <c r="L36" s="475">
        <f t="shared" si="2"/>
        <v>0</v>
      </c>
      <c r="M36" s="484"/>
      <c r="N36" s="475">
        <f t="shared" si="4"/>
        <v>0</v>
      </c>
      <c r="O36" s="475">
        <f t="shared" si="5"/>
        <v>0</v>
      </c>
      <c r="P36" s="241"/>
    </row>
    <row r="37" spans="2:16" ht="12.5">
      <c r="B37" s="160" t="str">
        <f t="shared" si="7"/>
        <v/>
      </c>
      <c r="C37" s="469">
        <f>IF(D11="","-",+C36+1)</f>
        <v>2037</v>
      </c>
      <c r="D37" s="480">
        <f>IF(F36+SUM(E$17:E36)=D$10,F36,D$10-SUM(E$17:E36))</f>
        <v>1064243.5155030824</v>
      </c>
      <c r="E37" s="481">
        <f t="shared" si="19"/>
        <v>51611.071315789479</v>
      </c>
      <c r="F37" s="482">
        <f t="shared" si="20"/>
        <v>1012632.4441872929</v>
      </c>
      <c r="G37" s="483">
        <f t="shared" si="21"/>
        <v>169723.20193315059</v>
      </c>
      <c r="H37" s="452">
        <f t="shared" si="22"/>
        <v>169723.20193315059</v>
      </c>
      <c r="I37" s="472">
        <f t="shared" si="0"/>
        <v>0</v>
      </c>
      <c r="J37" s="472"/>
      <c r="K37" s="484"/>
      <c r="L37" s="475">
        <f t="shared" si="2"/>
        <v>0</v>
      </c>
      <c r="M37" s="484"/>
      <c r="N37" s="475">
        <f t="shared" si="4"/>
        <v>0</v>
      </c>
      <c r="O37" s="475">
        <f t="shared" si="5"/>
        <v>0</v>
      </c>
      <c r="P37" s="241"/>
    </row>
    <row r="38" spans="2:16" ht="12.5">
      <c r="B38" s="160" t="str">
        <f t="shared" si="7"/>
        <v/>
      </c>
      <c r="C38" s="469">
        <f>IF(D11="","-",+C37+1)</f>
        <v>2038</v>
      </c>
      <c r="D38" s="480">
        <f>IF(F37+SUM(E$17:E37)=D$10,F37,D$10-SUM(E$17:E37))</f>
        <v>1012632.4441872929</v>
      </c>
      <c r="E38" s="481">
        <f t="shared" si="19"/>
        <v>51611.071315789479</v>
      </c>
      <c r="F38" s="482">
        <f t="shared" si="20"/>
        <v>961021.37287150347</v>
      </c>
      <c r="G38" s="483">
        <f t="shared" si="21"/>
        <v>163852.94900050916</v>
      </c>
      <c r="H38" s="452">
        <f t="shared" si="22"/>
        <v>163852.94900050916</v>
      </c>
      <c r="I38" s="472">
        <f t="shared" si="0"/>
        <v>0</v>
      </c>
      <c r="J38" s="472"/>
      <c r="K38" s="484"/>
      <c r="L38" s="475">
        <f t="shared" si="2"/>
        <v>0</v>
      </c>
      <c r="M38" s="484"/>
      <c r="N38" s="475">
        <f t="shared" si="4"/>
        <v>0</v>
      </c>
      <c r="O38" s="475">
        <f t="shared" si="5"/>
        <v>0</v>
      </c>
      <c r="P38" s="241"/>
    </row>
    <row r="39" spans="2:16" ht="12.5">
      <c r="B39" s="160" t="str">
        <f t="shared" si="7"/>
        <v/>
      </c>
      <c r="C39" s="469">
        <f>IF(D11="","-",+C38+1)</f>
        <v>2039</v>
      </c>
      <c r="D39" s="480">
        <f>IF(F38+SUM(E$17:E38)=D$10,F38,D$10-SUM(E$17:E38))</f>
        <v>961021.37287150347</v>
      </c>
      <c r="E39" s="481">
        <f t="shared" si="19"/>
        <v>51611.071315789479</v>
      </c>
      <c r="F39" s="482">
        <f t="shared" si="20"/>
        <v>909410.30155571399</v>
      </c>
      <c r="G39" s="483">
        <f t="shared" si="21"/>
        <v>157982.69606786771</v>
      </c>
      <c r="H39" s="452">
        <f t="shared" si="22"/>
        <v>157982.69606786771</v>
      </c>
      <c r="I39" s="472">
        <f t="shared" si="0"/>
        <v>0</v>
      </c>
      <c r="J39" s="472"/>
      <c r="K39" s="484"/>
      <c r="L39" s="475">
        <f t="shared" si="2"/>
        <v>0</v>
      </c>
      <c r="M39" s="484"/>
      <c r="N39" s="475">
        <f t="shared" si="4"/>
        <v>0</v>
      </c>
      <c r="O39" s="475">
        <f t="shared" si="5"/>
        <v>0</v>
      </c>
      <c r="P39" s="241"/>
    </row>
    <row r="40" spans="2:16" ht="12.5">
      <c r="B40" s="160" t="str">
        <f t="shared" si="7"/>
        <v/>
      </c>
      <c r="C40" s="469">
        <f>IF(D11="","-",+C39+1)</f>
        <v>2040</v>
      </c>
      <c r="D40" s="480">
        <f>IF(F39+SUM(E$17:E39)=D$10,F39,D$10-SUM(E$17:E39))</f>
        <v>909410.30155571399</v>
      </c>
      <c r="E40" s="481">
        <f t="shared" si="19"/>
        <v>51611.071315789479</v>
      </c>
      <c r="F40" s="482">
        <f t="shared" si="20"/>
        <v>857799.23023992451</v>
      </c>
      <c r="G40" s="483">
        <f t="shared" si="21"/>
        <v>152112.44313522626</v>
      </c>
      <c r="H40" s="452">
        <f t="shared" si="22"/>
        <v>152112.44313522626</v>
      </c>
      <c r="I40" s="472">
        <f t="shared" si="0"/>
        <v>0</v>
      </c>
      <c r="J40" s="472"/>
      <c r="K40" s="484"/>
      <c r="L40" s="475">
        <f t="shared" si="2"/>
        <v>0</v>
      </c>
      <c r="M40" s="484"/>
      <c r="N40" s="475">
        <f t="shared" si="4"/>
        <v>0</v>
      </c>
      <c r="O40" s="475">
        <f t="shared" si="5"/>
        <v>0</v>
      </c>
      <c r="P40" s="241"/>
    </row>
    <row r="41" spans="2:16" ht="12.5">
      <c r="B41" s="160" t="str">
        <f t="shared" si="7"/>
        <v/>
      </c>
      <c r="C41" s="469">
        <f>IF(D11="","-",+C40+1)</f>
        <v>2041</v>
      </c>
      <c r="D41" s="480">
        <f>IF(F40+SUM(E$17:E40)=D$10,F40,D$10-SUM(E$17:E40))</f>
        <v>857799.23023992451</v>
      </c>
      <c r="E41" s="481">
        <f t="shared" si="19"/>
        <v>51611.071315789479</v>
      </c>
      <c r="F41" s="482">
        <f t="shared" si="20"/>
        <v>806188.15892413503</v>
      </c>
      <c r="G41" s="483">
        <f t="shared" si="21"/>
        <v>146242.19020258484</v>
      </c>
      <c r="H41" s="452">
        <f t="shared" si="22"/>
        <v>146242.19020258484</v>
      </c>
      <c r="I41" s="472">
        <f t="shared" si="0"/>
        <v>0</v>
      </c>
      <c r="J41" s="472"/>
      <c r="K41" s="484"/>
      <c r="L41" s="475">
        <f t="shared" si="2"/>
        <v>0</v>
      </c>
      <c r="M41" s="484"/>
      <c r="N41" s="475">
        <f t="shared" si="4"/>
        <v>0</v>
      </c>
      <c r="O41" s="475">
        <f t="shared" si="5"/>
        <v>0</v>
      </c>
      <c r="P41" s="241"/>
    </row>
    <row r="42" spans="2:16" ht="12.5">
      <c r="B42" s="160" t="str">
        <f t="shared" si="7"/>
        <v/>
      </c>
      <c r="C42" s="469">
        <f>IF(D11="","-",+C41+1)</f>
        <v>2042</v>
      </c>
      <c r="D42" s="480">
        <f>IF(F41+SUM(E$17:E41)=D$10,F41,D$10-SUM(E$17:E41))</f>
        <v>806188.15892413503</v>
      </c>
      <c r="E42" s="481">
        <f t="shared" si="19"/>
        <v>51611.071315789479</v>
      </c>
      <c r="F42" s="482">
        <f t="shared" si="20"/>
        <v>754577.08760834555</v>
      </c>
      <c r="G42" s="483">
        <f t="shared" si="21"/>
        <v>140371.93726994342</v>
      </c>
      <c r="H42" s="452">
        <f t="shared" si="22"/>
        <v>140371.93726994342</v>
      </c>
      <c r="I42" s="472">
        <f t="shared" si="0"/>
        <v>0</v>
      </c>
      <c r="J42" s="472"/>
      <c r="K42" s="484"/>
      <c r="L42" s="475">
        <f t="shared" si="2"/>
        <v>0</v>
      </c>
      <c r="M42" s="484"/>
      <c r="N42" s="475">
        <f t="shared" si="4"/>
        <v>0</v>
      </c>
      <c r="O42" s="475">
        <f t="shared" si="5"/>
        <v>0</v>
      </c>
      <c r="P42" s="241"/>
    </row>
    <row r="43" spans="2:16" ht="12.5">
      <c r="B43" s="160" t="str">
        <f t="shared" si="7"/>
        <v/>
      </c>
      <c r="C43" s="469">
        <f>IF(D11="","-",+C42+1)</f>
        <v>2043</v>
      </c>
      <c r="D43" s="480">
        <f>IF(F42+SUM(E$17:E42)=D$10,F42,D$10-SUM(E$17:E42))</f>
        <v>754577.08760834555</v>
      </c>
      <c r="E43" s="481">
        <f t="shared" si="19"/>
        <v>51611.071315789479</v>
      </c>
      <c r="F43" s="482">
        <f t="shared" si="20"/>
        <v>702966.01629255607</v>
      </c>
      <c r="G43" s="483">
        <f t="shared" si="21"/>
        <v>134501.68433730194</v>
      </c>
      <c r="H43" s="452">
        <f t="shared" si="22"/>
        <v>134501.68433730194</v>
      </c>
      <c r="I43" s="472">
        <f t="shared" si="0"/>
        <v>0</v>
      </c>
      <c r="J43" s="472"/>
      <c r="K43" s="484"/>
      <c r="L43" s="475">
        <f t="shared" si="2"/>
        <v>0</v>
      </c>
      <c r="M43" s="484"/>
      <c r="N43" s="475">
        <f t="shared" si="4"/>
        <v>0</v>
      </c>
      <c r="O43" s="475">
        <f t="shared" si="5"/>
        <v>0</v>
      </c>
      <c r="P43" s="241"/>
    </row>
    <row r="44" spans="2:16" ht="12.5">
      <c r="B44" s="160" t="str">
        <f t="shared" si="7"/>
        <v/>
      </c>
      <c r="C44" s="469">
        <f>IF(D11="","-",+C43+1)</f>
        <v>2044</v>
      </c>
      <c r="D44" s="480">
        <f>IF(F43+SUM(E$17:E43)=D$10,F43,D$10-SUM(E$17:E43))</f>
        <v>702966.01629255607</v>
      </c>
      <c r="E44" s="481">
        <f t="shared" si="19"/>
        <v>51611.071315789479</v>
      </c>
      <c r="F44" s="482">
        <f t="shared" si="20"/>
        <v>651354.94497676659</v>
      </c>
      <c r="G44" s="483">
        <f t="shared" si="21"/>
        <v>128631.43140466051</v>
      </c>
      <c r="H44" s="452">
        <f t="shared" si="22"/>
        <v>128631.43140466051</v>
      </c>
      <c r="I44" s="472">
        <f t="shared" si="0"/>
        <v>0</v>
      </c>
      <c r="J44" s="472"/>
      <c r="K44" s="484"/>
      <c r="L44" s="475">
        <f t="shared" si="2"/>
        <v>0</v>
      </c>
      <c r="M44" s="484"/>
      <c r="N44" s="475">
        <f t="shared" si="4"/>
        <v>0</v>
      </c>
      <c r="O44" s="475">
        <f t="shared" si="5"/>
        <v>0</v>
      </c>
      <c r="P44" s="241"/>
    </row>
    <row r="45" spans="2:16" ht="12.5">
      <c r="B45" s="160" t="str">
        <f t="shared" si="7"/>
        <v/>
      </c>
      <c r="C45" s="469">
        <f>IF(D11="","-",+C44+1)</f>
        <v>2045</v>
      </c>
      <c r="D45" s="480">
        <f>IF(F44+SUM(E$17:E44)=D$10,F44,D$10-SUM(E$17:E44))</f>
        <v>651354.94497676659</v>
      </c>
      <c r="E45" s="481">
        <f t="shared" si="19"/>
        <v>51611.071315789479</v>
      </c>
      <c r="F45" s="482">
        <f t="shared" si="20"/>
        <v>599743.87366097711</v>
      </c>
      <c r="G45" s="483">
        <f t="shared" si="21"/>
        <v>122761.17847201906</v>
      </c>
      <c r="H45" s="452">
        <f t="shared" si="22"/>
        <v>122761.17847201906</v>
      </c>
      <c r="I45" s="472">
        <f t="shared" si="0"/>
        <v>0</v>
      </c>
      <c r="J45" s="472"/>
      <c r="K45" s="484"/>
      <c r="L45" s="475">
        <f t="shared" si="2"/>
        <v>0</v>
      </c>
      <c r="M45" s="484"/>
      <c r="N45" s="475">
        <f t="shared" si="4"/>
        <v>0</v>
      </c>
      <c r="O45" s="475">
        <f t="shared" si="5"/>
        <v>0</v>
      </c>
      <c r="P45" s="241"/>
    </row>
    <row r="46" spans="2:16" ht="12.5">
      <c r="B46" s="160" t="str">
        <f t="shared" si="7"/>
        <v/>
      </c>
      <c r="C46" s="469">
        <f>IF(D11="","-",+C45+1)</f>
        <v>2046</v>
      </c>
      <c r="D46" s="480">
        <f>IF(F45+SUM(E$17:E45)=D$10,F45,D$10-SUM(E$17:E45))</f>
        <v>599743.87366097711</v>
      </c>
      <c r="E46" s="481">
        <f t="shared" si="19"/>
        <v>51611.071315789479</v>
      </c>
      <c r="F46" s="482">
        <f t="shared" si="20"/>
        <v>548132.80234518764</v>
      </c>
      <c r="G46" s="483">
        <f t="shared" si="21"/>
        <v>116890.92553937764</v>
      </c>
      <c r="H46" s="452">
        <f t="shared" si="22"/>
        <v>116890.92553937764</v>
      </c>
      <c r="I46" s="472">
        <f t="shared" si="0"/>
        <v>0</v>
      </c>
      <c r="J46" s="472"/>
      <c r="K46" s="484"/>
      <c r="L46" s="475">
        <f t="shared" si="2"/>
        <v>0</v>
      </c>
      <c r="M46" s="484"/>
      <c r="N46" s="475">
        <f t="shared" si="4"/>
        <v>0</v>
      </c>
      <c r="O46" s="475">
        <f t="shared" si="5"/>
        <v>0</v>
      </c>
      <c r="P46" s="241"/>
    </row>
    <row r="47" spans="2:16" ht="12.5">
      <c r="B47" s="160" t="str">
        <f t="shared" si="7"/>
        <v/>
      </c>
      <c r="C47" s="469">
        <f>IF(D11="","-",+C46+1)</f>
        <v>2047</v>
      </c>
      <c r="D47" s="480">
        <f>IF(F46+SUM(E$17:E46)=D$10,F46,D$10-SUM(E$17:E46))</f>
        <v>548132.80234518764</v>
      </c>
      <c r="E47" s="481">
        <f t="shared" si="19"/>
        <v>51611.071315789479</v>
      </c>
      <c r="F47" s="482">
        <f t="shared" si="20"/>
        <v>496521.73102939816</v>
      </c>
      <c r="G47" s="483">
        <f t="shared" si="21"/>
        <v>111020.67260673619</v>
      </c>
      <c r="H47" s="452">
        <f t="shared" si="22"/>
        <v>111020.67260673619</v>
      </c>
      <c r="I47" s="472">
        <f t="shared" si="0"/>
        <v>0</v>
      </c>
      <c r="J47" s="472"/>
      <c r="K47" s="484"/>
      <c r="L47" s="475">
        <f t="shared" si="2"/>
        <v>0</v>
      </c>
      <c r="M47" s="484"/>
      <c r="N47" s="475">
        <f t="shared" si="4"/>
        <v>0</v>
      </c>
      <c r="O47" s="475">
        <f t="shared" si="5"/>
        <v>0</v>
      </c>
      <c r="P47" s="241"/>
    </row>
    <row r="48" spans="2:16" ht="12.5">
      <c r="B48" s="160" t="str">
        <f t="shared" si="7"/>
        <v/>
      </c>
      <c r="C48" s="469">
        <f>IF(D11="","-",+C47+1)</f>
        <v>2048</v>
      </c>
      <c r="D48" s="480">
        <f>IF(F47+SUM(E$17:E47)=D$10,F47,D$10-SUM(E$17:E47))</f>
        <v>496521.73102939816</v>
      </c>
      <c r="E48" s="481">
        <f t="shared" si="19"/>
        <v>51611.071315789479</v>
      </c>
      <c r="F48" s="482">
        <f t="shared" si="20"/>
        <v>444910.65971360868</v>
      </c>
      <c r="G48" s="483">
        <f t="shared" si="21"/>
        <v>105150.41967409474</v>
      </c>
      <c r="H48" s="452">
        <f t="shared" si="22"/>
        <v>105150.41967409474</v>
      </c>
      <c r="I48" s="472">
        <f t="shared" si="0"/>
        <v>0</v>
      </c>
      <c r="J48" s="472"/>
      <c r="K48" s="484"/>
      <c r="L48" s="475">
        <f t="shared" si="2"/>
        <v>0</v>
      </c>
      <c r="M48" s="484"/>
      <c r="N48" s="475">
        <f t="shared" si="4"/>
        <v>0</v>
      </c>
      <c r="O48" s="475">
        <f t="shared" si="5"/>
        <v>0</v>
      </c>
      <c r="P48" s="241"/>
    </row>
    <row r="49" spans="2:16" ht="12.5">
      <c r="B49" s="160" t="str">
        <f t="shared" si="7"/>
        <v/>
      </c>
      <c r="C49" s="469">
        <f>IF(D11="","-",+C48+1)</f>
        <v>2049</v>
      </c>
      <c r="D49" s="480">
        <f>IF(F48+SUM(E$17:E48)=D$10,F48,D$10-SUM(E$17:E48))</f>
        <v>444910.65971360868</v>
      </c>
      <c r="E49" s="481">
        <f t="shared" si="19"/>
        <v>51611.071315789479</v>
      </c>
      <c r="F49" s="482">
        <f t="shared" si="20"/>
        <v>393299.5883978192</v>
      </c>
      <c r="G49" s="483">
        <f t="shared" si="21"/>
        <v>99280.1667414533</v>
      </c>
      <c r="H49" s="452">
        <f t="shared" si="22"/>
        <v>99280.1667414533</v>
      </c>
      <c r="I49" s="472">
        <f t="shared" si="0"/>
        <v>0</v>
      </c>
      <c r="J49" s="472"/>
      <c r="K49" s="484"/>
      <c r="L49" s="475">
        <f t="shared" si="2"/>
        <v>0</v>
      </c>
      <c r="M49" s="484"/>
      <c r="N49" s="475">
        <f t="shared" si="4"/>
        <v>0</v>
      </c>
      <c r="O49" s="475">
        <f t="shared" si="5"/>
        <v>0</v>
      </c>
      <c r="P49" s="241"/>
    </row>
    <row r="50" spans="2:16" ht="12.5">
      <c r="B50" s="160" t="str">
        <f t="shared" si="7"/>
        <v/>
      </c>
      <c r="C50" s="469">
        <f>IF(D11="","-",+C49+1)</f>
        <v>2050</v>
      </c>
      <c r="D50" s="480">
        <f>IF(F49+SUM(E$17:E49)=D$10,F49,D$10-SUM(E$17:E49))</f>
        <v>393299.5883978192</v>
      </c>
      <c r="E50" s="481">
        <f t="shared" si="19"/>
        <v>51611.071315789479</v>
      </c>
      <c r="F50" s="482">
        <f t="shared" si="20"/>
        <v>341688.51708202972</v>
      </c>
      <c r="G50" s="483">
        <f t="shared" si="21"/>
        <v>93409.913808811863</v>
      </c>
      <c r="H50" s="452">
        <f t="shared" si="22"/>
        <v>93409.913808811863</v>
      </c>
      <c r="I50" s="472">
        <f t="shared" si="0"/>
        <v>0</v>
      </c>
      <c r="J50" s="472"/>
      <c r="K50" s="484"/>
      <c r="L50" s="475">
        <f t="shared" si="2"/>
        <v>0</v>
      </c>
      <c r="M50" s="484"/>
      <c r="N50" s="475">
        <f t="shared" si="4"/>
        <v>0</v>
      </c>
      <c r="O50" s="475">
        <f t="shared" si="5"/>
        <v>0</v>
      </c>
      <c r="P50" s="241"/>
    </row>
    <row r="51" spans="2:16" ht="12.5">
      <c r="B51" s="160" t="str">
        <f t="shared" si="7"/>
        <v/>
      </c>
      <c r="C51" s="469">
        <f>IF(D11="","-",+C50+1)</f>
        <v>2051</v>
      </c>
      <c r="D51" s="480">
        <f>IF(F50+SUM(E$17:E50)=D$10,F50,D$10-SUM(E$17:E50))</f>
        <v>341688.51708202972</v>
      </c>
      <c r="E51" s="481">
        <f t="shared" si="19"/>
        <v>51611.071315789479</v>
      </c>
      <c r="F51" s="482">
        <f t="shared" si="20"/>
        <v>290077.44576624024</v>
      </c>
      <c r="G51" s="483">
        <f t="shared" si="21"/>
        <v>87539.660876170412</v>
      </c>
      <c r="H51" s="452">
        <f t="shared" si="22"/>
        <v>87539.660876170412</v>
      </c>
      <c r="I51" s="472">
        <f t="shared" si="0"/>
        <v>0</v>
      </c>
      <c r="J51" s="472"/>
      <c r="K51" s="484"/>
      <c r="L51" s="475">
        <f t="shared" si="2"/>
        <v>0</v>
      </c>
      <c r="M51" s="484"/>
      <c r="N51" s="475">
        <f t="shared" si="4"/>
        <v>0</v>
      </c>
      <c r="O51" s="475">
        <f t="shared" si="5"/>
        <v>0</v>
      </c>
      <c r="P51" s="241"/>
    </row>
    <row r="52" spans="2:16" ht="12.5">
      <c r="B52" s="160" t="str">
        <f t="shared" si="7"/>
        <v/>
      </c>
      <c r="C52" s="469">
        <f>IF(D11="","-",+C51+1)</f>
        <v>2052</v>
      </c>
      <c r="D52" s="480">
        <f>IF(F51+SUM(E$17:E51)=D$10,F51,D$10-SUM(E$17:E51))</f>
        <v>290077.44576624024</v>
      </c>
      <c r="E52" s="481">
        <f t="shared" si="19"/>
        <v>51611.071315789479</v>
      </c>
      <c r="F52" s="482">
        <f t="shared" si="20"/>
        <v>238466.37445045076</v>
      </c>
      <c r="G52" s="483">
        <f t="shared" si="21"/>
        <v>81669.40794352899</v>
      </c>
      <c r="H52" s="452">
        <f t="shared" si="22"/>
        <v>81669.40794352899</v>
      </c>
      <c r="I52" s="472">
        <f t="shared" si="0"/>
        <v>0</v>
      </c>
      <c r="J52" s="472"/>
      <c r="K52" s="484"/>
      <c r="L52" s="475">
        <f t="shared" si="2"/>
        <v>0</v>
      </c>
      <c r="M52" s="484"/>
      <c r="N52" s="475">
        <f t="shared" si="4"/>
        <v>0</v>
      </c>
      <c r="O52" s="475">
        <f t="shared" si="5"/>
        <v>0</v>
      </c>
      <c r="P52" s="241"/>
    </row>
    <row r="53" spans="2:16" ht="12.5">
      <c r="B53" s="160" t="str">
        <f t="shared" si="7"/>
        <v/>
      </c>
      <c r="C53" s="469">
        <f>IF(D11="","-",+C52+1)</f>
        <v>2053</v>
      </c>
      <c r="D53" s="480">
        <f>IF(F52+SUM(E$17:E52)=D$10,F52,D$10-SUM(E$17:E52))</f>
        <v>238466.37445045076</v>
      </c>
      <c r="E53" s="481">
        <f t="shared" si="19"/>
        <v>51611.071315789479</v>
      </c>
      <c r="F53" s="482">
        <f t="shared" si="20"/>
        <v>186855.30313466128</v>
      </c>
      <c r="G53" s="483">
        <f t="shared" si="21"/>
        <v>75799.155010887538</v>
      </c>
      <c r="H53" s="452">
        <f t="shared" si="22"/>
        <v>75799.155010887538</v>
      </c>
      <c r="I53" s="472">
        <f t="shared" si="0"/>
        <v>0</v>
      </c>
      <c r="J53" s="472"/>
      <c r="K53" s="484"/>
      <c r="L53" s="475">
        <f t="shared" si="2"/>
        <v>0</v>
      </c>
      <c r="M53" s="484"/>
      <c r="N53" s="475">
        <f t="shared" si="4"/>
        <v>0</v>
      </c>
      <c r="O53" s="475">
        <f t="shared" si="5"/>
        <v>0</v>
      </c>
      <c r="P53" s="241"/>
    </row>
    <row r="54" spans="2:16" ht="12.5">
      <c r="B54" s="160" t="str">
        <f t="shared" si="7"/>
        <v/>
      </c>
      <c r="C54" s="469">
        <f>IF(D11="","-",+C53+1)</f>
        <v>2054</v>
      </c>
      <c r="D54" s="480">
        <f>IF(F53+SUM(E$17:E53)=D$10,F53,D$10-SUM(E$17:E53))</f>
        <v>186855.30313466128</v>
      </c>
      <c r="E54" s="481">
        <f t="shared" si="19"/>
        <v>51611.071315789479</v>
      </c>
      <c r="F54" s="482">
        <f t="shared" si="20"/>
        <v>135244.23181887181</v>
      </c>
      <c r="G54" s="483">
        <f t="shared" si="21"/>
        <v>69928.902078246101</v>
      </c>
      <c r="H54" s="452">
        <f t="shared" si="22"/>
        <v>69928.902078246101</v>
      </c>
      <c r="I54" s="472">
        <f t="shared" si="0"/>
        <v>0</v>
      </c>
      <c r="J54" s="472"/>
      <c r="K54" s="484"/>
      <c r="L54" s="475">
        <f t="shared" si="2"/>
        <v>0</v>
      </c>
      <c r="M54" s="484"/>
      <c r="N54" s="475">
        <f t="shared" si="4"/>
        <v>0</v>
      </c>
      <c r="O54" s="475">
        <f t="shared" si="5"/>
        <v>0</v>
      </c>
      <c r="P54" s="241"/>
    </row>
    <row r="55" spans="2:16" ht="12.5">
      <c r="B55" s="160" t="str">
        <f t="shared" si="7"/>
        <v/>
      </c>
      <c r="C55" s="469">
        <f>IF(D11="","-",+C54+1)</f>
        <v>2055</v>
      </c>
      <c r="D55" s="480">
        <f>IF(F54+SUM(E$17:E54)=D$10,F54,D$10-SUM(E$17:E54))</f>
        <v>135244.23181887181</v>
      </c>
      <c r="E55" s="481">
        <f t="shared" si="19"/>
        <v>51611.071315789479</v>
      </c>
      <c r="F55" s="482">
        <f t="shared" si="20"/>
        <v>83633.160503082327</v>
      </c>
      <c r="G55" s="483">
        <f t="shared" si="21"/>
        <v>64058.649145604657</v>
      </c>
      <c r="H55" s="452">
        <f t="shared" si="22"/>
        <v>64058.649145604657</v>
      </c>
      <c r="I55" s="472">
        <f t="shared" si="0"/>
        <v>0</v>
      </c>
      <c r="J55" s="472"/>
      <c r="K55" s="484"/>
      <c r="L55" s="475">
        <f t="shared" si="2"/>
        <v>0</v>
      </c>
      <c r="M55" s="484"/>
      <c r="N55" s="475">
        <f t="shared" si="4"/>
        <v>0</v>
      </c>
      <c r="O55" s="475">
        <f t="shared" si="5"/>
        <v>0</v>
      </c>
      <c r="P55" s="241"/>
    </row>
    <row r="56" spans="2:16" ht="12.5">
      <c r="B56" s="160" t="str">
        <f t="shared" si="7"/>
        <v/>
      </c>
      <c r="C56" s="469">
        <f>IF(D11="","-",+C55+1)</f>
        <v>2056</v>
      </c>
      <c r="D56" s="480">
        <f>IF(F55+SUM(E$17:E55)=D$10,F55,D$10-SUM(E$17:E55))</f>
        <v>83633.160503082327</v>
      </c>
      <c r="E56" s="481">
        <f t="shared" si="19"/>
        <v>51611.071315789479</v>
      </c>
      <c r="F56" s="482">
        <f t="shared" si="20"/>
        <v>32022.089187292848</v>
      </c>
      <c r="G56" s="483">
        <f t="shared" si="21"/>
        <v>58188.396212963213</v>
      </c>
      <c r="H56" s="452">
        <f t="shared" si="22"/>
        <v>58188.396212963213</v>
      </c>
      <c r="I56" s="472">
        <f t="shared" si="0"/>
        <v>0</v>
      </c>
      <c r="J56" s="472"/>
      <c r="K56" s="484"/>
      <c r="L56" s="475">
        <f t="shared" si="2"/>
        <v>0</v>
      </c>
      <c r="M56" s="484"/>
      <c r="N56" s="475">
        <f t="shared" si="4"/>
        <v>0</v>
      </c>
      <c r="O56" s="475">
        <f t="shared" si="5"/>
        <v>0</v>
      </c>
      <c r="P56" s="241"/>
    </row>
    <row r="57" spans="2:16" ht="12.5">
      <c r="B57" s="160" t="str">
        <f t="shared" si="7"/>
        <v/>
      </c>
      <c r="C57" s="469">
        <f>IF(D11="","-",+C56+1)</f>
        <v>2057</v>
      </c>
      <c r="D57" s="480">
        <f>IF(F56+SUM(E$17:E56)=D$10,F56,D$10-SUM(E$17:E56))</f>
        <v>32022.089187292848</v>
      </c>
      <c r="E57" s="481">
        <f t="shared" si="19"/>
        <v>32022.089187292848</v>
      </c>
      <c r="F57" s="482">
        <f t="shared" si="20"/>
        <v>0</v>
      </c>
      <c r="G57" s="483">
        <f t="shared" si="21"/>
        <v>33843.188402719359</v>
      </c>
      <c r="H57" s="452">
        <f t="shared" si="22"/>
        <v>33843.188402719359</v>
      </c>
      <c r="I57" s="472">
        <f t="shared" si="0"/>
        <v>0</v>
      </c>
      <c r="J57" s="472"/>
      <c r="K57" s="484"/>
      <c r="L57" s="475">
        <f t="shared" si="2"/>
        <v>0</v>
      </c>
      <c r="M57" s="484"/>
      <c r="N57" s="475">
        <f t="shared" si="4"/>
        <v>0</v>
      </c>
      <c r="O57" s="475">
        <f t="shared" si="5"/>
        <v>0</v>
      </c>
      <c r="P57" s="241"/>
    </row>
    <row r="58" spans="2:16" ht="12.5">
      <c r="B58" s="160" t="str">
        <f t="shared" si="7"/>
        <v/>
      </c>
      <c r="C58" s="469">
        <f>IF(D11="","-",+C57+1)</f>
        <v>2058</v>
      </c>
      <c r="D58" s="480">
        <f>IF(F57+SUM(E$17:E57)=D$10,F57,D$10-SUM(E$17:E57))</f>
        <v>0</v>
      </c>
      <c r="E58" s="481">
        <f t="shared" si="19"/>
        <v>0</v>
      </c>
      <c r="F58" s="482">
        <f t="shared" si="20"/>
        <v>0</v>
      </c>
      <c r="G58" s="483">
        <f t="shared" si="21"/>
        <v>0</v>
      </c>
      <c r="H58" s="452">
        <f t="shared" si="22"/>
        <v>0</v>
      </c>
      <c r="I58" s="472">
        <f t="shared" si="0"/>
        <v>0</v>
      </c>
      <c r="J58" s="472"/>
      <c r="K58" s="484"/>
      <c r="L58" s="475">
        <f t="shared" si="2"/>
        <v>0</v>
      </c>
      <c r="M58" s="484"/>
      <c r="N58" s="475">
        <f t="shared" si="4"/>
        <v>0</v>
      </c>
      <c r="O58" s="475">
        <f t="shared" si="5"/>
        <v>0</v>
      </c>
      <c r="P58" s="241"/>
    </row>
    <row r="59" spans="2:16" ht="12.5">
      <c r="B59" s="160" t="str">
        <f t="shared" si="7"/>
        <v/>
      </c>
      <c r="C59" s="469">
        <f>IF(D11="","-",+C58+1)</f>
        <v>2059</v>
      </c>
      <c r="D59" s="480">
        <f>IF(F58+SUM(E$17:E58)=D$10,F58,D$10-SUM(E$17:E58))</f>
        <v>0</v>
      </c>
      <c r="E59" s="481">
        <f t="shared" si="19"/>
        <v>0</v>
      </c>
      <c r="F59" s="482">
        <f t="shared" si="20"/>
        <v>0</v>
      </c>
      <c r="G59" s="483">
        <f t="shared" si="21"/>
        <v>0</v>
      </c>
      <c r="H59" s="452">
        <f t="shared" si="22"/>
        <v>0</v>
      </c>
      <c r="I59" s="472">
        <f t="shared" si="0"/>
        <v>0</v>
      </c>
      <c r="J59" s="472"/>
      <c r="K59" s="484"/>
      <c r="L59" s="475">
        <f t="shared" si="2"/>
        <v>0</v>
      </c>
      <c r="M59" s="484"/>
      <c r="N59" s="475">
        <f t="shared" si="4"/>
        <v>0</v>
      </c>
      <c r="O59" s="475">
        <f t="shared" si="5"/>
        <v>0</v>
      </c>
      <c r="P59" s="241"/>
    </row>
    <row r="60" spans="2:16" ht="12.5">
      <c r="B60" s="160" t="str">
        <f t="shared" si="7"/>
        <v/>
      </c>
      <c r="C60" s="469">
        <f>IF(D11="","-",+C59+1)</f>
        <v>2060</v>
      </c>
      <c r="D60" s="480">
        <f>IF(F59+SUM(E$17:E59)=D$10,F59,D$10-SUM(E$17:E59))</f>
        <v>0</v>
      </c>
      <c r="E60" s="481">
        <f t="shared" si="19"/>
        <v>0</v>
      </c>
      <c r="F60" s="482">
        <f t="shared" si="20"/>
        <v>0</v>
      </c>
      <c r="G60" s="483">
        <f t="shared" si="21"/>
        <v>0</v>
      </c>
      <c r="H60" s="452">
        <f t="shared" si="22"/>
        <v>0</v>
      </c>
      <c r="I60" s="472">
        <f t="shared" si="0"/>
        <v>0</v>
      </c>
      <c r="J60" s="472"/>
      <c r="K60" s="484"/>
      <c r="L60" s="475">
        <f t="shared" si="2"/>
        <v>0</v>
      </c>
      <c r="M60" s="484"/>
      <c r="N60" s="475">
        <f t="shared" si="4"/>
        <v>0</v>
      </c>
      <c r="O60" s="475">
        <f t="shared" si="5"/>
        <v>0</v>
      </c>
      <c r="P60" s="241"/>
    </row>
    <row r="61" spans="2:16" ht="12.5">
      <c r="B61" s="160" t="str">
        <f t="shared" si="7"/>
        <v/>
      </c>
      <c r="C61" s="469">
        <f>IF(D11="","-",+C60+1)</f>
        <v>2061</v>
      </c>
      <c r="D61" s="480">
        <f>IF(F60+SUM(E$17:E60)=D$10,F60,D$10-SUM(E$17:E60))</f>
        <v>0</v>
      </c>
      <c r="E61" s="481">
        <f t="shared" si="19"/>
        <v>0</v>
      </c>
      <c r="F61" s="482">
        <f t="shared" si="20"/>
        <v>0</v>
      </c>
      <c r="G61" s="483">
        <f t="shared" si="21"/>
        <v>0</v>
      </c>
      <c r="H61" s="452">
        <f t="shared" si="22"/>
        <v>0</v>
      </c>
      <c r="I61" s="472">
        <f t="shared" si="0"/>
        <v>0</v>
      </c>
      <c r="J61" s="472"/>
      <c r="K61" s="484"/>
      <c r="L61" s="475">
        <f t="shared" si="2"/>
        <v>0</v>
      </c>
      <c r="M61" s="484"/>
      <c r="N61" s="475">
        <f t="shared" si="4"/>
        <v>0</v>
      </c>
      <c r="O61" s="475">
        <f t="shared" si="5"/>
        <v>0</v>
      </c>
      <c r="P61" s="241"/>
    </row>
    <row r="62" spans="2:16" ht="12.5">
      <c r="B62" s="160" t="str">
        <f t="shared" si="7"/>
        <v/>
      </c>
      <c r="C62" s="469">
        <f>IF(D11="","-",+C61+1)</f>
        <v>2062</v>
      </c>
      <c r="D62" s="480">
        <f>IF(F61+SUM(E$17:E61)=D$10,F61,D$10-SUM(E$17:E61))</f>
        <v>0</v>
      </c>
      <c r="E62" s="481">
        <f t="shared" si="19"/>
        <v>0</v>
      </c>
      <c r="F62" s="482">
        <f t="shared" si="20"/>
        <v>0</v>
      </c>
      <c r="G62" s="483">
        <f t="shared" si="21"/>
        <v>0</v>
      </c>
      <c r="H62" s="452">
        <f t="shared" si="22"/>
        <v>0</v>
      </c>
      <c r="I62" s="472">
        <f t="shared" si="0"/>
        <v>0</v>
      </c>
      <c r="J62" s="472"/>
      <c r="K62" s="484"/>
      <c r="L62" s="475">
        <f t="shared" si="2"/>
        <v>0</v>
      </c>
      <c r="M62" s="484"/>
      <c r="N62" s="475">
        <f t="shared" si="4"/>
        <v>0</v>
      </c>
      <c r="O62" s="475">
        <f t="shared" si="5"/>
        <v>0</v>
      </c>
      <c r="P62" s="241"/>
    </row>
    <row r="63" spans="2:16" ht="12.5">
      <c r="B63" s="160" t="str">
        <f t="shared" si="7"/>
        <v/>
      </c>
      <c r="C63" s="469">
        <f>IF(D11="","-",+C62+1)</f>
        <v>2063</v>
      </c>
      <c r="D63" s="480">
        <f>IF(F62+SUM(E$17:E62)=D$10,F62,D$10-SUM(E$17:E62))</f>
        <v>0</v>
      </c>
      <c r="E63" s="481">
        <f t="shared" si="19"/>
        <v>0</v>
      </c>
      <c r="F63" s="482">
        <f t="shared" si="20"/>
        <v>0</v>
      </c>
      <c r="G63" s="483">
        <f t="shared" si="21"/>
        <v>0</v>
      </c>
      <c r="H63" s="452">
        <f t="shared" si="22"/>
        <v>0</v>
      </c>
      <c r="I63" s="472">
        <f t="shared" si="0"/>
        <v>0</v>
      </c>
      <c r="J63" s="472"/>
      <c r="K63" s="484"/>
      <c r="L63" s="475">
        <f t="shared" si="2"/>
        <v>0</v>
      </c>
      <c r="M63" s="484"/>
      <c r="N63" s="475">
        <f t="shared" si="4"/>
        <v>0</v>
      </c>
      <c r="O63" s="475">
        <f t="shared" si="5"/>
        <v>0</v>
      </c>
      <c r="P63" s="241"/>
    </row>
    <row r="64" spans="2:16" ht="12.5">
      <c r="B64" s="160" t="str">
        <f t="shared" si="7"/>
        <v/>
      </c>
      <c r="C64" s="469">
        <f>IF(D11="","-",+C63+1)</f>
        <v>2064</v>
      </c>
      <c r="D64" s="480">
        <f>IF(F63+SUM(E$17:E63)=D$10,F63,D$10-SUM(E$17:E63))</f>
        <v>0</v>
      </c>
      <c r="E64" s="481">
        <f t="shared" si="19"/>
        <v>0</v>
      </c>
      <c r="F64" s="482">
        <f t="shared" si="20"/>
        <v>0</v>
      </c>
      <c r="G64" s="483">
        <f t="shared" si="21"/>
        <v>0</v>
      </c>
      <c r="H64" s="452">
        <f t="shared" si="22"/>
        <v>0</v>
      </c>
      <c r="I64" s="472">
        <f t="shared" si="0"/>
        <v>0</v>
      </c>
      <c r="J64" s="472"/>
      <c r="K64" s="484"/>
      <c r="L64" s="475">
        <f t="shared" si="2"/>
        <v>0</v>
      </c>
      <c r="M64" s="484"/>
      <c r="N64" s="475">
        <f t="shared" si="4"/>
        <v>0</v>
      </c>
      <c r="O64" s="475">
        <f t="shared" si="5"/>
        <v>0</v>
      </c>
      <c r="P64" s="241"/>
    </row>
    <row r="65" spans="2:16" ht="12.5">
      <c r="B65" s="160" t="str">
        <f t="shared" si="7"/>
        <v/>
      </c>
      <c r="C65" s="469">
        <f>IF(D11="","-",+C64+1)</f>
        <v>2065</v>
      </c>
      <c r="D65" s="480">
        <f>IF(F64+SUM(E$17:E64)=D$10,F64,D$10-SUM(E$17:E64))</f>
        <v>0</v>
      </c>
      <c r="E65" s="481">
        <f t="shared" si="19"/>
        <v>0</v>
      </c>
      <c r="F65" s="482">
        <f t="shared" si="20"/>
        <v>0</v>
      </c>
      <c r="G65" s="483">
        <f t="shared" si="21"/>
        <v>0</v>
      </c>
      <c r="H65" s="452">
        <f t="shared" si="22"/>
        <v>0</v>
      </c>
      <c r="I65" s="472">
        <f t="shared" si="0"/>
        <v>0</v>
      </c>
      <c r="J65" s="472"/>
      <c r="K65" s="484"/>
      <c r="L65" s="475">
        <f t="shared" si="2"/>
        <v>0</v>
      </c>
      <c r="M65" s="484"/>
      <c r="N65" s="475">
        <f t="shared" si="4"/>
        <v>0</v>
      </c>
      <c r="O65" s="475">
        <f t="shared" si="5"/>
        <v>0</v>
      </c>
      <c r="P65" s="241"/>
    </row>
    <row r="66" spans="2:16" ht="12.5">
      <c r="B66" s="160" t="str">
        <f t="shared" si="7"/>
        <v/>
      </c>
      <c r="C66" s="469">
        <f>IF(D11="","-",+C65+1)</f>
        <v>2066</v>
      </c>
      <c r="D66" s="480">
        <f>IF(F65+SUM(E$17:E65)=D$10,F65,D$10-SUM(E$17:E65))</f>
        <v>0</v>
      </c>
      <c r="E66" s="481">
        <f t="shared" si="19"/>
        <v>0</v>
      </c>
      <c r="F66" s="482">
        <f t="shared" si="20"/>
        <v>0</v>
      </c>
      <c r="G66" s="483">
        <f t="shared" si="21"/>
        <v>0</v>
      </c>
      <c r="H66" s="452">
        <f t="shared" si="22"/>
        <v>0</v>
      </c>
      <c r="I66" s="472">
        <f t="shared" si="0"/>
        <v>0</v>
      </c>
      <c r="J66" s="472"/>
      <c r="K66" s="484"/>
      <c r="L66" s="475">
        <f t="shared" si="2"/>
        <v>0</v>
      </c>
      <c r="M66" s="484"/>
      <c r="N66" s="475">
        <f t="shared" si="4"/>
        <v>0</v>
      </c>
      <c r="O66" s="475">
        <f t="shared" si="5"/>
        <v>0</v>
      </c>
      <c r="P66" s="241"/>
    </row>
    <row r="67" spans="2:16" ht="12.5">
      <c r="B67" s="160" t="str">
        <f t="shared" si="7"/>
        <v/>
      </c>
      <c r="C67" s="469">
        <f>IF(D11="","-",+C66+1)</f>
        <v>2067</v>
      </c>
      <c r="D67" s="480">
        <f>IF(F66+SUM(E$17:E66)=D$10,F66,D$10-SUM(E$17:E66))</f>
        <v>0</v>
      </c>
      <c r="E67" s="481">
        <f t="shared" si="19"/>
        <v>0</v>
      </c>
      <c r="F67" s="482">
        <f t="shared" si="20"/>
        <v>0</v>
      </c>
      <c r="G67" s="483">
        <f t="shared" si="21"/>
        <v>0</v>
      </c>
      <c r="H67" s="452">
        <f t="shared" si="22"/>
        <v>0</v>
      </c>
      <c r="I67" s="472">
        <f t="shared" si="0"/>
        <v>0</v>
      </c>
      <c r="J67" s="472"/>
      <c r="K67" s="484"/>
      <c r="L67" s="475">
        <f t="shared" si="2"/>
        <v>0</v>
      </c>
      <c r="M67" s="484"/>
      <c r="N67" s="475">
        <f t="shared" si="4"/>
        <v>0</v>
      </c>
      <c r="O67" s="475">
        <f t="shared" si="5"/>
        <v>0</v>
      </c>
      <c r="P67" s="241"/>
    </row>
    <row r="68" spans="2:16" ht="12.5">
      <c r="B68" s="160" t="str">
        <f t="shared" si="7"/>
        <v/>
      </c>
      <c r="C68" s="469">
        <f>IF(D11="","-",+C67+1)</f>
        <v>2068</v>
      </c>
      <c r="D68" s="480">
        <f>IF(F67+SUM(E$17:E67)=D$10,F67,D$10-SUM(E$17:E67))</f>
        <v>0</v>
      </c>
      <c r="E68" s="481">
        <f t="shared" si="19"/>
        <v>0</v>
      </c>
      <c r="F68" s="482">
        <f t="shared" si="20"/>
        <v>0</v>
      </c>
      <c r="G68" s="483">
        <f t="shared" si="21"/>
        <v>0</v>
      </c>
      <c r="H68" s="452">
        <f t="shared" si="22"/>
        <v>0</v>
      </c>
      <c r="I68" s="472">
        <f t="shared" si="0"/>
        <v>0</v>
      </c>
      <c r="J68" s="472"/>
      <c r="K68" s="484"/>
      <c r="L68" s="475">
        <f t="shared" si="2"/>
        <v>0</v>
      </c>
      <c r="M68" s="484"/>
      <c r="N68" s="475">
        <f t="shared" si="4"/>
        <v>0</v>
      </c>
      <c r="O68" s="475">
        <f t="shared" si="5"/>
        <v>0</v>
      </c>
      <c r="P68" s="241"/>
    </row>
    <row r="69" spans="2:16" ht="12.5">
      <c r="B69" s="160" t="str">
        <f t="shared" si="7"/>
        <v/>
      </c>
      <c r="C69" s="469">
        <f>IF(D11="","-",+C68+1)</f>
        <v>2069</v>
      </c>
      <c r="D69" s="480">
        <f>IF(F68+SUM(E$17:E68)=D$10,F68,D$10-SUM(E$17:E68))</f>
        <v>0</v>
      </c>
      <c r="E69" s="481">
        <f t="shared" si="19"/>
        <v>0</v>
      </c>
      <c r="F69" s="482">
        <f t="shared" si="20"/>
        <v>0</v>
      </c>
      <c r="G69" s="483">
        <f t="shared" si="21"/>
        <v>0</v>
      </c>
      <c r="H69" s="452">
        <f t="shared" si="22"/>
        <v>0</v>
      </c>
      <c r="I69" s="472">
        <f t="shared" si="0"/>
        <v>0</v>
      </c>
      <c r="J69" s="472"/>
      <c r="K69" s="484"/>
      <c r="L69" s="475">
        <f t="shared" si="2"/>
        <v>0</v>
      </c>
      <c r="M69" s="484"/>
      <c r="N69" s="475">
        <f t="shared" si="4"/>
        <v>0</v>
      </c>
      <c r="O69" s="475">
        <f t="shared" si="5"/>
        <v>0</v>
      </c>
      <c r="P69" s="241"/>
    </row>
    <row r="70" spans="2:16" ht="12.5">
      <c r="B70" s="160" t="str">
        <f t="shared" si="7"/>
        <v/>
      </c>
      <c r="C70" s="469">
        <f>IF(D11="","-",+C69+1)</f>
        <v>2070</v>
      </c>
      <c r="D70" s="480">
        <f>IF(F69+SUM(E$17:E69)=D$10,F69,D$10-SUM(E$17:E69))</f>
        <v>0</v>
      </c>
      <c r="E70" s="481">
        <f t="shared" si="19"/>
        <v>0</v>
      </c>
      <c r="F70" s="482">
        <f t="shared" si="20"/>
        <v>0</v>
      </c>
      <c r="G70" s="483">
        <f t="shared" si="21"/>
        <v>0</v>
      </c>
      <c r="H70" s="452">
        <f t="shared" si="22"/>
        <v>0</v>
      </c>
      <c r="I70" s="472">
        <f t="shared" si="0"/>
        <v>0</v>
      </c>
      <c r="J70" s="472"/>
      <c r="K70" s="484"/>
      <c r="L70" s="475">
        <f t="shared" si="2"/>
        <v>0</v>
      </c>
      <c r="M70" s="484"/>
      <c r="N70" s="475">
        <f t="shared" si="4"/>
        <v>0</v>
      </c>
      <c r="O70" s="475">
        <f t="shared" si="5"/>
        <v>0</v>
      </c>
      <c r="P70" s="241"/>
    </row>
    <row r="71" spans="2:16" ht="12.5">
      <c r="B71" s="160" t="str">
        <f t="shared" si="7"/>
        <v/>
      </c>
      <c r="C71" s="469">
        <f>IF(D11="","-",+C70+1)</f>
        <v>2071</v>
      </c>
      <c r="D71" s="480">
        <f>IF(F70+SUM(E$17:E70)=D$10,F70,D$10-SUM(E$17:E70))</f>
        <v>0</v>
      </c>
      <c r="E71" s="481">
        <f t="shared" si="19"/>
        <v>0</v>
      </c>
      <c r="F71" s="482">
        <f t="shared" si="20"/>
        <v>0</v>
      </c>
      <c r="G71" s="483">
        <f t="shared" si="21"/>
        <v>0</v>
      </c>
      <c r="H71" s="452">
        <f t="shared" si="22"/>
        <v>0</v>
      </c>
      <c r="I71" s="472">
        <f t="shared" si="0"/>
        <v>0</v>
      </c>
      <c r="J71" s="472"/>
      <c r="K71" s="484"/>
      <c r="L71" s="475">
        <f t="shared" si="2"/>
        <v>0</v>
      </c>
      <c r="M71" s="484"/>
      <c r="N71" s="475">
        <f t="shared" si="4"/>
        <v>0</v>
      </c>
      <c r="O71" s="475">
        <f t="shared" si="5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2072</v>
      </c>
      <c r="D72" s="608">
        <f>IF(F71+SUM(E$17:E71)=D$10,F71,D$10-SUM(E$17:E71))</f>
        <v>0</v>
      </c>
      <c r="E72" s="488">
        <f t="shared" si="19"/>
        <v>0</v>
      </c>
      <c r="F72" s="487">
        <f t="shared" si="20"/>
        <v>0</v>
      </c>
      <c r="G72" s="541">
        <f t="shared" si="21"/>
        <v>0</v>
      </c>
      <c r="H72" s="432">
        <f t="shared" si="22"/>
        <v>0</v>
      </c>
      <c r="I72" s="490">
        <f t="shared" si="0"/>
        <v>0</v>
      </c>
      <c r="J72" s="472"/>
      <c r="K72" s="491"/>
      <c r="L72" s="492">
        <f t="shared" si="2"/>
        <v>0</v>
      </c>
      <c r="M72" s="491"/>
      <c r="N72" s="492">
        <f t="shared" si="4"/>
        <v>0</v>
      </c>
      <c r="O72" s="492">
        <f t="shared" si="5"/>
        <v>0</v>
      </c>
      <c r="P72" s="241"/>
    </row>
    <row r="73" spans="2:16" ht="12.5">
      <c r="C73" s="344" t="s">
        <v>77</v>
      </c>
      <c r="D73" s="345"/>
      <c r="E73" s="345">
        <f>SUM(E17:E72)</f>
        <v>1961220.7100000004</v>
      </c>
      <c r="F73" s="345"/>
      <c r="G73" s="345">
        <f>SUM(G17:G72)</f>
        <v>6318308.6245744489</v>
      </c>
      <c r="H73" s="345">
        <f>SUM(H17:H72)</f>
        <v>6318308.6245744489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20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254238.76371974818</v>
      </c>
      <c r="N87" s="505">
        <f>IF(J92&lt;D11,0,VLOOKUP(J92,C17:O72,11))</f>
        <v>254238.76371974818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278909.9843318999</v>
      </c>
      <c r="N88" s="509">
        <f>IF(J92&lt;D11,0,VLOOKUP(J92,C99:P154,7))</f>
        <v>278909.9843318999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Sayre 138 kV Capacitor Bank Addition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24671.220612151723</v>
      </c>
      <c r="N89" s="514">
        <f>+N88-N87</f>
        <v>24671.220612151723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TP2015202</v>
      </c>
      <c r="E91" s="519" t="str">
        <f>E9</f>
        <v xml:space="preserve">  SPP Project ID = 30997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1961220.7100000002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2018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12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51611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2018</v>
      </c>
      <c r="D99" s="581">
        <v>0</v>
      </c>
      <c r="E99" s="604">
        <v>0</v>
      </c>
      <c r="F99" s="581">
        <v>1140000</v>
      </c>
      <c r="G99" s="604">
        <v>570000</v>
      </c>
      <c r="H99" s="584">
        <v>72305.937255510624</v>
      </c>
      <c r="I99" s="603">
        <v>72305.937255510624</v>
      </c>
      <c r="J99" s="475">
        <f t="shared" ref="J99:J130" si="23">+I99-H99</f>
        <v>0</v>
      </c>
      <c r="K99" s="475"/>
      <c r="L99" s="474">
        <f>+H99</f>
        <v>72305.937255510624</v>
      </c>
      <c r="M99" s="474">
        <f t="shared" ref="M99:M130" si="24">IF(L99&lt;&gt;0,+H99-L99,0)</f>
        <v>0</v>
      </c>
      <c r="N99" s="474">
        <f>+I99</f>
        <v>72305.937255510624</v>
      </c>
      <c r="O99" s="474">
        <f t="shared" ref="O99:O130" si="25">IF(N99&lt;&gt;0,+I99-N99,0)</f>
        <v>0</v>
      </c>
      <c r="P99" s="474">
        <f t="shared" ref="P99:P130" si="26">+O99-M99</f>
        <v>0</v>
      </c>
    </row>
    <row r="100" spans="1:16" ht="12.5">
      <c r="B100" s="160" t="str">
        <f>IF(D100=F99,"","IU")</f>
        <v>IU</v>
      </c>
      <c r="C100" s="469">
        <f>IF(D93="","-",+C99+1)</f>
        <v>2019</v>
      </c>
      <c r="D100" s="581">
        <v>1961221</v>
      </c>
      <c r="E100" s="582">
        <v>47835</v>
      </c>
      <c r="F100" s="583">
        <v>1913386</v>
      </c>
      <c r="G100" s="583">
        <v>1937303.5</v>
      </c>
      <c r="H100" s="602">
        <v>247598.16362509641</v>
      </c>
      <c r="I100" s="603">
        <v>247598.16362509641</v>
      </c>
      <c r="J100" s="475">
        <f t="shared" si="23"/>
        <v>0</v>
      </c>
      <c r="K100" s="475"/>
      <c r="L100" s="473">
        <f>H100</f>
        <v>247598.16362509641</v>
      </c>
      <c r="M100" s="346">
        <f>IF(L100&lt;&gt;0,+H100-L100,0)</f>
        <v>0</v>
      </c>
      <c r="N100" s="473">
        <f>I100</f>
        <v>247598.16362509641</v>
      </c>
      <c r="O100" s="472">
        <f>IF(N100&lt;&gt;0,+I100-N100,0)</f>
        <v>0</v>
      </c>
      <c r="P100" s="475">
        <f>+O100-M100</f>
        <v>0</v>
      </c>
    </row>
    <row r="101" spans="1:16" ht="12.5">
      <c r="B101" s="160" t="str">
        <f t="shared" ref="B101:B154" si="27">IF(D101=F100,"","IU")</f>
        <v/>
      </c>
      <c r="C101" s="469">
        <f>IF(D93="","-",+C100+1)</f>
        <v>2020</v>
      </c>
      <c r="D101" s="581">
        <v>1913386</v>
      </c>
      <c r="E101" s="582">
        <v>45610</v>
      </c>
      <c r="F101" s="583">
        <v>1867776</v>
      </c>
      <c r="G101" s="583">
        <v>1890581</v>
      </c>
      <c r="H101" s="602">
        <v>263588.79157611891</v>
      </c>
      <c r="I101" s="603">
        <v>263588.79157611891</v>
      </c>
      <c r="J101" s="475">
        <f t="shared" si="23"/>
        <v>0</v>
      </c>
      <c r="K101" s="475"/>
      <c r="L101" s="473">
        <f>H101</f>
        <v>263588.79157611891</v>
      </c>
      <c r="M101" s="346">
        <f>IF(L101&lt;&gt;0,+H101-L101,0)</f>
        <v>0</v>
      </c>
      <c r="N101" s="473">
        <f>I101</f>
        <v>263588.79157611891</v>
      </c>
      <c r="O101" s="475">
        <f t="shared" si="25"/>
        <v>0</v>
      </c>
      <c r="P101" s="475">
        <f t="shared" si="26"/>
        <v>0</v>
      </c>
    </row>
    <row r="102" spans="1:16" ht="12.5">
      <c r="B102" s="160" t="str">
        <f t="shared" si="27"/>
        <v/>
      </c>
      <c r="C102" s="469">
        <f>IF(D93="","-",+C101+1)</f>
        <v>2021</v>
      </c>
      <c r="D102" s="581">
        <v>1867776</v>
      </c>
      <c r="E102" s="582">
        <v>47835</v>
      </c>
      <c r="F102" s="583">
        <v>1819941</v>
      </c>
      <c r="G102" s="583">
        <v>1843858.5</v>
      </c>
      <c r="H102" s="602">
        <v>257652.80866980529</v>
      </c>
      <c r="I102" s="603">
        <v>257652.80866980529</v>
      </c>
      <c r="J102" s="475">
        <f t="shared" si="23"/>
        <v>0</v>
      </c>
      <c r="K102" s="475"/>
      <c r="L102" s="473">
        <f>H102</f>
        <v>257652.80866980529</v>
      </c>
      <c r="M102" s="346">
        <f>IF(L102&lt;&gt;0,+H102-L102,0)</f>
        <v>0</v>
      </c>
      <c r="N102" s="473">
        <f>I102</f>
        <v>257652.80866980529</v>
      </c>
      <c r="O102" s="475">
        <f t="shared" si="25"/>
        <v>0</v>
      </c>
      <c r="P102" s="475">
        <f t="shared" si="26"/>
        <v>0</v>
      </c>
    </row>
    <row r="103" spans="1:16" ht="12.5">
      <c r="B103" s="160" t="str">
        <f t="shared" si="27"/>
        <v/>
      </c>
      <c r="C103" s="469">
        <f>IF(D93="","-",+C102+1)</f>
        <v>2022</v>
      </c>
      <c r="D103" s="581">
        <v>1819941</v>
      </c>
      <c r="E103" s="582">
        <v>50288</v>
      </c>
      <c r="F103" s="583">
        <v>1769653</v>
      </c>
      <c r="G103" s="583">
        <v>1794797</v>
      </c>
      <c r="H103" s="602">
        <v>248043.4948332576</v>
      </c>
      <c r="I103" s="603">
        <v>248043.4948332576</v>
      </c>
      <c r="J103" s="475">
        <f t="shared" si="23"/>
        <v>0</v>
      </c>
      <c r="K103" s="475"/>
      <c r="L103" s="473">
        <f>H103</f>
        <v>248043.4948332576</v>
      </c>
      <c r="M103" s="346">
        <f>IF(L103&lt;&gt;0,+H103-L103,0)</f>
        <v>0</v>
      </c>
      <c r="N103" s="473">
        <f>I103</f>
        <v>248043.4948332576</v>
      </c>
      <c r="O103" s="475">
        <f t="shared" ref="O103" si="28">IF(N103&lt;&gt;0,+I103-N103,0)</f>
        <v>0</v>
      </c>
      <c r="P103" s="475">
        <f t="shared" ref="P103" si="29">+O103-M103</f>
        <v>0</v>
      </c>
    </row>
    <row r="104" spans="1:16" ht="12.5">
      <c r="B104" s="160" t="str">
        <f t="shared" si="27"/>
        <v>IU</v>
      </c>
      <c r="C104" s="469">
        <f>IF(D93="","-",+C103+1)</f>
        <v>2023</v>
      </c>
      <c r="D104" s="581">
        <v>1769652.7100000002</v>
      </c>
      <c r="E104" s="582">
        <v>51611</v>
      </c>
      <c r="F104" s="583">
        <v>1718041.7100000002</v>
      </c>
      <c r="G104" s="583">
        <v>1743847.2100000002</v>
      </c>
      <c r="H104" s="602">
        <v>250805.52777728185</v>
      </c>
      <c r="I104" s="603">
        <v>250805.52777728185</v>
      </c>
      <c r="J104" s="475">
        <f t="shared" si="23"/>
        <v>0</v>
      </c>
      <c r="K104" s="475"/>
      <c r="L104" s="473">
        <f>H104</f>
        <v>250805.52777728185</v>
      </c>
      <c r="M104" s="346">
        <f>IF(L104&lt;&gt;0,+H104-L104,0)</f>
        <v>0</v>
      </c>
      <c r="N104" s="473">
        <f>I104</f>
        <v>250805.52777728185</v>
      </c>
      <c r="O104" s="475">
        <f t="shared" ref="O104" si="30">IF(N104&lt;&gt;0,+I104-N104,0)</f>
        <v>0</v>
      </c>
      <c r="P104" s="475">
        <f t="shared" ref="P104" si="31">+O104-M104</f>
        <v>0</v>
      </c>
    </row>
    <row r="105" spans="1:16" ht="12.5">
      <c r="B105" s="160" t="str">
        <f t="shared" si="27"/>
        <v/>
      </c>
      <c r="C105" s="469">
        <f>IF(D93="","-",+C104+1)</f>
        <v>2024</v>
      </c>
      <c r="D105" s="344">
        <f>IF(F104+SUM(E$99:E104)=D$92,F104,D$92-SUM(E$99:E104))</f>
        <v>1718041.7100000002</v>
      </c>
      <c r="E105" s="481">
        <f t="shared" ref="E105:E154" si="32">IF(+J$96&lt;F104,J$96,D105)</f>
        <v>51611</v>
      </c>
      <c r="F105" s="482">
        <f t="shared" ref="F105:F154" si="33">+D105-E105</f>
        <v>1666430.7100000002</v>
      </c>
      <c r="G105" s="482">
        <f t="shared" ref="G105:G154" si="34">+(F105+D105)/2</f>
        <v>1692236.2100000002</v>
      </c>
      <c r="H105" s="483">
        <f t="shared" ref="H105:H153" si="35">(D105+F105)/2*J$94+E105</f>
        <v>278909.9843318999</v>
      </c>
      <c r="I105" s="539">
        <f t="shared" ref="I105:I153" si="36">+J$95*G105+E105</f>
        <v>278909.9843318999</v>
      </c>
      <c r="J105" s="475">
        <f t="shared" si="23"/>
        <v>0</v>
      </c>
      <c r="K105" s="475"/>
      <c r="L105" s="484"/>
      <c r="M105" s="475">
        <f t="shared" si="24"/>
        <v>0</v>
      </c>
      <c r="N105" s="484"/>
      <c r="O105" s="475">
        <f t="shared" si="25"/>
        <v>0</v>
      </c>
      <c r="P105" s="475">
        <f t="shared" si="26"/>
        <v>0</v>
      </c>
    </row>
    <row r="106" spans="1:16" ht="12.5">
      <c r="B106" s="160" t="str">
        <f t="shared" si="27"/>
        <v/>
      </c>
      <c r="C106" s="469">
        <f>IF(D93="","-",+C105+1)</f>
        <v>2025</v>
      </c>
      <c r="D106" s="344">
        <f>IF(F105+SUM(E$99:E105)=D$92,F105,D$92-SUM(E$99:E105))</f>
        <v>1666430.7100000002</v>
      </c>
      <c r="E106" s="481">
        <f t="shared" si="32"/>
        <v>51611</v>
      </c>
      <c r="F106" s="482">
        <f t="shared" si="33"/>
        <v>1614819.7100000002</v>
      </c>
      <c r="G106" s="482">
        <f t="shared" si="34"/>
        <v>1640625.2100000002</v>
      </c>
      <c r="H106" s="483">
        <f t="shared" si="35"/>
        <v>271977.66140261234</v>
      </c>
      <c r="I106" s="539">
        <f t="shared" si="36"/>
        <v>271977.66140261234</v>
      </c>
      <c r="J106" s="475">
        <f t="shared" si="23"/>
        <v>0</v>
      </c>
      <c r="K106" s="475"/>
      <c r="L106" s="484"/>
      <c r="M106" s="475">
        <f t="shared" si="24"/>
        <v>0</v>
      </c>
      <c r="N106" s="484"/>
      <c r="O106" s="475">
        <f t="shared" si="25"/>
        <v>0</v>
      </c>
      <c r="P106" s="475">
        <f t="shared" si="26"/>
        <v>0</v>
      </c>
    </row>
    <row r="107" spans="1:16" ht="12.5">
      <c r="B107" s="160" t="str">
        <f t="shared" si="27"/>
        <v/>
      </c>
      <c r="C107" s="469">
        <f>IF(D93="","-",+C106+1)</f>
        <v>2026</v>
      </c>
      <c r="D107" s="344">
        <f>IF(F106+SUM(E$99:E106)=D$92,F106,D$92-SUM(E$99:E106))</f>
        <v>1614819.7100000002</v>
      </c>
      <c r="E107" s="481">
        <f t="shared" si="32"/>
        <v>51611</v>
      </c>
      <c r="F107" s="482">
        <f t="shared" si="33"/>
        <v>1563208.7100000002</v>
      </c>
      <c r="G107" s="482">
        <f t="shared" si="34"/>
        <v>1589014.2100000002</v>
      </c>
      <c r="H107" s="483">
        <f t="shared" si="35"/>
        <v>265045.33847332478</v>
      </c>
      <c r="I107" s="539">
        <f t="shared" si="36"/>
        <v>265045.33847332478</v>
      </c>
      <c r="J107" s="475">
        <f t="shared" si="23"/>
        <v>0</v>
      </c>
      <c r="K107" s="475"/>
      <c r="L107" s="484"/>
      <c r="M107" s="475">
        <f t="shared" si="24"/>
        <v>0</v>
      </c>
      <c r="N107" s="484"/>
      <c r="O107" s="475">
        <f t="shared" si="25"/>
        <v>0</v>
      </c>
      <c r="P107" s="475">
        <f t="shared" si="26"/>
        <v>0</v>
      </c>
    </row>
    <row r="108" spans="1:16" ht="12.5">
      <c r="B108" s="160" t="str">
        <f t="shared" si="27"/>
        <v/>
      </c>
      <c r="C108" s="469">
        <f>IF(D93="","-",+C107+1)</f>
        <v>2027</v>
      </c>
      <c r="D108" s="344">
        <f>IF(F107+SUM(E$99:E107)=D$92,F107,D$92-SUM(E$99:E107))</f>
        <v>1563208.7100000002</v>
      </c>
      <c r="E108" s="481">
        <f t="shared" si="32"/>
        <v>51611</v>
      </c>
      <c r="F108" s="482">
        <f t="shared" si="33"/>
        <v>1511597.7100000002</v>
      </c>
      <c r="G108" s="482">
        <f t="shared" si="34"/>
        <v>1537403.2100000002</v>
      </c>
      <c r="H108" s="483">
        <f t="shared" si="35"/>
        <v>258113.01554403722</v>
      </c>
      <c r="I108" s="539">
        <f t="shared" si="36"/>
        <v>258113.01554403722</v>
      </c>
      <c r="J108" s="475">
        <f t="shared" si="23"/>
        <v>0</v>
      </c>
      <c r="K108" s="475"/>
      <c r="L108" s="484"/>
      <c r="M108" s="475">
        <f t="shared" si="24"/>
        <v>0</v>
      </c>
      <c r="N108" s="484"/>
      <c r="O108" s="475">
        <f t="shared" si="25"/>
        <v>0</v>
      </c>
      <c r="P108" s="475">
        <f t="shared" si="26"/>
        <v>0</v>
      </c>
    </row>
    <row r="109" spans="1:16" ht="12.5">
      <c r="B109" s="160" t="str">
        <f t="shared" si="27"/>
        <v/>
      </c>
      <c r="C109" s="469">
        <f>IF(D93="","-",+C108+1)</f>
        <v>2028</v>
      </c>
      <c r="D109" s="344">
        <f>IF(F108+SUM(E$99:E108)=D$92,F108,D$92-SUM(E$99:E108))</f>
        <v>1511597.7100000002</v>
      </c>
      <c r="E109" s="481">
        <f t="shared" si="32"/>
        <v>51611</v>
      </c>
      <c r="F109" s="482">
        <f t="shared" si="33"/>
        <v>1459986.7100000002</v>
      </c>
      <c r="G109" s="482">
        <f t="shared" si="34"/>
        <v>1485792.2100000002</v>
      </c>
      <c r="H109" s="483">
        <f t="shared" si="35"/>
        <v>251180.69261474966</v>
      </c>
      <c r="I109" s="539">
        <f t="shared" si="36"/>
        <v>251180.69261474966</v>
      </c>
      <c r="J109" s="475">
        <f t="shared" si="23"/>
        <v>0</v>
      </c>
      <c r="K109" s="475"/>
      <c r="L109" s="484"/>
      <c r="M109" s="475">
        <f t="shared" si="24"/>
        <v>0</v>
      </c>
      <c r="N109" s="484"/>
      <c r="O109" s="475">
        <f t="shared" si="25"/>
        <v>0</v>
      </c>
      <c r="P109" s="475">
        <f t="shared" si="26"/>
        <v>0</v>
      </c>
    </row>
    <row r="110" spans="1:16" ht="12.5">
      <c r="B110" s="160" t="str">
        <f t="shared" si="27"/>
        <v/>
      </c>
      <c r="C110" s="469">
        <f>IF(D93="","-",+C109+1)</f>
        <v>2029</v>
      </c>
      <c r="D110" s="344">
        <f>IF(F109+SUM(E$99:E109)=D$92,F109,D$92-SUM(E$99:E109))</f>
        <v>1459986.7100000002</v>
      </c>
      <c r="E110" s="481">
        <f t="shared" si="32"/>
        <v>51611</v>
      </c>
      <c r="F110" s="482">
        <f t="shared" si="33"/>
        <v>1408375.7100000002</v>
      </c>
      <c r="G110" s="482">
        <f t="shared" si="34"/>
        <v>1434181.2100000002</v>
      </c>
      <c r="H110" s="483">
        <f t="shared" si="35"/>
        <v>244248.36968546209</v>
      </c>
      <c r="I110" s="539">
        <f t="shared" si="36"/>
        <v>244248.36968546209</v>
      </c>
      <c r="J110" s="475">
        <f t="shared" si="23"/>
        <v>0</v>
      </c>
      <c r="K110" s="475"/>
      <c r="L110" s="484"/>
      <c r="M110" s="475">
        <f t="shared" si="24"/>
        <v>0</v>
      </c>
      <c r="N110" s="484"/>
      <c r="O110" s="475">
        <f t="shared" si="25"/>
        <v>0</v>
      </c>
      <c r="P110" s="475">
        <f t="shared" si="26"/>
        <v>0</v>
      </c>
    </row>
    <row r="111" spans="1:16" ht="12.5">
      <c r="B111" s="160" t="str">
        <f t="shared" si="27"/>
        <v/>
      </c>
      <c r="C111" s="469">
        <f>IF(D93="","-",+C110+1)</f>
        <v>2030</v>
      </c>
      <c r="D111" s="344">
        <f>IF(F110+SUM(E$99:E110)=D$92,F110,D$92-SUM(E$99:E110))</f>
        <v>1408375.7100000002</v>
      </c>
      <c r="E111" s="481">
        <f t="shared" si="32"/>
        <v>51611</v>
      </c>
      <c r="F111" s="482">
        <f t="shared" si="33"/>
        <v>1356764.7100000002</v>
      </c>
      <c r="G111" s="482">
        <f t="shared" si="34"/>
        <v>1382570.2100000002</v>
      </c>
      <c r="H111" s="483">
        <f t="shared" si="35"/>
        <v>237316.0467561745</v>
      </c>
      <c r="I111" s="539">
        <f t="shared" si="36"/>
        <v>237316.0467561745</v>
      </c>
      <c r="J111" s="475">
        <f t="shared" si="23"/>
        <v>0</v>
      </c>
      <c r="K111" s="475"/>
      <c r="L111" s="484"/>
      <c r="M111" s="475">
        <f t="shared" si="24"/>
        <v>0</v>
      </c>
      <c r="N111" s="484"/>
      <c r="O111" s="475">
        <f t="shared" si="25"/>
        <v>0</v>
      </c>
      <c r="P111" s="475">
        <f t="shared" si="26"/>
        <v>0</v>
      </c>
    </row>
    <row r="112" spans="1:16" ht="12.5">
      <c r="B112" s="160" t="str">
        <f t="shared" si="27"/>
        <v/>
      </c>
      <c r="C112" s="469">
        <f>IF(D93="","-",+C111+1)</f>
        <v>2031</v>
      </c>
      <c r="D112" s="344">
        <f>IF(F111+SUM(E$99:E111)=D$92,F111,D$92-SUM(E$99:E111))</f>
        <v>1356764.7100000002</v>
      </c>
      <c r="E112" s="481">
        <f t="shared" si="32"/>
        <v>51611</v>
      </c>
      <c r="F112" s="482">
        <f t="shared" si="33"/>
        <v>1305153.7100000002</v>
      </c>
      <c r="G112" s="482">
        <f t="shared" si="34"/>
        <v>1330959.2100000002</v>
      </c>
      <c r="H112" s="483">
        <f t="shared" si="35"/>
        <v>230383.72382688694</v>
      </c>
      <c r="I112" s="539">
        <f t="shared" si="36"/>
        <v>230383.72382688694</v>
      </c>
      <c r="J112" s="475">
        <f t="shared" si="23"/>
        <v>0</v>
      </c>
      <c r="K112" s="475"/>
      <c r="L112" s="484"/>
      <c r="M112" s="475">
        <f t="shared" si="24"/>
        <v>0</v>
      </c>
      <c r="N112" s="484"/>
      <c r="O112" s="475">
        <f t="shared" si="25"/>
        <v>0</v>
      </c>
      <c r="P112" s="475">
        <f t="shared" si="26"/>
        <v>0</v>
      </c>
    </row>
    <row r="113" spans="2:16" ht="12.5">
      <c r="B113" s="160" t="str">
        <f t="shared" si="27"/>
        <v/>
      </c>
      <c r="C113" s="469">
        <f>IF(D93="","-",+C112+1)</f>
        <v>2032</v>
      </c>
      <c r="D113" s="344">
        <f>IF(F112+SUM(E$99:E112)=D$92,F112,D$92-SUM(E$99:E112))</f>
        <v>1305153.7100000002</v>
      </c>
      <c r="E113" s="481">
        <f t="shared" si="32"/>
        <v>51611</v>
      </c>
      <c r="F113" s="482">
        <f t="shared" si="33"/>
        <v>1253542.7100000002</v>
      </c>
      <c r="G113" s="482">
        <f t="shared" si="34"/>
        <v>1279348.2100000002</v>
      </c>
      <c r="H113" s="483">
        <f t="shared" si="35"/>
        <v>223451.40089759938</v>
      </c>
      <c r="I113" s="539">
        <f t="shared" si="36"/>
        <v>223451.40089759938</v>
      </c>
      <c r="J113" s="475">
        <f t="shared" si="23"/>
        <v>0</v>
      </c>
      <c r="K113" s="475"/>
      <c r="L113" s="484"/>
      <c r="M113" s="475">
        <f t="shared" si="24"/>
        <v>0</v>
      </c>
      <c r="N113" s="484"/>
      <c r="O113" s="475">
        <f t="shared" si="25"/>
        <v>0</v>
      </c>
      <c r="P113" s="475">
        <f t="shared" si="26"/>
        <v>0</v>
      </c>
    </row>
    <row r="114" spans="2:16" ht="12.5">
      <c r="B114" s="160" t="str">
        <f t="shared" si="27"/>
        <v/>
      </c>
      <c r="C114" s="469">
        <f>IF(D93="","-",+C113+1)</f>
        <v>2033</v>
      </c>
      <c r="D114" s="344">
        <f>IF(F113+SUM(E$99:E113)=D$92,F113,D$92-SUM(E$99:E113))</f>
        <v>1253542.7100000002</v>
      </c>
      <c r="E114" s="481">
        <f t="shared" si="32"/>
        <v>51611</v>
      </c>
      <c r="F114" s="482">
        <f t="shared" si="33"/>
        <v>1201931.7100000002</v>
      </c>
      <c r="G114" s="482">
        <f t="shared" si="34"/>
        <v>1227737.2100000002</v>
      </c>
      <c r="H114" s="483">
        <f t="shared" si="35"/>
        <v>216519.07796831182</v>
      </c>
      <c r="I114" s="539">
        <f t="shared" si="36"/>
        <v>216519.07796831182</v>
      </c>
      <c r="J114" s="475">
        <f t="shared" si="23"/>
        <v>0</v>
      </c>
      <c r="K114" s="475"/>
      <c r="L114" s="484"/>
      <c r="M114" s="475">
        <f t="shared" si="24"/>
        <v>0</v>
      </c>
      <c r="N114" s="484"/>
      <c r="O114" s="475">
        <f t="shared" si="25"/>
        <v>0</v>
      </c>
      <c r="P114" s="475">
        <f t="shared" si="26"/>
        <v>0</v>
      </c>
    </row>
    <row r="115" spans="2:16" ht="12.5">
      <c r="B115" s="160" t="str">
        <f t="shared" si="27"/>
        <v/>
      </c>
      <c r="C115" s="469">
        <f>IF(D93="","-",+C114+1)</f>
        <v>2034</v>
      </c>
      <c r="D115" s="344">
        <f>IF(F114+SUM(E$99:E114)=D$92,F114,D$92-SUM(E$99:E114))</f>
        <v>1201931.7100000002</v>
      </c>
      <c r="E115" s="481">
        <f t="shared" si="32"/>
        <v>51611</v>
      </c>
      <c r="F115" s="482">
        <f t="shared" si="33"/>
        <v>1150320.7100000002</v>
      </c>
      <c r="G115" s="482">
        <f t="shared" si="34"/>
        <v>1176126.2100000002</v>
      </c>
      <c r="H115" s="483">
        <f t="shared" si="35"/>
        <v>209586.75503902425</v>
      </c>
      <c r="I115" s="539">
        <f t="shared" si="36"/>
        <v>209586.75503902425</v>
      </c>
      <c r="J115" s="475">
        <f t="shared" si="23"/>
        <v>0</v>
      </c>
      <c r="K115" s="475"/>
      <c r="L115" s="484"/>
      <c r="M115" s="475">
        <f t="shared" si="24"/>
        <v>0</v>
      </c>
      <c r="N115" s="484"/>
      <c r="O115" s="475">
        <f t="shared" si="25"/>
        <v>0</v>
      </c>
      <c r="P115" s="475">
        <f t="shared" si="26"/>
        <v>0</v>
      </c>
    </row>
    <row r="116" spans="2:16" ht="12.5">
      <c r="B116" s="160" t="str">
        <f t="shared" si="27"/>
        <v/>
      </c>
      <c r="C116" s="469">
        <f>IF(D93="","-",+C115+1)</f>
        <v>2035</v>
      </c>
      <c r="D116" s="344">
        <f>IF(F115+SUM(E$99:E115)=D$92,F115,D$92-SUM(E$99:E115))</f>
        <v>1150320.7100000002</v>
      </c>
      <c r="E116" s="481">
        <f t="shared" si="32"/>
        <v>51611</v>
      </c>
      <c r="F116" s="482">
        <f t="shared" si="33"/>
        <v>1098709.7100000002</v>
      </c>
      <c r="G116" s="482">
        <f t="shared" si="34"/>
        <v>1124515.2100000002</v>
      </c>
      <c r="H116" s="483">
        <f t="shared" si="35"/>
        <v>202654.43210973669</v>
      </c>
      <c r="I116" s="539">
        <f t="shared" si="36"/>
        <v>202654.43210973669</v>
      </c>
      <c r="J116" s="475">
        <f t="shared" si="23"/>
        <v>0</v>
      </c>
      <c r="K116" s="475"/>
      <c r="L116" s="484"/>
      <c r="M116" s="475">
        <f t="shared" si="24"/>
        <v>0</v>
      </c>
      <c r="N116" s="484"/>
      <c r="O116" s="475">
        <f t="shared" si="25"/>
        <v>0</v>
      </c>
      <c r="P116" s="475">
        <f t="shared" si="26"/>
        <v>0</v>
      </c>
    </row>
    <row r="117" spans="2:16" ht="12.5">
      <c r="B117" s="160" t="str">
        <f t="shared" si="27"/>
        <v/>
      </c>
      <c r="C117" s="469">
        <f>IF(D93="","-",+C116+1)</f>
        <v>2036</v>
      </c>
      <c r="D117" s="344">
        <f>IF(F116+SUM(E$99:E116)=D$92,F116,D$92-SUM(E$99:E116))</f>
        <v>1098709.7100000002</v>
      </c>
      <c r="E117" s="481">
        <f t="shared" si="32"/>
        <v>51611</v>
      </c>
      <c r="F117" s="482">
        <f t="shared" si="33"/>
        <v>1047098.7100000002</v>
      </c>
      <c r="G117" s="482">
        <f t="shared" si="34"/>
        <v>1072904.2100000002</v>
      </c>
      <c r="H117" s="483">
        <f t="shared" si="35"/>
        <v>195722.10918044913</v>
      </c>
      <c r="I117" s="539">
        <f t="shared" si="36"/>
        <v>195722.10918044913</v>
      </c>
      <c r="J117" s="475">
        <f t="shared" si="23"/>
        <v>0</v>
      </c>
      <c r="K117" s="475"/>
      <c r="L117" s="484"/>
      <c r="M117" s="475">
        <f t="shared" si="24"/>
        <v>0</v>
      </c>
      <c r="N117" s="484"/>
      <c r="O117" s="475">
        <f t="shared" si="25"/>
        <v>0</v>
      </c>
      <c r="P117" s="475">
        <f t="shared" si="26"/>
        <v>0</v>
      </c>
    </row>
    <row r="118" spans="2:16" ht="12.5">
      <c r="B118" s="160" t="str">
        <f t="shared" si="27"/>
        <v/>
      </c>
      <c r="C118" s="469">
        <f>IF(D93="","-",+C117+1)</f>
        <v>2037</v>
      </c>
      <c r="D118" s="344">
        <f>IF(F117+SUM(E$99:E117)=D$92,F117,D$92-SUM(E$99:E117))</f>
        <v>1047098.7100000002</v>
      </c>
      <c r="E118" s="481">
        <f t="shared" si="32"/>
        <v>51611</v>
      </c>
      <c r="F118" s="482">
        <f t="shared" si="33"/>
        <v>995487.7100000002</v>
      </c>
      <c r="G118" s="482">
        <f t="shared" si="34"/>
        <v>1021293.2100000002</v>
      </c>
      <c r="H118" s="483">
        <f t="shared" si="35"/>
        <v>188789.78625116157</v>
      </c>
      <c r="I118" s="539">
        <f t="shared" si="36"/>
        <v>188789.78625116157</v>
      </c>
      <c r="J118" s="475">
        <f t="shared" si="23"/>
        <v>0</v>
      </c>
      <c r="K118" s="475"/>
      <c r="L118" s="484"/>
      <c r="M118" s="475">
        <f t="shared" si="24"/>
        <v>0</v>
      </c>
      <c r="N118" s="484"/>
      <c r="O118" s="475">
        <f t="shared" si="25"/>
        <v>0</v>
      </c>
      <c r="P118" s="475">
        <f t="shared" si="26"/>
        <v>0</v>
      </c>
    </row>
    <row r="119" spans="2:16" ht="12.5">
      <c r="B119" s="160" t="str">
        <f t="shared" si="27"/>
        <v/>
      </c>
      <c r="C119" s="469">
        <f>IF(D93="","-",+C118+1)</f>
        <v>2038</v>
      </c>
      <c r="D119" s="344">
        <f>IF(F118+SUM(E$99:E118)=D$92,F118,D$92-SUM(E$99:E118))</f>
        <v>995487.7100000002</v>
      </c>
      <c r="E119" s="481">
        <f t="shared" si="32"/>
        <v>51611</v>
      </c>
      <c r="F119" s="482">
        <f t="shared" si="33"/>
        <v>943876.7100000002</v>
      </c>
      <c r="G119" s="482">
        <f t="shared" si="34"/>
        <v>969682.2100000002</v>
      </c>
      <c r="H119" s="483">
        <f t="shared" si="35"/>
        <v>181857.46332187401</v>
      </c>
      <c r="I119" s="539">
        <f t="shared" si="36"/>
        <v>181857.46332187401</v>
      </c>
      <c r="J119" s="475">
        <f t="shared" si="23"/>
        <v>0</v>
      </c>
      <c r="K119" s="475"/>
      <c r="L119" s="484"/>
      <c r="M119" s="475">
        <f t="shared" si="24"/>
        <v>0</v>
      </c>
      <c r="N119" s="484"/>
      <c r="O119" s="475">
        <f t="shared" si="25"/>
        <v>0</v>
      </c>
      <c r="P119" s="475">
        <f t="shared" si="26"/>
        <v>0</v>
      </c>
    </row>
    <row r="120" spans="2:16" ht="12.5">
      <c r="B120" s="160" t="str">
        <f t="shared" si="27"/>
        <v/>
      </c>
      <c r="C120" s="469">
        <f>IF(D93="","-",+C119+1)</f>
        <v>2039</v>
      </c>
      <c r="D120" s="344">
        <f>IF(F119+SUM(E$99:E119)=D$92,F119,D$92-SUM(E$99:E119))</f>
        <v>943876.7100000002</v>
      </c>
      <c r="E120" s="481">
        <f t="shared" si="32"/>
        <v>51611</v>
      </c>
      <c r="F120" s="482">
        <f t="shared" si="33"/>
        <v>892265.7100000002</v>
      </c>
      <c r="G120" s="482">
        <f t="shared" si="34"/>
        <v>918071.2100000002</v>
      </c>
      <c r="H120" s="483">
        <f t="shared" si="35"/>
        <v>174925.14039258644</v>
      </c>
      <c r="I120" s="539">
        <f t="shared" si="36"/>
        <v>174925.14039258644</v>
      </c>
      <c r="J120" s="475">
        <f t="shared" si="23"/>
        <v>0</v>
      </c>
      <c r="K120" s="475"/>
      <c r="L120" s="484"/>
      <c r="M120" s="475">
        <f t="shared" si="24"/>
        <v>0</v>
      </c>
      <c r="N120" s="484"/>
      <c r="O120" s="475">
        <f t="shared" si="25"/>
        <v>0</v>
      </c>
      <c r="P120" s="475">
        <f t="shared" si="26"/>
        <v>0</v>
      </c>
    </row>
    <row r="121" spans="2:16" ht="12.5">
      <c r="B121" s="160" t="str">
        <f t="shared" si="27"/>
        <v/>
      </c>
      <c r="C121" s="469">
        <f>IF(D93="","-",+C120+1)</f>
        <v>2040</v>
      </c>
      <c r="D121" s="344">
        <f>IF(F120+SUM(E$99:E120)=D$92,F120,D$92-SUM(E$99:E120))</f>
        <v>892265.7100000002</v>
      </c>
      <c r="E121" s="481">
        <f t="shared" si="32"/>
        <v>51611</v>
      </c>
      <c r="F121" s="482">
        <f t="shared" si="33"/>
        <v>840654.7100000002</v>
      </c>
      <c r="G121" s="482">
        <f t="shared" si="34"/>
        <v>866460.2100000002</v>
      </c>
      <c r="H121" s="483">
        <f t="shared" si="35"/>
        <v>167992.81746329888</v>
      </c>
      <c r="I121" s="539">
        <f t="shared" si="36"/>
        <v>167992.81746329888</v>
      </c>
      <c r="J121" s="475">
        <f t="shared" si="23"/>
        <v>0</v>
      </c>
      <c r="K121" s="475"/>
      <c r="L121" s="484"/>
      <c r="M121" s="475">
        <f t="shared" si="24"/>
        <v>0</v>
      </c>
      <c r="N121" s="484"/>
      <c r="O121" s="475">
        <f t="shared" si="25"/>
        <v>0</v>
      </c>
      <c r="P121" s="475">
        <f t="shared" si="26"/>
        <v>0</v>
      </c>
    </row>
    <row r="122" spans="2:16" ht="12.5">
      <c r="B122" s="160" t="str">
        <f t="shared" si="27"/>
        <v/>
      </c>
      <c r="C122" s="469">
        <f>IF(D93="","-",+C121+1)</f>
        <v>2041</v>
      </c>
      <c r="D122" s="344">
        <f>IF(F121+SUM(E$99:E121)=D$92,F121,D$92-SUM(E$99:E121))</f>
        <v>840654.7100000002</v>
      </c>
      <c r="E122" s="481">
        <f t="shared" si="32"/>
        <v>51611</v>
      </c>
      <c r="F122" s="482">
        <f t="shared" si="33"/>
        <v>789043.7100000002</v>
      </c>
      <c r="G122" s="482">
        <f t="shared" si="34"/>
        <v>814849.2100000002</v>
      </c>
      <c r="H122" s="483">
        <f t="shared" si="35"/>
        <v>161060.49453401132</v>
      </c>
      <c r="I122" s="539">
        <f t="shared" si="36"/>
        <v>161060.49453401132</v>
      </c>
      <c r="J122" s="475">
        <f t="shared" si="23"/>
        <v>0</v>
      </c>
      <c r="K122" s="475"/>
      <c r="L122" s="484"/>
      <c r="M122" s="475">
        <f t="shared" si="24"/>
        <v>0</v>
      </c>
      <c r="N122" s="484"/>
      <c r="O122" s="475">
        <f t="shared" si="25"/>
        <v>0</v>
      </c>
      <c r="P122" s="475">
        <f t="shared" si="26"/>
        <v>0</v>
      </c>
    </row>
    <row r="123" spans="2:16" ht="12.5">
      <c r="B123" s="160" t="str">
        <f t="shared" si="27"/>
        <v/>
      </c>
      <c r="C123" s="469">
        <f>IF(D93="","-",+C122+1)</f>
        <v>2042</v>
      </c>
      <c r="D123" s="344">
        <f>IF(F122+SUM(E$99:E122)=D$92,F122,D$92-SUM(E$99:E122))</f>
        <v>789043.7100000002</v>
      </c>
      <c r="E123" s="481">
        <f t="shared" si="32"/>
        <v>51611</v>
      </c>
      <c r="F123" s="482">
        <f t="shared" si="33"/>
        <v>737432.7100000002</v>
      </c>
      <c r="G123" s="482">
        <f t="shared" si="34"/>
        <v>763238.2100000002</v>
      </c>
      <c r="H123" s="483">
        <f t="shared" si="35"/>
        <v>154128.17160472376</v>
      </c>
      <c r="I123" s="539">
        <f t="shared" si="36"/>
        <v>154128.17160472376</v>
      </c>
      <c r="J123" s="475">
        <f t="shared" si="23"/>
        <v>0</v>
      </c>
      <c r="K123" s="475"/>
      <c r="L123" s="484"/>
      <c r="M123" s="475">
        <f t="shared" si="24"/>
        <v>0</v>
      </c>
      <c r="N123" s="484"/>
      <c r="O123" s="475">
        <f t="shared" si="25"/>
        <v>0</v>
      </c>
      <c r="P123" s="475">
        <f t="shared" si="26"/>
        <v>0</v>
      </c>
    </row>
    <row r="124" spans="2:16" ht="12.5">
      <c r="B124" s="160" t="str">
        <f t="shared" si="27"/>
        <v/>
      </c>
      <c r="C124" s="469">
        <f>IF(D93="","-",+C123+1)</f>
        <v>2043</v>
      </c>
      <c r="D124" s="344">
        <f>IF(F123+SUM(E$99:E123)=D$92,F123,D$92-SUM(E$99:E123))</f>
        <v>737432.7100000002</v>
      </c>
      <c r="E124" s="481">
        <f t="shared" si="32"/>
        <v>51611</v>
      </c>
      <c r="F124" s="482">
        <f t="shared" si="33"/>
        <v>685821.7100000002</v>
      </c>
      <c r="G124" s="482">
        <f t="shared" si="34"/>
        <v>711627.2100000002</v>
      </c>
      <c r="H124" s="483">
        <f t="shared" si="35"/>
        <v>147195.84867543619</v>
      </c>
      <c r="I124" s="539">
        <f t="shared" si="36"/>
        <v>147195.84867543619</v>
      </c>
      <c r="J124" s="475">
        <f t="shared" si="23"/>
        <v>0</v>
      </c>
      <c r="K124" s="475"/>
      <c r="L124" s="484"/>
      <c r="M124" s="475">
        <f t="shared" si="24"/>
        <v>0</v>
      </c>
      <c r="N124" s="484"/>
      <c r="O124" s="475">
        <f t="shared" si="25"/>
        <v>0</v>
      </c>
      <c r="P124" s="475">
        <f t="shared" si="26"/>
        <v>0</v>
      </c>
    </row>
    <row r="125" spans="2:16" ht="12.5">
      <c r="B125" s="160" t="str">
        <f t="shared" si="27"/>
        <v/>
      </c>
      <c r="C125" s="469">
        <f>IF(D93="","-",+C124+1)</f>
        <v>2044</v>
      </c>
      <c r="D125" s="344">
        <f>IF(F124+SUM(E$99:E124)=D$92,F124,D$92-SUM(E$99:E124))</f>
        <v>685821.7100000002</v>
      </c>
      <c r="E125" s="481">
        <f t="shared" si="32"/>
        <v>51611</v>
      </c>
      <c r="F125" s="482">
        <f t="shared" si="33"/>
        <v>634210.7100000002</v>
      </c>
      <c r="G125" s="482">
        <f t="shared" si="34"/>
        <v>660016.2100000002</v>
      </c>
      <c r="H125" s="483">
        <f t="shared" si="35"/>
        <v>140263.52574614863</v>
      </c>
      <c r="I125" s="539">
        <f t="shared" si="36"/>
        <v>140263.52574614863</v>
      </c>
      <c r="J125" s="475">
        <f t="shared" si="23"/>
        <v>0</v>
      </c>
      <c r="K125" s="475"/>
      <c r="L125" s="484"/>
      <c r="M125" s="475">
        <f t="shared" si="24"/>
        <v>0</v>
      </c>
      <c r="N125" s="484"/>
      <c r="O125" s="475">
        <f t="shared" si="25"/>
        <v>0</v>
      </c>
      <c r="P125" s="475">
        <f t="shared" si="26"/>
        <v>0</v>
      </c>
    </row>
    <row r="126" spans="2:16" ht="12.5">
      <c r="B126" s="160" t="str">
        <f t="shared" si="27"/>
        <v/>
      </c>
      <c r="C126" s="469">
        <f>IF(D93="","-",+C125+1)</f>
        <v>2045</v>
      </c>
      <c r="D126" s="344">
        <f>IF(F125+SUM(E$99:E125)=D$92,F125,D$92-SUM(E$99:E125))</f>
        <v>634210.7100000002</v>
      </c>
      <c r="E126" s="481">
        <f t="shared" si="32"/>
        <v>51611</v>
      </c>
      <c r="F126" s="482">
        <f t="shared" si="33"/>
        <v>582599.7100000002</v>
      </c>
      <c r="G126" s="482">
        <f t="shared" si="34"/>
        <v>608405.2100000002</v>
      </c>
      <c r="H126" s="483">
        <f t="shared" si="35"/>
        <v>133331.20281686107</v>
      </c>
      <c r="I126" s="539">
        <f t="shared" si="36"/>
        <v>133331.20281686107</v>
      </c>
      <c r="J126" s="475">
        <f t="shared" si="23"/>
        <v>0</v>
      </c>
      <c r="K126" s="475"/>
      <c r="L126" s="484"/>
      <c r="M126" s="475">
        <f t="shared" si="24"/>
        <v>0</v>
      </c>
      <c r="N126" s="484"/>
      <c r="O126" s="475">
        <f t="shared" si="25"/>
        <v>0</v>
      </c>
      <c r="P126" s="475">
        <f t="shared" si="26"/>
        <v>0</v>
      </c>
    </row>
    <row r="127" spans="2:16" ht="12.5">
      <c r="B127" s="160" t="str">
        <f t="shared" si="27"/>
        <v/>
      </c>
      <c r="C127" s="469">
        <f>IF(D93="","-",+C126+1)</f>
        <v>2046</v>
      </c>
      <c r="D127" s="344">
        <f>IF(F126+SUM(E$99:E126)=D$92,F126,D$92-SUM(E$99:E126))</f>
        <v>582599.7100000002</v>
      </c>
      <c r="E127" s="481">
        <f t="shared" si="32"/>
        <v>51611</v>
      </c>
      <c r="F127" s="482">
        <f t="shared" si="33"/>
        <v>530988.7100000002</v>
      </c>
      <c r="G127" s="482">
        <f t="shared" si="34"/>
        <v>556794.2100000002</v>
      </c>
      <c r="H127" s="483">
        <f t="shared" si="35"/>
        <v>126398.87988757351</v>
      </c>
      <c r="I127" s="539">
        <f t="shared" si="36"/>
        <v>126398.87988757351</v>
      </c>
      <c r="J127" s="475">
        <f t="shared" si="23"/>
        <v>0</v>
      </c>
      <c r="K127" s="475"/>
      <c r="L127" s="484"/>
      <c r="M127" s="475">
        <f t="shared" si="24"/>
        <v>0</v>
      </c>
      <c r="N127" s="484"/>
      <c r="O127" s="475">
        <f t="shared" si="25"/>
        <v>0</v>
      </c>
      <c r="P127" s="475">
        <f t="shared" si="26"/>
        <v>0</v>
      </c>
    </row>
    <row r="128" spans="2:16" ht="12.5">
      <c r="B128" s="160" t="str">
        <f t="shared" si="27"/>
        <v/>
      </c>
      <c r="C128" s="469">
        <f>IF(D93="","-",+C127+1)</f>
        <v>2047</v>
      </c>
      <c r="D128" s="344">
        <f>IF(F127+SUM(E$99:E127)=D$92,F127,D$92-SUM(E$99:E127))</f>
        <v>530988.7100000002</v>
      </c>
      <c r="E128" s="481">
        <f t="shared" si="32"/>
        <v>51611</v>
      </c>
      <c r="F128" s="482">
        <f t="shared" si="33"/>
        <v>479377.7100000002</v>
      </c>
      <c r="G128" s="482">
        <f t="shared" si="34"/>
        <v>505183.2100000002</v>
      </c>
      <c r="H128" s="483">
        <f t="shared" si="35"/>
        <v>119466.55695828595</v>
      </c>
      <c r="I128" s="539">
        <f t="shared" si="36"/>
        <v>119466.55695828595</v>
      </c>
      <c r="J128" s="475">
        <f t="shared" si="23"/>
        <v>0</v>
      </c>
      <c r="K128" s="475"/>
      <c r="L128" s="484"/>
      <c r="M128" s="475">
        <f t="shared" si="24"/>
        <v>0</v>
      </c>
      <c r="N128" s="484"/>
      <c r="O128" s="475">
        <f t="shared" si="25"/>
        <v>0</v>
      </c>
      <c r="P128" s="475">
        <f t="shared" si="26"/>
        <v>0</v>
      </c>
    </row>
    <row r="129" spans="2:16" ht="12.5">
      <c r="B129" s="160" t="str">
        <f t="shared" si="27"/>
        <v/>
      </c>
      <c r="C129" s="469">
        <f>IF(D93="","-",+C128+1)</f>
        <v>2048</v>
      </c>
      <c r="D129" s="344">
        <f>IF(F128+SUM(E$99:E128)=D$92,F128,D$92-SUM(E$99:E128))</f>
        <v>479377.7100000002</v>
      </c>
      <c r="E129" s="481">
        <f t="shared" si="32"/>
        <v>51611</v>
      </c>
      <c r="F129" s="482">
        <f t="shared" si="33"/>
        <v>427766.7100000002</v>
      </c>
      <c r="G129" s="482">
        <f t="shared" si="34"/>
        <v>453572.2100000002</v>
      </c>
      <c r="H129" s="483">
        <f t="shared" si="35"/>
        <v>112534.23402899838</v>
      </c>
      <c r="I129" s="539">
        <f t="shared" si="36"/>
        <v>112534.23402899838</v>
      </c>
      <c r="J129" s="475">
        <f t="shared" si="23"/>
        <v>0</v>
      </c>
      <c r="K129" s="475"/>
      <c r="L129" s="484"/>
      <c r="M129" s="475">
        <f t="shared" si="24"/>
        <v>0</v>
      </c>
      <c r="N129" s="484"/>
      <c r="O129" s="475">
        <f t="shared" si="25"/>
        <v>0</v>
      </c>
      <c r="P129" s="475">
        <f t="shared" si="26"/>
        <v>0</v>
      </c>
    </row>
    <row r="130" spans="2:16" ht="12.5">
      <c r="B130" s="160" t="str">
        <f t="shared" si="27"/>
        <v/>
      </c>
      <c r="C130" s="469">
        <f>IF(D93="","-",+C129+1)</f>
        <v>2049</v>
      </c>
      <c r="D130" s="344">
        <f>IF(F129+SUM(E$99:E129)=D$92,F129,D$92-SUM(E$99:E129))</f>
        <v>427766.7100000002</v>
      </c>
      <c r="E130" s="481">
        <f t="shared" si="32"/>
        <v>51611</v>
      </c>
      <c r="F130" s="482">
        <f t="shared" si="33"/>
        <v>376155.7100000002</v>
      </c>
      <c r="G130" s="482">
        <f t="shared" si="34"/>
        <v>401961.2100000002</v>
      </c>
      <c r="H130" s="483">
        <f t="shared" si="35"/>
        <v>105601.91109971082</v>
      </c>
      <c r="I130" s="539">
        <f t="shared" si="36"/>
        <v>105601.91109971082</v>
      </c>
      <c r="J130" s="475">
        <f t="shared" si="23"/>
        <v>0</v>
      </c>
      <c r="K130" s="475"/>
      <c r="L130" s="484"/>
      <c r="M130" s="475">
        <f t="shared" si="24"/>
        <v>0</v>
      </c>
      <c r="N130" s="484"/>
      <c r="O130" s="475">
        <f t="shared" si="25"/>
        <v>0</v>
      </c>
      <c r="P130" s="475">
        <f t="shared" si="26"/>
        <v>0</v>
      </c>
    </row>
    <row r="131" spans="2:16" ht="12.5">
      <c r="B131" s="160" t="str">
        <f t="shared" si="27"/>
        <v/>
      </c>
      <c r="C131" s="469">
        <f>IF(D93="","-",+C130+1)</f>
        <v>2050</v>
      </c>
      <c r="D131" s="344">
        <f>IF(F130+SUM(E$99:E130)=D$92,F130,D$92-SUM(E$99:E130))</f>
        <v>376155.7100000002</v>
      </c>
      <c r="E131" s="481">
        <f t="shared" si="32"/>
        <v>51611</v>
      </c>
      <c r="F131" s="482">
        <f t="shared" si="33"/>
        <v>324544.7100000002</v>
      </c>
      <c r="G131" s="482">
        <f t="shared" si="34"/>
        <v>350350.2100000002</v>
      </c>
      <c r="H131" s="483">
        <f t="shared" si="35"/>
        <v>98669.58817042326</v>
      </c>
      <c r="I131" s="539">
        <f t="shared" si="36"/>
        <v>98669.58817042326</v>
      </c>
      <c r="J131" s="475">
        <f t="shared" ref="J131:J154" si="37">+I541-H541</f>
        <v>0</v>
      </c>
      <c r="K131" s="475"/>
      <c r="L131" s="484"/>
      <c r="M131" s="475">
        <f t="shared" ref="M131:M154" si="38">IF(L541&lt;&gt;0,+H541-L541,0)</f>
        <v>0</v>
      </c>
      <c r="N131" s="484"/>
      <c r="O131" s="475">
        <f t="shared" ref="O131:O154" si="39">IF(N541&lt;&gt;0,+I541-N541,0)</f>
        <v>0</v>
      </c>
      <c r="P131" s="475">
        <f t="shared" ref="P131:P154" si="40">+O541-M541</f>
        <v>0</v>
      </c>
    </row>
    <row r="132" spans="2:16" ht="12.5">
      <c r="B132" s="160" t="str">
        <f t="shared" si="27"/>
        <v/>
      </c>
      <c r="C132" s="469">
        <f>IF(D93="","-",+C131+1)</f>
        <v>2051</v>
      </c>
      <c r="D132" s="344">
        <f>IF(F131+SUM(E$99:E131)=D$92,F131,D$92-SUM(E$99:E131))</f>
        <v>324544.7100000002</v>
      </c>
      <c r="E132" s="481">
        <f t="shared" si="32"/>
        <v>51611</v>
      </c>
      <c r="F132" s="482">
        <f t="shared" si="33"/>
        <v>272933.7100000002</v>
      </c>
      <c r="G132" s="482">
        <f t="shared" si="34"/>
        <v>298739.2100000002</v>
      </c>
      <c r="H132" s="483">
        <f t="shared" si="35"/>
        <v>91737.265241135683</v>
      </c>
      <c r="I132" s="539">
        <f t="shared" si="36"/>
        <v>91737.265241135683</v>
      </c>
      <c r="J132" s="475">
        <f t="shared" si="37"/>
        <v>0</v>
      </c>
      <c r="K132" s="475"/>
      <c r="L132" s="484"/>
      <c r="M132" s="475">
        <f t="shared" si="38"/>
        <v>0</v>
      </c>
      <c r="N132" s="484"/>
      <c r="O132" s="475">
        <f t="shared" si="39"/>
        <v>0</v>
      </c>
      <c r="P132" s="475">
        <f t="shared" si="40"/>
        <v>0</v>
      </c>
    </row>
    <row r="133" spans="2:16" ht="12.5">
      <c r="B133" s="160" t="str">
        <f t="shared" si="27"/>
        <v/>
      </c>
      <c r="C133" s="469">
        <f>IF(D93="","-",+C132+1)</f>
        <v>2052</v>
      </c>
      <c r="D133" s="344">
        <f>IF(F132+SUM(E$99:E132)=D$92,F132,D$92-SUM(E$99:E132))</f>
        <v>272933.7100000002</v>
      </c>
      <c r="E133" s="481">
        <f t="shared" si="32"/>
        <v>51611</v>
      </c>
      <c r="F133" s="482">
        <f t="shared" si="33"/>
        <v>221322.7100000002</v>
      </c>
      <c r="G133" s="482">
        <f t="shared" si="34"/>
        <v>247128.2100000002</v>
      </c>
      <c r="H133" s="483">
        <f t="shared" si="35"/>
        <v>84804.942311848121</v>
      </c>
      <c r="I133" s="539">
        <f t="shared" si="36"/>
        <v>84804.942311848121</v>
      </c>
      <c r="J133" s="475">
        <f t="shared" si="37"/>
        <v>0</v>
      </c>
      <c r="K133" s="475"/>
      <c r="L133" s="484"/>
      <c r="M133" s="475">
        <f t="shared" si="38"/>
        <v>0</v>
      </c>
      <c r="N133" s="484"/>
      <c r="O133" s="475">
        <f t="shared" si="39"/>
        <v>0</v>
      </c>
      <c r="P133" s="475">
        <f t="shared" si="40"/>
        <v>0</v>
      </c>
    </row>
    <row r="134" spans="2:16" ht="12.5">
      <c r="B134" s="160" t="str">
        <f t="shared" si="27"/>
        <v/>
      </c>
      <c r="C134" s="469">
        <f>IF(D93="","-",+C133+1)</f>
        <v>2053</v>
      </c>
      <c r="D134" s="344">
        <f>IF(F133+SUM(E$99:E133)=D$92,F133,D$92-SUM(E$99:E133))</f>
        <v>221322.7100000002</v>
      </c>
      <c r="E134" s="481">
        <f t="shared" si="32"/>
        <v>51611</v>
      </c>
      <c r="F134" s="482">
        <f t="shared" si="33"/>
        <v>169711.7100000002</v>
      </c>
      <c r="G134" s="482">
        <f t="shared" si="34"/>
        <v>195517.2100000002</v>
      </c>
      <c r="H134" s="483">
        <f t="shared" si="35"/>
        <v>77872.619382560559</v>
      </c>
      <c r="I134" s="539">
        <f t="shared" si="36"/>
        <v>77872.619382560559</v>
      </c>
      <c r="J134" s="475">
        <f t="shared" si="37"/>
        <v>0</v>
      </c>
      <c r="K134" s="475"/>
      <c r="L134" s="484"/>
      <c r="M134" s="475">
        <f t="shared" si="38"/>
        <v>0</v>
      </c>
      <c r="N134" s="484"/>
      <c r="O134" s="475">
        <f t="shared" si="39"/>
        <v>0</v>
      </c>
      <c r="P134" s="475">
        <f t="shared" si="40"/>
        <v>0</v>
      </c>
    </row>
    <row r="135" spans="2:16" ht="12.5">
      <c r="B135" s="160" t="str">
        <f t="shared" si="27"/>
        <v/>
      </c>
      <c r="C135" s="469">
        <f>IF(D93="","-",+C134+1)</f>
        <v>2054</v>
      </c>
      <c r="D135" s="344">
        <f>IF(F134+SUM(E$99:E134)=D$92,F134,D$92-SUM(E$99:E134))</f>
        <v>169711.7100000002</v>
      </c>
      <c r="E135" s="481">
        <f t="shared" si="32"/>
        <v>51611</v>
      </c>
      <c r="F135" s="482">
        <f t="shared" si="33"/>
        <v>118100.7100000002</v>
      </c>
      <c r="G135" s="482">
        <f t="shared" si="34"/>
        <v>143906.2100000002</v>
      </c>
      <c r="H135" s="483">
        <f t="shared" si="35"/>
        <v>70940.296453272997</v>
      </c>
      <c r="I135" s="539">
        <f t="shared" si="36"/>
        <v>70940.296453272997</v>
      </c>
      <c r="J135" s="475">
        <f t="shared" si="37"/>
        <v>0</v>
      </c>
      <c r="K135" s="475"/>
      <c r="L135" s="484"/>
      <c r="M135" s="475">
        <f t="shared" si="38"/>
        <v>0</v>
      </c>
      <c r="N135" s="484"/>
      <c r="O135" s="475">
        <f t="shared" si="39"/>
        <v>0</v>
      </c>
      <c r="P135" s="475">
        <f t="shared" si="40"/>
        <v>0</v>
      </c>
    </row>
    <row r="136" spans="2:16" ht="12.5">
      <c r="B136" s="160" t="str">
        <f t="shared" si="27"/>
        <v/>
      </c>
      <c r="C136" s="469">
        <f>IF(D93="","-",+C135+1)</f>
        <v>2055</v>
      </c>
      <c r="D136" s="344">
        <f>IF(F135+SUM(E$99:E135)=D$92,F135,D$92-SUM(E$99:E135))</f>
        <v>118100.7100000002</v>
      </c>
      <c r="E136" s="481">
        <f t="shared" si="32"/>
        <v>51611</v>
      </c>
      <c r="F136" s="482">
        <f t="shared" si="33"/>
        <v>66489.710000000196</v>
      </c>
      <c r="G136" s="482">
        <f t="shared" si="34"/>
        <v>92295.210000000196</v>
      </c>
      <c r="H136" s="483">
        <f t="shared" si="35"/>
        <v>64007.973523985434</v>
      </c>
      <c r="I136" s="539">
        <f t="shared" si="36"/>
        <v>64007.973523985434</v>
      </c>
      <c r="J136" s="475">
        <f t="shared" si="37"/>
        <v>0</v>
      </c>
      <c r="K136" s="475"/>
      <c r="L136" s="484"/>
      <c r="M136" s="475">
        <f t="shared" si="38"/>
        <v>0</v>
      </c>
      <c r="N136" s="484"/>
      <c r="O136" s="475">
        <f t="shared" si="39"/>
        <v>0</v>
      </c>
      <c r="P136" s="475">
        <f t="shared" si="40"/>
        <v>0</v>
      </c>
    </row>
    <row r="137" spans="2:16" ht="12.5">
      <c r="B137" s="160" t="str">
        <f t="shared" si="27"/>
        <v/>
      </c>
      <c r="C137" s="469">
        <f>IF(D93="","-",+C136+1)</f>
        <v>2056</v>
      </c>
      <c r="D137" s="344">
        <f>IF(F136+SUM(E$99:E136)=D$92,F136,D$92-SUM(E$99:E136))</f>
        <v>66489.710000000196</v>
      </c>
      <c r="E137" s="481">
        <f t="shared" si="32"/>
        <v>51611</v>
      </c>
      <c r="F137" s="482">
        <f t="shared" si="33"/>
        <v>14878.710000000196</v>
      </c>
      <c r="G137" s="482">
        <f t="shared" si="34"/>
        <v>40684.210000000196</v>
      </c>
      <c r="H137" s="483">
        <f t="shared" si="35"/>
        <v>57075.650594697872</v>
      </c>
      <c r="I137" s="539">
        <f t="shared" si="36"/>
        <v>57075.650594697872</v>
      </c>
      <c r="J137" s="475">
        <f t="shared" si="37"/>
        <v>0</v>
      </c>
      <c r="K137" s="475"/>
      <c r="L137" s="484"/>
      <c r="M137" s="475">
        <f t="shared" si="38"/>
        <v>0</v>
      </c>
      <c r="N137" s="484"/>
      <c r="O137" s="475">
        <f t="shared" si="39"/>
        <v>0</v>
      </c>
      <c r="P137" s="475">
        <f t="shared" si="40"/>
        <v>0</v>
      </c>
    </row>
    <row r="138" spans="2:16" ht="12.5">
      <c r="B138" s="160" t="str">
        <f t="shared" si="27"/>
        <v/>
      </c>
      <c r="C138" s="469">
        <f>IF(D93="","-",+C137+1)</f>
        <v>2057</v>
      </c>
      <c r="D138" s="344">
        <f>IF(F137+SUM(E$99:E137)=D$92,F137,D$92-SUM(E$99:E137))</f>
        <v>14878.710000000196</v>
      </c>
      <c r="E138" s="481">
        <f t="shared" si="32"/>
        <v>14878.710000000196</v>
      </c>
      <c r="F138" s="482">
        <f t="shared" si="33"/>
        <v>0</v>
      </c>
      <c r="G138" s="482">
        <f t="shared" si="34"/>
        <v>7439.3550000000978</v>
      </c>
      <c r="H138" s="483">
        <f t="shared" si="35"/>
        <v>15877.954565027239</v>
      </c>
      <c r="I138" s="539">
        <f t="shared" si="36"/>
        <v>15877.954565027239</v>
      </c>
      <c r="J138" s="475">
        <f t="shared" si="37"/>
        <v>0</v>
      </c>
      <c r="K138" s="475"/>
      <c r="L138" s="484"/>
      <c r="M138" s="475">
        <f t="shared" si="38"/>
        <v>0</v>
      </c>
      <c r="N138" s="484"/>
      <c r="O138" s="475">
        <f t="shared" si="39"/>
        <v>0</v>
      </c>
      <c r="P138" s="475">
        <f t="shared" si="40"/>
        <v>0</v>
      </c>
    </row>
    <row r="139" spans="2:16" ht="12.5">
      <c r="B139" s="160" t="str">
        <f t="shared" si="27"/>
        <v/>
      </c>
      <c r="C139" s="469">
        <f>IF(D93="","-",+C138+1)</f>
        <v>2058</v>
      </c>
      <c r="D139" s="344">
        <f>IF(F138+SUM(E$99:E138)=D$92,F138,D$92-SUM(E$99:E138))</f>
        <v>0</v>
      </c>
      <c r="E139" s="481">
        <f t="shared" si="32"/>
        <v>0</v>
      </c>
      <c r="F139" s="482">
        <f t="shared" si="33"/>
        <v>0</v>
      </c>
      <c r="G139" s="482">
        <f t="shared" si="34"/>
        <v>0</v>
      </c>
      <c r="H139" s="483">
        <f t="shared" si="35"/>
        <v>0</v>
      </c>
      <c r="I139" s="539">
        <f t="shared" si="36"/>
        <v>0</v>
      </c>
      <c r="J139" s="475">
        <f t="shared" si="37"/>
        <v>0</v>
      </c>
      <c r="K139" s="475"/>
      <c r="L139" s="484"/>
      <c r="M139" s="475">
        <f t="shared" si="38"/>
        <v>0</v>
      </c>
      <c r="N139" s="484"/>
      <c r="O139" s="475">
        <f t="shared" si="39"/>
        <v>0</v>
      </c>
      <c r="P139" s="475">
        <f t="shared" si="40"/>
        <v>0</v>
      </c>
    </row>
    <row r="140" spans="2:16" ht="12.5">
      <c r="B140" s="160" t="str">
        <f t="shared" si="27"/>
        <v/>
      </c>
      <c r="C140" s="469">
        <f>IF(D93="","-",+C139+1)</f>
        <v>2059</v>
      </c>
      <c r="D140" s="344">
        <f>IF(F139+SUM(E$99:E139)=D$92,F139,D$92-SUM(E$99:E139))</f>
        <v>0</v>
      </c>
      <c r="E140" s="481">
        <f t="shared" si="32"/>
        <v>0</v>
      </c>
      <c r="F140" s="482">
        <f t="shared" si="33"/>
        <v>0</v>
      </c>
      <c r="G140" s="482">
        <f t="shared" si="34"/>
        <v>0</v>
      </c>
      <c r="H140" s="483">
        <f t="shared" si="35"/>
        <v>0</v>
      </c>
      <c r="I140" s="539">
        <f t="shared" si="36"/>
        <v>0</v>
      </c>
      <c r="J140" s="475">
        <f t="shared" si="37"/>
        <v>0</v>
      </c>
      <c r="K140" s="475"/>
      <c r="L140" s="484"/>
      <c r="M140" s="475">
        <f t="shared" si="38"/>
        <v>0</v>
      </c>
      <c r="N140" s="484"/>
      <c r="O140" s="475">
        <f t="shared" si="39"/>
        <v>0</v>
      </c>
      <c r="P140" s="475">
        <f t="shared" si="40"/>
        <v>0</v>
      </c>
    </row>
    <row r="141" spans="2:16" ht="12.5">
      <c r="B141" s="160" t="str">
        <f t="shared" si="27"/>
        <v/>
      </c>
      <c r="C141" s="469">
        <f>IF(D93="","-",+C140+1)</f>
        <v>2060</v>
      </c>
      <c r="D141" s="344">
        <f>IF(F140+SUM(E$99:E140)=D$92,F140,D$92-SUM(E$99:E140))</f>
        <v>0</v>
      </c>
      <c r="E141" s="481">
        <f t="shared" si="32"/>
        <v>0</v>
      </c>
      <c r="F141" s="482">
        <f t="shared" si="33"/>
        <v>0</v>
      </c>
      <c r="G141" s="482">
        <f t="shared" si="34"/>
        <v>0</v>
      </c>
      <c r="H141" s="483">
        <f t="shared" si="35"/>
        <v>0</v>
      </c>
      <c r="I141" s="539">
        <f t="shared" si="36"/>
        <v>0</v>
      </c>
      <c r="J141" s="475">
        <f t="shared" si="37"/>
        <v>0</v>
      </c>
      <c r="K141" s="475"/>
      <c r="L141" s="484"/>
      <c r="M141" s="475">
        <f t="shared" si="38"/>
        <v>0</v>
      </c>
      <c r="N141" s="484"/>
      <c r="O141" s="475">
        <f t="shared" si="39"/>
        <v>0</v>
      </c>
      <c r="P141" s="475">
        <f t="shared" si="40"/>
        <v>0</v>
      </c>
    </row>
    <row r="142" spans="2:16" ht="12.5">
      <c r="B142" s="160" t="str">
        <f t="shared" si="27"/>
        <v/>
      </c>
      <c r="C142" s="469">
        <f>IF(D93="","-",+C141+1)</f>
        <v>2061</v>
      </c>
      <c r="D142" s="344">
        <f>IF(F141+SUM(E$99:E141)=D$92,F141,D$92-SUM(E$99:E141))</f>
        <v>0</v>
      </c>
      <c r="E142" s="481">
        <f t="shared" si="32"/>
        <v>0</v>
      </c>
      <c r="F142" s="482">
        <f t="shared" si="33"/>
        <v>0</v>
      </c>
      <c r="G142" s="482">
        <f t="shared" si="34"/>
        <v>0</v>
      </c>
      <c r="H142" s="483">
        <f t="shared" si="35"/>
        <v>0</v>
      </c>
      <c r="I142" s="539">
        <f t="shared" si="36"/>
        <v>0</v>
      </c>
      <c r="J142" s="475">
        <f t="shared" si="37"/>
        <v>0</v>
      </c>
      <c r="K142" s="475"/>
      <c r="L142" s="484"/>
      <c r="M142" s="475">
        <f t="shared" si="38"/>
        <v>0</v>
      </c>
      <c r="N142" s="484"/>
      <c r="O142" s="475">
        <f t="shared" si="39"/>
        <v>0</v>
      </c>
      <c r="P142" s="475">
        <f t="shared" si="40"/>
        <v>0</v>
      </c>
    </row>
    <row r="143" spans="2:16" ht="12.5">
      <c r="B143" s="160" t="str">
        <f t="shared" si="27"/>
        <v/>
      </c>
      <c r="C143" s="469">
        <f>IF(D93="","-",+C142+1)</f>
        <v>2062</v>
      </c>
      <c r="D143" s="344">
        <f>IF(F142+SUM(E$99:E142)=D$92,F142,D$92-SUM(E$99:E142))</f>
        <v>0</v>
      </c>
      <c r="E143" s="481">
        <f t="shared" si="32"/>
        <v>0</v>
      </c>
      <c r="F143" s="482">
        <f t="shared" si="33"/>
        <v>0</v>
      </c>
      <c r="G143" s="482">
        <f t="shared" si="34"/>
        <v>0</v>
      </c>
      <c r="H143" s="483">
        <f t="shared" si="35"/>
        <v>0</v>
      </c>
      <c r="I143" s="539">
        <f t="shared" si="36"/>
        <v>0</v>
      </c>
      <c r="J143" s="475">
        <f t="shared" si="37"/>
        <v>0</v>
      </c>
      <c r="K143" s="475"/>
      <c r="L143" s="484"/>
      <c r="M143" s="475">
        <f t="shared" si="38"/>
        <v>0</v>
      </c>
      <c r="N143" s="484"/>
      <c r="O143" s="475">
        <f t="shared" si="39"/>
        <v>0</v>
      </c>
      <c r="P143" s="475">
        <f t="shared" si="40"/>
        <v>0</v>
      </c>
    </row>
    <row r="144" spans="2:16" ht="12.5">
      <c r="B144" s="160" t="str">
        <f t="shared" si="27"/>
        <v/>
      </c>
      <c r="C144" s="469">
        <f>IF(D93="","-",+C143+1)</f>
        <v>2063</v>
      </c>
      <c r="D144" s="344">
        <f>IF(F143+SUM(E$99:E143)=D$92,F143,D$92-SUM(E$99:E143))</f>
        <v>0</v>
      </c>
      <c r="E144" s="481">
        <f t="shared" si="32"/>
        <v>0</v>
      </c>
      <c r="F144" s="482">
        <f t="shared" si="33"/>
        <v>0</v>
      </c>
      <c r="G144" s="482">
        <f t="shared" si="34"/>
        <v>0</v>
      </c>
      <c r="H144" s="483">
        <f t="shared" si="35"/>
        <v>0</v>
      </c>
      <c r="I144" s="539">
        <f t="shared" si="36"/>
        <v>0</v>
      </c>
      <c r="J144" s="475">
        <f t="shared" si="37"/>
        <v>0</v>
      </c>
      <c r="K144" s="475"/>
      <c r="L144" s="484"/>
      <c r="M144" s="475">
        <f t="shared" si="38"/>
        <v>0</v>
      </c>
      <c r="N144" s="484"/>
      <c r="O144" s="475">
        <f t="shared" si="39"/>
        <v>0</v>
      </c>
      <c r="P144" s="475">
        <f t="shared" si="40"/>
        <v>0</v>
      </c>
    </row>
    <row r="145" spans="2:16" ht="12.5">
      <c r="B145" s="160" t="str">
        <f t="shared" si="27"/>
        <v/>
      </c>
      <c r="C145" s="469">
        <f>IF(D93="","-",+C144+1)</f>
        <v>2064</v>
      </c>
      <c r="D145" s="344">
        <f>IF(F144+SUM(E$99:E144)=D$92,F144,D$92-SUM(E$99:E144))</f>
        <v>0</v>
      </c>
      <c r="E145" s="481">
        <f t="shared" si="32"/>
        <v>0</v>
      </c>
      <c r="F145" s="482">
        <f t="shared" si="33"/>
        <v>0</v>
      </c>
      <c r="G145" s="482">
        <f t="shared" si="34"/>
        <v>0</v>
      </c>
      <c r="H145" s="483">
        <f t="shared" si="35"/>
        <v>0</v>
      </c>
      <c r="I145" s="539">
        <f t="shared" si="36"/>
        <v>0</v>
      </c>
      <c r="J145" s="475">
        <f t="shared" si="37"/>
        <v>0</v>
      </c>
      <c r="K145" s="475"/>
      <c r="L145" s="484"/>
      <c r="M145" s="475">
        <f t="shared" si="38"/>
        <v>0</v>
      </c>
      <c r="N145" s="484"/>
      <c r="O145" s="475">
        <f t="shared" si="39"/>
        <v>0</v>
      </c>
      <c r="P145" s="475">
        <f t="shared" si="40"/>
        <v>0</v>
      </c>
    </row>
    <row r="146" spans="2:16" ht="12.5">
      <c r="B146" s="160" t="str">
        <f t="shared" si="27"/>
        <v/>
      </c>
      <c r="C146" s="469">
        <f>IF(D93="","-",+C145+1)</f>
        <v>2065</v>
      </c>
      <c r="D146" s="344">
        <f>IF(F145+SUM(E$99:E145)=D$92,F145,D$92-SUM(E$99:E145))</f>
        <v>0</v>
      </c>
      <c r="E146" s="481">
        <f t="shared" si="32"/>
        <v>0</v>
      </c>
      <c r="F146" s="482">
        <f t="shared" si="33"/>
        <v>0</v>
      </c>
      <c r="G146" s="482">
        <f t="shared" si="34"/>
        <v>0</v>
      </c>
      <c r="H146" s="483">
        <f t="shared" si="35"/>
        <v>0</v>
      </c>
      <c r="I146" s="539">
        <f t="shared" si="36"/>
        <v>0</v>
      </c>
      <c r="J146" s="475">
        <f t="shared" si="37"/>
        <v>0</v>
      </c>
      <c r="K146" s="475"/>
      <c r="L146" s="484"/>
      <c r="M146" s="475">
        <f t="shared" si="38"/>
        <v>0</v>
      </c>
      <c r="N146" s="484"/>
      <c r="O146" s="475">
        <f t="shared" si="39"/>
        <v>0</v>
      </c>
      <c r="P146" s="475">
        <f t="shared" si="40"/>
        <v>0</v>
      </c>
    </row>
    <row r="147" spans="2:16" ht="12.5">
      <c r="B147" s="160" t="str">
        <f t="shared" si="27"/>
        <v/>
      </c>
      <c r="C147" s="469">
        <f>IF(D93="","-",+C146+1)</f>
        <v>2066</v>
      </c>
      <c r="D147" s="344">
        <f>IF(F146+SUM(E$99:E146)=D$92,F146,D$92-SUM(E$99:E146))</f>
        <v>0</v>
      </c>
      <c r="E147" s="481">
        <f t="shared" si="32"/>
        <v>0</v>
      </c>
      <c r="F147" s="482">
        <f t="shared" si="33"/>
        <v>0</v>
      </c>
      <c r="G147" s="482">
        <f t="shared" si="34"/>
        <v>0</v>
      </c>
      <c r="H147" s="483">
        <f t="shared" si="35"/>
        <v>0</v>
      </c>
      <c r="I147" s="539">
        <f t="shared" si="36"/>
        <v>0</v>
      </c>
      <c r="J147" s="475">
        <f t="shared" si="37"/>
        <v>0</v>
      </c>
      <c r="K147" s="475"/>
      <c r="L147" s="484"/>
      <c r="M147" s="475">
        <f t="shared" si="38"/>
        <v>0</v>
      </c>
      <c r="N147" s="484"/>
      <c r="O147" s="475">
        <f t="shared" si="39"/>
        <v>0</v>
      </c>
      <c r="P147" s="475">
        <f t="shared" si="40"/>
        <v>0</v>
      </c>
    </row>
    <row r="148" spans="2:16" ht="12.5">
      <c r="B148" s="160" t="str">
        <f t="shared" si="27"/>
        <v/>
      </c>
      <c r="C148" s="469">
        <f>IF(D93="","-",+C147+1)</f>
        <v>2067</v>
      </c>
      <c r="D148" s="344">
        <f>IF(F147+SUM(E$99:E147)=D$92,F147,D$92-SUM(E$99:E147))</f>
        <v>0</v>
      </c>
      <c r="E148" s="481">
        <f t="shared" si="32"/>
        <v>0</v>
      </c>
      <c r="F148" s="482">
        <f t="shared" si="33"/>
        <v>0</v>
      </c>
      <c r="G148" s="482">
        <f t="shared" si="34"/>
        <v>0</v>
      </c>
      <c r="H148" s="483">
        <f t="shared" si="35"/>
        <v>0</v>
      </c>
      <c r="I148" s="539">
        <f t="shared" si="36"/>
        <v>0</v>
      </c>
      <c r="J148" s="475">
        <f t="shared" si="37"/>
        <v>0</v>
      </c>
      <c r="K148" s="475"/>
      <c r="L148" s="484"/>
      <c r="M148" s="475">
        <f t="shared" si="38"/>
        <v>0</v>
      </c>
      <c r="N148" s="484"/>
      <c r="O148" s="475">
        <f t="shared" si="39"/>
        <v>0</v>
      </c>
      <c r="P148" s="475">
        <f t="shared" si="40"/>
        <v>0</v>
      </c>
    </row>
    <row r="149" spans="2:16" ht="12.5">
      <c r="B149" s="160" t="str">
        <f t="shared" si="27"/>
        <v/>
      </c>
      <c r="C149" s="469">
        <f>IF(D93="","-",+C148+1)</f>
        <v>2068</v>
      </c>
      <c r="D149" s="344">
        <f>IF(F148+SUM(E$99:E148)=D$92,F148,D$92-SUM(E$99:E148))</f>
        <v>0</v>
      </c>
      <c r="E149" s="481">
        <f t="shared" si="32"/>
        <v>0</v>
      </c>
      <c r="F149" s="482">
        <f t="shared" si="33"/>
        <v>0</v>
      </c>
      <c r="G149" s="482">
        <f t="shared" si="34"/>
        <v>0</v>
      </c>
      <c r="H149" s="483">
        <f t="shared" si="35"/>
        <v>0</v>
      </c>
      <c r="I149" s="539">
        <f t="shared" si="36"/>
        <v>0</v>
      </c>
      <c r="J149" s="475">
        <f t="shared" si="37"/>
        <v>0</v>
      </c>
      <c r="K149" s="475"/>
      <c r="L149" s="484"/>
      <c r="M149" s="475">
        <f t="shared" si="38"/>
        <v>0</v>
      </c>
      <c r="N149" s="484"/>
      <c r="O149" s="475">
        <f t="shared" si="39"/>
        <v>0</v>
      </c>
      <c r="P149" s="475">
        <f t="shared" si="40"/>
        <v>0</v>
      </c>
    </row>
    <row r="150" spans="2:16" ht="12.5">
      <c r="B150" s="160" t="str">
        <f t="shared" si="27"/>
        <v/>
      </c>
      <c r="C150" s="469">
        <f>IF(D93="","-",+C149+1)</f>
        <v>2069</v>
      </c>
      <c r="D150" s="344">
        <f>IF(F149+SUM(E$99:E149)=D$92,F149,D$92-SUM(E$99:E149))</f>
        <v>0</v>
      </c>
      <c r="E150" s="481">
        <f t="shared" si="32"/>
        <v>0</v>
      </c>
      <c r="F150" s="482">
        <f t="shared" si="33"/>
        <v>0</v>
      </c>
      <c r="G150" s="482">
        <f t="shared" si="34"/>
        <v>0</v>
      </c>
      <c r="H150" s="483">
        <f t="shared" si="35"/>
        <v>0</v>
      </c>
      <c r="I150" s="539">
        <f t="shared" si="36"/>
        <v>0</v>
      </c>
      <c r="J150" s="475">
        <f t="shared" si="37"/>
        <v>0</v>
      </c>
      <c r="K150" s="475"/>
      <c r="L150" s="484"/>
      <c r="M150" s="475">
        <f t="shared" si="38"/>
        <v>0</v>
      </c>
      <c r="N150" s="484"/>
      <c r="O150" s="475">
        <f t="shared" si="39"/>
        <v>0</v>
      </c>
      <c r="P150" s="475">
        <f t="shared" si="40"/>
        <v>0</v>
      </c>
    </row>
    <row r="151" spans="2:16" ht="12.5">
      <c r="B151" s="160" t="str">
        <f t="shared" si="27"/>
        <v/>
      </c>
      <c r="C151" s="469">
        <f>IF(D93="","-",+C150+1)</f>
        <v>2070</v>
      </c>
      <c r="D151" s="344">
        <f>IF(F150+SUM(E$99:E150)=D$92,F150,D$92-SUM(E$99:E150))</f>
        <v>0</v>
      </c>
      <c r="E151" s="481">
        <f t="shared" si="32"/>
        <v>0</v>
      </c>
      <c r="F151" s="482">
        <f t="shared" si="33"/>
        <v>0</v>
      </c>
      <c r="G151" s="482">
        <f t="shared" si="34"/>
        <v>0</v>
      </c>
      <c r="H151" s="483">
        <f t="shared" si="35"/>
        <v>0</v>
      </c>
      <c r="I151" s="539">
        <f t="shared" si="36"/>
        <v>0</v>
      </c>
      <c r="J151" s="475">
        <f t="shared" si="37"/>
        <v>0</v>
      </c>
      <c r="K151" s="475"/>
      <c r="L151" s="484"/>
      <c r="M151" s="475">
        <f t="shared" si="38"/>
        <v>0</v>
      </c>
      <c r="N151" s="484"/>
      <c r="O151" s="475">
        <f t="shared" si="39"/>
        <v>0</v>
      </c>
      <c r="P151" s="475">
        <f t="shared" si="40"/>
        <v>0</v>
      </c>
    </row>
    <row r="152" spans="2:16" ht="12.5">
      <c r="B152" s="160" t="str">
        <f t="shared" si="27"/>
        <v/>
      </c>
      <c r="C152" s="469">
        <f>IF(D93="","-",+C151+1)</f>
        <v>2071</v>
      </c>
      <c r="D152" s="344">
        <f>IF(F151+SUM(E$99:E151)=D$92,F151,D$92-SUM(E$99:E151))</f>
        <v>0</v>
      </c>
      <c r="E152" s="481">
        <f t="shared" si="32"/>
        <v>0</v>
      </c>
      <c r="F152" s="482">
        <f t="shared" si="33"/>
        <v>0</v>
      </c>
      <c r="G152" s="482">
        <f t="shared" si="34"/>
        <v>0</v>
      </c>
      <c r="H152" s="483">
        <f t="shared" si="35"/>
        <v>0</v>
      </c>
      <c r="I152" s="539">
        <f t="shared" si="36"/>
        <v>0</v>
      </c>
      <c r="J152" s="475">
        <f t="shared" si="37"/>
        <v>0</v>
      </c>
      <c r="K152" s="475"/>
      <c r="L152" s="484"/>
      <c r="M152" s="475">
        <f t="shared" si="38"/>
        <v>0</v>
      </c>
      <c r="N152" s="484"/>
      <c r="O152" s="475">
        <f t="shared" si="39"/>
        <v>0</v>
      </c>
      <c r="P152" s="475">
        <f t="shared" si="40"/>
        <v>0</v>
      </c>
    </row>
    <row r="153" spans="2:16" ht="12.5">
      <c r="B153" s="160" t="str">
        <f t="shared" si="27"/>
        <v/>
      </c>
      <c r="C153" s="469">
        <f>IF(D93="","-",+C152+1)</f>
        <v>2072</v>
      </c>
      <c r="D153" s="344">
        <f>IF(F152+SUM(E$99:E152)=D$92,F152,D$92-SUM(E$99:E152))</f>
        <v>0</v>
      </c>
      <c r="E153" s="481">
        <f t="shared" si="32"/>
        <v>0</v>
      </c>
      <c r="F153" s="482">
        <f t="shared" si="33"/>
        <v>0</v>
      </c>
      <c r="G153" s="482">
        <f t="shared" si="34"/>
        <v>0</v>
      </c>
      <c r="H153" s="483">
        <f t="shared" si="35"/>
        <v>0</v>
      </c>
      <c r="I153" s="539">
        <f t="shared" si="36"/>
        <v>0</v>
      </c>
      <c r="J153" s="475">
        <f t="shared" si="37"/>
        <v>0</v>
      </c>
      <c r="K153" s="475"/>
      <c r="L153" s="484"/>
      <c r="M153" s="475">
        <f t="shared" si="38"/>
        <v>0</v>
      </c>
      <c r="N153" s="484"/>
      <c r="O153" s="475">
        <f t="shared" si="39"/>
        <v>0</v>
      </c>
      <c r="P153" s="475">
        <f t="shared" si="40"/>
        <v>0</v>
      </c>
    </row>
    <row r="154" spans="2:16" ht="13" thickBot="1">
      <c r="B154" s="160" t="str">
        <f t="shared" si="27"/>
        <v/>
      </c>
      <c r="C154" s="486">
        <f>IF(D93="","-",+C153+1)</f>
        <v>2073</v>
      </c>
      <c r="D154" s="540">
        <f>IF(F153+SUM(E$99:E153)=D$92,F153,D$92-SUM(E$99:E153))</f>
        <v>0</v>
      </c>
      <c r="E154" s="488">
        <f t="shared" si="32"/>
        <v>0</v>
      </c>
      <c r="F154" s="487">
        <f t="shared" si="33"/>
        <v>0</v>
      </c>
      <c r="G154" s="487">
        <f t="shared" si="34"/>
        <v>0</v>
      </c>
      <c r="H154" s="609">
        <f t="shared" ref="H154" si="41">+J$94*G154+E154</f>
        <v>0</v>
      </c>
      <c r="I154" s="610">
        <f t="shared" ref="I154" si="42">+J$95*G154+E154</f>
        <v>0</v>
      </c>
      <c r="J154" s="492">
        <f t="shared" si="37"/>
        <v>0</v>
      </c>
      <c r="K154" s="475"/>
      <c r="L154" s="491"/>
      <c r="M154" s="492">
        <f t="shared" si="38"/>
        <v>0</v>
      </c>
      <c r="N154" s="491"/>
      <c r="O154" s="492">
        <f t="shared" si="39"/>
        <v>0</v>
      </c>
      <c r="P154" s="492">
        <f t="shared" si="40"/>
        <v>0</v>
      </c>
    </row>
    <row r="155" spans="2:16" ht="12.5">
      <c r="C155" s="344" t="s">
        <v>77</v>
      </c>
      <c r="D155" s="345"/>
      <c r="E155" s="345">
        <f>SUM(E99:E154)</f>
        <v>1961220.7100000002</v>
      </c>
      <c r="F155" s="345"/>
      <c r="G155" s="345"/>
      <c r="H155" s="345">
        <f>SUM(H99:H154)</f>
        <v>6899635.6545909615</v>
      </c>
      <c r="I155" s="345">
        <f>SUM(I99:I154)</f>
        <v>6899635.6545909615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33" priority="1" stopIfTrue="1" operator="equal">
      <formula>$I$10</formula>
    </cfRule>
  </conditionalFormatting>
  <conditionalFormatting sqref="C99:C154">
    <cfRule type="cellIs" dxfId="3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70"/>
  <dimension ref="A1:P162"/>
  <sheetViews>
    <sheetView topLeftCell="A65" zoomScaleNormal="100" zoomScaleSheetLayoutView="78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21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41841.862135119562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41841.862135119562</v>
      </c>
      <c r="O6" s="231"/>
      <c r="P6" s="231"/>
    </row>
    <row r="7" spans="1:16" ht="13.5" thickBot="1">
      <c r="C7" s="428" t="s">
        <v>46</v>
      </c>
      <c r="D7" s="596" t="s">
        <v>274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295</v>
      </c>
      <c r="E9" s="574" t="s">
        <v>296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330872.36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2017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6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8707.1673684210527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2017</v>
      </c>
      <c r="D17" s="581">
        <v>0</v>
      </c>
      <c r="E17" s="604">
        <v>2847.8260869565215</v>
      </c>
      <c r="F17" s="581">
        <v>259152.17391304349</v>
      </c>
      <c r="G17" s="604">
        <v>19337.763747649027</v>
      </c>
      <c r="H17" s="584">
        <v>19337.763747649027</v>
      </c>
      <c r="I17" s="472">
        <f t="shared" ref="I17:I72" si="0">H17-G17</f>
        <v>0</v>
      </c>
      <c r="J17" s="472"/>
      <c r="K17" s="474">
        <f t="shared" ref="K17:K22" si="1">+G17</f>
        <v>19337.763747649027</v>
      </c>
      <c r="L17" s="474">
        <f t="shared" ref="L17:L72" si="2">IF(K17&lt;&gt;0,+G17-K17,0)</f>
        <v>0</v>
      </c>
      <c r="M17" s="474">
        <f t="shared" ref="M17:M22" si="3">+H17</f>
        <v>19337.763747649027</v>
      </c>
      <c r="N17" s="474">
        <f t="shared" ref="N17:N72" si="4">IF(M17&lt;&gt;0,+H17-M17,0)</f>
        <v>0</v>
      </c>
      <c r="O17" s="475">
        <f t="shared" ref="O17:O72" si="5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2018</v>
      </c>
      <c r="D18" s="581">
        <v>259152.17391304349</v>
      </c>
      <c r="E18" s="582">
        <v>5822.2222222222226</v>
      </c>
      <c r="F18" s="581">
        <v>253329.95169082127</v>
      </c>
      <c r="G18" s="582">
        <v>36509.380469214986</v>
      </c>
      <c r="H18" s="584">
        <v>36509.380469214986</v>
      </c>
      <c r="I18" s="472">
        <f t="shared" si="0"/>
        <v>0</v>
      </c>
      <c r="J18" s="472"/>
      <c r="K18" s="475">
        <f t="shared" si="1"/>
        <v>36509.380469214986</v>
      </c>
      <c r="L18" s="475">
        <f t="shared" si="2"/>
        <v>0</v>
      </c>
      <c r="M18" s="475">
        <f t="shared" si="3"/>
        <v>36509.380469214986</v>
      </c>
      <c r="N18" s="475">
        <f t="shared" si="4"/>
        <v>0</v>
      </c>
      <c r="O18" s="475">
        <f t="shared" si="5"/>
        <v>0</v>
      </c>
      <c r="P18" s="241"/>
    </row>
    <row r="19" spans="2:16" ht="12.5">
      <c r="B19" s="160" t="str">
        <f>IF(D19=F18,"","IU")</f>
        <v/>
      </c>
      <c r="C19" s="469">
        <f>IF(D11="","-",+C18+1)</f>
        <v>2019</v>
      </c>
      <c r="D19" s="581">
        <v>253329.95169082127</v>
      </c>
      <c r="E19" s="582">
        <v>6550</v>
      </c>
      <c r="F19" s="581">
        <v>246779.95169082127</v>
      </c>
      <c r="G19" s="582">
        <v>34470.293545069071</v>
      </c>
      <c r="H19" s="584">
        <v>34470.293545069071</v>
      </c>
      <c r="I19" s="472">
        <f t="shared" si="0"/>
        <v>0</v>
      </c>
      <c r="J19" s="472"/>
      <c r="K19" s="475">
        <f t="shared" si="1"/>
        <v>34470.293545069071</v>
      </c>
      <c r="L19" s="475">
        <f t="shared" ref="L19" si="6">IF(K19&lt;&gt;0,+G19-K19,0)</f>
        <v>0</v>
      </c>
      <c r="M19" s="475">
        <f t="shared" si="3"/>
        <v>34470.293545069071</v>
      </c>
      <c r="N19" s="475">
        <f t="shared" si="4"/>
        <v>0</v>
      </c>
      <c r="O19" s="475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2020</v>
      </c>
      <c r="D20" s="581">
        <v>316379.72946859902</v>
      </c>
      <c r="E20" s="582">
        <v>7877.9047619047615</v>
      </c>
      <c r="F20" s="581">
        <v>308501.82470669429</v>
      </c>
      <c r="G20" s="582">
        <v>41623.00118882845</v>
      </c>
      <c r="H20" s="584">
        <v>41623.00118882845</v>
      </c>
      <c r="I20" s="472">
        <f t="shared" si="0"/>
        <v>0</v>
      </c>
      <c r="J20" s="472"/>
      <c r="K20" s="475">
        <f t="shared" si="1"/>
        <v>41623.00118882845</v>
      </c>
      <c r="L20" s="475">
        <f t="shared" ref="L20" si="8">IF(K20&lt;&gt;0,+G20-K20,0)</f>
        <v>0</v>
      </c>
      <c r="M20" s="475">
        <f t="shared" si="3"/>
        <v>41623.00118882845</v>
      </c>
      <c r="N20" s="475">
        <f t="shared" si="4"/>
        <v>0</v>
      </c>
      <c r="O20" s="475">
        <f t="shared" si="5"/>
        <v>0</v>
      </c>
      <c r="P20" s="241"/>
    </row>
    <row r="21" spans="2:16" ht="12.5">
      <c r="B21" s="160" t="str">
        <f t="shared" si="7"/>
        <v>IU</v>
      </c>
      <c r="C21" s="469">
        <f>IF(D11="","-",+C20+1)</f>
        <v>2021</v>
      </c>
      <c r="D21" s="581">
        <v>307774.04692891648</v>
      </c>
      <c r="E21" s="582">
        <v>7694.6976744186049</v>
      </c>
      <c r="F21" s="581">
        <v>300079.34925449785</v>
      </c>
      <c r="G21" s="582">
        <v>40464.576318636115</v>
      </c>
      <c r="H21" s="584">
        <v>40464.576318636115</v>
      </c>
      <c r="I21" s="472">
        <f t="shared" si="0"/>
        <v>0</v>
      </c>
      <c r="J21" s="472"/>
      <c r="K21" s="475">
        <f t="shared" si="1"/>
        <v>40464.576318636115</v>
      </c>
      <c r="L21" s="475">
        <f t="shared" ref="L21" si="9">IF(K21&lt;&gt;0,+G21-K21,0)</f>
        <v>0</v>
      </c>
      <c r="M21" s="475">
        <f t="shared" si="3"/>
        <v>40464.576318636115</v>
      </c>
      <c r="N21" s="475">
        <f t="shared" si="4"/>
        <v>0</v>
      </c>
      <c r="O21" s="475">
        <f t="shared" si="5"/>
        <v>0</v>
      </c>
      <c r="P21" s="241"/>
    </row>
    <row r="22" spans="2:16" ht="12.5">
      <c r="B22" s="160" t="str">
        <f t="shared" si="7"/>
        <v/>
      </c>
      <c r="C22" s="469">
        <f>IF(D11="","-",+C21+1)</f>
        <v>2022</v>
      </c>
      <c r="D22" s="581">
        <v>300079.34925449785</v>
      </c>
      <c r="E22" s="582">
        <v>7877.9047619047615</v>
      </c>
      <c r="F22" s="581">
        <v>292201.44449259312</v>
      </c>
      <c r="G22" s="582">
        <v>39805.169882695685</v>
      </c>
      <c r="H22" s="584">
        <v>39805.169882695685</v>
      </c>
      <c r="I22" s="472">
        <f t="shared" si="0"/>
        <v>0</v>
      </c>
      <c r="J22" s="472"/>
      <c r="K22" s="475">
        <f t="shared" si="1"/>
        <v>39805.169882695685</v>
      </c>
      <c r="L22" s="475">
        <f t="shared" ref="L22" si="10">IF(K22&lt;&gt;0,+G22-K22,0)</f>
        <v>0</v>
      </c>
      <c r="M22" s="475">
        <f t="shared" si="3"/>
        <v>39805.169882695685</v>
      </c>
      <c r="N22" s="475">
        <f t="shared" si="4"/>
        <v>0</v>
      </c>
      <c r="O22" s="475">
        <f t="shared" si="5"/>
        <v>0</v>
      </c>
      <c r="P22" s="241"/>
    </row>
    <row r="23" spans="2:16" ht="12.5">
      <c r="B23" s="160" t="str">
        <f t="shared" si="7"/>
        <v>IU</v>
      </c>
      <c r="C23" s="469">
        <f>IF(D11="","-",+C22+1)</f>
        <v>2023</v>
      </c>
      <c r="D23" s="581">
        <v>292201.8044925931</v>
      </c>
      <c r="E23" s="582">
        <v>8483.9066666666658</v>
      </c>
      <c r="F23" s="581">
        <v>283717.89782592643</v>
      </c>
      <c r="G23" s="582">
        <v>42854.492332323091</v>
      </c>
      <c r="H23" s="584">
        <v>42854.492332323091</v>
      </c>
      <c r="I23" s="472">
        <f t="shared" si="0"/>
        <v>0</v>
      </c>
      <c r="J23" s="472"/>
      <c r="K23" s="475">
        <f t="shared" ref="K23" si="11">+G23</f>
        <v>42854.492332323091</v>
      </c>
      <c r="L23" s="475">
        <f t="shared" ref="L23" si="12">IF(K23&lt;&gt;0,+G23-K23,0)</f>
        <v>0</v>
      </c>
      <c r="M23" s="475">
        <f t="shared" ref="M23" si="13">+H23</f>
        <v>42854.492332323091</v>
      </c>
      <c r="N23" s="475">
        <f t="shared" si="4"/>
        <v>0</v>
      </c>
      <c r="O23" s="475">
        <f t="shared" si="5"/>
        <v>0</v>
      </c>
      <c r="P23" s="241"/>
    </row>
    <row r="24" spans="2:16" ht="12.5">
      <c r="B24" s="160" t="str">
        <f t="shared" si="7"/>
        <v/>
      </c>
      <c r="C24" s="469">
        <f>IF(D11="","-",+C23+1)</f>
        <v>2024</v>
      </c>
      <c r="D24" s="581">
        <v>283717.89782592643</v>
      </c>
      <c r="E24" s="582">
        <v>8483.9066666666658</v>
      </c>
      <c r="F24" s="581">
        <v>275233.99115925975</v>
      </c>
      <c r="G24" s="582">
        <v>41841.862135119562</v>
      </c>
      <c r="H24" s="584">
        <v>41841.862135119562</v>
      </c>
      <c r="I24" s="472">
        <f t="shared" si="0"/>
        <v>0</v>
      </c>
      <c r="J24" s="472"/>
      <c r="K24" s="475">
        <f t="shared" ref="K24" si="14">+G24</f>
        <v>41841.862135119562</v>
      </c>
      <c r="L24" s="475">
        <f t="shared" ref="L24" si="15">IF(K24&lt;&gt;0,+G24-K24,0)</f>
        <v>0</v>
      </c>
      <c r="M24" s="475">
        <f t="shared" ref="M24" si="16">+H24</f>
        <v>41841.862135119562</v>
      </c>
      <c r="N24" s="475">
        <f t="shared" ref="N24" si="17">IF(M24&lt;&gt;0,+H24-M24,0)</f>
        <v>0</v>
      </c>
      <c r="O24" s="475">
        <f t="shared" ref="O24" si="18">+N24-L24</f>
        <v>0</v>
      </c>
      <c r="P24" s="241"/>
    </row>
    <row r="25" spans="2:16" ht="12.5">
      <c r="B25" s="160" t="str">
        <f t="shared" si="7"/>
        <v/>
      </c>
      <c r="C25" s="469">
        <f>IF(D11="","-",+C24+1)</f>
        <v>2025</v>
      </c>
      <c r="D25" s="480">
        <f>IF(F24+SUM(E$17:E24)=D$10,F24,D$10-SUM(E$17:E24))</f>
        <v>275233.99115925975</v>
      </c>
      <c r="E25" s="481">
        <f t="shared" ref="E25:E72" si="19">IF(+I$14&lt;F24,I$14,D25)</f>
        <v>8707.1673684210527</v>
      </c>
      <c r="F25" s="482">
        <f t="shared" ref="F25:F72" si="20">+D25-E25</f>
        <v>266526.82379083871</v>
      </c>
      <c r="G25" s="483">
        <f t="shared" ref="G25:G72" si="21">(D25+F25)/2*I$12+E25</f>
        <v>39517.155726268662</v>
      </c>
      <c r="H25" s="452">
        <f t="shared" ref="H25:H72" si="22">+(D25+F25)/2*I$13+E25</f>
        <v>39517.155726268662</v>
      </c>
      <c r="I25" s="472">
        <f t="shared" si="0"/>
        <v>0</v>
      </c>
      <c r="J25" s="472"/>
      <c r="K25" s="484"/>
      <c r="L25" s="475">
        <f t="shared" si="2"/>
        <v>0</v>
      </c>
      <c r="M25" s="484"/>
      <c r="N25" s="475">
        <f t="shared" si="4"/>
        <v>0</v>
      </c>
      <c r="O25" s="475">
        <f t="shared" si="5"/>
        <v>0</v>
      </c>
      <c r="P25" s="241"/>
    </row>
    <row r="26" spans="2:16" ht="12.5">
      <c r="B26" s="160" t="str">
        <f t="shared" si="7"/>
        <v/>
      </c>
      <c r="C26" s="469">
        <f>IF(D11="","-",+C25+1)</f>
        <v>2026</v>
      </c>
      <c r="D26" s="480">
        <f>IF(F25+SUM(E$17:E25)=D$10,F25,D$10-SUM(E$17:E25))</f>
        <v>266526.82379083871</v>
      </c>
      <c r="E26" s="481">
        <f t="shared" si="19"/>
        <v>8707.1673684210527</v>
      </c>
      <c r="F26" s="482">
        <f t="shared" si="20"/>
        <v>257819.65642241767</v>
      </c>
      <c r="G26" s="483">
        <f t="shared" si="21"/>
        <v>38526.800876497568</v>
      </c>
      <c r="H26" s="452">
        <f t="shared" si="22"/>
        <v>38526.800876497568</v>
      </c>
      <c r="I26" s="472">
        <f t="shared" si="0"/>
        <v>0</v>
      </c>
      <c r="J26" s="472"/>
      <c r="K26" s="484"/>
      <c r="L26" s="475">
        <f t="shared" si="2"/>
        <v>0</v>
      </c>
      <c r="M26" s="484"/>
      <c r="N26" s="475">
        <f t="shared" si="4"/>
        <v>0</v>
      </c>
      <c r="O26" s="475">
        <f t="shared" si="5"/>
        <v>0</v>
      </c>
      <c r="P26" s="241"/>
    </row>
    <row r="27" spans="2:16" ht="12.5">
      <c r="B27" s="160" t="str">
        <f t="shared" si="7"/>
        <v/>
      </c>
      <c r="C27" s="469">
        <f>IF(D11="","-",+C26+1)</f>
        <v>2027</v>
      </c>
      <c r="D27" s="480">
        <f>IF(F26+SUM(E$17:E26)=D$10,F26,D$10-SUM(E$17:E26))</f>
        <v>257819.65642241767</v>
      </c>
      <c r="E27" s="481">
        <f t="shared" si="19"/>
        <v>8707.1673684210527</v>
      </c>
      <c r="F27" s="482">
        <f t="shared" si="20"/>
        <v>249112.48905399663</v>
      </c>
      <c r="G27" s="483">
        <f t="shared" si="21"/>
        <v>37536.446026726488</v>
      </c>
      <c r="H27" s="452">
        <f t="shared" si="22"/>
        <v>37536.446026726488</v>
      </c>
      <c r="I27" s="472">
        <f t="shared" si="0"/>
        <v>0</v>
      </c>
      <c r="J27" s="472"/>
      <c r="K27" s="484"/>
      <c r="L27" s="475">
        <f t="shared" si="2"/>
        <v>0</v>
      </c>
      <c r="M27" s="484"/>
      <c r="N27" s="475">
        <f t="shared" si="4"/>
        <v>0</v>
      </c>
      <c r="O27" s="475">
        <f t="shared" si="5"/>
        <v>0</v>
      </c>
      <c r="P27" s="241"/>
    </row>
    <row r="28" spans="2:16" ht="12.5">
      <c r="B28" s="160" t="str">
        <f t="shared" si="7"/>
        <v/>
      </c>
      <c r="C28" s="469">
        <f>IF(D11="","-",+C27+1)</f>
        <v>2028</v>
      </c>
      <c r="D28" s="480">
        <f>IF(F27+SUM(E$17:E27)=D$10,F27,D$10-SUM(E$17:E27))</f>
        <v>249112.48905399663</v>
      </c>
      <c r="E28" s="481">
        <f t="shared" si="19"/>
        <v>8707.1673684210527</v>
      </c>
      <c r="F28" s="482">
        <f t="shared" si="20"/>
        <v>240405.32168557559</v>
      </c>
      <c r="G28" s="483">
        <f t="shared" si="21"/>
        <v>36546.0911769554</v>
      </c>
      <c r="H28" s="452">
        <f t="shared" si="22"/>
        <v>36546.0911769554</v>
      </c>
      <c r="I28" s="472">
        <f t="shared" si="0"/>
        <v>0</v>
      </c>
      <c r="J28" s="472"/>
      <c r="K28" s="484"/>
      <c r="L28" s="475">
        <f t="shared" si="2"/>
        <v>0</v>
      </c>
      <c r="M28" s="484"/>
      <c r="N28" s="475">
        <f t="shared" si="4"/>
        <v>0</v>
      </c>
      <c r="O28" s="475">
        <f t="shared" si="5"/>
        <v>0</v>
      </c>
      <c r="P28" s="241"/>
    </row>
    <row r="29" spans="2:16" ht="12.5">
      <c r="B29" s="160" t="str">
        <f t="shared" si="7"/>
        <v/>
      </c>
      <c r="C29" s="469">
        <f>IF(D11="","-",+C28+1)</f>
        <v>2029</v>
      </c>
      <c r="D29" s="480">
        <f>IF(F28+SUM(E$17:E28)=D$10,F28,D$10-SUM(E$17:E28))</f>
        <v>240405.32168557559</v>
      </c>
      <c r="E29" s="481">
        <f t="shared" si="19"/>
        <v>8707.1673684210527</v>
      </c>
      <c r="F29" s="482">
        <f t="shared" si="20"/>
        <v>231698.15431715455</v>
      </c>
      <c r="G29" s="483">
        <f t="shared" si="21"/>
        <v>35555.736327184313</v>
      </c>
      <c r="H29" s="452">
        <f t="shared" si="22"/>
        <v>35555.736327184313</v>
      </c>
      <c r="I29" s="472">
        <f t="shared" si="0"/>
        <v>0</v>
      </c>
      <c r="J29" s="472"/>
      <c r="K29" s="484"/>
      <c r="L29" s="475">
        <f t="shared" si="2"/>
        <v>0</v>
      </c>
      <c r="M29" s="484"/>
      <c r="N29" s="475">
        <f t="shared" si="4"/>
        <v>0</v>
      </c>
      <c r="O29" s="475">
        <f t="shared" si="5"/>
        <v>0</v>
      </c>
      <c r="P29" s="241"/>
    </row>
    <row r="30" spans="2:16" ht="12.5">
      <c r="B30" s="160" t="str">
        <f t="shared" si="7"/>
        <v/>
      </c>
      <c r="C30" s="469">
        <f>IF(D11="","-",+C29+1)</f>
        <v>2030</v>
      </c>
      <c r="D30" s="480">
        <f>IF(F29+SUM(E$17:E29)=D$10,F29,D$10-SUM(E$17:E29))</f>
        <v>231698.15431715455</v>
      </c>
      <c r="E30" s="481">
        <f t="shared" si="19"/>
        <v>8707.1673684210527</v>
      </c>
      <c r="F30" s="482">
        <f t="shared" si="20"/>
        <v>222990.98694873351</v>
      </c>
      <c r="G30" s="483">
        <f t="shared" si="21"/>
        <v>34565.381477413226</v>
      </c>
      <c r="H30" s="452">
        <f t="shared" si="22"/>
        <v>34565.381477413226</v>
      </c>
      <c r="I30" s="472">
        <f t="shared" si="0"/>
        <v>0</v>
      </c>
      <c r="J30" s="472"/>
      <c r="K30" s="484"/>
      <c r="L30" s="475">
        <f t="shared" si="2"/>
        <v>0</v>
      </c>
      <c r="M30" s="484"/>
      <c r="N30" s="475">
        <f t="shared" si="4"/>
        <v>0</v>
      </c>
      <c r="O30" s="475">
        <f t="shared" si="5"/>
        <v>0</v>
      </c>
      <c r="P30" s="241"/>
    </row>
    <row r="31" spans="2:16" ht="12.5">
      <c r="B31" s="160" t="str">
        <f t="shared" si="7"/>
        <v/>
      </c>
      <c r="C31" s="469">
        <f>IF(D11="","-",+C30+1)</f>
        <v>2031</v>
      </c>
      <c r="D31" s="480">
        <f>IF(F30+SUM(E$17:E30)=D$10,F30,D$10-SUM(E$17:E30))</f>
        <v>222990.98694873351</v>
      </c>
      <c r="E31" s="481">
        <f t="shared" si="19"/>
        <v>8707.1673684210527</v>
      </c>
      <c r="F31" s="482">
        <f t="shared" si="20"/>
        <v>214283.81958031247</v>
      </c>
      <c r="G31" s="483">
        <f t="shared" si="21"/>
        <v>33575.026627642146</v>
      </c>
      <c r="H31" s="452">
        <f t="shared" si="22"/>
        <v>33575.026627642146</v>
      </c>
      <c r="I31" s="472">
        <f t="shared" si="0"/>
        <v>0</v>
      </c>
      <c r="J31" s="472"/>
      <c r="K31" s="484"/>
      <c r="L31" s="475">
        <f t="shared" si="2"/>
        <v>0</v>
      </c>
      <c r="M31" s="484"/>
      <c r="N31" s="475">
        <f t="shared" si="4"/>
        <v>0</v>
      </c>
      <c r="O31" s="475">
        <f t="shared" si="5"/>
        <v>0</v>
      </c>
      <c r="P31" s="241"/>
    </row>
    <row r="32" spans="2:16" ht="12.5">
      <c r="B32" s="160" t="str">
        <f t="shared" si="7"/>
        <v/>
      </c>
      <c r="C32" s="469">
        <f>IF(D11="","-",+C31+1)</f>
        <v>2032</v>
      </c>
      <c r="D32" s="480">
        <f>IF(F31+SUM(E$17:E31)=D$10,F31,D$10-SUM(E$17:E31))</f>
        <v>214283.81958031247</v>
      </c>
      <c r="E32" s="481">
        <f t="shared" si="19"/>
        <v>8707.1673684210527</v>
      </c>
      <c r="F32" s="482">
        <f t="shared" si="20"/>
        <v>205576.65221189143</v>
      </c>
      <c r="G32" s="483">
        <f t="shared" si="21"/>
        <v>32584.671777871059</v>
      </c>
      <c r="H32" s="452">
        <f t="shared" si="22"/>
        <v>32584.671777871059</v>
      </c>
      <c r="I32" s="472">
        <f t="shared" si="0"/>
        <v>0</v>
      </c>
      <c r="J32" s="472"/>
      <c r="K32" s="484"/>
      <c r="L32" s="475">
        <f t="shared" si="2"/>
        <v>0</v>
      </c>
      <c r="M32" s="484"/>
      <c r="N32" s="475">
        <f t="shared" si="4"/>
        <v>0</v>
      </c>
      <c r="O32" s="475">
        <f t="shared" si="5"/>
        <v>0</v>
      </c>
      <c r="P32" s="241"/>
    </row>
    <row r="33" spans="2:16" ht="12.5">
      <c r="B33" s="160" t="str">
        <f t="shared" si="7"/>
        <v/>
      </c>
      <c r="C33" s="469">
        <f>IF(D11="","-",+C32+1)</f>
        <v>2033</v>
      </c>
      <c r="D33" s="480">
        <f>IF(F32+SUM(E$17:E32)=D$10,F32,D$10-SUM(E$17:E32))</f>
        <v>205576.65221189143</v>
      </c>
      <c r="E33" s="481">
        <f t="shared" si="19"/>
        <v>8707.1673684210527</v>
      </c>
      <c r="F33" s="482">
        <f t="shared" si="20"/>
        <v>196869.48484347039</v>
      </c>
      <c r="G33" s="483">
        <f t="shared" si="21"/>
        <v>31594.316928099972</v>
      </c>
      <c r="H33" s="452">
        <f t="shared" si="22"/>
        <v>31594.316928099972</v>
      </c>
      <c r="I33" s="472">
        <f t="shared" si="0"/>
        <v>0</v>
      </c>
      <c r="J33" s="472"/>
      <c r="K33" s="484"/>
      <c r="L33" s="475">
        <f t="shared" si="2"/>
        <v>0</v>
      </c>
      <c r="M33" s="484"/>
      <c r="N33" s="475">
        <f t="shared" si="4"/>
        <v>0</v>
      </c>
      <c r="O33" s="475">
        <f t="shared" si="5"/>
        <v>0</v>
      </c>
      <c r="P33" s="241"/>
    </row>
    <row r="34" spans="2:16" ht="12.5">
      <c r="B34" s="160" t="str">
        <f t="shared" si="7"/>
        <v/>
      </c>
      <c r="C34" s="469">
        <f>IF(D11="","-",+C33+1)</f>
        <v>2034</v>
      </c>
      <c r="D34" s="480">
        <f>IF(F33+SUM(E$17:E33)=D$10,F33,D$10-SUM(E$17:E33))</f>
        <v>196869.48484347039</v>
      </c>
      <c r="E34" s="481">
        <f t="shared" si="19"/>
        <v>8707.1673684210527</v>
      </c>
      <c r="F34" s="482">
        <f t="shared" si="20"/>
        <v>188162.31747504935</v>
      </c>
      <c r="G34" s="483">
        <f t="shared" si="21"/>
        <v>30603.962078328885</v>
      </c>
      <c r="H34" s="452">
        <f t="shared" si="22"/>
        <v>30603.962078328885</v>
      </c>
      <c r="I34" s="472">
        <f t="shared" si="0"/>
        <v>0</v>
      </c>
      <c r="J34" s="472"/>
      <c r="K34" s="484"/>
      <c r="L34" s="475">
        <f t="shared" si="2"/>
        <v>0</v>
      </c>
      <c r="M34" s="484"/>
      <c r="N34" s="475">
        <f t="shared" si="4"/>
        <v>0</v>
      </c>
      <c r="O34" s="475">
        <f t="shared" si="5"/>
        <v>0</v>
      </c>
      <c r="P34" s="241"/>
    </row>
    <row r="35" spans="2:16" ht="12.5">
      <c r="B35" s="160" t="str">
        <f t="shared" si="7"/>
        <v/>
      </c>
      <c r="C35" s="469">
        <f>IF(D11="","-",+C34+1)</f>
        <v>2035</v>
      </c>
      <c r="D35" s="480">
        <f>IF(F34+SUM(E$17:E34)=D$10,F34,D$10-SUM(E$17:E34))</f>
        <v>188162.31747504935</v>
      </c>
      <c r="E35" s="481">
        <f t="shared" si="19"/>
        <v>8707.1673684210527</v>
      </c>
      <c r="F35" s="482">
        <f t="shared" si="20"/>
        <v>179455.15010662831</v>
      </c>
      <c r="G35" s="483">
        <f t="shared" si="21"/>
        <v>29613.607228557805</v>
      </c>
      <c r="H35" s="452">
        <f t="shared" si="22"/>
        <v>29613.607228557805</v>
      </c>
      <c r="I35" s="472">
        <f t="shared" si="0"/>
        <v>0</v>
      </c>
      <c r="J35" s="472"/>
      <c r="K35" s="484"/>
      <c r="L35" s="475">
        <f t="shared" si="2"/>
        <v>0</v>
      </c>
      <c r="M35" s="484"/>
      <c r="N35" s="475">
        <f t="shared" si="4"/>
        <v>0</v>
      </c>
      <c r="O35" s="475">
        <f t="shared" si="5"/>
        <v>0</v>
      </c>
      <c r="P35" s="241"/>
    </row>
    <row r="36" spans="2:16" ht="12.5">
      <c r="B36" s="160" t="str">
        <f t="shared" si="7"/>
        <v/>
      </c>
      <c r="C36" s="469">
        <f>IF(D11="","-",+C35+1)</f>
        <v>2036</v>
      </c>
      <c r="D36" s="480">
        <f>IF(F35+SUM(E$17:E35)=D$10,F35,D$10-SUM(E$17:E35))</f>
        <v>179455.15010662831</v>
      </c>
      <c r="E36" s="481">
        <f t="shared" si="19"/>
        <v>8707.1673684210527</v>
      </c>
      <c r="F36" s="482">
        <f t="shared" si="20"/>
        <v>170747.98273820727</v>
      </c>
      <c r="G36" s="483">
        <f t="shared" si="21"/>
        <v>28623.252378786718</v>
      </c>
      <c r="H36" s="452">
        <f t="shared" si="22"/>
        <v>28623.252378786718</v>
      </c>
      <c r="I36" s="472">
        <f t="shared" si="0"/>
        <v>0</v>
      </c>
      <c r="J36" s="472"/>
      <c r="K36" s="484"/>
      <c r="L36" s="475">
        <f t="shared" si="2"/>
        <v>0</v>
      </c>
      <c r="M36" s="484"/>
      <c r="N36" s="475">
        <f t="shared" si="4"/>
        <v>0</v>
      </c>
      <c r="O36" s="475">
        <f t="shared" si="5"/>
        <v>0</v>
      </c>
      <c r="P36" s="241"/>
    </row>
    <row r="37" spans="2:16" ht="12.5">
      <c r="B37" s="160" t="str">
        <f t="shared" si="7"/>
        <v/>
      </c>
      <c r="C37" s="469">
        <f>IF(D11="","-",+C36+1)</f>
        <v>2037</v>
      </c>
      <c r="D37" s="480">
        <f>IF(F36+SUM(E$17:E36)=D$10,F36,D$10-SUM(E$17:E36))</f>
        <v>170747.98273820727</v>
      </c>
      <c r="E37" s="481">
        <f t="shared" si="19"/>
        <v>8707.1673684210527</v>
      </c>
      <c r="F37" s="482">
        <f t="shared" si="20"/>
        <v>162040.81536978623</v>
      </c>
      <c r="G37" s="483">
        <f t="shared" si="21"/>
        <v>27632.89752901563</v>
      </c>
      <c r="H37" s="452">
        <f t="shared" si="22"/>
        <v>27632.89752901563</v>
      </c>
      <c r="I37" s="472">
        <f t="shared" si="0"/>
        <v>0</v>
      </c>
      <c r="J37" s="472"/>
      <c r="K37" s="484"/>
      <c r="L37" s="475">
        <f t="shared" si="2"/>
        <v>0</v>
      </c>
      <c r="M37" s="484"/>
      <c r="N37" s="475">
        <f t="shared" si="4"/>
        <v>0</v>
      </c>
      <c r="O37" s="475">
        <f t="shared" si="5"/>
        <v>0</v>
      </c>
      <c r="P37" s="241"/>
    </row>
    <row r="38" spans="2:16" ht="12.5">
      <c r="B38" s="160" t="str">
        <f t="shared" si="7"/>
        <v/>
      </c>
      <c r="C38" s="469">
        <f>IF(D11="","-",+C37+1)</f>
        <v>2038</v>
      </c>
      <c r="D38" s="480">
        <f>IF(F37+SUM(E$17:E37)=D$10,F37,D$10-SUM(E$17:E37))</f>
        <v>162040.81536978623</v>
      </c>
      <c r="E38" s="481">
        <f t="shared" si="19"/>
        <v>8707.1673684210527</v>
      </c>
      <c r="F38" s="482">
        <f t="shared" si="20"/>
        <v>153333.64800136519</v>
      </c>
      <c r="G38" s="483">
        <f t="shared" si="21"/>
        <v>26642.542679244543</v>
      </c>
      <c r="H38" s="452">
        <f t="shared" si="22"/>
        <v>26642.542679244543</v>
      </c>
      <c r="I38" s="472">
        <f t="shared" si="0"/>
        <v>0</v>
      </c>
      <c r="J38" s="472"/>
      <c r="K38" s="484"/>
      <c r="L38" s="475">
        <f t="shared" si="2"/>
        <v>0</v>
      </c>
      <c r="M38" s="484"/>
      <c r="N38" s="475">
        <f t="shared" si="4"/>
        <v>0</v>
      </c>
      <c r="O38" s="475">
        <f t="shared" si="5"/>
        <v>0</v>
      </c>
      <c r="P38" s="241"/>
    </row>
    <row r="39" spans="2:16" ht="12.5">
      <c r="B39" s="160" t="str">
        <f t="shared" si="7"/>
        <v/>
      </c>
      <c r="C39" s="469">
        <f>IF(D11="","-",+C38+1)</f>
        <v>2039</v>
      </c>
      <c r="D39" s="480">
        <f>IF(F38+SUM(E$17:E38)=D$10,F38,D$10-SUM(E$17:E38))</f>
        <v>153333.64800136519</v>
      </c>
      <c r="E39" s="481">
        <f t="shared" si="19"/>
        <v>8707.1673684210527</v>
      </c>
      <c r="F39" s="482">
        <f t="shared" si="20"/>
        <v>144626.48063294415</v>
      </c>
      <c r="G39" s="483">
        <f t="shared" si="21"/>
        <v>25652.187829473463</v>
      </c>
      <c r="H39" s="452">
        <f t="shared" si="22"/>
        <v>25652.187829473463</v>
      </c>
      <c r="I39" s="472">
        <f t="shared" si="0"/>
        <v>0</v>
      </c>
      <c r="J39" s="472"/>
      <c r="K39" s="484"/>
      <c r="L39" s="475">
        <f t="shared" si="2"/>
        <v>0</v>
      </c>
      <c r="M39" s="484"/>
      <c r="N39" s="475">
        <f t="shared" si="4"/>
        <v>0</v>
      </c>
      <c r="O39" s="475">
        <f t="shared" si="5"/>
        <v>0</v>
      </c>
      <c r="P39" s="241"/>
    </row>
    <row r="40" spans="2:16" ht="12.5">
      <c r="B40" s="160" t="str">
        <f t="shared" si="7"/>
        <v/>
      </c>
      <c r="C40" s="469">
        <f>IF(D11="","-",+C39+1)</f>
        <v>2040</v>
      </c>
      <c r="D40" s="480">
        <f>IF(F39+SUM(E$17:E39)=D$10,F39,D$10-SUM(E$17:E39))</f>
        <v>144626.48063294415</v>
      </c>
      <c r="E40" s="481">
        <f t="shared" si="19"/>
        <v>8707.1673684210527</v>
      </c>
      <c r="F40" s="482">
        <f t="shared" si="20"/>
        <v>135919.31326452311</v>
      </c>
      <c r="G40" s="483">
        <f t="shared" si="21"/>
        <v>24661.832979702376</v>
      </c>
      <c r="H40" s="452">
        <f t="shared" si="22"/>
        <v>24661.832979702376</v>
      </c>
      <c r="I40" s="472">
        <f t="shared" si="0"/>
        <v>0</v>
      </c>
      <c r="J40" s="472"/>
      <c r="K40" s="484"/>
      <c r="L40" s="475">
        <f t="shared" si="2"/>
        <v>0</v>
      </c>
      <c r="M40" s="484"/>
      <c r="N40" s="475">
        <f t="shared" si="4"/>
        <v>0</v>
      </c>
      <c r="O40" s="475">
        <f t="shared" si="5"/>
        <v>0</v>
      </c>
      <c r="P40" s="241"/>
    </row>
    <row r="41" spans="2:16" ht="12.5">
      <c r="B41" s="160" t="str">
        <f t="shared" si="7"/>
        <v/>
      </c>
      <c r="C41" s="469">
        <f>IF(D11="","-",+C40+1)</f>
        <v>2041</v>
      </c>
      <c r="D41" s="480">
        <f>IF(F40+SUM(E$17:E40)=D$10,F40,D$10-SUM(E$17:E40))</f>
        <v>135919.31326452311</v>
      </c>
      <c r="E41" s="481">
        <f t="shared" si="19"/>
        <v>8707.1673684210527</v>
      </c>
      <c r="F41" s="482">
        <f t="shared" si="20"/>
        <v>127212.14589610205</v>
      </c>
      <c r="G41" s="483">
        <f t="shared" si="21"/>
        <v>23671.478129931289</v>
      </c>
      <c r="H41" s="452">
        <f t="shared" si="22"/>
        <v>23671.478129931289</v>
      </c>
      <c r="I41" s="472">
        <f t="shared" si="0"/>
        <v>0</v>
      </c>
      <c r="J41" s="472"/>
      <c r="K41" s="484"/>
      <c r="L41" s="475">
        <f t="shared" si="2"/>
        <v>0</v>
      </c>
      <c r="M41" s="484"/>
      <c r="N41" s="475">
        <f t="shared" si="4"/>
        <v>0</v>
      </c>
      <c r="O41" s="475">
        <f t="shared" si="5"/>
        <v>0</v>
      </c>
      <c r="P41" s="241"/>
    </row>
    <row r="42" spans="2:16" ht="12.5">
      <c r="B42" s="160" t="str">
        <f t="shared" si="7"/>
        <v/>
      </c>
      <c r="C42" s="469">
        <f>IF(D11="","-",+C41+1)</f>
        <v>2042</v>
      </c>
      <c r="D42" s="480">
        <f>IF(F41+SUM(E$17:E41)=D$10,F41,D$10-SUM(E$17:E41))</f>
        <v>127212.14589610205</v>
      </c>
      <c r="E42" s="481">
        <f t="shared" si="19"/>
        <v>8707.1673684210527</v>
      </c>
      <c r="F42" s="482">
        <f t="shared" si="20"/>
        <v>118504.978527681</v>
      </c>
      <c r="G42" s="483">
        <f t="shared" si="21"/>
        <v>22681.123280160202</v>
      </c>
      <c r="H42" s="452">
        <f t="shared" si="22"/>
        <v>22681.123280160202</v>
      </c>
      <c r="I42" s="472">
        <f t="shared" si="0"/>
        <v>0</v>
      </c>
      <c r="J42" s="472"/>
      <c r="K42" s="484"/>
      <c r="L42" s="475">
        <f t="shared" si="2"/>
        <v>0</v>
      </c>
      <c r="M42" s="484"/>
      <c r="N42" s="475">
        <f t="shared" si="4"/>
        <v>0</v>
      </c>
      <c r="O42" s="475">
        <f t="shared" si="5"/>
        <v>0</v>
      </c>
      <c r="P42" s="241"/>
    </row>
    <row r="43" spans="2:16" ht="12.5">
      <c r="B43" s="160" t="str">
        <f t="shared" si="7"/>
        <v/>
      </c>
      <c r="C43" s="469">
        <f>IF(D11="","-",+C42+1)</f>
        <v>2043</v>
      </c>
      <c r="D43" s="480">
        <f>IF(F42+SUM(E$17:E42)=D$10,F42,D$10-SUM(E$17:E42))</f>
        <v>118504.978527681</v>
      </c>
      <c r="E43" s="481">
        <f t="shared" si="19"/>
        <v>8707.1673684210527</v>
      </c>
      <c r="F43" s="482">
        <f t="shared" si="20"/>
        <v>109797.81115925995</v>
      </c>
      <c r="G43" s="483">
        <f t="shared" si="21"/>
        <v>21690.768430389115</v>
      </c>
      <c r="H43" s="452">
        <f t="shared" si="22"/>
        <v>21690.768430389115</v>
      </c>
      <c r="I43" s="472">
        <f t="shared" si="0"/>
        <v>0</v>
      </c>
      <c r="J43" s="472"/>
      <c r="K43" s="484"/>
      <c r="L43" s="475">
        <f t="shared" si="2"/>
        <v>0</v>
      </c>
      <c r="M43" s="484"/>
      <c r="N43" s="475">
        <f t="shared" si="4"/>
        <v>0</v>
      </c>
      <c r="O43" s="475">
        <f t="shared" si="5"/>
        <v>0</v>
      </c>
      <c r="P43" s="241"/>
    </row>
    <row r="44" spans="2:16" ht="12.5">
      <c r="B44" s="160" t="str">
        <f t="shared" si="7"/>
        <v/>
      </c>
      <c r="C44" s="469">
        <f>IF(D11="","-",+C43+1)</f>
        <v>2044</v>
      </c>
      <c r="D44" s="480">
        <f>IF(F43+SUM(E$17:E43)=D$10,F43,D$10-SUM(E$17:E43))</f>
        <v>109797.81115925995</v>
      </c>
      <c r="E44" s="481">
        <f t="shared" si="19"/>
        <v>8707.1673684210527</v>
      </c>
      <c r="F44" s="482">
        <f t="shared" si="20"/>
        <v>101090.64379083889</v>
      </c>
      <c r="G44" s="483">
        <f t="shared" si="21"/>
        <v>20700.413580618027</v>
      </c>
      <c r="H44" s="452">
        <f t="shared" si="22"/>
        <v>20700.413580618027</v>
      </c>
      <c r="I44" s="472">
        <f t="shared" si="0"/>
        <v>0</v>
      </c>
      <c r="J44" s="472"/>
      <c r="K44" s="484"/>
      <c r="L44" s="475">
        <f t="shared" si="2"/>
        <v>0</v>
      </c>
      <c r="M44" s="484"/>
      <c r="N44" s="475">
        <f t="shared" si="4"/>
        <v>0</v>
      </c>
      <c r="O44" s="475">
        <f t="shared" si="5"/>
        <v>0</v>
      </c>
      <c r="P44" s="241"/>
    </row>
    <row r="45" spans="2:16" ht="12.5">
      <c r="B45" s="160" t="str">
        <f t="shared" si="7"/>
        <v/>
      </c>
      <c r="C45" s="469">
        <f>IF(D11="","-",+C44+1)</f>
        <v>2045</v>
      </c>
      <c r="D45" s="480">
        <f>IF(F44+SUM(E$17:E44)=D$10,F44,D$10-SUM(E$17:E44))</f>
        <v>101090.64379083889</v>
      </c>
      <c r="E45" s="481">
        <f t="shared" si="19"/>
        <v>8707.1673684210527</v>
      </c>
      <c r="F45" s="482">
        <f t="shared" si="20"/>
        <v>92383.476422417836</v>
      </c>
      <c r="G45" s="483">
        <f t="shared" si="21"/>
        <v>19710.05873084694</v>
      </c>
      <c r="H45" s="452">
        <f t="shared" si="22"/>
        <v>19710.05873084694</v>
      </c>
      <c r="I45" s="472">
        <f t="shared" si="0"/>
        <v>0</v>
      </c>
      <c r="J45" s="472"/>
      <c r="K45" s="484"/>
      <c r="L45" s="475">
        <f t="shared" si="2"/>
        <v>0</v>
      </c>
      <c r="M45" s="484"/>
      <c r="N45" s="475">
        <f t="shared" si="4"/>
        <v>0</v>
      </c>
      <c r="O45" s="475">
        <f t="shared" si="5"/>
        <v>0</v>
      </c>
      <c r="P45" s="241"/>
    </row>
    <row r="46" spans="2:16" ht="12.5">
      <c r="B46" s="160" t="str">
        <f t="shared" si="7"/>
        <v/>
      </c>
      <c r="C46" s="469">
        <f>IF(D11="","-",+C45+1)</f>
        <v>2046</v>
      </c>
      <c r="D46" s="480">
        <f>IF(F45+SUM(E$17:E45)=D$10,F45,D$10-SUM(E$17:E45))</f>
        <v>92383.476422417836</v>
      </c>
      <c r="E46" s="481">
        <f t="shared" si="19"/>
        <v>8707.1673684210527</v>
      </c>
      <c r="F46" s="482">
        <f t="shared" si="20"/>
        <v>83676.309053996782</v>
      </c>
      <c r="G46" s="483">
        <f t="shared" si="21"/>
        <v>18719.703881075853</v>
      </c>
      <c r="H46" s="452">
        <f t="shared" si="22"/>
        <v>18719.703881075853</v>
      </c>
      <c r="I46" s="472">
        <f t="shared" si="0"/>
        <v>0</v>
      </c>
      <c r="J46" s="472"/>
      <c r="K46" s="484"/>
      <c r="L46" s="475">
        <f t="shared" si="2"/>
        <v>0</v>
      </c>
      <c r="M46" s="484"/>
      <c r="N46" s="475">
        <f t="shared" si="4"/>
        <v>0</v>
      </c>
      <c r="O46" s="475">
        <f t="shared" si="5"/>
        <v>0</v>
      </c>
      <c r="P46" s="241"/>
    </row>
    <row r="47" spans="2:16" ht="12.5">
      <c r="B47" s="160" t="str">
        <f t="shared" si="7"/>
        <v/>
      </c>
      <c r="C47" s="469">
        <f>IF(D11="","-",+C46+1)</f>
        <v>2047</v>
      </c>
      <c r="D47" s="480">
        <f>IF(F46+SUM(E$17:E46)=D$10,F46,D$10-SUM(E$17:E46))</f>
        <v>83676.309053996782</v>
      </c>
      <c r="E47" s="481">
        <f t="shared" si="19"/>
        <v>8707.1673684210527</v>
      </c>
      <c r="F47" s="482">
        <f t="shared" si="20"/>
        <v>74969.141685575727</v>
      </c>
      <c r="G47" s="483">
        <f t="shared" si="21"/>
        <v>17729.349031304766</v>
      </c>
      <c r="H47" s="452">
        <f t="shared" si="22"/>
        <v>17729.349031304766</v>
      </c>
      <c r="I47" s="472">
        <f t="shared" si="0"/>
        <v>0</v>
      </c>
      <c r="J47" s="472"/>
      <c r="K47" s="484"/>
      <c r="L47" s="475">
        <f t="shared" si="2"/>
        <v>0</v>
      </c>
      <c r="M47" s="484"/>
      <c r="N47" s="475">
        <f t="shared" si="4"/>
        <v>0</v>
      </c>
      <c r="O47" s="475">
        <f t="shared" si="5"/>
        <v>0</v>
      </c>
      <c r="P47" s="241"/>
    </row>
    <row r="48" spans="2:16" ht="12.5">
      <c r="B48" s="160" t="str">
        <f t="shared" si="7"/>
        <v/>
      </c>
      <c r="C48" s="469">
        <f>IF(D11="","-",+C47+1)</f>
        <v>2048</v>
      </c>
      <c r="D48" s="480">
        <f>IF(F47+SUM(E$17:E47)=D$10,F47,D$10-SUM(E$17:E47))</f>
        <v>74969.141685575727</v>
      </c>
      <c r="E48" s="481">
        <f t="shared" si="19"/>
        <v>8707.1673684210527</v>
      </c>
      <c r="F48" s="482">
        <f t="shared" si="20"/>
        <v>66261.974317154672</v>
      </c>
      <c r="G48" s="483">
        <f t="shared" si="21"/>
        <v>16738.994181533679</v>
      </c>
      <c r="H48" s="452">
        <f t="shared" si="22"/>
        <v>16738.994181533679</v>
      </c>
      <c r="I48" s="472">
        <f t="shared" si="0"/>
        <v>0</v>
      </c>
      <c r="J48" s="472"/>
      <c r="K48" s="484"/>
      <c r="L48" s="475">
        <f t="shared" si="2"/>
        <v>0</v>
      </c>
      <c r="M48" s="484"/>
      <c r="N48" s="475">
        <f t="shared" si="4"/>
        <v>0</v>
      </c>
      <c r="O48" s="475">
        <f t="shared" si="5"/>
        <v>0</v>
      </c>
      <c r="P48" s="241"/>
    </row>
    <row r="49" spans="2:16" ht="12.5">
      <c r="B49" s="160" t="str">
        <f t="shared" si="7"/>
        <v/>
      </c>
      <c r="C49" s="469">
        <f>IF(D11="","-",+C48+1)</f>
        <v>2049</v>
      </c>
      <c r="D49" s="480">
        <f>IF(F48+SUM(E$17:E48)=D$10,F48,D$10-SUM(E$17:E48))</f>
        <v>66261.974317154672</v>
      </c>
      <c r="E49" s="481">
        <f t="shared" si="19"/>
        <v>8707.1673684210527</v>
      </c>
      <c r="F49" s="482">
        <f t="shared" si="20"/>
        <v>57554.806948733618</v>
      </c>
      <c r="G49" s="483">
        <f t="shared" si="21"/>
        <v>15748.639331762592</v>
      </c>
      <c r="H49" s="452">
        <f t="shared" si="22"/>
        <v>15748.639331762592</v>
      </c>
      <c r="I49" s="472">
        <f t="shared" si="0"/>
        <v>0</v>
      </c>
      <c r="J49" s="472"/>
      <c r="K49" s="484"/>
      <c r="L49" s="475">
        <f t="shared" si="2"/>
        <v>0</v>
      </c>
      <c r="M49" s="484"/>
      <c r="N49" s="475">
        <f t="shared" si="4"/>
        <v>0</v>
      </c>
      <c r="O49" s="475">
        <f t="shared" si="5"/>
        <v>0</v>
      </c>
      <c r="P49" s="241"/>
    </row>
    <row r="50" spans="2:16" ht="12.5">
      <c r="B50" s="160" t="str">
        <f t="shared" si="7"/>
        <v/>
      </c>
      <c r="C50" s="469">
        <f>IF(D11="","-",+C49+1)</f>
        <v>2050</v>
      </c>
      <c r="D50" s="480">
        <f>IF(F49+SUM(E$17:E49)=D$10,F49,D$10-SUM(E$17:E49))</f>
        <v>57554.806948733618</v>
      </c>
      <c r="E50" s="481">
        <f t="shared" si="19"/>
        <v>8707.1673684210527</v>
      </c>
      <c r="F50" s="482">
        <f t="shared" si="20"/>
        <v>48847.639580312563</v>
      </c>
      <c r="G50" s="483">
        <f t="shared" si="21"/>
        <v>14758.284481991504</v>
      </c>
      <c r="H50" s="452">
        <f t="shared" si="22"/>
        <v>14758.284481991504</v>
      </c>
      <c r="I50" s="472">
        <f t="shared" si="0"/>
        <v>0</v>
      </c>
      <c r="J50" s="472"/>
      <c r="K50" s="484"/>
      <c r="L50" s="475">
        <f t="shared" si="2"/>
        <v>0</v>
      </c>
      <c r="M50" s="484"/>
      <c r="N50" s="475">
        <f t="shared" si="4"/>
        <v>0</v>
      </c>
      <c r="O50" s="475">
        <f t="shared" si="5"/>
        <v>0</v>
      </c>
      <c r="P50" s="241"/>
    </row>
    <row r="51" spans="2:16" ht="12.5">
      <c r="B51" s="160" t="str">
        <f t="shared" si="7"/>
        <v/>
      </c>
      <c r="C51" s="469">
        <f>IF(D11="","-",+C50+1)</f>
        <v>2051</v>
      </c>
      <c r="D51" s="480">
        <f>IF(F50+SUM(E$17:E50)=D$10,F50,D$10-SUM(E$17:E50))</f>
        <v>48847.639580312563</v>
      </c>
      <c r="E51" s="481">
        <f t="shared" si="19"/>
        <v>8707.1673684210527</v>
      </c>
      <c r="F51" s="482">
        <f t="shared" si="20"/>
        <v>40140.472211891509</v>
      </c>
      <c r="G51" s="483">
        <f t="shared" si="21"/>
        <v>13767.929632220417</v>
      </c>
      <c r="H51" s="452">
        <f t="shared" si="22"/>
        <v>13767.929632220417</v>
      </c>
      <c r="I51" s="472">
        <f t="shared" si="0"/>
        <v>0</v>
      </c>
      <c r="J51" s="472"/>
      <c r="K51" s="484"/>
      <c r="L51" s="475">
        <f t="shared" si="2"/>
        <v>0</v>
      </c>
      <c r="M51" s="484"/>
      <c r="N51" s="475">
        <f t="shared" si="4"/>
        <v>0</v>
      </c>
      <c r="O51" s="475">
        <f t="shared" si="5"/>
        <v>0</v>
      </c>
      <c r="P51" s="241"/>
    </row>
    <row r="52" spans="2:16" ht="12.5">
      <c r="B52" s="160" t="str">
        <f t="shared" si="7"/>
        <v/>
      </c>
      <c r="C52" s="469">
        <f>IF(D11="","-",+C51+1)</f>
        <v>2052</v>
      </c>
      <c r="D52" s="480">
        <f>IF(F51+SUM(E$17:E51)=D$10,F51,D$10-SUM(E$17:E51))</f>
        <v>40140.472211891509</v>
      </c>
      <c r="E52" s="481">
        <f t="shared" si="19"/>
        <v>8707.1673684210527</v>
      </c>
      <c r="F52" s="482">
        <f t="shared" si="20"/>
        <v>31433.304843470454</v>
      </c>
      <c r="G52" s="483">
        <f t="shared" si="21"/>
        <v>12777.57478244933</v>
      </c>
      <c r="H52" s="452">
        <f t="shared" si="22"/>
        <v>12777.57478244933</v>
      </c>
      <c r="I52" s="472">
        <f t="shared" si="0"/>
        <v>0</v>
      </c>
      <c r="J52" s="472"/>
      <c r="K52" s="484"/>
      <c r="L52" s="475">
        <f t="shared" si="2"/>
        <v>0</v>
      </c>
      <c r="M52" s="484"/>
      <c r="N52" s="475">
        <f t="shared" si="4"/>
        <v>0</v>
      </c>
      <c r="O52" s="475">
        <f t="shared" si="5"/>
        <v>0</v>
      </c>
      <c r="P52" s="241"/>
    </row>
    <row r="53" spans="2:16" ht="12.5">
      <c r="B53" s="160" t="str">
        <f t="shared" si="7"/>
        <v/>
      </c>
      <c r="C53" s="469">
        <f>IF(D11="","-",+C52+1)</f>
        <v>2053</v>
      </c>
      <c r="D53" s="480">
        <f>IF(F52+SUM(E$17:E52)=D$10,F52,D$10-SUM(E$17:E52))</f>
        <v>31433.304843470454</v>
      </c>
      <c r="E53" s="481">
        <f t="shared" si="19"/>
        <v>8707.1673684210527</v>
      </c>
      <c r="F53" s="482">
        <f t="shared" si="20"/>
        <v>22726.1374750494</v>
      </c>
      <c r="G53" s="483">
        <f t="shared" si="21"/>
        <v>11787.219932678243</v>
      </c>
      <c r="H53" s="452">
        <f t="shared" si="22"/>
        <v>11787.219932678243</v>
      </c>
      <c r="I53" s="472">
        <f t="shared" si="0"/>
        <v>0</v>
      </c>
      <c r="J53" s="472"/>
      <c r="K53" s="484"/>
      <c r="L53" s="475">
        <f t="shared" si="2"/>
        <v>0</v>
      </c>
      <c r="M53" s="484"/>
      <c r="N53" s="475">
        <f t="shared" si="4"/>
        <v>0</v>
      </c>
      <c r="O53" s="475">
        <f t="shared" si="5"/>
        <v>0</v>
      </c>
      <c r="P53" s="241"/>
    </row>
    <row r="54" spans="2:16" ht="12.5">
      <c r="B54" s="160" t="str">
        <f t="shared" si="7"/>
        <v/>
      </c>
      <c r="C54" s="469">
        <f>IF(D11="","-",+C53+1)</f>
        <v>2054</v>
      </c>
      <c r="D54" s="480">
        <f>IF(F53+SUM(E$17:E53)=D$10,F53,D$10-SUM(E$17:E53))</f>
        <v>22726.1374750494</v>
      </c>
      <c r="E54" s="481">
        <f t="shared" si="19"/>
        <v>8707.1673684210527</v>
      </c>
      <c r="F54" s="482">
        <f t="shared" si="20"/>
        <v>14018.970106628347</v>
      </c>
      <c r="G54" s="483">
        <f t="shared" si="21"/>
        <v>10796.865082907156</v>
      </c>
      <c r="H54" s="452">
        <f t="shared" si="22"/>
        <v>10796.865082907156</v>
      </c>
      <c r="I54" s="472">
        <f t="shared" si="0"/>
        <v>0</v>
      </c>
      <c r="J54" s="472"/>
      <c r="K54" s="484"/>
      <c r="L54" s="475">
        <f t="shared" si="2"/>
        <v>0</v>
      </c>
      <c r="M54" s="484"/>
      <c r="N54" s="475">
        <f t="shared" si="4"/>
        <v>0</v>
      </c>
      <c r="O54" s="475">
        <f t="shared" si="5"/>
        <v>0</v>
      </c>
      <c r="P54" s="241"/>
    </row>
    <row r="55" spans="2:16" ht="12.5">
      <c r="B55" s="160" t="str">
        <f t="shared" si="7"/>
        <v/>
      </c>
      <c r="C55" s="469">
        <f>IF(D11="","-",+C54+1)</f>
        <v>2055</v>
      </c>
      <c r="D55" s="480">
        <f>IF(F54+SUM(E$17:E54)=D$10,F54,D$10-SUM(E$17:E54))</f>
        <v>14018.970106628347</v>
      </c>
      <c r="E55" s="481">
        <f t="shared" si="19"/>
        <v>8707.1673684210527</v>
      </c>
      <c r="F55" s="482">
        <f t="shared" si="20"/>
        <v>5311.8027382072942</v>
      </c>
      <c r="G55" s="483">
        <f t="shared" si="21"/>
        <v>9806.5102331360686</v>
      </c>
      <c r="H55" s="452">
        <f t="shared" si="22"/>
        <v>9806.5102331360686</v>
      </c>
      <c r="I55" s="472">
        <f t="shared" si="0"/>
        <v>0</v>
      </c>
      <c r="J55" s="472"/>
      <c r="K55" s="484"/>
      <c r="L55" s="475">
        <f t="shared" si="2"/>
        <v>0</v>
      </c>
      <c r="M55" s="484"/>
      <c r="N55" s="475">
        <f t="shared" si="4"/>
        <v>0</v>
      </c>
      <c r="O55" s="475">
        <f t="shared" si="5"/>
        <v>0</v>
      </c>
      <c r="P55" s="241"/>
    </row>
    <row r="56" spans="2:16" ht="12.5">
      <c r="B56" s="160" t="str">
        <f t="shared" si="7"/>
        <v/>
      </c>
      <c r="C56" s="469">
        <f>IF(D11="","-",+C55+1)</f>
        <v>2056</v>
      </c>
      <c r="D56" s="480">
        <f>IF(F55+SUM(E$17:E55)=D$10,F55,D$10-SUM(E$17:E55))</f>
        <v>5311.8027382072942</v>
      </c>
      <c r="E56" s="481">
        <f t="shared" si="19"/>
        <v>5311.8027382072942</v>
      </c>
      <c r="F56" s="482">
        <f t="shared" si="20"/>
        <v>0</v>
      </c>
      <c r="G56" s="483">
        <f t="shared" si="21"/>
        <v>5613.8854581220303</v>
      </c>
      <c r="H56" s="452">
        <f t="shared" si="22"/>
        <v>5613.8854581220303</v>
      </c>
      <c r="I56" s="472">
        <f t="shared" si="0"/>
        <v>0</v>
      </c>
      <c r="J56" s="472"/>
      <c r="K56" s="484"/>
      <c r="L56" s="475">
        <f t="shared" si="2"/>
        <v>0</v>
      </c>
      <c r="M56" s="484"/>
      <c r="N56" s="475">
        <f t="shared" si="4"/>
        <v>0</v>
      </c>
      <c r="O56" s="475">
        <f t="shared" si="5"/>
        <v>0</v>
      </c>
      <c r="P56" s="241"/>
    </row>
    <row r="57" spans="2:16" ht="12.5">
      <c r="B57" s="160" t="str">
        <f t="shared" si="7"/>
        <v/>
      </c>
      <c r="C57" s="469">
        <f>IF(D11="","-",+C56+1)</f>
        <v>2057</v>
      </c>
      <c r="D57" s="480">
        <f>IF(F56+SUM(E$17:E56)=D$10,F56,D$10-SUM(E$17:E56))</f>
        <v>0</v>
      </c>
      <c r="E57" s="481">
        <f t="shared" si="19"/>
        <v>0</v>
      </c>
      <c r="F57" s="482">
        <f t="shared" si="20"/>
        <v>0</v>
      </c>
      <c r="G57" s="483">
        <f t="shared" si="21"/>
        <v>0</v>
      </c>
      <c r="H57" s="452">
        <f t="shared" si="22"/>
        <v>0</v>
      </c>
      <c r="I57" s="472">
        <f t="shared" si="0"/>
        <v>0</v>
      </c>
      <c r="J57" s="472"/>
      <c r="K57" s="484"/>
      <c r="L57" s="475">
        <f t="shared" si="2"/>
        <v>0</v>
      </c>
      <c r="M57" s="484"/>
      <c r="N57" s="475">
        <f t="shared" si="4"/>
        <v>0</v>
      </c>
      <c r="O57" s="475">
        <f t="shared" si="5"/>
        <v>0</v>
      </c>
      <c r="P57" s="241"/>
    </row>
    <row r="58" spans="2:16" ht="12.5">
      <c r="B58" s="160" t="str">
        <f t="shared" si="7"/>
        <v/>
      </c>
      <c r="C58" s="469">
        <f>IF(D11="","-",+C57+1)</f>
        <v>2058</v>
      </c>
      <c r="D58" s="480">
        <f>IF(F57+SUM(E$17:E57)=D$10,F57,D$10-SUM(E$17:E57))</f>
        <v>0</v>
      </c>
      <c r="E58" s="481">
        <f t="shared" si="19"/>
        <v>0</v>
      </c>
      <c r="F58" s="482">
        <f t="shared" si="20"/>
        <v>0</v>
      </c>
      <c r="G58" s="483">
        <f t="shared" si="21"/>
        <v>0</v>
      </c>
      <c r="H58" s="452">
        <f t="shared" si="22"/>
        <v>0</v>
      </c>
      <c r="I58" s="472">
        <f t="shared" si="0"/>
        <v>0</v>
      </c>
      <c r="J58" s="472"/>
      <c r="K58" s="484"/>
      <c r="L58" s="475">
        <f t="shared" si="2"/>
        <v>0</v>
      </c>
      <c r="M58" s="484"/>
      <c r="N58" s="475">
        <f t="shared" si="4"/>
        <v>0</v>
      </c>
      <c r="O58" s="475">
        <f t="shared" si="5"/>
        <v>0</v>
      </c>
      <c r="P58" s="241"/>
    </row>
    <row r="59" spans="2:16" ht="12.5">
      <c r="B59" s="160" t="str">
        <f t="shared" si="7"/>
        <v/>
      </c>
      <c r="C59" s="469">
        <f>IF(D11="","-",+C58+1)</f>
        <v>2059</v>
      </c>
      <c r="D59" s="480">
        <f>IF(F58+SUM(E$17:E58)=D$10,F58,D$10-SUM(E$17:E58))</f>
        <v>0</v>
      </c>
      <c r="E59" s="481">
        <f t="shared" si="19"/>
        <v>0</v>
      </c>
      <c r="F59" s="482">
        <f t="shared" si="20"/>
        <v>0</v>
      </c>
      <c r="G59" s="483">
        <f t="shared" si="21"/>
        <v>0</v>
      </c>
      <c r="H59" s="452">
        <f t="shared" si="22"/>
        <v>0</v>
      </c>
      <c r="I59" s="472">
        <f t="shared" si="0"/>
        <v>0</v>
      </c>
      <c r="J59" s="472"/>
      <c r="K59" s="484"/>
      <c r="L59" s="475">
        <f t="shared" si="2"/>
        <v>0</v>
      </c>
      <c r="M59" s="484"/>
      <c r="N59" s="475">
        <f t="shared" si="4"/>
        <v>0</v>
      </c>
      <c r="O59" s="475">
        <f t="shared" si="5"/>
        <v>0</v>
      </c>
      <c r="P59" s="241"/>
    </row>
    <row r="60" spans="2:16" ht="12.5">
      <c r="B60" s="160" t="str">
        <f t="shared" si="7"/>
        <v/>
      </c>
      <c r="C60" s="469">
        <f>IF(D11="","-",+C59+1)</f>
        <v>2060</v>
      </c>
      <c r="D60" s="480">
        <f>IF(F59+SUM(E$17:E59)=D$10,F59,D$10-SUM(E$17:E59))</f>
        <v>0</v>
      </c>
      <c r="E60" s="481">
        <f t="shared" si="19"/>
        <v>0</v>
      </c>
      <c r="F60" s="482">
        <f t="shared" si="20"/>
        <v>0</v>
      </c>
      <c r="G60" s="483">
        <f t="shared" si="21"/>
        <v>0</v>
      </c>
      <c r="H60" s="452">
        <f t="shared" si="22"/>
        <v>0</v>
      </c>
      <c r="I60" s="472">
        <f t="shared" si="0"/>
        <v>0</v>
      </c>
      <c r="J60" s="472"/>
      <c r="K60" s="484"/>
      <c r="L60" s="475">
        <f t="shared" si="2"/>
        <v>0</v>
      </c>
      <c r="M60" s="484"/>
      <c r="N60" s="475">
        <f t="shared" si="4"/>
        <v>0</v>
      </c>
      <c r="O60" s="475">
        <f t="shared" si="5"/>
        <v>0</v>
      </c>
      <c r="P60" s="241"/>
    </row>
    <row r="61" spans="2:16" ht="12.5">
      <c r="B61" s="160" t="str">
        <f t="shared" si="7"/>
        <v/>
      </c>
      <c r="C61" s="469">
        <f>IF(D11="","-",+C60+1)</f>
        <v>2061</v>
      </c>
      <c r="D61" s="480">
        <f>IF(F60+SUM(E$17:E60)=D$10,F60,D$10-SUM(E$17:E60))</f>
        <v>0</v>
      </c>
      <c r="E61" s="481">
        <f t="shared" si="19"/>
        <v>0</v>
      </c>
      <c r="F61" s="482">
        <f t="shared" si="20"/>
        <v>0</v>
      </c>
      <c r="G61" s="483">
        <f t="shared" si="21"/>
        <v>0</v>
      </c>
      <c r="H61" s="452">
        <f t="shared" si="22"/>
        <v>0</v>
      </c>
      <c r="I61" s="472">
        <f t="shared" si="0"/>
        <v>0</v>
      </c>
      <c r="J61" s="472"/>
      <c r="K61" s="484"/>
      <c r="L61" s="475">
        <f t="shared" si="2"/>
        <v>0</v>
      </c>
      <c r="M61" s="484"/>
      <c r="N61" s="475">
        <f t="shared" si="4"/>
        <v>0</v>
      </c>
      <c r="O61" s="475">
        <f t="shared" si="5"/>
        <v>0</v>
      </c>
      <c r="P61" s="241"/>
    </row>
    <row r="62" spans="2:16" ht="12.5">
      <c r="B62" s="160" t="str">
        <f t="shared" si="7"/>
        <v/>
      </c>
      <c r="C62" s="469">
        <f>IF(D11="","-",+C61+1)</f>
        <v>2062</v>
      </c>
      <c r="D62" s="480">
        <f>IF(F61+SUM(E$17:E61)=D$10,F61,D$10-SUM(E$17:E61))</f>
        <v>0</v>
      </c>
      <c r="E62" s="481">
        <f t="shared" si="19"/>
        <v>0</v>
      </c>
      <c r="F62" s="482">
        <f t="shared" si="20"/>
        <v>0</v>
      </c>
      <c r="G62" s="483">
        <f t="shared" si="21"/>
        <v>0</v>
      </c>
      <c r="H62" s="452">
        <f t="shared" si="22"/>
        <v>0</v>
      </c>
      <c r="I62" s="472">
        <f t="shared" si="0"/>
        <v>0</v>
      </c>
      <c r="J62" s="472"/>
      <c r="K62" s="484"/>
      <c r="L62" s="475">
        <f t="shared" si="2"/>
        <v>0</v>
      </c>
      <c r="M62" s="484"/>
      <c r="N62" s="475">
        <f t="shared" si="4"/>
        <v>0</v>
      </c>
      <c r="O62" s="475">
        <f t="shared" si="5"/>
        <v>0</v>
      </c>
      <c r="P62" s="241"/>
    </row>
    <row r="63" spans="2:16" ht="12.5">
      <c r="B63" s="160" t="str">
        <f t="shared" si="7"/>
        <v/>
      </c>
      <c r="C63" s="469">
        <f>IF(D11="","-",+C62+1)</f>
        <v>2063</v>
      </c>
      <c r="D63" s="480">
        <f>IF(F62+SUM(E$17:E62)=D$10,F62,D$10-SUM(E$17:E62))</f>
        <v>0</v>
      </c>
      <c r="E63" s="481">
        <f t="shared" si="19"/>
        <v>0</v>
      </c>
      <c r="F63" s="482">
        <f t="shared" si="20"/>
        <v>0</v>
      </c>
      <c r="G63" s="483">
        <f t="shared" si="21"/>
        <v>0</v>
      </c>
      <c r="H63" s="452">
        <f t="shared" si="22"/>
        <v>0</v>
      </c>
      <c r="I63" s="472">
        <f t="shared" si="0"/>
        <v>0</v>
      </c>
      <c r="J63" s="472"/>
      <c r="K63" s="484"/>
      <c r="L63" s="475">
        <f t="shared" si="2"/>
        <v>0</v>
      </c>
      <c r="M63" s="484"/>
      <c r="N63" s="475">
        <f t="shared" si="4"/>
        <v>0</v>
      </c>
      <c r="O63" s="475">
        <f t="shared" si="5"/>
        <v>0</v>
      </c>
      <c r="P63" s="241"/>
    </row>
    <row r="64" spans="2:16" ht="12.5">
      <c r="B64" s="160" t="str">
        <f t="shared" si="7"/>
        <v/>
      </c>
      <c r="C64" s="469">
        <f>IF(D11="","-",+C63+1)</f>
        <v>2064</v>
      </c>
      <c r="D64" s="480">
        <f>IF(F63+SUM(E$17:E63)=D$10,F63,D$10-SUM(E$17:E63))</f>
        <v>0</v>
      </c>
      <c r="E64" s="481">
        <f t="shared" si="19"/>
        <v>0</v>
      </c>
      <c r="F64" s="482">
        <f t="shared" si="20"/>
        <v>0</v>
      </c>
      <c r="G64" s="483">
        <f t="shared" si="21"/>
        <v>0</v>
      </c>
      <c r="H64" s="452">
        <f t="shared" si="22"/>
        <v>0</v>
      </c>
      <c r="I64" s="472">
        <f t="shared" si="0"/>
        <v>0</v>
      </c>
      <c r="J64" s="472"/>
      <c r="K64" s="484"/>
      <c r="L64" s="475">
        <f t="shared" si="2"/>
        <v>0</v>
      </c>
      <c r="M64" s="484"/>
      <c r="N64" s="475">
        <f t="shared" si="4"/>
        <v>0</v>
      </c>
      <c r="O64" s="475">
        <f t="shared" si="5"/>
        <v>0</v>
      </c>
      <c r="P64" s="241"/>
    </row>
    <row r="65" spans="2:16" ht="12.5">
      <c r="B65" s="160" t="str">
        <f t="shared" si="7"/>
        <v/>
      </c>
      <c r="C65" s="469">
        <f>IF(D11="","-",+C64+1)</f>
        <v>2065</v>
      </c>
      <c r="D65" s="480">
        <f>IF(F64+SUM(E$17:E64)=D$10,F64,D$10-SUM(E$17:E64))</f>
        <v>0</v>
      </c>
      <c r="E65" s="481">
        <f t="shared" si="19"/>
        <v>0</v>
      </c>
      <c r="F65" s="482">
        <f t="shared" si="20"/>
        <v>0</v>
      </c>
      <c r="G65" s="483">
        <f t="shared" si="21"/>
        <v>0</v>
      </c>
      <c r="H65" s="452">
        <f t="shared" si="22"/>
        <v>0</v>
      </c>
      <c r="I65" s="472">
        <f t="shared" si="0"/>
        <v>0</v>
      </c>
      <c r="J65" s="472"/>
      <c r="K65" s="484"/>
      <c r="L65" s="475">
        <f t="shared" si="2"/>
        <v>0</v>
      </c>
      <c r="M65" s="484"/>
      <c r="N65" s="475">
        <f t="shared" si="4"/>
        <v>0</v>
      </c>
      <c r="O65" s="475">
        <f t="shared" si="5"/>
        <v>0</v>
      </c>
      <c r="P65" s="241"/>
    </row>
    <row r="66" spans="2:16" ht="12.5">
      <c r="B66" s="160" t="str">
        <f t="shared" si="7"/>
        <v/>
      </c>
      <c r="C66" s="469">
        <f>IF(D11="","-",+C65+1)</f>
        <v>2066</v>
      </c>
      <c r="D66" s="480">
        <f>IF(F65+SUM(E$17:E65)=D$10,F65,D$10-SUM(E$17:E65))</f>
        <v>0</v>
      </c>
      <c r="E66" s="481">
        <f t="shared" si="19"/>
        <v>0</v>
      </c>
      <c r="F66" s="482">
        <f t="shared" si="20"/>
        <v>0</v>
      </c>
      <c r="G66" s="483">
        <f t="shared" si="21"/>
        <v>0</v>
      </c>
      <c r="H66" s="452">
        <f t="shared" si="22"/>
        <v>0</v>
      </c>
      <c r="I66" s="472">
        <f t="shared" si="0"/>
        <v>0</v>
      </c>
      <c r="J66" s="472"/>
      <c r="K66" s="484"/>
      <c r="L66" s="475">
        <f t="shared" si="2"/>
        <v>0</v>
      </c>
      <c r="M66" s="484"/>
      <c r="N66" s="475">
        <f t="shared" si="4"/>
        <v>0</v>
      </c>
      <c r="O66" s="475">
        <f t="shared" si="5"/>
        <v>0</v>
      </c>
      <c r="P66" s="241"/>
    </row>
    <row r="67" spans="2:16" ht="12.5">
      <c r="B67" s="160" t="str">
        <f t="shared" si="7"/>
        <v/>
      </c>
      <c r="C67" s="469">
        <f>IF(D11="","-",+C66+1)</f>
        <v>2067</v>
      </c>
      <c r="D67" s="480">
        <f>IF(F66+SUM(E$17:E66)=D$10,F66,D$10-SUM(E$17:E66))</f>
        <v>0</v>
      </c>
      <c r="E67" s="481">
        <f t="shared" si="19"/>
        <v>0</v>
      </c>
      <c r="F67" s="482">
        <f t="shared" si="20"/>
        <v>0</v>
      </c>
      <c r="G67" s="483">
        <f t="shared" si="21"/>
        <v>0</v>
      </c>
      <c r="H67" s="452">
        <f t="shared" si="22"/>
        <v>0</v>
      </c>
      <c r="I67" s="472">
        <f t="shared" si="0"/>
        <v>0</v>
      </c>
      <c r="J67" s="472"/>
      <c r="K67" s="484"/>
      <c r="L67" s="475">
        <f t="shared" si="2"/>
        <v>0</v>
      </c>
      <c r="M67" s="484"/>
      <c r="N67" s="475">
        <f t="shared" si="4"/>
        <v>0</v>
      </c>
      <c r="O67" s="475">
        <f t="shared" si="5"/>
        <v>0</v>
      </c>
      <c r="P67" s="241"/>
    </row>
    <row r="68" spans="2:16" ht="12.5">
      <c r="B68" s="160" t="str">
        <f t="shared" si="7"/>
        <v/>
      </c>
      <c r="C68" s="469">
        <f>IF(D11="","-",+C67+1)</f>
        <v>2068</v>
      </c>
      <c r="D68" s="480">
        <f>IF(F67+SUM(E$17:E67)=D$10,F67,D$10-SUM(E$17:E67))</f>
        <v>0</v>
      </c>
      <c r="E68" s="481">
        <f t="shared" si="19"/>
        <v>0</v>
      </c>
      <c r="F68" s="482">
        <f t="shared" si="20"/>
        <v>0</v>
      </c>
      <c r="G68" s="483">
        <f t="shared" si="21"/>
        <v>0</v>
      </c>
      <c r="H68" s="452">
        <f t="shared" si="22"/>
        <v>0</v>
      </c>
      <c r="I68" s="472">
        <f t="shared" si="0"/>
        <v>0</v>
      </c>
      <c r="J68" s="472"/>
      <c r="K68" s="484"/>
      <c r="L68" s="475">
        <f t="shared" si="2"/>
        <v>0</v>
      </c>
      <c r="M68" s="484"/>
      <c r="N68" s="475">
        <f t="shared" si="4"/>
        <v>0</v>
      </c>
      <c r="O68" s="475">
        <f t="shared" si="5"/>
        <v>0</v>
      </c>
      <c r="P68" s="241"/>
    </row>
    <row r="69" spans="2:16" ht="12.5">
      <c r="B69" s="160" t="str">
        <f t="shared" si="7"/>
        <v/>
      </c>
      <c r="C69" s="469">
        <f>IF(D11="","-",+C68+1)</f>
        <v>2069</v>
      </c>
      <c r="D69" s="480">
        <f>IF(F68+SUM(E$17:E68)=D$10,F68,D$10-SUM(E$17:E68))</f>
        <v>0</v>
      </c>
      <c r="E69" s="481">
        <f t="shared" si="19"/>
        <v>0</v>
      </c>
      <c r="F69" s="482">
        <f t="shared" si="20"/>
        <v>0</v>
      </c>
      <c r="G69" s="483">
        <f t="shared" si="21"/>
        <v>0</v>
      </c>
      <c r="H69" s="452">
        <f t="shared" si="22"/>
        <v>0</v>
      </c>
      <c r="I69" s="472">
        <f t="shared" si="0"/>
        <v>0</v>
      </c>
      <c r="J69" s="472"/>
      <c r="K69" s="484"/>
      <c r="L69" s="475">
        <f t="shared" si="2"/>
        <v>0</v>
      </c>
      <c r="M69" s="484"/>
      <c r="N69" s="475">
        <f t="shared" si="4"/>
        <v>0</v>
      </c>
      <c r="O69" s="475">
        <f t="shared" si="5"/>
        <v>0</v>
      </c>
      <c r="P69" s="241"/>
    </row>
    <row r="70" spans="2:16" ht="12.5">
      <c r="B70" s="160" t="str">
        <f t="shared" si="7"/>
        <v/>
      </c>
      <c r="C70" s="469">
        <f>IF(D11="","-",+C69+1)</f>
        <v>2070</v>
      </c>
      <c r="D70" s="480">
        <f>IF(F69+SUM(E$17:E69)=D$10,F69,D$10-SUM(E$17:E69))</f>
        <v>0</v>
      </c>
      <c r="E70" s="481">
        <f t="shared" si="19"/>
        <v>0</v>
      </c>
      <c r="F70" s="482">
        <f t="shared" si="20"/>
        <v>0</v>
      </c>
      <c r="G70" s="483">
        <f t="shared" si="21"/>
        <v>0</v>
      </c>
      <c r="H70" s="452">
        <f t="shared" si="22"/>
        <v>0</v>
      </c>
      <c r="I70" s="472">
        <f t="shared" si="0"/>
        <v>0</v>
      </c>
      <c r="J70" s="472"/>
      <c r="K70" s="484"/>
      <c r="L70" s="475">
        <f t="shared" si="2"/>
        <v>0</v>
      </c>
      <c r="M70" s="484"/>
      <c r="N70" s="475">
        <f t="shared" si="4"/>
        <v>0</v>
      </c>
      <c r="O70" s="475">
        <f t="shared" si="5"/>
        <v>0</v>
      </c>
      <c r="P70" s="241"/>
    </row>
    <row r="71" spans="2:16" ht="12.5">
      <c r="B71" s="160" t="str">
        <f t="shared" si="7"/>
        <v/>
      </c>
      <c r="C71" s="469">
        <f>IF(D11="","-",+C70+1)</f>
        <v>2071</v>
      </c>
      <c r="D71" s="480">
        <f>IF(F70+SUM(E$17:E70)=D$10,F70,D$10-SUM(E$17:E70))</f>
        <v>0</v>
      </c>
      <c r="E71" s="481">
        <f t="shared" si="19"/>
        <v>0</v>
      </c>
      <c r="F71" s="482">
        <f t="shared" si="20"/>
        <v>0</v>
      </c>
      <c r="G71" s="483">
        <f t="shared" si="21"/>
        <v>0</v>
      </c>
      <c r="H71" s="452">
        <f t="shared" si="22"/>
        <v>0</v>
      </c>
      <c r="I71" s="472">
        <f t="shared" si="0"/>
        <v>0</v>
      </c>
      <c r="J71" s="472"/>
      <c r="K71" s="484"/>
      <c r="L71" s="475">
        <f t="shared" si="2"/>
        <v>0</v>
      </c>
      <c r="M71" s="484"/>
      <c r="N71" s="475">
        <f t="shared" si="4"/>
        <v>0</v>
      </c>
      <c r="O71" s="475">
        <f t="shared" si="5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2072</v>
      </c>
      <c r="D72" s="608">
        <f>IF(F71+SUM(E$17:E71)=D$10,F71,D$10-SUM(E$17:E71))</f>
        <v>0</v>
      </c>
      <c r="E72" s="488">
        <f t="shared" si="19"/>
        <v>0</v>
      </c>
      <c r="F72" s="487">
        <f t="shared" si="20"/>
        <v>0</v>
      </c>
      <c r="G72" s="541">
        <f t="shared" si="21"/>
        <v>0</v>
      </c>
      <c r="H72" s="432">
        <f t="shared" si="22"/>
        <v>0</v>
      </c>
      <c r="I72" s="490">
        <f t="shared" si="0"/>
        <v>0</v>
      </c>
      <c r="J72" s="472"/>
      <c r="K72" s="491"/>
      <c r="L72" s="492">
        <f t="shared" si="2"/>
        <v>0</v>
      </c>
      <c r="M72" s="491"/>
      <c r="N72" s="492">
        <f t="shared" si="4"/>
        <v>0</v>
      </c>
      <c r="O72" s="492">
        <f t="shared" si="5"/>
        <v>0</v>
      </c>
      <c r="P72" s="241"/>
    </row>
    <row r="73" spans="2:16" ht="12.5">
      <c r="C73" s="344" t="s">
        <v>77</v>
      </c>
      <c r="D73" s="345"/>
      <c r="E73" s="345">
        <f>SUM(E17:E72)</f>
        <v>330872.35999999987</v>
      </c>
      <c r="F73" s="345"/>
      <c r="G73" s="345">
        <f>SUM(G17:G72)</f>
        <v>1067037.2474484316</v>
      </c>
      <c r="H73" s="345">
        <f>SUM(H17:H72)</f>
        <v>1067037.2474484316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21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41841.862135119562</v>
      </c>
      <c r="N87" s="505">
        <f>IF(J92&lt;D11,0,VLOOKUP(J92,C17:O72,11))</f>
        <v>41841.862135119562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45537.574366980443</v>
      </c>
      <c r="N88" s="509">
        <f>IF(J92&lt;D11,0,VLOOKUP(J92,C99:P154,7))</f>
        <v>45537.574366980443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Darlington-Roman Nose 138 kV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3695.7122318608817</v>
      </c>
      <c r="N89" s="514">
        <f>+N88-N87</f>
        <v>3695.7122318608817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TP2015027</v>
      </c>
      <c r="E91" s="519" t="str">
        <f>E9</f>
        <v xml:space="preserve">  SPP Project ID = 30619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330872.36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2017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6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8707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2017</v>
      </c>
      <c r="D99" s="581">
        <v>0</v>
      </c>
      <c r="E99" s="604">
        <v>3596</v>
      </c>
      <c r="F99" s="581">
        <v>327228</v>
      </c>
      <c r="G99" s="604">
        <v>163614</v>
      </c>
      <c r="H99" s="584">
        <v>24350.848452847567</v>
      </c>
      <c r="I99" s="603">
        <v>24350.848452847567</v>
      </c>
      <c r="J99" s="475">
        <f t="shared" ref="J99:J130" si="23">+I99-H99</f>
        <v>0</v>
      </c>
      <c r="K99" s="475"/>
      <c r="L99" s="474">
        <f>+H99</f>
        <v>24350.848452847567</v>
      </c>
      <c r="M99" s="474">
        <f t="shared" ref="M99:M130" si="24">IF(L99&lt;&gt;0,+H99-L99,0)</f>
        <v>0</v>
      </c>
      <c r="N99" s="474">
        <f>+I99</f>
        <v>24350.848452847567</v>
      </c>
      <c r="O99" s="474">
        <f t="shared" ref="O99:O130" si="25">IF(N99&lt;&gt;0,+I99-N99,0)</f>
        <v>0</v>
      </c>
      <c r="P99" s="474">
        <f t="shared" ref="P99:P130" si="26">+O99-M99</f>
        <v>0</v>
      </c>
    </row>
    <row r="100" spans="1:16" ht="12.5">
      <c r="B100" s="160" t="str">
        <f>IF(D100=F99,"","IU")</f>
        <v/>
      </c>
      <c r="C100" s="469">
        <f>IF(D93="","-",+C99+1)</f>
        <v>2018</v>
      </c>
      <c r="D100" s="581">
        <v>327228</v>
      </c>
      <c r="E100" s="582">
        <v>7694</v>
      </c>
      <c r="F100" s="583">
        <v>319534</v>
      </c>
      <c r="G100" s="583">
        <v>323381</v>
      </c>
      <c r="H100" s="602">
        <v>40916.73033605556</v>
      </c>
      <c r="I100" s="603">
        <v>40916.73033605556</v>
      </c>
      <c r="J100" s="475">
        <f t="shared" si="23"/>
        <v>0</v>
      </c>
      <c r="K100" s="475"/>
      <c r="L100" s="473">
        <f t="shared" ref="L100:L105" si="27">H100</f>
        <v>40916.73033605556</v>
      </c>
      <c r="M100" s="346">
        <f t="shared" ref="M100:M105" si="28">IF(L100&lt;&gt;0,+H100-L100,0)</f>
        <v>0</v>
      </c>
      <c r="N100" s="473">
        <f t="shared" ref="N100:N105" si="29">I100</f>
        <v>40916.73033605556</v>
      </c>
      <c r="O100" s="472">
        <f>IF(N100&lt;&gt;0,+I100-N100,0)</f>
        <v>0</v>
      </c>
      <c r="P100" s="475">
        <f>+O100-M100</f>
        <v>0</v>
      </c>
    </row>
    <row r="101" spans="1:16" ht="12.5">
      <c r="B101" s="160" t="str">
        <f t="shared" ref="B101:B154" si="30">IF(D101=F100,"","IU")</f>
        <v>IU</v>
      </c>
      <c r="C101" s="469">
        <f>IF(D93="","-",+C100+1)</f>
        <v>2019</v>
      </c>
      <c r="D101" s="581">
        <v>319582</v>
      </c>
      <c r="E101" s="582">
        <v>8070</v>
      </c>
      <c r="F101" s="583">
        <v>311512</v>
      </c>
      <c r="G101" s="583">
        <v>315547</v>
      </c>
      <c r="H101" s="602">
        <v>40607.321587664657</v>
      </c>
      <c r="I101" s="603">
        <v>40607.321587664657</v>
      </c>
      <c r="J101" s="475">
        <f t="shared" si="23"/>
        <v>0</v>
      </c>
      <c r="K101" s="475"/>
      <c r="L101" s="473">
        <f t="shared" si="27"/>
        <v>40607.321587664657</v>
      </c>
      <c r="M101" s="346">
        <f t="shared" si="28"/>
        <v>0</v>
      </c>
      <c r="N101" s="473">
        <f t="shared" si="29"/>
        <v>40607.321587664657</v>
      </c>
      <c r="O101" s="475">
        <f t="shared" si="25"/>
        <v>0</v>
      </c>
      <c r="P101" s="475">
        <f t="shared" si="26"/>
        <v>0</v>
      </c>
    </row>
    <row r="102" spans="1:16" ht="12.5">
      <c r="B102" s="160" t="str">
        <f t="shared" si="30"/>
        <v/>
      </c>
      <c r="C102" s="469">
        <f>IF(D93="","-",+C101+1)</f>
        <v>2020</v>
      </c>
      <c r="D102" s="581">
        <v>311512</v>
      </c>
      <c r="E102" s="582">
        <v>7695</v>
      </c>
      <c r="F102" s="583">
        <v>303817</v>
      </c>
      <c r="G102" s="583">
        <v>307664.5</v>
      </c>
      <c r="H102" s="602">
        <v>43167.870996202138</v>
      </c>
      <c r="I102" s="603">
        <v>43167.870996202138</v>
      </c>
      <c r="J102" s="475">
        <f t="shared" si="23"/>
        <v>0</v>
      </c>
      <c r="K102" s="475"/>
      <c r="L102" s="473">
        <f t="shared" si="27"/>
        <v>43167.870996202138</v>
      </c>
      <c r="M102" s="346">
        <f t="shared" si="28"/>
        <v>0</v>
      </c>
      <c r="N102" s="473">
        <f t="shared" si="29"/>
        <v>43167.870996202138</v>
      </c>
      <c r="O102" s="475">
        <f t="shared" si="25"/>
        <v>0</v>
      </c>
      <c r="P102" s="475">
        <f t="shared" si="26"/>
        <v>0</v>
      </c>
    </row>
    <row r="103" spans="1:16" ht="12.5">
      <c r="B103" s="160" t="str">
        <f t="shared" si="30"/>
        <v/>
      </c>
      <c r="C103" s="469">
        <f>IF(D93="","-",+C102+1)</f>
        <v>2021</v>
      </c>
      <c r="D103" s="581">
        <v>303817</v>
      </c>
      <c r="E103" s="582">
        <v>8070</v>
      </c>
      <c r="F103" s="583">
        <v>295747</v>
      </c>
      <c r="G103" s="583">
        <v>299782</v>
      </c>
      <c r="H103" s="602">
        <v>42183.031080558285</v>
      </c>
      <c r="I103" s="603">
        <v>42183.031080558285</v>
      </c>
      <c r="J103" s="475">
        <f t="shared" si="23"/>
        <v>0</v>
      </c>
      <c r="K103" s="475"/>
      <c r="L103" s="473">
        <f t="shared" si="27"/>
        <v>42183.031080558285</v>
      </c>
      <c r="M103" s="346">
        <f t="shared" si="28"/>
        <v>0</v>
      </c>
      <c r="N103" s="473">
        <f t="shared" si="29"/>
        <v>42183.031080558285</v>
      </c>
      <c r="O103" s="475">
        <f t="shared" si="25"/>
        <v>0</v>
      </c>
      <c r="P103" s="475">
        <f t="shared" si="26"/>
        <v>0</v>
      </c>
    </row>
    <row r="104" spans="1:16" ht="12.5">
      <c r="B104" s="160" t="str">
        <f t="shared" si="30"/>
        <v/>
      </c>
      <c r="C104" s="469">
        <f>IF(D93="","-",+C103+1)</f>
        <v>2022</v>
      </c>
      <c r="D104" s="581">
        <v>295747</v>
      </c>
      <c r="E104" s="582">
        <v>8484</v>
      </c>
      <c r="F104" s="583">
        <v>287263</v>
      </c>
      <c r="G104" s="583">
        <v>291505</v>
      </c>
      <c r="H104" s="602">
        <v>40602.794226516286</v>
      </c>
      <c r="I104" s="603">
        <v>40602.794226516286</v>
      </c>
      <c r="J104" s="475">
        <f t="shared" si="23"/>
        <v>0</v>
      </c>
      <c r="K104" s="475"/>
      <c r="L104" s="473">
        <f t="shared" si="27"/>
        <v>40602.794226516286</v>
      </c>
      <c r="M104" s="346">
        <f t="shared" si="28"/>
        <v>0</v>
      </c>
      <c r="N104" s="473">
        <f t="shared" si="29"/>
        <v>40602.794226516286</v>
      </c>
      <c r="O104" s="475">
        <f t="shared" ref="O104" si="31">IF(N104&lt;&gt;0,+I104-N104,0)</f>
        <v>0</v>
      </c>
      <c r="P104" s="475">
        <f t="shared" ref="P104" si="32">+O104-M104</f>
        <v>0</v>
      </c>
    </row>
    <row r="105" spans="1:16" ht="12.5">
      <c r="B105" s="160" t="str">
        <f t="shared" si="30"/>
        <v>IU</v>
      </c>
      <c r="C105" s="469">
        <f>IF(D93="","-",+C104+1)</f>
        <v>2023</v>
      </c>
      <c r="D105" s="581">
        <v>287263.35999999999</v>
      </c>
      <c r="E105" s="582">
        <v>8707</v>
      </c>
      <c r="F105" s="583">
        <v>278556.36</v>
      </c>
      <c r="G105" s="583">
        <v>282909.86</v>
      </c>
      <c r="H105" s="602">
        <v>41022.9595881321</v>
      </c>
      <c r="I105" s="603">
        <v>41022.9595881321</v>
      </c>
      <c r="J105" s="475">
        <f t="shared" si="23"/>
        <v>0</v>
      </c>
      <c r="K105" s="475"/>
      <c r="L105" s="473">
        <f t="shared" si="27"/>
        <v>41022.9595881321</v>
      </c>
      <c r="M105" s="346">
        <f t="shared" si="28"/>
        <v>0</v>
      </c>
      <c r="N105" s="473">
        <f t="shared" si="29"/>
        <v>41022.9595881321</v>
      </c>
      <c r="O105" s="475">
        <f t="shared" ref="O105" si="33">IF(N105&lt;&gt;0,+I105-N105,0)</f>
        <v>0</v>
      </c>
      <c r="P105" s="475">
        <f t="shared" ref="P105" si="34">+O105-M105</f>
        <v>0</v>
      </c>
    </row>
    <row r="106" spans="1:16" ht="12.5">
      <c r="B106" s="160" t="str">
        <f t="shared" si="30"/>
        <v/>
      </c>
      <c r="C106" s="469">
        <f>IF(D93="","-",+C105+1)</f>
        <v>2024</v>
      </c>
      <c r="D106" s="344">
        <f>IF(F105+SUM(E$99:E105)=D$92,F105,D$92-SUM(E$99:E105))</f>
        <v>278556.36</v>
      </c>
      <c r="E106" s="481">
        <f t="shared" ref="E106:E154" si="35">IF(+J$96&lt;F105,J$96,D106)</f>
        <v>8707</v>
      </c>
      <c r="F106" s="482">
        <f t="shared" ref="F106:F154" si="36">+D106-E106</f>
        <v>269849.36</v>
      </c>
      <c r="G106" s="482">
        <f t="shared" ref="G106:G154" si="37">+(F106+D106)/2</f>
        <v>274202.86</v>
      </c>
      <c r="H106" s="483">
        <f t="shared" ref="H106:H153" si="38">(D106+F106)/2*J$94+E106</f>
        <v>45537.574366980443</v>
      </c>
      <c r="I106" s="539">
        <f t="shared" ref="I106:I153" si="39">+J$95*G106+E106</f>
        <v>45537.574366980443</v>
      </c>
      <c r="J106" s="475">
        <f t="shared" si="23"/>
        <v>0</v>
      </c>
      <c r="K106" s="475"/>
      <c r="L106" s="484"/>
      <c r="M106" s="475">
        <f t="shared" si="24"/>
        <v>0</v>
      </c>
      <c r="N106" s="484"/>
      <c r="O106" s="475">
        <f t="shared" si="25"/>
        <v>0</v>
      </c>
      <c r="P106" s="475">
        <f t="shared" si="26"/>
        <v>0</v>
      </c>
    </row>
    <row r="107" spans="1:16" ht="12.5">
      <c r="B107" s="160" t="str">
        <f t="shared" si="30"/>
        <v/>
      </c>
      <c r="C107" s="469">
        <f>IF(D93="","-",+C106+1)</f>
        <v>2025</v>
      </c>
      <c r="D107" s="344">
        <f>IF(F106+SUM(E$99:E106)=D$92,F106,D$92-SUM(E$99:E106))</f>
        <v>269849.36</v>
      </c>
      <c r="E107" s="481">
        <f t="shared" si="35"/>
        <v>8707</v>
      </c>
      <c r="F107" s="482">
        <f t="shared" si="36"/>
        <v>261142.36</v>
      </c>
      <c r="G107" s="482">
        <f t="shared" si="37"/>
        <v>265495.86</v>
      </c>
      <c r="H107" s="483">
        <f t="shared" si="38"/>
        <v>44368.061361123029</v>
      </c>
      <c r="I107" s="539">
        <f t="shared" si="39"/>
        <v>44368.061361123029</v>
      </c>
      <c r="J107" s="475">
        <f t="shared" si="23"/>
        <v>0</v>
      </c>
      <c r="K107" s="475"/>
      <c r="L107" s="484"/>
      <c r="M107" s="475">
        <f t="shared" si="24"/>
        <v>0</v>
      </c>
      <c r="N107" s="484"/>
      <c r="O107" s="475">
        <f t="shared" si="25"/>
        <v>0</v>
      </c>
      <c r="P107" s="475">
        <f t="shared" si="26"/>
        <v>0</v>
      </c>
    </row>
    <row r="108" spans="1:16" ht="12.5">
      <c r="B108" s="160" t="str">
        <f t="shared" si="30"/>
        <v/>
      </c>
      <c r="C108" s="469">
        <f>IF(D93="","-",+C107+1)</f>
        <v>2026</v>
      </c>
      <c r="D108" s="344">
        <f>IF(F107+SUM(E$99:E107)=D$92,F107,D$92-SUM(E$99:E107))</f>
        <v>261142.36</v>
      </c>
      <c r="E108" s="481">
        <f t="shared" si="35"/>
        <v>8707</v>
      </c>
      <c r="F108" s="482">
        <f t="shared" si="36"/>
        <v>252435.36</v>
      </c>
      <c r="G108" s="482">
        <f t="shared" si="37"/>
        <v>256788.86</v>
      </c>
      <c r="H108" s="483">
        <f t="shared" si="38"/>
        <v>43198.548355265622</v>
      </c>
      <c r="I108" s="539">
        <f t="shared" si="39"/>
        <v>43198.548355265622</v>
      </c>
      <c r="J108" s="475">
        <f t="shared" si="23"/>
        <v>0</v>
      </c>
      <c r="K108" s="475"/>
      <c r="L108" s="484"/>
      <c r="M108" s="475">
        <f t="shared" si="24"/>
        <v>0</v>
      </c>
      <c r="N108" s="484"/>
      <c r="O108" s="475">
        <f t="shared" si="25"/>
        <v>0</v>
      </c>
      <c r="P108" s="475">
        <f t="shared" si="26"/>
        <v>0</v>
      </c>
    </row>
    <row r="109" spans="1:16" ht="12.5">
      <c r="B109" s="160" t="str">
        <f t="shared" si="30"/>
        <v/>
      </c>
      <c r="C109" s="469">
        <f>IF(D93="","-",+C108+1)</f>
        <v>2027</v>
      </c>
      <c r="D109" s="344">
        <f>IF(F108+SUM(E$99:E108)=D$92,F108,D$92-SUM(E$99:E108))</f>
        <v>252435.36</v>
      </c>
      <c r="E109" s="481">
        <f t="shared" si="35"/>
        <v>8707</v>
      </c>
      <c r="F109" s="482">
        <f t="shared" si="36"/>
        <v>243728.36</v>
      </c>
      <c r="G109" s="482">
        <f t="shared" si="37"/>
        <v>248081.86</v>
      </c>
      <c r="H109" s="483">
        <f t="shared" si="38"/>
        <v>42029.035349408208</v>
      </c>
      <c r="I109" s="539">
        <f t="shared" si="39"/>
        <v>42029.035349408208</v>
      </c>
      <c r="J109" s="475">
        <f t="shared" si="23"/>
        <v>0</v>
      </c>
      <c r="K109" s="475"/>
      <c r="L109" s="484"/>
      <c r="M109" s="475">
        <f t="shared" si="24"/>
        <v>0</v>
      </c>
      <c r="N109" s="484"/>
      <c r="O109" s="475">
        <f t="shared" si="25"/>
        <v>0</v>
      </c>
      <c r="P109" s="475">
        <f t="shared" si="26"/>
        <v>0</v>
      </c>
    </row>
    <row r="110" spans="1:16" ht="12.5">
      <c r="B110" s="160" t="str">
        <f t="shared" si="30"/>
        <v/>
      </c>
      <c r="C110" s="469">
        <f>IF(D93="","-",+C109+1)</f>
        <v>2028</v>
      </c>
      <c r="D110" s="344">
        <f>IF(F109+SUM(E$99:E109)=D$92,F109,D$92-SUM(E$99:E109))</f>
        <v>243728.36</v>
      </c>
      <c r="E110" s="481">
        <f t="shared" si="35"/>
        <v>8707</v>
      </c>
      <c r="F110" s="482">
        <f t="shared" si="36"/>
        <v>235021.36</v>
      </c>
      <c r="G110" s="482">
        <f t="shared" si="37"/>
        <v>239374.86</v>
      </c>
      <c r="H110" s="483">
        <f t="shared" si="38"/>
        <v>40859.522343550794</v>
      </c>
      <c r="I110" s="539">
        <f t="shared" si="39"/>
        <v>40859.522343550794</v>
      </c>
      <c r="J110" s="475">
        <f t="shared" si="23"/>
        <v>0</v>
      </c>
      <c r="K110" s="475"/>
      <c r="L110" s="484"/>
      <c r="M110" s="475">
        <f t="shared" si="24"/>
        <v>0</v>
      </c>
      <c r="N110" s="484"/>
      <c r="O110" s="475">
        <f t="shared" si="25"/>
        <v>0</v>
      </c>
      <c r="P110" s="475">
        <f t="shared" si="26"/>
        <v>0</v>
      </c>
    </row>
    <row r="111" spans="1:16" ht="12.5">
      <c r="B111" s="160" t="str">
        <f t="shared" si="30"/>
        <v/>
      </c>
      <c r="C111" s="469">
        <f>IF(D93="","-",+C110+1)</f>
        <v>2029</v>
      </c>
      <c r="D111" s="344">
        <f>IF(F110+SUM(E$99:E110)=D$92,F110,D$92-SUM(E$99:E110))</f>
        <v>235021.36</v>
      </c>
      <c r="E111" s="481">
        <f t="shared" si="35"/>
        <v>8707</v>
      </c>
      <c r="F111" s="482">
        <f t="shared" si="36"/>
        <v>226314.36</v>
      </c>
      <c r="G111" s="482">
        <f t="shared" si="37"/>
        <v>230667.86</v>
      </c>
      <c r="H111" s="483">
        <f t="shared" si="38"/>
        <v>39690.009337693387</v>
      </c>
      <c r="I111" s="539">
        <f t="shared" si="39"/>
        <v>39690.009337693387</v>
      </c>
      <c r="J111" s="475">
        <f t="shared" si="23"/>
        <v>0</v>
      </c>
      <c r="K111" s="475"/>
      <c r="L111" s="484"/>
      <c r="M111" s="475">
        <f t="shared" si="24"/>
        <v>0</v>
      </c>
      <c r="N111" s="484"/>
      <c r="O111" s="475">
        <f t="shared" si="25"/>
        <v>0</v>
      </c>
      <c r="P111" s="475">
        <f t="shared" si="26"/>
        <v>0</v>
      </c>
    </row>
    <row r="112" spans="1:16" ht="12.5">
      <c r="B112" s="160" t="str">
        <f t="shared" si="30"/>
        <v/>
      </c>
      <c r="C112" s="469">
        <f>IF(D93="","-",+C111+1)</f>
        <v>2030</v>
      </c>
      <c r="D112" s="344">
        <f>IF(F111+SUM(E$99:E111)=D$92,F111,D$92-SUM(E$99:E111))</f>
        <v>226314.36</v>
      </c>
      <c r="E112" s="481">
        <f t="shared" si="35"/>
        <v>8707</v>
      </c>
      <c r="F112" s="482">
        <f t="shared" si="36"/>
        <v>217607.36</v>
      </c>
      <c r="G112" s="482">
        <f t="shared" si="37"/>
        <v>221960.86</v>
      </c>
      <c r="H112" s="483">
        <f t="shared" si="38"/>
        <v>38520.496331835981</v>
      </c>
      <c r="I112" s="539">
        <f t="shared" si="39"/>
        <v>38520.496331835981</v>
      </c>
      <c r="J112" s="475">
        <f t="shared" si="23"/>
        <v>0</v>
      </c>
      <c r="K112" s="475"/>
      <c r="L112" s="484"/>
      <c r="M112" s="475">
        <f t="shared" si="24"/>
        <v>0</v>
      </c>
      <c r="N112" s="484"/>
      <c r="O112" s="475">
        <f t="shared" si="25"/>
        <v>0</v>
      </c>
      <c r="P112" s="475">
        <f t="shared" si="26"/>
        <v>0</v>
      </c>
    </row>
    <row r="113" spans="2:16" ht="12.5">
      <c r="B113" s="160" t="str">
        <f t="shared" si="30"/>
        <v/>
      </c>
      <c r="C113" s="469">
        <f>IF(D93="","-",+C112+1)</f>
        <v>2031</v>
      </c>
      <c r="D113" s="344">
        <f>IF(F112+SUM(E$99:E112)=D$92,F112,D$92-SUM(E$99:E112))</f>
        <v>217607.36</v>
      </c>
      <c r="E113" s="481">
        <f t="shared" si="35"/>
        <v>8707</v>
      </c>
      <c r="F113" s="482">
        <f t="shared" si="36"/>
        <v>208900.36</v>
      </c>
      <c r="G113" s="482">
        <f t="shared" si="37"/>
        <v>213253.86</v>
      </c>
      <c r="H113" s="483">
        <f t="shared" si="38"/>
        <v>37350.983325978566</v>
      </c>
      <c r="I113" s="539">
        <f t="shared" si="39"/>
        <v>37350.983325978566</v>
      </c>
      <c r="J113" s="475">
        <f t="shared" si="23"/>
        <v>0</v>
      </c>
      <c r="K113" s="475"/>
      <c r="L113" s="484"/>
      <c r="M113" s="475">
        <f t="shared" si="24"/>
        <v>0</v>
      </c>
      <c r="N113" s="484"/>
      <c r="O113" s="475">
        <f t="shared" si="25"/>
        <v>0</v>
      </c>
      <c r="P113" s="475">
        <f t="shared" si="26"/>
        <v>0</v>
      </c>
    </row>
    <row r="114" spans="2:16" ht="12.5">
      <c r="B114" s="160" t="str">
        <f t="shared" si="30"/>
        <v/>
      </c>
      <c r="C114" s="469">
        <f>IF(D93="","-",+C113+1)</f>
        <v>2032</v>
      </c>
      <c r="D114" s="344">
        <f>IF(F113+SUM(E$99:E113)=D$92,F113,D$92-SUM(E$99:E113))</f>
        <v>208900.36</v>
      </c>
      <c r="E114" s="481">
        <f t="shared" si="35"/>
        <v>8707</v>
      </c>
      <c r="F114" s="482">
        <f t="shared" si="36"/>
        <v>200193.36</v>
      </c>
      <c r="G114" s="482">
        <f t="shared" si="37"/>
        <v>204546.86</v>
      </c>
      <c r="H114" s="483">
        <f t="shared" si="38"/>
        <v>36181.470320121152</v>
      </c>
      <c r="I114" s="539">
        <f t="shared" si="39"/>
        <v>36181.470320121152</v>
      </c>
      <c r="J114" s="475">
        <f t="shared" si="23"/>
        <v>0</v>
      </c>
      <c r="K114" s="475"/>
      <c r="L114" s="484"/>
      <c r="M114" s="475">
        <f t="shared" si="24"/>
        <v>0</v>
      </c>
      <c r="N114" s="484"/>
      <c r="O114" s="475">
        <f t="shared" si="25"/>
        <v>0</v>
      </c>
      <c r="P114" s="475">
        <f t="shared" si="26"/>
        <v>0</v>
      </c>
    </row>
    <row r="115" spans="2:16" ht="12.5">
      <c r="B115" s="160" t="str">
        <f t="shared" si="30"/>
        <v/>
      </c>
      <c r="C115" s="469">
        <f>IF(D93="","-",+C114+1)</f>
        <v>2033</v>
      </c>
      <c r="D115" s="344">
        <f>IF(F114+SUM(E$99:E114)=D$92,F114,D$92-SUM(E$99:E114))</f>
        <v>200193.36</v>
      </c>
      <c r="E115" s="481">
        <f t="shared" si="35"/>
        <v>8707</v>
      </c>
      <c r="F115" s="482">
        <f t="shared" si="36"/>
        <v>191486.36</v>
      </c>
      <c r="G115" s="482">
        <f t="shared" si="37"/>
        <v>195839.86</v>
      </c>
      <c r="H115" s="483">
        <f t="shared" si="38"/>
        <v>35011.957314263746</v>
      </c>
      <c r="I115" s="539">
        <f t="shared" si="39"/>
        <v>35011.957314263746</v>
      </c>
      <c r="J115" s="475">
        <f t="shared" si="23"/>
        <v>0</v>
      </c>
      <c r="K115" s="475"/>
      <c r="L115" s="484"/>
      <c r="M115" s="475">
        <f t="shared" si="24"/>
        <v>0</v>
      </c>
      <c r="N115" s="484"/>
      <c r="O115" s="475">
        <f t="shared" si="25"/>
        <v>0</v>
      </c>
      <c r="P115" s="475">
        <f t="shared" si="26"/>
        <v>0</v>
      </c>
    </row>
    <row r="116" spans="2:16" ht="12.5">
      <c r="B116" s="160" t="str">
        <f t="shared" si="30"/>
        <v/>
      </c>
      <c r="C116" s="469">
        <f>IF(D93="","-",+C115+1)</f>
        <v>2034</v>
      </c>
      <c r="D116" s="344">
        <f>IF(F115+SUM(E$99:E115)=D$92,F115,D$92-SUM(E$99:E115))</f>
        <v>191486.36</v>
      </c>
      <c r="E116" s="481">
        <f t="shared" si="35"/>
        <v>8707</v>
      </c>
      <c r="F116" s="482">
        <f t="shared" si="36"/>
        <v>182779.36</v>
      </c>
      <c r="G116" s="482">
        <f t="shared" si="37"/>
        <v>187132.86</v>
      </c>
      <c r="H116" s="483">
        <f t="shared" si="38"/>
        <v>33842.444308406339</v>
      </c>
      <c r="I116" s="539">
        <f t="shared" si="39"/>
        <v>33842.444308406339</v>
      </c>
      <c r="J116" s="475">
        <f t="shared" si="23"/>
        <v>0</v>
      </c>
      <c r="K116" s="475"/>
      <c r="L116" s="484"/>
      <c r="M116" s="475">
        <f t="shared" si="24"/>
        <v>0</v>
      </c>
      <c r="N116" s="484"/>
      <c r="O116" s="475">
        <f t="shared" si="25"/>
        <v>0</v>
      </c>
      <c r="P116" s="475">
        <f t="shared" si="26"/>
        <v>0</v>
      </c>
    </row>
    <row r="117" spans="2:16" ht="12.5">
      <c r="B117" s="160" t="str">
        <f t="shared" si="30"/>
        <v/>
      </c>
      <c r="C117" s="469">
        <f>IF(D93="","-",+C116+1)</f>
        <v>2035</v>
      </c>
      <c r="D117" s="344">
        <f>IF(F116+SUM(E$99:E116)=D$92,F116,D$92-SUM(E$99:E116))</f>
        <v>182779.36</v>
      </c>
      <c r="E117" s="481">
        <f t="shared" si="35"/>
        <v>8707</v>
      </c>
      <c r="F117" s="482">
        <f t="shared" si="36"/>
        <v>174072.36</v>
      </c>
      <c r="G117" s="482">
        <f t="shared" si="37"/>
        <v>178425.86</v>
      </c>
      <c r="H117" s="483">
        <f t="shared" si="38"/>
        <v>32672.931302548925</v>
      </c>
      <c r="I117" s="539">
        <f t="shared" si="39"/>
        <v>32672.931302548925</v>
      </c>
      <c r="J117" s="475">
        <f t="shared" si="23"/>
        <v>0</v>
      </c>
      <c r="K117" s="475"/>
      <c r="L117" s="484"/>
      <c r="M117" s="475">
        <f t="shared" si="24"/>
        <v>0</v>
      </c>
      <c r="N117" s="484"/>
      <c r="O117" s="475">
        <f t="shared" si="25"/>
        <v>0</v>
      </c>
      <c r="P117" s="475">
        <f t="shared" si="26"/>
        <v>0</v>
      </c>
    </row>
    <row r="118" spans="2:16" ht="12.5">
      <c r="B118" s="160" t="str">
        <f t="shared" si="30"/>
        <v/>
      </c>
      <c r="C118" s="469">
        <f>IF(D93="","-",+C117+1)</f>
        <v>2036</v>
      </c>
      <c r="D118" s="344">
        <f>IF(F117+SUM(E$99:E117)=D$92,F117,D$92-SUM(E$99:E117))</f>
        <v>174072.36</v>
      </c>
      <c r="E118" s="481">
        <f t="shared" si="35"/>
        <v>8707</v>
      </c>
      <c r="F118" s="482">
        <f t="shared" si="36"/>
        <v>165365.35999999999</v>
      </c>
      <c r="G118" s="482">
        <f t="shared" si="37"/>
        <v>169718.86</v>
      </c>
      <c r="H118" s="483">
        <f t="shared" si="38"/>
        <v>31503.418296691514</v>
      </c>
      <c r="I118" s="539">
        <f t="shared" si="39"/>
        <v>31503.418296691514</v>
      </c>
      <c r="J118" s="475">
        <f t="shared" si="23"/>
        <v>0</v>
      </c>
      <c r="K118" s="475"/>
      <c r="L118" s="484"/>
      <c r="M118" s="475">
        <f t="shared" si="24"/>
        <v>0</v>
      </c>
      <c r="N118" s="484"/>
      <c r="O118" s="475">
        <f t="shared" si="25"/>
        <v>0</v>
      </c>
      <c r="P118" s="475">
        <f t="shared" si="26"/>
        <v>0</v>
      </c>
    </row>
    <row r="119" spans="2:16" ht="12.5">
      <c r="B119" s="160" t="str">
        <f t="shared" si="30"/>
        <v/>
      </c>
      <c r="C119" s="469">
        <f>IF(D93="","-",+C118+1)</f>
        <v>2037</v>
      </c>
      <c r="D119" s="344">
        <f>IF(F118+SUM(E$99:E118)=D$92,F118,D$92-SUM(E$99:E118))</f>
        <v>165365.35999999999</v>
      </c>
      <c r="E119" s="481">
        <f t="shared" si="35"/>
        <v>8707</v>
      </c>
      <c r="F119" s="482">
        <f t="shared" si="36"/>
        <v>156658.35999999999</v>
      </c>
      <c r="G119" s="482">
        <f t="shared" si="37"/>
        <v>161011.85999999999</v>
      </c>
      <c r="H119" s="483">
        <f t="shared" si="38"/>
        <v>30333.905290834104</v>
      </c>
      <c r="I119" s="539">
        <f t="shared" si="39"/>
        <v>30333.905290834104</v>
      </c>
      <c r="J119" s="475">
        <f t="shared" si="23"/>
        <v>0</v>
      </c>
      <c r="K119" s="475"/>
      <c r="L119" s="484"/>
      <c r="M119" s="475">
        <f t="shared" si="24"/>
        <v>0</v>
      </c>
      <c r="N119" s="484"/>
      <c r="O119" s="475">
        <f t="shared" si="25"/>
        <v>0</v>
      </c>
      <c r="P119" s="475">
        <f t="shared" si="26"/>
        <v>0</v>
      </c>
    </row>
    <row r="120" spans="2:16" ht="12.5">
      <c r="B120" s="160" t="str">
        <f t="shared" si="30"/>
        <v/>
      </c>
      <c r="C120" s="469">
        <f>IF(D93="","-",+C119+1)</f>
        <v>2038</v>
      </c>
      <c r="D120" s="344">
        <f>IF(F119+SUM(E$99:E119)=D$92,F119,D$92-SUM(E$99:E119))</f>
        <v>156658.35999999999</v>
      </c>
      <c r="E120" s="481">
        <f t="shared" si="35"/>
        <v>8707</v>
      </c>
      <c r="F120" s="482">
        <f t="shared" si="36"/>
        <v>147951.35999999999</v>
      </c>
      <c r="G120" s="482">
        <f t="shared" si="37"/>
        <v>152304.85999999999</v>
      </c>
      <c r="H120" s="483">
        <f t="shared" si="38"/>
        <v>29164.392284976693</v>
      </c>
      <c r="I120" s="539">
        <f t="shared" si="39"/>
        <v>29164.392284976693</v>
      </c>
      <c r="J120" s="475">
        <f t="shared" si="23"/>
        <v>0</v>
      </c>
      <c r="K120" s="475"/>
      <c r="L120" s="484"/>
      <c r="M120" s="475">
        <f t="shared" si="24"/>
        <v>0</v>
      </c>
      <c r="N120" s="484"/>
      <c r="O120" s="475">
        <f t="shared" si="25"/>
        <v>0</v>
      </c>
      <c r="P120" s="475">
        <f t="shared" si="26"/>
        <v>0</v>
      </c>
    </row>
    <row r="121" spans="2:16" ht="12.5">
      <c r="B121" s="160" t="str">
        <f t="shared" si="30"/>
        <v/>
      </c>
      <c r="C121" s="469">
        <f>IF(D93="","-",+C120+1)</f>
        <v>2039</v>
      </c>
      <c r="D121" s="344">
        <f>IF(F120+SUM(E$99:E120)=D$92,F120,D$92-SUM(E$99:E120))</f>
        <v>147951.35999999999</v>
      </c>
      <c r="E121" s="481">
        <f t="shared" si="35"/>
        <v>8707</v>
      </c>
      <c r="F121" s="482">
        <f t="shared" si="36"/>
        <v>139244.35999999999</v>
      </c>
      <c r="G121" s="482">
        <f t="shared" si="37"/>
        <v>143597.85999999999</v>
      </c>
      <c r="H121" s="483">
        <f t="shared" si="38"/>
        <v>27994.879279119283</v>
      </c>
      <c r="I121" s="539">
        <f t="shared" si="39"/>
        <v>27994.879279119283</v>
      </c>
      <c r="J121" s="475">
        <f t="shared" si="23"/>
        <v>0</v>
      </c>
      <c r="K121" s="475"/>
      <c r="L121" s="484"/>
      <c r="M121" s="475">
        <f t="shared" si="24"/>
        <v>0</v>
      </c>
      <c r="N121" s="484"/>
      <c r="O121" s="475">
        <f t="shared" si="25"/>
        <v>0</v>
      </c>
      <c r="P121" s="475">
        <f t="shared" si="26"/>
        <v>0</v>
      </c>
    </row>
    <row r="122" spans="2:16" ht="12.5">
      <c r="B122" s="160" t="str">
        <f t="shared" si="30"/>
        <v/>
      </c>
      <c r="C122" s="469">
        <f>IF(D93="","-",+C121+1)</f>
        <v>2040</v>
      </c>
      <c r="D122" s="344">
        <f>IF(F121+SUM(E$99:E121)=D$92,F121,D$92-SUM(E$99:E121))</f>
        <v>139244.35999999999</v>
      </c>
      <c r="E122" s="481">
        <f t="shared" si="35"/>
        <v>8707</v>
      </c>
      <c r="F122" s="482">
        <f t="shared" si="36"/>
        <v>130537.35999999999</v>
      </c>
      <c r="G122" s="482">
        <f t="shared" si="37"/>
        <v>134890.85999999999</v>
      </c>
      <c r="H122" s="483">
        <f t="shared" si="38"/>
        <v>26825.366273261872</v>
      </c>
      <c r="I122" s="539">
        <f t="shared" si="39"/>
        <v>26825.366273261872</v>
      </c>
      <c r="J122" s="475">
        <f t="shared" si="23"/>
        <v>0</v>
      </c>
      <c r="K122" s="475"/>
      <c r="L122" s="484"/>
      <c r="M122" s="475">
        <f t="shared" si="24"/>
        <v>0</v>
      </c>
      <c r="N122" s="484"/>
      <c r="O122" s="475">
        <f t="shared" si="25"/>
        <v>0</v>
      </c>
      <c r="P122" s="475">
        <f t="shared" si="26"/>
        <v>0</v>
      </c>
    </row>
    <row r="123" spans="2:16" ht="12.5">
      <c r="B123" s="160" t="str">
        <f t="shared" si="30"/>
        <v/>
      </c>
      <c r="C123" s="469">
        <f>IF(D93="","-",+C122+1)</f>
        <v>2041</v>
      </c>
      <c r="D123" s="344">
        <f>IF(F122+SUM(E$99:E122)=D$92,F122,D$92-SUM(E$99:E122))</f>
        <v>130537.35999999999</v>
      </c>
      <c r="E123" s="481">
        <f t="shared" si="35"/>
        <v>8707</v>
      </c>
      <c r="F123" s="482">
        <f t="shared" si="36"/>
        <v>121830.35999999999</v>
      </c>
      <c r="G123" s="482">
        <f t="shared" si="37"/>
        <v>126183.85999999999</v>
      </c>
      <c r="H123" s="483">
        <f t="shared" si="38"/>
        <v>25655.853267404462</v>
      </c>
      <c r="I123" s="539">
        <f t="shared" si="39"/>
        <v>25655.853267404462</v>
      </c>
      <c r="J123" s="475">
        <f t="shared" si="23"/>
        <v>0</v>
      </c>
      <c r="K123" s="475"/>
      <c r="L123" s="484"/>
      <c r="M123" s="475">
        <f t="shared" si="24"/>
        <v>0</v>
      </c>
      <c r="N123" s="484"/>
      <c r="O123" s="475">
        <f t="shared" si="25"/>
        <v>0</v>
      </c>
      <c r="P123" s="475">
        <f t="shared" si="26"/>
        <v>0</v>
      </c>
    </row>
    <row r="124" spans="2:16" ht="12.5">
      <c r="B124" s="160" t="str">
        <f t="shared" si="30"/>
        <v/>
      </c>
      <c r="C124" s="469">
        <f>IF(D93="","-",+C123+1)</f>
        <v>2042</v>
      </c>
      <c r="D124" s="344">
        <f>IF(F123+SUM(E$99:E123)=D$92,F123,D$92-SUM(E$99:E123))</f>
        <v>121830.35999999999</v>
      </c>
      <c r="E124" s="481">
        <f t="shared" si="35"/>
        <v>8707</v>
      </c>
      <c r="F124" s="482">
        <f t="shared" si="36"/>
        <v>113123.35999999999</v>
      </c>
      <c r="G124" s="482">
        <f t="shared" si="37"/>
        <v>117476.85999999999</v>
      </c>
      <c r="H124" s="483">
        <f t="shared" si="38"/>
        <v>24486.340261547051</v>
      </c>
      <c r="I124" s="539">
        <f t="shared" si="39"/>
        <v>24486.340261547051</v>
      </c>
      <c r="J124" s="475">
        <f t="shared" si="23"/>
        <v>0</v>
      </c>
      <c r="K124" s="475"/>
      <c r="L124" s="484"/>
      <c r="M124" s="475">
        <f t="shared" si="24"/>
        <v>0</v>
      </c>
      <c r="N124" s="484"/>
      <c r="O124" s="475">
        <f t="shared" si="25"/>
        <v>0</v>
      </c>
      <c r="P124" s="475">
        <f t="shared" si="26"/>
        <v>0</v>
      </c>
    </row>
    <row r="125" spans="2:16" ht="12.5">
      <c r="B125" s="160" t="str">
        <f t="shared" si="30"/>
        <v/>
      </c>
      <c r="C125" s="469">
        <f>IF(D93="","-",+C124+1)</f>
        <v>2043</v>
      </c>
      <c r="D125" s="344">
        <f>IF(F124+SUM(E$99:E124)=D$92,F124,D$92-SUM(E$99:E124))</f>
        <v>113123.35999999999</v>
      </c>
      <c r="E125" s="481">
        <f t="shared" si="35"/>
        <v>8707</v>
      </c>
      <c r="F125" s="482">
        <f t="shared" si="36"/>
        <v>104416.35999999999</v>
      </c>
      <c r="G125" s="482">
        <f t="shared" si="37"/>
        <v>108769.85999999999</v>
      </c>
      <c r="H125" s="483">
        <f t="shared" si="38"/>
        <v>23316.827255689641</v>
      </c>
      <c r="I125" s="539">
        <f t="shared" si="39"/>
        <v>23316.827255689641</v>
      </c>
      <c r="J125" s="475">
        <f t="shared" si="23"/>
        <v>0</v>
      </c>
      <c r="K125" s="475"/>
      <c r="L125" s="484"/>
      <c r="M125" s="475">
        <f t="shared" si="24"/>
        <v>0</v>
      </c>
      <c r="N125" s="484"/>
      <c r="O125" s="475">
        <f t="shared" si="25"/>
        <v>0</v>
      </c>
      <c r="P125" s="475">
        <f t="shared" si="26"/>
        <v>0</v>
      </c>
    </row>
    <row r="126" spans="2:16" ht="12.5">
      <c r="B126" s="160" t="str">
        <f t="shared" si="30"/>
        <v/>
      </c>
      <c r="C126" s="469">
        <f>IF(D93="","-",+C125+1)</f>
        <v>2044</v>
      </c>
      <c r="D126" s="344">
        <f>IF(F125+SUM(E$99:E125)=D$92,F125,D$92-SUM(E$99:E125))</f>
        <v>104416.35999999999</v>
      </c>
      <c r="E126" s="481">
        <f t="shared" si="35"/>
        <v>8707</v>
      </c>
      <c r="F126" s="482">
        <f t="shared" si="36"/>
        <v>95709.359999999986</v>
      </c>
      <c r="G126" s="482">
        <f t="shared" si="37"/>
        <v>100062.85999999999</v>
      </c>
      <c r="H126" s="483">
        <f t="shared" si="38"/>
        <v>22147.31424983223</v>
      </c>
      <c r="I126" s="539">
        <f t="shared" si="39"/>
        <v>22147.31424983223</v>
      </c>
      <c r="J126" s="475">
        <f t="shared" si="23"/>
        <v>0</v>
      </c>
      <c r="K126" s="475"/>
      <c r="L126" s="484"/>
      <c r="M126" s="475">
        <f t="shared" si="24"/>
        <v>0</v>
      </c>
      <c r="N126" s="484"/>
      <c r="O126" s="475">
        <f t="shared" si="25"/>
        <v>0</v>
      </c>
      <c r="P126" s="475">
        <f t="shared" si="26"/>
        <v>0</v>
      </c>
    </row>
    <row r="127" spans="2:16" ht="12.5">
      <c r="B127" s="160" t="str">
        <f t="shared" si="30"/>
        <v/>
      </c>
      <c r="C127" s="469">
        <f>IF(D93="","-",+C126+1)</f>
        <v>2045</v>
      </c>
      <c r="D127" s="344">
        <f>IF(F126+SUM(E$99:E126)=D$92,F126,D$92-SUM(E$99:E126))</f>
        <v>95709.359999999986</v>
      </c>
      <c r="E127" s="481">
        <f t="shared" si="35"/>
        <v>8707</v>
      </c>
      <c r="F127" s="482">
        <f t="shared" si="36"/>
        <v>87002.359999999986</v>
      </c>
      <c r="G127" s="482">
        <f t="shared" si="37"/>
        <v>91355.859999999986</v>
      </c>
      <c r="H127" s="483">
        <f t="shared" si="38"/>
        <v>20977.80124397482</v>
      </c>
      <c r="I127" s="539">
        <f t="shared" si="39"/>
        <v>20977.80124397482</v>
      </c>
      <c r="J127" s="475">
        <f t="shared" si="23"/>
        <v>0</v>
      </c>
      <c r="K127" s="475"/>
      <c r="L127" s="484"/>
      <c r="M127" s="475">
        <f t="shared" si="24"/>
        <v>0</v>
      </c>
      <c r="N127" s="484"/>
      <c r="O127" s="475">
        <f t="shared" si="25"/>
        <v>0</v>
      </c>
      <c r="P127" s="475">
        <f t="shared" si="26"/>
        <v>0</v>
      </c>
    </row>
    <row r="128" spans="2:16" ht="12.5">
      <c r="B128" s="160" t="str">
        <f t="shared" si="30"/>
        <v/>
      </c>
      <c r="C128" s="469">
        <f>IF(D93="","-",+C127+1)</f>
        <v>2046</v>
      </c>
      <c r="D128" s="344">
        <f>IF(F127+SUM(E$99:E127)=D$92,F127,D$92-SUM(E$99:E127))</f>
        <v>87002.359999999986</v>
      </c>
      <c r="E128" s="481">
        <f t="shared" si="35"/>
        <v>8707</v>
      </c>
      <c r="F128" s="482">
        <f t="shared" si="36"/>
        <v>78295.359999999986</v>
      </c>
      <c r="G128" s="482">
        <f t="shared" si="37"/>
        <v>82648.859999999986</v>
      </c>
      <c r="H128" s="483">
        <f t="shared" si="38"/>
        <v>19808.288238117409</v>
      </c>
      <c r="I128" s="539">
        <f t="shared" si="39"/>
        <v>19808.288238117409</v>
      </c>
      <c r="J128" s="475">
        <f t="shared" si="23"/>
        <v>0</v>
      </c>
      <c r="K128" s="475"/>
      <c r="L128" s="484"/>
      <c r="M128" s="475">
        <f t="shared" si="24"/>
        <v>0</v>
      </c>
      <c r="N128" s="484"/>
      <c r="O128" s="475">
        <f t="shared" si="25"/>
        <v>0</v>
      </c>
      <c r="P128" s="475">
        <f t="shared" si="26"/>
        <v>0</v>
      </c>
    </row>
    <row r="129" spans="2:16" ht="12.5">
      <c r="B129" s="160" t="str">
        <f t="shared" si="30"/>
        <v/>
      </c>
      <c r="C129" s="469">
        <f>IF(D93="","-",+C128+1)</f>
        <v>2047</v>
      </c>
      <c r="D129" s="344">
        <f>IF(F128+SUM(E$99:E128)=D$92,F128,D$92-SUM(E$99:E128))</f>
        <v>78295.359999999986</v>
      </c>
      <c r="E129" s="481">
        <f t="shared" si="35"/>
        <v>8707</v>
      </c>
      <c r="F129" s="482">
        <f t="shared" si="36"/>
        <v>69588.359999999986</v>
      </c>
      <c r="G129" s="482">
        <f t="shared" si="37"/>
        <v>73941.859999999986</v>
      </c>
      <c r="H129" s="483">
        <f t="shared" si="38"/>
        <v>18638.775232259999</v>
      </c>
      <c r="I129" s="539">
        <f t="shared" si="39"/>
        <v>18638.775232259999</v>
      </c>
      <c r="J129" s="475">
        <f t="shared" si="23"/>
        <v>0</v>
      </c>
      <c r="K129" s="475"/>
      <c r="L129" s="484"/>
      <c r="M129" s="475">
        <f t="shared" si="24"/>
        <v>0</v>
      </c>
      <c r="N129" s="484"/>
      <c r="O129" s="475">
        <f t="shared" si="25"/>
        <v>0</v>
      </c>
      <c r="P129" s="475">
        <f t="shared" si="26"/>
        <v>0</v>
      </c>
    </row>
    <row r="130" spans="2:16" ht="12.5">
      <c r="B130" s="160" t="str">
        <f t="shared" si="30"/>
        <v/>
      </c>
      <c r="C130" s="469">
        <f>IF(D93="","-",+C129+1)</f>
        <v>2048</v>
      </c>
      <c r="D130" s="344">
        <f>IF(F129+SUM(E$99:E129)=D$92,F129,D$92-SUM(E$99:E129))</f>
        <v>69588.359999999986</v>
      </c>
      <c r="E130" s="481">
        <f t="shared" si="35"/>
        <v>8707</v>
      </c>
      <c r="F130" s="482">
        <f t="shared" si="36"/>
        <v>60881.359999999986</v>
      </c>
      <c r="G130" s="482">
        <f t="shared" si="37"/>
        <v>65234.859999999986</v>
      </c>
      <c r="H130" s="483">
        <f t="shared" si="38"/>
        <v>17469.262226402589</v>
      </c>
      <c r="I130" s="539">
        <f t="shared" si="39"/>
        <v>17469.262226402589</v>
      </c>
      <c r="J130" s="475">
        <f t="shared" si="23"/>
        <v>0</v>
      </c>
      <c r="K130" s="475"/>
      <c r="L130" s="484"/>
      <c r="M130" s="475">
        <f t="shared" si="24"/>
        <v>0</v>
      </c>
      <c r="N130" s="484"/>
      <c r="O130" s="475">
        <f t="shared" si="25"/>
        <v>0</v>
      </c>
      <c r="P130" s="475">
        <f t="shared" si="26"/>
        <v>0</v>
      </c>
    </row>
    <row r="131" spans="2:16" ht="12.5">
      <c r="B131" s="160" t="str">
        <f t="shared" si="30"/>
        <v/>
      </c>
      <c r="C131" s="469">
        <f>IF(D93="","-",+C130+1)</f>
        <v>2049</v>
      </c>
      <c r="D131" s="344">
        <f>IF(F130+SUM(E$99:E130)=D$92,F130,D$92-SUM(E$99:E130))</f>
        <v>60881.359999999986</v>
      </c>
      <c r="E131" s="481">
        <f t="shared" si="35"/>
        <v>8707</v>
      </c>
      <c r="F131" s="482">
        <f t="shared" si="36"/>
        <v>52174.359999999986</v>
      </c>
      <c r="G131" s="482">
        <f t="shared" si="37"/>
        <v>56527.859999999986</v>
      </c>
      <c r="H131" s="483">
        <f t="shared" si="38"/>
        <v>16299.749220545178</v>
      </c>
      <c r="I131" s="539">
        <f t="shared" si="39"/>
        <v>16299.749220545178</v>
      </c>
      <c r="J131" s="475">
        <f t="shared" ref="J131:J154" si="40">+I541-H541</f>
        <v>0</v>
      </c>
      <c r="K131" s="475"/>
      <c r="L131" s="484"/>
      <c r="M131" s="475">
        <f t="shared" ref="M131:M154" si="41">IF(L541&lt;&gt;0,+H541-L541,0)</f>
        <v>0</v>
      </c>
      <c r="N131" s="484"/>
      <c r="O131" s="475">
        <f t="shared" ref="O131:O154" si="42">IF(N541&lt;&gt;0,+I541-N541,0)</f>
        <v>0</v>
      </c>
      <c r="P131" s="475">
        <f t="shared" ref="P131:P154" si="43">+O541-M541</f>
        <v>0</v>
      </c>
    </row>
    <row r="132" spans="2:16" ht="12.5">
      <c r="B132" s="160" t="str">
        <f t="shared" si="30"/>
        <v/>
      </c>
      <c r="C132" s="469">
        <f>IF(D93="","-",+C131+1)</f>
        <v>2050</v>
      </c>
      <c r="D132" s="344">
        <f>IF(F131+SUM(E$99:E131)=D$92,F131,D$92-SUM(E$99:E131))</f>
        <v>52174.359999999986</v>
      </c>
      <c r="E132" s="481">
        <f t="shared" si="35"/>
        <v>8707</v>
      </c>
      <c r="F132" s="482">
        <f t="shared" si="36"/>
        <v>43467.359999999986</v>
      </c>
      <c r="G132" s="482">
        <f t="shared" si="37"/>
        <v>47820.859999999986</v>
      </c>
      <c r="H132" s="483">
        <f t="shared" si="38"/>
        <v>15130.236214687768</v>
      </c>
      <c r="I132" s="539">
        <f t="shared" si="39"/>
        <v>15130.236214687768</v>
      </c>
      <c r="J132" s="475">
        <f t="shared" si="40"/>
        <v>0</v>
      </c>
      <c r="K132" s="475"/>
      <c r="L132" s="484"/>
      <c r="M132" s="475">
        <f t="shared" si="41"/>
        <v>0</v>
      </c>
      <c r="N132" s="484"/>
      <c r="O132" s="475">
        <f t="shared" si="42"/>
        <v>0</v>
      </c>
      <c r="P132" s="475">
        <f t="shared" si="43"/>
        <v>0</v>
      </c>
    </row>
    <row r="133" spans="2:16" ht="12.5">
      <c r="B133" s="160" t="str">
        <f t="shared" si="30"/>
        <v/>
      </c>
      <c r="C133" s="469">
        <f>IF(D93="","-",+C132+1)</f>
        <v>2051</v>
      </c>
      <c r="D133" s="344">
        <f>IF(F132+SUM(E$99:E132)=D$92,F132,D$92-SUM(E$99:E132))</f>
        <v>43467.359999999986</v>
      </c>
      <c r="E133" s="481">
        <f t="shared" si="35"/>
        <v>8707</v>
      </c>
      <c r="F133" s="482">
        <f t="shared" si="36"/>
        <v>34760.359999999986</v>
      </c>
      <c r="G133" s="482">
        <f t="shared" si="37"/>
        <v>39113.859999999986</v>
      </c>
      <c r="H133" s="483">
        <f t="shared" si="38"/>
        <v>13960.723208830357</v>
      </c>
      <c r="I133" s="539">
        <f t="shared" si="39"/>
        <v>13960.723208830357</v>
      </c>
      <c r="J133" s="475">
        <f t="shared" si="40"/>
        <v>0</v>
      </c>
      <c r="K133" s="475"/>
      <c r="L133" s="484"/>
      <c r="M133" s="475">
        <f t="shared" si="41"/>
        <v>0</v>
      </c>
      <c r="N133" s="484"/>
      <c r="O133" s="475">
        <f t="shared" si="42"/>
        <v>0</v>
      </c>
      <c r="P133" s="475">
        <f t="shared" si="43"/>
        <v>0</v>
      </c>
    </row>
    <row r="134" spans="2:16" ht="12.5">
      <c r="B134" s="160" t="str">
        <f t="shared" si="30"/>
        <v/>
      </c>
      <c r="C134" s="469">
        <f>IF(D93="","-",+C133+1)</f>
        <v>2052</v>
      </c>
      <c r="D134" s="344">
        <f>IF(F133+SUM(E$99:E133)=D$92,F133,D$92-SUM(E$99:E133))</f>
        <v>34760.359999999986</v>
      </c>
      <c r="E134" s="481">
        <f t="shared" si="35"/>
        <v>8707</v>
      </c>
      <c r="F134" s="482">
        <f t="shared" si="36"/>
        <v>26053.359999999986</v>
      </c>
      <c r="G134" s="482">
        <f t="shared" si="37"/>
        <v>30406.859999999986</v>
      </c>
      <c r="H134" s="483">
        <f t="shared" si="38"/>
        <v>12791.210202972947</v>
      </c>
      <c r="I134" s="539">
        <f t="shared" si="39"/>
        <v>12791.210202972947</v>
      </c>
      <c r="J134" s="475">
        <f t="shared" si="40"/>
        <v>0</v>
      </c>
      <c r="K134" s="475"/>
      <c r="L134" s="484"/>
      <c r="M134" s="475">
        <f t="shared" si="41"/>
        <v>0</v>
      </c>
      <c r="N134" s="484"/>
      <c r="O134" s="475">
        <f t="shared" si="42"/>
        <v>0</v>
      </c>
      <c r="P134" s="475">
        <f t="shared" si="43"/>
        <v>0</v>
      </c>
    </row>
    <row r="135" spans="2:16" ht="12.5">
      <c r="B135" s="160" t="str">
        <f t="shared" si="30"/>
        <v/>
      </c>
      <c r="C135" s="469">
        <f>IF(D93="","-",+C134+1)</f>
        <v>2053</v>
      </c>
      <c r="D135" s="344">
        <f>IF(F134+SUM(E$99:E134)=D$92,F134,D$92-SUM(E$99:E134))</f>
        <v>26053.359999999986</v>
      </c>
      <c r="E135" s="481">
        <f t="shared" si="35"/>
        <v>8707</v>
      </c>
      <c r="F135" s="482">
        <f t="shared" si="36"/>
        <v>17346.359999999986</v>
      </c>
      <c r="G135" s="482">
        <f t="shared" si="37"/>
        <v>21699.859999999986</v>
      </c>
      <c r="H135" s="483">
        <f t="shared" si="38"/>
        <v>11621.697197115536</v>
      </c>
      <c r="I135" s="539">
        <f t="shared" si="39"/>
        <v>11621.697197115536</v>
      </c>
      <c r="J135" s="475">
        <f t="shared" si="40"/>
        <v>0</v>
      </c>
      <c r="K135" s="475"/>
      <c r="L135" s="484"/>
      <c r="M135" s="475">
        <f t="shared" si="41"/>
        <v>0</v>
      </c>
      <c r="N135" s="484"/>
      <c r="O135" s="475">
        <f t="shared" si="42"/>
        <v>0</v>
      </c>
      <c r="P135" s="475">
        <f t="shared" si="43"/>
        <v>0</v>
      </c>
    </row>
    <row r="136" spans="2:16" ht="12.5">
      <c r="B136" s="160" t="str">
        <f t="shared" si="30"/>
        <v/>
      </c>
      <c r="C136" s="469">
        <f>IF(D93="","-",+C135+1)</f>
        <v>2054</v>
      </c>
      <c r="D136" s="344">
        <f>IF(F135+SUM(E$99:E135)=D$92,F135,D$92-SUM(E$99:E135))</f>
        <v>17346.359999999986</v>
      </c>
      <c r="E136" s="481">
        <f t="shared" si="35"/>
        <v>8707</v>
      </c>
      <c r="F136" s="482">
        <f t="shared" si="36"/>
        <v>8639.359999999986</v>
      </c>
      <c r="G136" s="482">
        <f t="shared" si="37"/>
        <v>12992.859999999986</v>
      </c>
      <c r="H136" s="483">
        <f t="shared" si="38"/>
        <v>10452.184191258126</v>
      </c>
      <c r="I136" s="539">
        <f t="shared" si="39"/>
        <v>10452.184191258126</v>
      </c>
      <c r="J136" s="475">
        <f t="shared" si="40"/>
        <v>0</v>
      </c>
      <c r="K136" s="475"/>
      <c r="L136" s="484"/>
      <c r="M136" s="475">
        <f t="shared" si="41"/>
        <v>0</v>
      </c>
      <c r="N136" s="484"/>
      <c r="O136" s="475">
        <f t="shared" si="42"/>
        <v>0</v>
      </c>
      <c r="P136" s="475">
        <f t="shared" si="43"/>
        <v>0</v>
      </c>
    </row>
    <row r="137" spans="2:16" ht="12.5">
      <c r="B137" s="160" t="str">
        <f t="shared" si="30"/>
        <v/>
      </c>
      <c r="C137" s="469">
        <f>IF(D93="","-",+C136+1)</f>
        <v>2055</v>
      </c>
      <c r="D137" s="344">
        <f>IF(F136+SUM(E$99:E136)=D$92,F136,D$92-SUM(E$99:E136))</f>
        <v>8639.359999999986</v>
      </c>
      <c r="E137" s="481">
        <f t="shared" si="35"/>
        <v>8639.359999999986</v>
      </c>
      <c r="F137" s="482">
        <f t="shared" si="36"/>
        <v>0</v>
      </c>
      <c r="G137" s="482">
        <f t="shared" si="37"/>
        <v>4319.679999999993</v>
      </c>
      <c r="H137" s="483">
        <f t="shared" si="38"/>
        <v>9219.5738441646954</v>
      </c>
      <c r="I137" s="539">
        <f t="shared" si="39"/>
        <v>9219.5738441646954</v>
      </c>
      <c r="J137" s="475">
        <f t="shared" si="40"/>
        <v>0</v>
      </c>
      <c r="K137" s="475"/>
      <c r="L137" s="484"/>
      <c r="M137" s="475">
        <f t="shared" si="41"/>
        <v>0</v>
      </c>
      <c r="N137" s="484"/>
      <c r="O137" s="475">
        <f t="shared" si="42"/>
        <v>0</v>
      </c>
      <c r="P137" s="475">
        <f t="shared" si="43"/>
        <v>0</v>
      </c>
    </row>
    <row r="138" spans="2:16" ht="12.5">
      <c r="B138" s="160" t="str">
        <f t="shared" si="30"/>
        <v/>
      </c>
      <c r="C138" s="469">
        <f>IF(D93="","-",+C137+1)</f>
        <v>2056</v>
      </c>
      <c r="D138" s="344">
        <f>IF(F137+SUM(E$99:E137)=D$92,F137,D$92-SUM(E$99:E137))</f>
        <v>0</v>
      </c>
      <c r="E138" s="481">
        <f t="shared" si="35"/>
        <v>0</v>
      </c>
      <c r="F138" s="482">
        <f t="shared" si="36"/>
        <v>0</v>
      </c>
      <c r="G138" s="482">
        <f t="shared" si="37"/>
        <v>0</v>
      </c>
      <c r="H138" s="483">
        <f t="shared" si="38"/>
        <v>0</v>
      </c>
      <c r="I138" s="539">
        <f t="shared" si="39"/>
        <v>0</v>
      </c>
      <c r="J138" s="475">
        <f t="shared" si="40"/>
        <v>0</v>
      </c>
      <c r="K138" s="475"/>
      <c r="L138" s="484"/>
      <c r="M138" s="475">
        <f t="shared" si="41"/>
        <v>0</v>
      </c>
      <c r="N138" s="484"/>
      <c r="O138" s="475">
        <f t="shared" si="42"/>
        <v>0</v>
      </c>
      <c r="P138" s="475">
        <f t="shared" si="43"/>
        <v>0</v>
      </c>
    </row>
    <row r="139" spans="2:16" ht="12.5">
      <c r="B139" s="160" t="str">
        <f t="shared" si="30"/>
        <v/>
      </c>
      <c r="C139" s="469">
        <f>IF(D93="","-",+C138+1)</f>
        <v>2057</v>
      </c>
      <c r="D139" s="344">
        <f>IF(F138+SUM(E$99:E138)=D$92,F138,D$92-SUM(E$99:E138))</f>
        <v>0</v>
      </c>
      <c r="E139" s="481">
        <f t="shared" si="35"/>
        <v>0</v>
      </c>
      <c r="F139" s="482">
        <f t="shared" si="36"/>
        <v>0</v>
      </c>
      <c r="G139" s="482">
        <f t="shared" si="37"/>
        <v>0</v>
      </c>
      <c r="H139" s="483">
        <f t="shared" si="38"/>
        <v>0</v>
      </c>
      <c r="I139" s="539">
        <f t="shared" si="39"/>
        <v>0</v>
      </c>
      <c r="J139" s="475">
        <f t="shared" si="40"/>
        <v>0</v>
      </c>
      <c r="K139" s="475"/>
      <c r="L139" s="484"/>
      <c r="M139" s="475">
        <f t="shared" si="41"/>
        <v>0</v>
      </c>
      <c r="N139" s="484"/>
      <c r="O139" s="475">
        <f t="shared" si="42"/>
        <v>0</v>
      </c>
      <c r="P139" s="475">
        <f t="shared" si="43"/>
        <v>0</v>
      </c>
    </row>
    <row r="140" spans="2:16" ht="12.5">
      <c r="B140" s="160" t="str">
        <f t="shared" si="30"/>
        <v/>
      </c>
      <c r="C140" s="469">
        <f>IF(D93="","-",+C139+1)</f>
        <v>2058</v>
      </c>
      <c r="D140" s="344">
        <f>IF(F139+SUM(E$99:E139)=D$92,F139,D$92-SUM(E$99:E139))</f>
        <v>0</v>
      </c>
      <c r="E140" s="481">
        <f t="shared" si="35"/>
        <v>0</v>
      </c>
      <c r="F140" s="482">
        <f t="shared" si="36"/>
        <v>0</v>
      </c>
      <c r="G140" s="482">
        <f t="shared" si="37"/>
        <v>0</v>
      </c>
      <c r="H140" s="483">
        <f t="shared" si="38"/>
        <v>0</v>
      </c>
      <c r="I140" s="539">
        <f t="shared" si="39"/>
        <v>0</v>
      </c>
      <c r="J140" s="475">
        <f t="shared" si="40"/>
        <v>0</v>
      </c>
      <c r="K140" s="475"/>
      <c r="L140" s="484"/>
      <c r="M140" s="475">
        <f t="shared" si="41"/>
        <v>0</v>
      </c>
      <c r="N140" s="484"/>
      <c r="O140" s="475">
        <f t="shared" si="42"/>
        <v>0</v>
      </c>
      <c r="P140" s="475">
        <f t="shared" si="43"/>
        <v>0</v>
      </c>
    </row>
    <row r="141" spans="2:16" ht="12.5">
      <c r="B141" s="160" t="str">
        <f t="shared" si="30"/>
        <v/>
      </c>
      <c r="C141" s="469">
        <f>IF(D93="","-",+C140+1)</f>
        <v>2059</v>
      </c>
      <c r="D141" s="344">
        <f>IF(F140+SUM(E$99:E140)=D$92,F140,D$92-SUM(E$99:E140))</f>
        <v>0</v>
      </c>
      <c r="E141" s="481">
        <f t="shared" si="35"/>
        <v>0</v>
      </c>
      <c r="F141" s="482">
        <f t="shared" si="36"/>
        <v>0</v>
      </c>
      <c r="G141" s="482">
        <f t="shared" si="37"/>
        <v>0</v>
      </c>
      <c r="H141" s="483">
        <f t="shared" si="38"/>
        <v>0</v>
      </c>
      <c r="I141" s="539">
        <f t="shared" si="39"/>
        <v>0</v>
      </c>
      <c r="J141" s="475">
        <f t="shared" si="40"/>
        <v>0</v>
      </c>
      <c r="K141" s="475"/>
      <c r="L141" s="484"/>
      <c r="M141" s="475">
        <f t="shared" si="41"/>
        <v>0</v>
      </c>
      <c r="N141" s="484"/>
      <c r="O141" s="475">
        <f t="shared" si="42"/>
        <v>0</v>
      </c>
      <c r="P141" s="475">
        <f t="shared" si="43"/>
        <v>0</v>
      </c>
    </row>
    <row r="142" spans="2:16" ht="12.5">
      <c r="B142" s="160" t="str">
        <f t="shared" si="30"/>
        <v/>
      </c>
      <c r="C142" s="469">
        <f>IF(D93="","-",+C141+1)</f>
        <v>2060</v>
      </c>
      <c r="D142" s="344">
        <f>IF(F141+SUM(E$99:E141)=D$92,F141,D$92-SUM(E$99:E141))</f>
        <v>0</v>
      </c>
      <c r="E142" s="481">
        <f t="shared" si="35"/>
        <v>0</v>
      </c>
      <c r="F142" s="482">
        <f t="shared" si="36"/>
        <v>0</v>
      </c>
      <c r="G142" s="482">
        <f t="shared" si="37"/>
        <v>0</v>
      </c>
      <c r="H142" s="483">
        <f t="shared" si="38"/>
        <v>0</v>
      </c>
      <c r="I142" s="539">
        <f t="shared" si="39"/>
        <v>0</v>
      </c>
      <c r="J142" s="475">
        <f t="shared" si="40"/>
        <v>0</v>
      </c>
      <c r="K142" s="475"/>
      <c r="L142" s="484"/>
      <c r="M142" s="475">
        <f t="shared" si="41"/>
        <v>0</v>
      </c>
      <c r="N142" s="484"/>
      <c r="O142" s="475">
        <f t="shared" si="42"/>
        <v>0</v>
      </c>
      <c r="P142" s="475">
        <f t="shared" si="43"/>
        <v>0</v>
      </c>
    </row>
    <row r="143" spans="2:16" ht="12.5">
      <c r="B143" s="160" t="str">
        <f t="shared" si="30"/>
        <v/>
      </c>
      <c r="C143" s="469">
        <f>IF(D93="","-",+C142+1)</f>
        <v>2061</v>
      </c>
      <c r="D143" s="344">
        <f>IF(F142+SUM(E$99:E142)=D$92,F142,D$92-SUM(E$99:E142))</f>
        <v>0</v>
      </c>
      <c r="E143" s="481">
        <f t="shared" si="35"/>
        <v>0</v>
      </c>
      <c r="F143" s="482">
        <f t="shared" si="36"/>
        <v>0</v>
      </c>
      <c r="G143" s="482">
        <f t="shared" si="37"/>
        <v>0</v>
      </c>
      <c r="H143" s="483">
        <f t="shared" si="38"/>
        <v>0</v>
      </c>
      <c r="I143" s="539">
        <f t="shared" si="39"/>
        <v>0</v>
      </c>
      <c r="J143" s="475">
        <f t="shared" si="40"/>
        <v>0</v>
      </c>
      <c r="K143" s="475"/>
      <c r="L143" s="484"/>
      <c r="M143" s="475">
        <f t="shared" si="41"/>
        <v>0</v>
      </c>
      <c r="N143" s="484"/>
      <c r="O143" s="475">
        <f t="shared" si="42"/>
        <v>0</v>
      </c>
      <c r="P143" s="475">
        <f t="shared" si="43"/>
        <v>0</v>
      </c>
    </row>
    <row r="144" spans="2:16" ht="12.5">
      <c r="B144" s="160" t="str">
        <f t="shared" si="30"/>
        <v/>
      </c>
      <c r="C144" s="469">
        <f>IF(D93="","-",+C143+1)</f>
        <v>2062</v>
      </c>
      <c r="D144" s="344">
        <f>IF(F143+SUM(E$99:E143)=D$92,F143,D$92-SUM(E$99:E143))</f>
        <v>0</v>
      </c>
      <c r="E144" s="481">
        <f t="shared" si="35"/>
        <v>0</v>
      </c>
      <c r="F144" s="482">
        <f t="shared" si="36"/>
        <v>0</v>
      </c>
      <c r="G144" s="482">
        <f t="shared" si="37"/>
        <v>0</v>
      </c>
      <c r="H144" s="483">
        <f t="shared" si="38"/>
        <v>0</v>
      </c>
      <c r="I144" s="539">
        <f t="shared" si="39"/>
        <v>0</v>
      </c>
      <c r="J144" s="475">
        <f t="shared" si="40"/>
        <v>0</v>
      </c>
      <c r="K144" s="475"/>
      <c r="L144" s="484"/>
      <c r="M144" s="475">
        <f t="shared" si="41"/>
        <v>0</v>
      </c>
      <c r="N144" s="484"/>
      <c r="O144" s="475">
        <f t="shared" si="42"/>
        <v>0</v>
      </c>
      <c r="P144" s="475">
        <f t="shared" si="43"/>
        <v>0</v>
      </c>
    </row>
    <row r="145" spans="2:16" ht="12.5">
      <c r="B145" s="160" t="str">
        <f t="shared" si="30"/>
        <v/>
      </c>
      <c r="C145" s="469">
        <f>IF(D93="","-",+C144+1)</f>
        <v>2063</v>
      </c>
      <c r="D145" s="344">
        <f>IF(F144+SUM(E$99:E144)=D$92,F144,D$92-SUM(E$99:E144))</f>
        <v>0</v>
      </c>
      <c r="E145" s="481">
        <f t="shared" si="35"/>
        <v>0</v>
      </c>
      <c r="F145" s="482">
        <f t="shared" si="36"/>
        <v>0</v>
      </c>
      <c r="G145" s="482">
        <f t="shared" si="37"/>
        <v>0</v>
      </c>
      <c r="H145" s="483">
        <f t="shared" si="38"/>
        <v>0</v>
      </c>
      <c r="I145" s="539">
        <f t="shared" si="39"/>
        <v>0</v>
      </c>
      <c r="J145" s="475">
        <f t="shared" si="40"/>
        <v>0</v>
      </c>
      <c r="K145" s="475"/>
      <c r="L145" s="484"/>
      <c r="M145" s="475">
        <f t="shared" si="41"/>
        <v>0</v>
      </c>
      <c r="N145" s="484"/>
      <c r="O145" s="475">
        <f t="shared" si="42"/>
        <v>0</v>
      </c>
      <c r="P145" s="475">
        <f t="shared" si="43"/>
        <v>0</v>
      </c>
    </row>
    <row r="146" spans="2:16" ht="12.5">
      <c r="B146" s="160" t="str">
        <f t="shared" si="30"/>
        <v/>
      </c>
      <c r="C146" s="469">
        <f>IF(D93="","-",+C145+1)</f>
        <v>2064</v>
      </c>
      <c r="D146" s="344">
        <f>IF(F145+SUM(E$99:E145)=D$92,F145,D$92-SUM(E$99:E145))</f>
        <v>0</v>
      </c>
      <c r="E146" s="481">
        <f t="shared" si="35"/>
        <v>0</v>
      </c>
      <c r="F146" s="482">
        <f t="shared" si="36"/>
        <v>0</v>
      </c>
      <c r="G146" s="482">
        <f t="shared" si="37"/>
        <v>0</v>
      </c>
      <c r="H146" s="483">
        <f t="shared" si="38"/>
        <v>0</v>
      </c>
      <c r="I146" s="539">
        <f t="shared" si="39"/>
        <v>0</v>
      </c>
      <c r="J146" s="475">
        <f t="shared" si="40"/>
        <v>0</v>
      </c>
      <c r="K146" s="475"/>
      <c r="L146" s="484"/>
      <c r="M146" s="475">
        <f t="shared" si="41"/>
        <v>0</v>
      </c>
      <c r="N146" s="484"/>
      <c r="O146" s="475">
        <f t="shared" si="42"/>
        <v>0</v>
      </c>
      <c r="P146" s="475">
        <f t="shared" si="43"/>
        <v>0</v>
      </c>
    </row>
    <row r="147" spans="2:16" ht="12.5">
      <c r="B147" s="160" t="str">
        <f t="shared" si="30"/>
        <v/>
      </c>
      <c r="C147" s="469">
        <f>IF(D93="","-",+C146+1)</f>
        <v>2065</v>
      </c>
      <c r="D147" s="344">
        <f>IF(F146+SUM(E$99:E146)=D$92,F146,D$92-SUM(E$99:E146))</f>
        <v>0</v>
      </c>
      <c r="E147" s="481">
        <f t="shared" si="35"/>
        <v>0</v>
      </c>
      <c r="F147" s="482">
        <f t="shared" si="36"/>
        <v>0</v>
      </c>
      <c r="G147" s="482">
        <f t="shared" si="37"/>
        <v>0</v>
      </c>
      <c r="H147" s="483">
        <f t="shared" si="38"/>
        <v>0</v>
      </c>
      <c r="I147" s="539">
        <f t="shared" si="39"/>
        <v>0</v>
      </c>
      <c r="J147" s="475">
        <f t="shared" si="40"/>
        <v>0</v>
      </c>
      <c r="K147" s="475"/>
      <c r="L147" s="484"/>
      <c r="M147" s="475">
        <f t="shared" si="41"/>
        <v>0</v>
      </c>
      <c r="N147" s="484"/>
      <c r="O147" s="475">
        <f t="shared" si="42"/>
        <v>0</v>
      </c>
      <c r="P147" s="475">
        <f t="shared" si="43"/>
        <v>0</v>
      </c>
    </row>
    <row r="148" spans="2:16" ht="12.5">
      <c r="B148" s="160" t="str">
        <f t="shared" si="30"/>
        <v/>
      </c>
      <c r="C148" s="469">
        <f>IF(D93="","-",+C147+1)</f>
        <v>2066</v>
      </c>
      <c r="D148" s="344">
        <f>IF(F147+SUM(E$99:E147)=D$92,F147,D$92-SUM(E$99:E147))</f>
        <v>0</v>
      </c>
      <c r="E148" s="481">
        <f t="shared" si="35"/>
        <v>0</v>
      </c>
      <c r="F148" s="482">
        <f t="shared" si="36"/>
        <v>0</v>
      </c>
      <c r="G148" s="482">
        <f t="shared" si="37"/>
        <v>0</v>
      </c>
      <c r="H148" s="483">
        <f t="shared" si="38"/>
        <v>0</v>
      </c>
      <c r="I148" s="539">
        <f t="shared" si="39"/>
        <v>0</v>
      </c>
      <c r="J148" s="475">
        <f t="shared" si="40"/>
        <v>0</v>
      </c>
      <c r="K148" s="475"/>
      <c r="L148" s="484"/>
      <c r="M148" s="475">
        <f t="shared" si="41"/>
        <v>0</v>
      </c>
      <c r="N148" s="484"/>
      <c r="O148" s="475">
        <f t="shared" si="42"/>
        <v>0</v>
      </c>
      <c r="P148" s="475">
        <f t="shared" si="43"/>
        <v>0</v>
      </c>
    </row>
    <row r="149" spans="2:16" ht="12.5">
      <c r="B149" s="160" t="str">
        <f t="shared" si="30"/>
        <v/>
      </c>
      <c r="C149" s="469">
        <f>IF(D93="","-",+C148+1)</f>
        <v>2067</v>
      </c>
      <c r="D149" s="344">
        <f>IF(F148+SUM(E$99:E148)=D$92,F148,D$92-SUM(E$99:E148))</f>
        <v>0</v>
      </c>
      <c r="E149" s="481">
        <f t="shared" si="35"/>
        <v>0</v>
      </c>
      <c r="F149" s="482">
        <f t="shared" si="36"/>
        <v>0</v>
      </c>
      <c r="G149" s="482">
        <f t="shared" si="37"/>
        <v>0</v>
      </c>
      <c r="H149" s="483">
        <f t="shared" si="38"/>
        <v>0</v>
      </c>
      <c r="I149" s="539">
        <f t="shared" si="39"/>
        <v>0</v>
      </c>
      <c r="J149" s="475">
        <f t="shared" si="40"/>
        <v>0</v>
      </c>
      <c r="K149" s="475"/>
      <c r="L149" s="484"/>
      <c r="M149" s="475">
        <f t="shared" si="41"/>
        <v>0</v>
      </c>
      <c r="N149" s="484"/>
      <c r="O149" s="475">
        <f t="shared" si="42"/>
        <v>0</v>
      </c>
      <c r="P149" s="475">
        <f t="shared" si="43"/>
        <v>0</v>
      </c>
    </row>
    <row r="150" spans="2:16" ht="12.5">
      <c r="B150" s="160" t="str">
        <f t="shared" si="30"/>
        <v/>
      </c>
      <c r="C150" s="469">
        <f>IF(D93="","-",+C149+1)</f>
        <v>2068</v>
      </c>
      <c r="D150" s="344">
        <f>IF(F149+SUM(E$99:E149)=D$92,F149,D$92-SUM(E$99:E149))</f>
        <v>0</v>
      </c>
      <c r="E150" s="481">
        <f t="shared" si="35"/>
        <v>0</v>
      </c>
      <c r="F150" s="482">
        <f t="shared" si="36"/>
        <v>0</v>
      </c>
      <c r="G150" s="482">
        <f t="shared" si="37"/>
        <v>0</v>
      </c>
      <c r="H150" s="483">
        <f t="shared" si="38"/>
        <v>0</v>
      </c>
      <c r="I150" s="539">
        <f t="shared" si="39"/>
        <v>0</v>
      </c>
      <c r="J150" s="475">
        <f t="shared" si="40"/>
        <v>0</v>
      </c>
      <c r="K150" s="475"/>
      <c r="L150" s="484"/>
      <c r="M150" s="475">
        <f t="shared" si="41"/>
        <v>0</v>
      </c>
      <c r="N150" s="484"/>
      <c r="O150" s="475">
        <f t="shared" si="42"/>
        <v>0</v>
      </c>
      <c r="P150" s="475">
        <f t="shared" si="43"/>
        <v>0</v>
      </c>
    </row>
    <row r="151" spans="2:16" ht="12.5">
      <c r="B151" s="160" t="str">
        <f t="shared" si="30"/>
        <v/>
      </c>
      <c r="C151" s="469">
        <f>IF(D93="","-",+C150+1)</f>
        <v>2069</v>
      </c>
      <c r="D151" s="344">
        <f>IF(F150+SUM(E$99:E150)=D$92,F150,D$92-SUM(E$99:E150))</f>
        <v>0</v>
      </c>
      <c r="E151" s="481">
        <f t="shared" si="35"/>
        <v>0</v>
      </c>
      <c r="F151" s="482">
        <f t="shared" si="36"/>
        <v>0</v>
      </c>
      <c r="G151" s="482">
        <f t="shared" si="37"/>
        <v>0</v>
      </c>
      <c r="H151" s="483">
        <f t="shared" si="38"/>
        <v>0</v>
      </c>
      <c r="I151" s="539">
        <f t="shared" si="39"/>
        <v>0</v>
      </c>
      <c r="J151" s="475">
        <f t="shared" si="40"/>
        <v>0</v>
      </c>
      <c r="K151" s="475"/>
      <c r="L151" s="484"/>
      <c r="M151" s="475">
        <f t="shared" si="41"/>
        <v>0</v>
      </c>
      <c r="N151" s="484"/>
      <c r="O151" s="475">
        <f t="shared" si="42"/>
        <v>0</v>
      </c>
      <c r="P151" s="475">
        <f t="shared" si="43"/>
        <v>0</v>
      </c>
    </row>
    <row r="152" spans="2:16" ht="12.5">
      <c r="B152" s="160" t="str">
        <f t="shared" si="30"/>
        <v/>
      </c>
      <c r="C152" s="469">
        <f>IF(D93="","-",+C151+1)</f>
        <v>2070</v>
      </c>
      <c r="D152" s="344">
        <f>IF(F151+SUM(E$99:E151)=D$92,F151,D$92-SUM(E$99:E151))</f>
        <v>0</v>
      </c>
      <c r="E152" s="481">
        <f t="shared" si="35"/>
        <v>0</v>
      </c>
      <c r="F152" s="482">
        <f t="shared" si="36"/>
        <v>0</v>
      </c>
      <c r="G152" s="482">
        <f t="shared" si="37"/>
        <v>0</v>
      </c>
      <c r="H152" s="483">
        <f t="shared" si="38"/>
        <v>0</v>
      </c>
      <c r="I152" s="539">
        <f t="shared" si="39"/>
        <v>0</v>
      </c>
      <c r="J152" s="475">
        <f t="shared" si="40"/>
        <v>0</v>
      </c>
      <c r="K152" s="475"/>
      <c r="L152" s="484"/>
      <c r="M152" s="475">
        <f t="shared" si="41"/>
        <v>0</v>
      </c>
      <c r="N152" s="484"/>
      <c r="O152" s="475">
        <f t="shared" si="42"/>
        <v>0</v>
      </c>
      <c r="P152" s="475">
        <f t="shared" si="43"/>
        <v>0</v>
      </c>
    </row>
    <row r="153" spans="2:16" ht="12.5">
      <c r="B153" s="160" t="str">
        <f t="shared" si="30"/>
        <v/>
      </c>
      <c r="C153" s="469">
        <f>IF(D93="","-",+C152+1)</f>
        <v>2071</v>
      </c>
      <c r="D153" s="344">
        <f>IF(F152+SUM(E$99:E152)=D$92,F152,D$92-SUM(E$99:E152))</f>
        <v>0</v>
      </c>
      <c r="E153" s="481">
        <f t="shared" si="35"/>
        <v>0</v>
      </c>
      <c r="F153" s="482">
        <f t="shared" si="36"/>
        <v>0</v>
      </c>
      <c r="G153" s="482">
        <f t="shared" si="37"/>
        <v>0</v>
      </c>
      <c r="H153" s="483">
        <f t="shared" si="38"/>
        <v>0</v>
      </c>
      <c r="I153" s="539">
        <f t="shared" si="39"/>
        <v>0</v>
      </c>
      <c r="J153" s="475">
        <f t="shared" si="40"/>
        <v>0</v>
      </c>
      <c r="K153" s="475"/>
      <c r="L153" s="484"/>
      <c r="M153" s="475">
        <f t="shared" si="41"/>
        <v>0</v>
      </c>
      <c r="N153" s="484"/>
      <c r="O153" s="475">
        <f t="shared" si="42"/>
        <v>0</v>
      </c>
      <c r="P153" s="475">
        <f t="shared" si="43"/>
        <v>0</v>
      </c>
    </row>
    <row r="154" spans="2:16" ht="13" thickBot="1">
      <c r="B154" s="160" t="str">
        <f t="shared" si="30"/>
        <v/>
      </c>
      <c r="C154" s="486">
        <f>IF(D93="","-",+C153+1)</f>
        <v>2072</v>
      </c>
      <c r="D154" s="540">
        <f>IF(F153+SUM(E$99:E153)=D$92,F153,D$92-SUM(E$99:E153))</f>
        <v>0</v>
      </c>
      <c r="E154" s="488">
        <f t="shared" si="35"/>
        <v>0</v>
      </c>
      <c r="F154" s="487">
        <f t="shared" si="36"/>
        <v>0</v>
      </c>
      <c r="G154" s="487">
        <f t="shared" si="37"/>
        <v>0</v>
      </c>
      <c r="H154" s="609">
        <f t="shared" ref="H154" si="44">+J$94*G154+E154</f>
        <v>0</v>
      </c>
      <c r="I154" s="610">
        <f t="shared" ref="I154" si="45">+J$95*G154+E154</f>
        <v>0</v>
      </c>
      <c r="J154" s="492">
        <f t="shared" si="40"/>
        <v>0</v>
      </c>
      <c r="K154" s="475"/>
      <c r="L154" s="491"/>
      <c r="M154" s="492">
        <f t="shared" si="41"/>
        <v>0</v>
      </c>
      <c r="N154" s="491"/>
      <c r="O154" s="492">
        <f t="shared" si="42"/>
        <v>0</v>
      </c>
      <c r="P154" s="492">
        <f t="shared" si="43"/>
        <v>0</v>
      </c>
    </row>
    <row r="155" spans="2:16" ht="12.5">
      <c r="C155" s="344" t="s">
        <v>77</v>
      </c>
      <c r="D155" s="345"/>
      <c r="E155" s="345">
        <f>SUM(E99:E154)</f>
        <v>330872.36</v>
      </c>
      <c r="F155" s="345"/>
      <c r="G155" s="345"/>
      <c r="H155" s="345">
        <f>SUM(H99:H154)</f>
        <v>1149912.387764839</v>
      </c>
      <c r="I155" s="345">
        <f>SUM(I99:I154)</f>
        <v>1149912.387764839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31" priority="1" stopIfTrue="1" operator="equal">
      <formula>$I$10</formula>
    </cfRule>
  </conditionalFormatting>
  <conditionalFormatting sqref="C99:C154">
    <cfRule type="cellIs" dxfId="3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71"/>
  <dimension ref="A1:P162"/>
  <sheetViews>
    <sheetView topLeftCell="A65" zoomScaleNormal="100" zoomScaleSheetLayoutView="78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22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31144.041414021089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31144.041414021089</v>
      </c>
      <c r="O6" s="231"/>
      <c r="P6" s="231"/>
    </row>
    <row r="7" spans="1:16" ht="13.5" thickBot="1">
      <c r="C7" s="428" t="s">
        <v>46</v>
      </c>
      <c r="D7" s="596" t="s">
        <v>275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297</v>
      </c>
      <c r="E9" s="574" t="s">
        <v>298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244000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2018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6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6421.0526315789475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2018</v>
      </c>
      <c r="D17" s="581">
        <v>0</v>
      </c>
      <c r="E17" s="604">
        <v>2711.1111111111113</v>
      </c>
      <c r="F17" s="581">
        <v>241288.88888888888</v>
      </c>
      <c r="G17" s="604">
        <v>17159.361980055266</v>
      </c>
      <c r="H17" s="584">
        <v>17159.361980055266</v>
      </c>
      <c r="I17" s="472">
        <f t="shared" ref="I17:I72" si="0">H17-G17</f>
        <v>0</v>
      </c>
      <c r="J17" s="472"/>
      <c r="K17" s="551">
        <f t="shared" ref="K17:K22" si="1">+G17</f>
        <v>17159.361980055266</v>
      </c>
      <c r="L17" s="474">
        <f t="shared" ref="L17:L72" si="2">IF(K17&lt;&gt;0,+G17-K17,0)</f>
        <v>0</v>
      </c>
      <c r="M17" s="551">
        <f t="shared" ref="M17:M22" si="3">+H17</f>
        <v>17159.361980055266</v>
      </c>
      <c r="N17" s="474">
        <f t="shared" ref="N17:N72" si="4">IF(M17&lt;&gt;0,+H17-M17,0)</f>
        <v>0</v>
      </c>
      <c r="O17" s="475">
        <f t="shared" ref="O17:O72" si="5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2019</v>
      </c>
      <c r="D18" s="581">
        <v>241288.88888888888</v>
      </c>
      <c r="E18" s="582">
        <v>6100</v>
      </c>
      <c r="F18" s="581">
        <v>235188.88888888888</v>
      </c>
      <c r="G18" s="582">
        <v>32700.951777404996</v>
      </c>
      <c r="H18" s="584">
        <v>32700.951777404996</v>
      </c>
      <c r="I18" s="472">
        <f t="shared" si="0"/>
        <v>0</v>
      </c>
      <c r="J18" s="472"/>
      <c r="K18" s="475">
        <f t="shared" si="1"/>
        <v>32700.951777404996</v>
      </c>
      <c r="L18" s="475">
        <f t="shared" si="2"/>
        <v>0</v>
      </c>
      <c r="M18" s="475">
        <f t="shared" si="3"/>
        <v>32700.951777404996</v>
      </c>
      <c r="N18" s="475">
        <f t="shared" si="4"/>
        <v>0</v>
      </c>
      <c r="O18" s="475">
        <f t="shared" si="5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2020</v>
      </c>
      <c r="D19" s="581">
        <v>235866.66666666666</v>
      </c>
      <c r="E19" s="582">
        <v>5809.5238095238092</v>
      </c>
      <c r="F19" s="581">
        <v>230057.14285714284</v>
      </c>
      <c r="G19" s="582">
        <v>30970.52236185109</v>
      </c>
      <c r="H19" s="584">
        <v>30970.52236185109</v>
      </c>
      <c r="I19" s="472">
        <f t="shared" si="0"/>
        <v>0</v>
      </c>
      <c r="J19" s="472"/>
      <c r="K19" s="475">
        <f t="shared" si="1"/>
        <v>30970.52236185109</v>
      </c>
      <c r="L19" s="475">
        <f t="shared" ref="L19" si="6">IF(K19&lt;&gt;0,+G19-K19,0)</f>
        <v>0</v>
      </c>
      <c r="M19" s="475">
        <f t="shared" si="3"/>
        <v>30970.52236185109</v>
      </c>
      <c r="N19" s="475">
        <f t="shared" si="4"/>
        <v>0</v>
      </c>
      <c r="O19" s="475">
        <f t="shared" si="5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2021</v>
      </c>
      <c r="D20" s="581">
        <v>229379.36507936509</v>
      </c>
      <c r="E20" s="582">
        <v>5674.4186046511632</v>
      </c>
      <c r="F20" s="581">
        <v>223704.94647471391</v>
      </c>
      <c r="G20" s="582">
        <v>30100.568065113996</v>
      </c>
      <c r="H20" s="584">
        <v>30100.568065113996</v>
      </c>
      <c r="I20" s="472">
        <f t="shared" si="0"/>
        <v>0</v>
      </c>
      <c r="J20" s="472"/>
      <c r="K20" s="475">
        <f t="shared" si="1"/>
        <v>30100.568065113996</v>
      </c>
      <c r="L20" s="475">
        <f t="shared" ref="L20" si="8">IF(K20&lt;&gt;0,+G20-K20,0)</f>
        <v>0</v>
      </c>
      <c r="M20" s="475">
        <f t="shared" si="3"/>
        <v>30100.568065113996</v>
      </c>
      <c r="N20" s="475">
        <f t="shared" si="4"/>
        <v>0</v>
      </c>
      <c r="O20" s="475">
        <f t="shared" si="5"/>
        <v>0</v>
      </c>
      <c r="P20" s="241"/>
    </row>
    <row r="21" spans="2:16" ht="12.5">
      <c r="B21" s="160" t="str">
        <f t="shared" si="7"/>
        <v/>
      </c>
      <c r="C21" s="469">
        <f>IF(D11="","-",+C20+1)</f>
        <v>2022</v>
      </c>
      <c r="D21" s="581">
        <v>223704.94647471391</v>
      </c>
      <c r="E21" s="582">
        <v>5809.5238095238092</v>
      </c>
      <c r="F21" s="581">
        <v>217895.4226651901</v>
      </c>
      <c r="G21" s="582">
        <v>29614.266782481478</v>
      </c>
      <c r="H21" s="584">
        <v>29614.266782481478</v>
      </c>
      <c r="I21" s="472">
        <f t="shared" si="0"/>
        <v>0</v>
      </c>
      <c r="J21" s="472"/>
      <c r="K21" s="475">
        <f t="shared" si="1"/>
        <v>29614.266782481478</v>
      </c>
      <c r="L21" s="475">
        <f t="shared" ref="L21" si="9">IF(K21&lt;&gt;0,+G21-K21,0)</f>
        <v>0</v>
      </c>
      <c r="M21" s="475">
        <f t="shared" si="3"/>
        <v>29614.266782481478</v>
      </c>
      <c r="N21" s="475">
        <f t="shared" si="4"/>
        <v>0</v>
      </c>
      <c r="O21" s="475">
        <f t="shared" si="5"/>
        <v>0</v>
      </c>
      <c r="P21" s="241"/>
    </row>
    <row r="22" spans="2:16" ht="12.5">
      <c r="B22" s="160" t="str">
        <f t="shared" si="7"/>
        <v/>
      </c>
      <c r="C22" s="469">
        <f>IF(D11="","-",+C21+1)</f>
        <v>2023</v>
      </c>
      <c r="D22" s="581">
        <v>217895.4226651901</v>
      </c>
      <c r="E22" s="582">
        <v>6256.4102564102568</v>
      </c>
      <c r="F22" s="581">
        <v>211639.01240877985</v>
      </c>
      <c r="G22" s="582">
        <v>31890.799977104634</v>
      </c>
      <c r="H22" s="584">
        <v>31890.799977104634</v>
      </c>
      <c r="I22" s="472">
        <f t="shared" si="0"/>
        <v>0</v>
      </c>
      <c r="J22" s="472"/>
      <c r="K22" s="475">
        <f t="shared" si="1"/>
        <v>31890.799977104634</v>
      </c>
      <c r="L22" s="475">
        <f t="shared" ref="L22" si="10">IF(K22&lt;&gt;0,+G22-K22,0)</f>
        <v>0</v>
      </c>
      <c r="M22" s="475">
        <f t="shared" si="3"/>
        <v>31890.799977104634</v>
      </c>
      <c r="N22" s="475">
        <f t="shared" si="4"/>
        <v>0</v>
      </c>
      <c r="O22" s="475">
        <f t="shared" si="5"/>
        <v>0</v>
      </c>
      <c r="P22" s="241"/>
    </row>
    <row r="23" spans="2:16" ht="12.5">
      <c r="B23" s="160" t="str">
        <f t="shared" si="7"/>
        <v/>
      </c>
      <c r="C23" s="469">
        <f>IF(D11="","-",+C22+1)</f>
        <v>2024</v>
      </c>
      <c r="D23" s="581">
        <v>211639.01240877985</v>
      </c>
      <c r="E23" s="582">
        <v>6256.4102564102568</v>
      </c>
      <c r="F23" s="581">
        <v>205382.6021523696</v>
      </c>
      <c r="G23" s="582">
        <v>31144.041414021089</v>
      </c>
      <c r="H23" s="584">
        <v>31144.041414021089</v>
      </c>
      <c r="I23" s="472">
        <f t="shared" si="0"/>
        <v>0</v>
      </c>
      <c r="J23" s="472"/>
      <c r="K23" s="475">
        <f t="shared" ref="K23" si="11">+G23</f>
        <v>31144.041414021089</v>
      </c>
      <c r="L23" s="475">
        <f t="shared" ref="L23" si="12">IF(K23&lt;&gt;0,+G23-K23,0)</f>
        <v>0</v>
      </c>
      <c r="M23" s="475">
        <f t="shared" ref="M23" si="13">+H23</f>
        <v>31144.041414021089</v>
      </c>
      <c r="N23" s="475">
        <f t="shared" ref="N23" si="14">IF(M23&lt;&gt;0,+H23-M23,0)</f>
        <v>0</v>
      </c>
      <c r="O23" s="475">
        <f t="shared" ref="O23" si="15">+N23-L23</f>
        <v>0</v>
      </c>
      <c r="P23" s="241"/>
    </row>
    <row r="24" spans="2:16" ht="12.5">
      <c r="B24" s="160" t="str">
        <f t="shared" si="7"/>
        <v/>
      </c>
      <c r="C24" s="469">
        <f>IF(D11="","-",+C23+1)</f>
        <v>2025</v>
      </c>
      <c r="D24" s="480">
        <f>IF(F23+SUM(E$17:E23)=D$10,F23,D$10-SUM(E$17:E23))</f>
        <v>205382.6021523696</v>
      </c>
      <c r="E24" s="481">
        <f t="shared" ref="E24:E72" si="16">IF(+I$14&lt;F23,I$14,D24)</f>
        <v>6421.0526315789475</v>
      </c>
      <c r="F24" s="482">
        <f t="shared" ref="F24:F72" si="17">+D24-E24</f>
        <v>198961.54952079064</v>
      </c>
      <c r="G24" s="483">
        <f t="shared" ref="G24:G72" si="18">(D24+F24)/2*I$12+E24</f>
        <v>29416.142460586467</v>
      </c>
      <c r="H24" s="452">
        <f t="shared" ref="H24:H72" si="19">+(D24+F24)/2*I$13+E24</f>
        <v>29416.142460586467</v>
      </c>
      <c r="I24" s="472">
        <f t="shared" si="0"/>
        <v>0</v>
      </c>
      <c r="J24" s="472"/>
      <c r="K24" s="484"/>
      <c r="L24" s="475">
        <f t="shared" si="2"/>
        <v>0</v>
      </c>
      <c r="M24" s="484"/>
      <c r="N24" s="475">
        <f t="shared" si="4"/>
        <v>0</v>
      </c>
      <c r="O24" s="475">
        <f t="shared" si="5"/>
        <v>0</v>
      </c>
      <c r="P24" s="241"/>
    </row>
    <row r="25" spans="2:16" ht="12.5">
      <c r="B25" s="160" t="str">
        <f t="shared" si="7"/>
        <v/>
      </c>
      <c r="C25" s="469">
        <f>IF(D11="","-",+C24+1)</f>
        <v>2026</v>
      </c>
      <c r="D25" s="480">
        <f>IF(F24+SUM(E$17:E24)=D$10,F24,D$10-SUM(E$17:E24))</f>
        <v>198961.54952079064</v>
      </c>
      <c r="E25" s="481">
        <f t="shared" si="16"/>
        <v>6421.0526315789475</v>
      </c>
      <c r="F25" s="482">
        <f t="shared" si="17"/>
        <v>192540.49688921167</v>
      </c>
      <c r="G25" s="483">
        <f t="shared" si="18"/>
        <v>28685.810729812256</v>
      </c>
      <c r="H25" s="452">
        <f t="shared" si="19"/>
        <v>28685.810729812256</v>
      </c>
      <c r="I25" s="472">
        <f t="shared" si="0"/>
        <v>0</v>
      </c>
      <c r="J25" s="472"/>
      <c r="K25" s="484"/>
      <c r="L25" s="475">
        <f t="shared" si="2"/>
        <v>0</v>
      </c>
      <c r="M25" s="484"/>
      <c r="N25" s="475">
        <f t="shared" si="4"/>
        <v>0</v>
      </c>
      <c r="O25" s="475">
        <f t="shared" si="5"/>
        <v>0</v>
      </c>
      <c r="P25" s="241"/>
    </row>
    <row r="26" spans="2:16" ht="12.5">
      <c r="B26" s="160" t="str">
        <f t="shared" si="7"/>
        <v/>
      </c>
      <c r="C26" s="469">
        <f>IF(D11="","-",+C25+1)</f>
        <v>2027</v>
      </c>
      <c r="D26" s="480">
        <f>IF(F25+SUM(E$17:E25)=D$10,F25,D$10-SUM(E$17:E25))</f>
        <v>192540.49688921167</v>
      </c>
      <c r="E26" s="481">
        <f t="shared" si="16"/>
        <v>6421.0526315789475</v>
      </c>
      <c r="F26" s="482">
        <f t="shared" si="17"/>
        <v>186119.44425763271</v>
      </c>
      <c r="G26" s="483">
        <f t="shared" si="18"/>
        <v>27955.478999038056</v>
      </c>
      <c r="H26" s="452">
        <f t="shared" si="19"/>
        <v>27955.478999038056</v>
      </c>
      <c r="I26" s="472">
        <f t="shared" si="0"/>
        <v>0</v>
      </c>
      <c r="J26" s="472"/>
      <c r="K26" s="484"/>
      <c r="L26" s="475">
        <f t="shared" si="2"/>
        <v>0</v>
      </c>
      <c r="M26" s="484"/>
      <c r="N26" s="475">
        <f t="shared" si="4"/>
        <v>0</v>
      </c>
      <c r="O26" s="475">
        <f t="shared" si="5"/>
        <v>0</v>
      </c>
      <c r="P26" s="241"/>
    </row>
    <row r="27" spans="2:16" ht="12.5">
      <c r="B27" s="160" t="str">
        <f t="shared" si="7"/>
        <v/>
      </c>
      <c r="C27" s="469">
        <f>IF(D11="","-",+C26+1)</f>
        <v>2028</v>
      </c>
      <c r="D27" s="480">
        <f>IF(F26+SUM(E$17:E26)=D$10,F26,D$10-SUM(E$17:E26))</f>
        <v>186119.44425763271</v>
      </c>
      <c r="E27" s="481">
        <f t="shared" si="16"/>
        <v>6421.0526315789475</v>
      </c>
      <c r="F27" s="482">
        <f t="shared" si="17"/>
        <v>179698.39162605375</v>
      </c>
      <c r="G27" s="483">
        <f t="shared" si="18"/>
        <v>27225.147268263849</v>
      </c>
      <c r="H27" s="452">
        <f t="shared" si="19"/>
        <v>27225.147268263849</v>
      </c>
      <c r="I27" s="472">
        <f t="shared" si="0"/>
        <v>0</v>
      </c>
      <c r="J27" s="472"/>
      <c r="K27" s="484"/>
      <c r="L27" s="475">
        <f t="shared" si="2"/>
        <v>0</v>
      </c>
      <c r="M27" s="484"/>
      <c r="N27" s="475">
        <f t="shared" si="4"/>
        <v>0</v>
      </c>
      <c r="O27" s="475">
        <f t="shared" si="5"/>
        <v>0</v>
      </c>
      <c r="P27" s="241"/>
    </row>
    <row r="28" spans="2:16" ht="12.5">
      <c r="B28" s="160" t="str">
        <f t="shared" si="7"/>
        <v/>
      </c>
      <c r="C28" s="469">
        <f>IF(D11="","-",+C27+1)</f>
        <v>2029</v>
      </c>
      <c r="D28" s="480">
        <f>IF(F27+SUM(E$17:E27)=D$10,F27,D$10-SUM(E$17:E27))</f>
        <v>179698.39162605375</v>
      </c>
      <c r="E28" s="481">
        <f t="shared" si="16"/>
        <v>6421.0526315789475</v>
      </c>
      <c r="F28" s="482">
        <f t="shared" si="17"/>
        <v>173277.33899447479</v>
      </c>
      <c r="G28" s="483">
        <f t="shared" si="18"/>
        <v>26494.815537489645</v>
      </c>
      <c r="H28" s="452">
        <f t="shared" si="19"/>
        <v>26494.815537489645</v>
      </c>
      <c r="I28" s="472">
        <f t="shared" si="0"/>
        <v>0</v>
      </c>
      <c r="J28" s="472"/>
      <c r="K28" s="484"/>
      <c r="L28" s="475">
        <f t="shared" si="2"/>
        <v>0</v>
      </c>
      <c r="M28" s="484"/>
      <c r="N28" s="475">
        <f t="shared" si="4"/>
        <v>0</v>
      </c>
      <c r="O28" s="475">
        <f t="shared" si="5"/>
        <v>0</v>
      </c>
      <c r="P28" s="241"/>
    </row>
    <row r="29" spans="2:16" ht="12.5">
      <c r="B29" s="160" t="str">
        <f t="shared" si="7"/>
        <v/>
      </c>
      <c r="C29" s="469">
        <f>IF(D11="","-",+C28+1)</f>
        <v>2030</v>
      </c>
      <c r="D29" s="480">
        <f>IF(F28+SUM(E$17:E28)=D$10,F28,D$10-SUM(E$17:E28))</f>
        <v>173277.33899447479</v>
      </c>
      <c r="E29" s="481">
        <f t="shared" si="16"/>
        <v>6421.0526315789475</v>
      </c>
      <c r="F29" s="482">
        <f t="shared" si="17"/>
        <v>166856.28636289583</v>
      </c>
      <c r="G29" s="483">
        <f t="shared" si="18"/>
        <v>25764.483806715438</v>
      </c>
      <c r="H29" s="452">
        <f t="shared" si="19"/>
        <v>25764.483806715438</v>
      </c>
      <c r="I29" s="472">
        <f t="shared" si="0"/>
        <v>0</v>
      </c>
      <c r="J29" s="472"/>
      <c r="K29" s="484"/>
      <c r="L29" s="475">
        <f t="shared" si="2"/>
        <v>0</v>
      </c>
      <c r="M29" s="484"/>
      <c r="N29" s="475">
        <f t="shared" si="4"/>
        <v>0</v>
      </c>
      <c r="O29" s="475">
        <f t="shared" si="5"/>
        <v>0</v>
      </c>
      <c r="P29" s="241"/>
    </row>
    <row r="30" spans="2:16" ht="12.5">
      <c r="B30" s="160" t="str">
        <f t="shared" si="7"/>
        <v/>
      </c>
      <c r="C30" s="469">
        <f>IF(D11="","-",+C29+1)</f>
        <v>2031</v>
      </c>
      <c r="D30" s="480">
        <f>IF(F29+SUM(E$17:E29)=D$10,F29,D$10-SUM(E$17:E29))</f>
        <v>166856.28636289583</v>
      </c>
      <c r="E30" s="481">
        <f t="shared" si="16"/>
        <v>6421.0526315789475</v>
      </c>
      <c r="F30" s="482">
        <f t="shared" si="17"/>
        <v>160435.23373131687</v>
      </c>
      <c r="G30" s="483">
        <f t="shared" si="18"/>
        <v>25034.152075941238</v>
      </c>
      <c r="H30" s="452">
        <f t="shared" si="19"/>
        <v>25034.152075941238</v>
      </c>
      <c r="I30" s="472">
        <f t="shared" si="0"/>
        <v>0</v>
      </c>
      <c r="J30" s="472"/>
      <c r="K30" s="484"/>
      <c r="L30" s="475">
        <f t="shared" si="2"/>
        <v>0</v>
      </c>
      <c r="M30" s="484"/>
      <c r="N30" s="475">
        <f t="shared" si="4"/>
        <v>0</v>
      </c>
      <c r="O30" s="475">
        <f t="shared" si="5"/>
        <v>0</v>
      </c>
      <c r="P30" s="241"/>
    </row>
    <row r="31" spans="2:16" ht="12.5">
      <c r="B31" s="160" t="str">
        <f t="shared" si="7"/>
        <v/>
      </c>
      <c r="C31" s="469">
        <f>IF(D11="","-",+C30+1)</f>
        <v>2032</v>
      </c>
      <c r="D31" s="480">
        <f>IF(F30+SUM(E$17:E30)=D$10,F30,D$10-SUM(E$17:E30))</f>
        <v>160435.23373131687</v>
      </c>
      <c r="E31" s="481">
        <f t="shared" si="16"/>
        <v>6421.0526315789475</v>
      </c>
      <c r="F31" s="482">
        <f t="shared" si="17"/>
        <v>154014.18109973791</v>
      </c>
      <c r="G31" s="483">
        <f t="shared" si="18"/>
        <v>24303.820345167031</v>
      </c>
      <c r="H31" s="452">
        <f t="shared" si="19"/>
        <v>24303.820345167031</v>
      </c>
      <c r="I31" s="472">
        <f t="shared" si="0"/>
        <v>0</v>
      </c>
      <c r="J31" s="472"/>
      <c r="K31" s="484"/>
      <c r="L31" s="475">
        <f t="shared" si="2"/>
        <v>0</v>
      </c>
      <c r="M31" s="484"/>
      <c r="N31" s="475">
        <f t="shared" si="4"/>
        <v>0</v>
      </c>
      <c r="O31" s="475">
        <f t="shared" si="5"/>
        <v>0</v>
      </c>
      <c r="P31" s="241"/>
    </row>
    <row r="32" spans="2:16" ht="12.5">
      <c r="B32" s="160" t="str">
        <f t="shared" si="7"/>
        <v/>
      </c>
      <c r="C32" s="469">
        <f>IF(D11="","-",+C31+1)</f>
        <v>2033</v>
      </c>
      <c r="D32" s="480">
        <f>IF(F31+SUM(E$17:E31)=D$10,F31,D$10-SUM(E$17:E31))</f>
        <v>154014.18109973791</v>
      </c>
      <c r="E32" s="481">
        <f t="shared" si="16"/>
        <v>6421.0526315789475</v>
      </c>
      <c r="F32" s="482">
        <f t="shared" si="17"/>
        <v>147593.12846815895</v>
      </c>
      <c r="G32" s="483">
        <f t="shared" si="18"/>
        <v>23573.488614392827</v>
      </c>
      <c r="H32" s="452">
        <f t="shared" si="19"/>
        <v>23573.488614392827</v>
      </c>
      <c r="I32" s="472">
        <f t="shared" si="0"/>
        <v>0</v>
      </c>
      <c r="J32" s="472"/>
      <c r="K32" s="484"/>
      <c r="L32" s="475">
        <f t="shared" si="2"/>
        <v>0</v>
      </c>
      <c r="M32" s="484"/>
      <c r="N32" s="475">
        <f t="shared" si="4"/>
        <v>0</v>
      </c>
      <c r="O32" s="475">
        <f t="shared" si="5"/>
        <v>0</v>
      </c>
      <c r="P32" s="241"/>
    </row>
    <row r="33" spans="2:16" ht="12.5">
      <c r="B33" s="160" t="str">
        <f t="shared" si="7"/>
        <v/>
      </c>
      <c r="C33" s="469">
        <f>IF(D11="","-",+C32+1)</f>
        <v>2034</v>
      </c>
      <c r="D33" s="480">
        <f>IF(F32+SUM(E$17:E32)=D$10,F32,D$10-SUM(E$17:E32))</f>
        <v>147593.12846815895</v>
      </c>
      <c r="E33" s="481">
        <f t="shared" si="16"/>
        <v>6421.0526315789475</v>
      </c>
      <c r="F33" s="482">
        <f t="shared" si="17"/>
        <v>141172.07583657998</v>
      </c>
      <c r="G33" s="483">
        <f t="shared" si="18"/>
        <v>22843.15688361862</v>
      </c>
      <c r="H33" s="452">
        <f t="shared" si="19"/>
        <v>22843.15688361862</v>
      </c>
      <c r="I33" s="472">
        <f t="shared" si="0"/>
        <v>0</v>
      </c>
      <c r="J33" s="472"/>
      <c r="K33" s="484"/>
      <c r="L33" s="475">
        <f t="shared" si="2"/>
        <v>0</v>
      </c>
      <c r="M33" s="484"/>
      <c r="N33" s="475">
        <f t="shared" si="4"/>
        <v>0</v>
      </c>
      <c r="O33" s="475">
        <f t="shared" si="5"/>
        <v>0</v>
      </c>
      <c r="P33" s="241"/>
    </row>
    <row r="34" spans="2:16" ht="12.5">
      <c r="B34" s="160" t="str">
        <f t="shared" si="7"/>
        <v/>
      </c>
      <c r="C34" s="469">
        <f>IF(D11="","-",+C33+1)</f>
        <v>2035</v>
      </c>
      <c r="D34" s="480">
        <f>IF(F33+SUM(E$17:E33)=D$10,F33,D$10-SUM(E$17:E33))</f>
        <v>141172.07583657998</v>
      </c>
      <c r="E34" s="481">
        <f t="shared" si="16"/>
        <v>6421.0526315789475</v>
      </c>
      <c r="F34" s="482">
        <f t="shared" si="17"/>
        <v>134751.02320500102</v>
      </c>
      <c r="G34" s="483">
        <f t="shared" si="18"/>
        <v>22112.82515284442</v>
      </c>
      <c r="H34" s="452">
        <f t="shared" si="19"/>
        <v>22112.82515284442</v>
      </c>
      <c r="I34" s="472">
        <f t="shared" si="0"/>
        <v>0</v>
      </c>
      <c r="J34" s="472"/>
      <c r="K34" s="484"/>
      <c r="L34" s="475">
        <f t="shared" si="2"/>
        <v>0</v>
      </c>
      <c r="M34" s="484"/>
      <c r="N34" s="475">
        <f t="shared" si="4"/>
        <v>0</v>
      </c>
      <c r="O34" s="475">
        <f t="shared" si="5"/>
        <v>0</v>
      </c>
      <c r="P34" s="241"/>
    </row>
    <row r="35" spans="2:16" ht="12.5">
      <c r="B35" s="160" t="str">
        <f t="shared" si="7"/>
        <v/>
      </c>
      <c r="C35" s="469">
        <f>IF(D11="","-",+C34+1)</f>
        <v>2036</v>
      </c>
      <c r="D35" s="480">
        <f>IF(F34+SUM(E$17:E34)=D$10,F34,D$10-SUM(E$17:E34))</f>
        <v>134751.02320500102</v>
      </c>
      <c r="E35" s="481">
        <f t="shared" si="16"/>
        <v>6421.0526315789475</v>
      </c>
      <c r="F35" s="482">
        <f t="shared" si="17"/>
        <v>128329.97057342208</v>
      </c>
      <c r="G35" s="483">
        <f t="shared" si="18"/>
        <v>21382.493422070216</v>
      </c>
      <c r="H35" s="452">
        <f t="shared" si="19"/>
        <v>21382.493422070216</v>
      </c>
      <c r="I35" s="472">
        <f t="shared" si="0"/>
        <v>0</v>
      </c>
      <c r="J35" s="472"/>
      <c r="K35" s="484"/>
      <c r="L35" s="475">
        <f t="shared" si="2"/>
        <v>0</v>
      </c>
      <c r="M35" s="484"/>
      <c r="N35" s="475">
        <f t="shared" si="4"/>
        <v>0</v>
      </c>
      <c r="O35" s="475">
        <f t="shared" si="5"/>
        <v>0</v>
      </c>
      <c r="P35" s="241"/>
    </row>
    <row r="36" spans="2:16" ht="12.5">
      <c r="B36" s="160" t="str">
        <f t="shared" si="7"/>
        <v/>
      </c>
      <c r="C36" s="469">
        <f>IF(D11="","-",+C35+1)</f>
        <v>2037</v>
      </c>
      <c r="D36" s="480">
        <f>IF(F35+SUM(E$17:E35)=D$10,F35,D$10-SUM(E$17:E35))</f>
        <v>128329.97057342208</v>
      </c>
      <c r="E36" s="481">
        <f t="shared" si="16"/>
        <v>6421.0526315789475</v>
      </c>
      <c r="F36" s="482">
        <f t="shared" si="17"/>
        <v>121908.91794184313</v>
      </c>
      <c r="G36" s="483">
        <f t="shared" si="18"/>
        <v>20652.161691296009</v>
      </c>
      <c r="H36" s="452">
        <f t="shared" si="19"/>
        <v>20652.161691296009</v>
      </c>
      <c r="I36" s="472">
        <f t="shared" si="0"/>
        <v>0</v>
      </c>
      <c r="J36" s="472"/>
      <c r="K36" s="484"/>
      <c r="L36" s="475">
        <f t="shared" si="2"/>
        <v>0</v>
      </c>
      <c r="M36" s="484"/>
      <c r="N36" s="475">
        <f t="shared" si="4"/>
        <v>0</v>
      </c>
      <c r="O36" s="475">
        <f t="shared" si="5"/>
        <v>0</v>
      </c>
      <c r="P36" s="241"/>
    </row>
    <row r="37" spans="2:16" ht="12.5">
      <c r="B37" s="160" t="str">
        <f t="shared" si="7"/>
        <v/>
      </c>
      <c r="C37" s="469">
        <f>IF(D11="","-",+C36+1)</f>
        <v>2038</v>
      </c>
      <c r="D37" s="480">
        <f>IF(F36+SUM(E$17:E36)=D$10,F36,D$10-SUM(E$17:E36))</f>
        <v>121908.91794184313</v>
      </c>
      <c r="E37" s="481">
        <f t="shared" si="16"/>
        <v>6421.0526315789475</v>
      </c>
      <c r="F37" s="482">
        <f t="shared" si="17"/>
        <v>115487.86531026418</v>
      </c>
      <c r="G37" s="483">
        <f t="shared" si="18"/>
        <v>19921.829960521809</v>
      </c>
      <c r="H37" s="452">
        <f t="shared" si="19"/>
        <v>19921.829960521809</v>
      </c>
      <c r="I37" s="472">
        <f t="shared" si="0"/>
        <v>0</v>
      </c>
      <c r="J37" s="472"/>
      <c r="K37" s="484"/>
      <c r="L37" s="475">
        <f t="shared" si="2"/>
        <v>0</v>
      </c>
      <c r="M37" s="484"/>
      <c r="N37" s="475">
        <f t="shared" si="4"/>
        <v>0</v>
      </c>
      <c r="O37" s="475">
        <f t="shared" si="5"/>
        <v>0</v>
      </c>
      <c r="P37" s="241"/>
    </row>
    <row r="38" spans="2:16" ht="12.5">
      <c r="B38" s="160" t="str">
        <f t="shared" si="7"/>
        <v/>
      </c>
      <c r="C38" s="469">
        <f>IF(D11="","-",+C37+1)</f>
        <v>2039</v>
      </c>
      <c r="D38" s="480">
        <f>IF(F37+SUM(E$17:E37)=D$10,F37,D$10-SUM(E$17:E37))</f>
        <v>115487.86531026418</v>
      </c>
      <c r="E38" s="481">
        <f t="shared" si="16"/>
        <v>6421.0526315789475</v>
      </c>
      <c r="F38" s="482">
        <f t="shared" si="17"/>
        <v>109066.81267868524</v>
      </c>
      <c r="G38" s="483">
        <f t="shared" si="18"/>
        <v>19191.498229747605</v>
      </c>
      <c r="H38" s="452">
        <f t="shared" si="19"/>
        <v>19191.498229747605</v>
      </c>
      <c r="I38" s="472">
        <f t="shared" si="0"/>
        <v>0</v>
      </c>
      <c r="J38" s="472"/>
      <c r="K38" s="484"/>
      <c r="L38" s="475">
        <f t="shared" si="2"/>
        <v>0</v>
      </c>
      <c r="M38" s="484"/>
      <c r="N38" s="475">
        <f t="shared" si="4"/>
        <v>0</v>
      </c>
      <c r="O38" s="475">
        <f t="shared" si="5"/>
        <v>0</v>
      </c>
      <c r="P38" s="241"/>
    </row>
    <row r="39" spans="2:16" ht="12.5">
      <c r="B39" s="160" t="str">
        <f t="shared" si="7"/>
        <v/>
      </c>
      <c r="C39" s="469">
        <f>IF(D11="","-",+C38+1)</f>
        <v>2040</v>
      </c>
      <c r="D39" s="480">
        <f>IF(F38+SUM(E$17:E38)=D$10,F38,D$10-SUM(E$17:E38))</f>
        <v>109066.81267868524</v>
      </c>
      <c r="E39" s="481">
        <f t="shared" si="16"/>
        <v>6421.0526315789475</v>
      </c>
      <c r="F39" s="482">
        <f t="shared" si="17"/>
        <v>102645.76004710629</v>
      </c>
      <c r="G39" s="483">
        <f t="shared" si="18"/>
        <v>18461.166498973402</v>
      </c>
      <c r="H39" s="452">
        <f t="shared" si="19"/>
        <v>18461.166498973402</v>
      </c>
      <c r="I39" s="472">
        <f t="shared" si="0"/>
        <v>0</v>
      </c>
      <c r="J39" s="472"/>
      <c r="K39" s="484"/>
      <c r="L39" s="475">
        <f t="shared" si="2"/>
        <v>0</v>
      </c>
      <c r="M39" s="484"/>
      <c r="N39" s="475">
        <f t="shared" si="4"/>
        <v>0</v>
      </c>
      <c r="O39" s="475">
        <f t="shared" si="5"/>
        <v>0</v>
      </c>
      <c r="P39" s="241"/>
    </row>
    <row r="40" spans="2:16" ht="12.5">
      <c r="B40" s="160" t="str">
        <f t="shared" si="7"/>
        <v/>
      </c>
      <c r="C40" s="469">
        <f>IF(D11="","-",+C39+1)</f>
        <v>2041</v>
      </c>
      <c r="D40" s="480">
        <f>IF(F39+SUM(E$17:E39)=D$10,F39,D$10-SUM(E$17:E39))</f>
        <v>102645.76004710629</v>
      </c>
      <c r="E40" s="481">
        <f t="shared" si="16"/>
        <v>6421.0526315789475</v>
      </c>
      <c r="F40" s="482">
        <f t="shared" si="17"/>
        <v>96224.707415527344</v>
      </c>
      <c r="G40" s="483">
        <f t="shared" si="18"/>
        <v>17730.834768199198</v>
      </c>
      <c r="H40" s="452">
        <f t="shared" si="19"/>
        <v>17730.834768199198</v>
      </c>
      <c r="I40" s="472">
        <f t="shared" si="0"/>
        <v>0</v>
      </c>
      <c r="J40" s="472"/>
      <c r="K40" s="484"/>
      <c r="L40" s="475">
        <f t="shared" si="2"/>
        <v>0</v>
      </c>
      <c r="M40" s="484"/>
      <c r="N40" s="475">
        <f t="shared" si="4"/>
        <v>0</v>
      </c>
      <c r="O40" s="475">
        <f t="shared" si="5"/>
        <v>0</v>
      </c>
      <c r="P40" s="241"/>
    </row>
    <row r="41" spans="2:16" ht="12.5">
      <c r="B41" s="160" t="str">
        <f t="shared" si="7"/>
        <v/>
      </c>
      <c r="C41" s="469">
        <f>IF(D11="","-",+C40+1)</f>
        <v>2042</v>
      </c>
      <c r="D41" s="480">
        <f>IF(F40+SUM(E$17:E40)=D$10,F40,D$10-SUM(E$17:E40))</f>
        <v>96224.707415527344</v>
      </c>
      <c r="E41" s="481">
        <f t="shared" si="16"/>
        <v>6421.0526315789475</v>
      </c>
      <c r="F41" s="482">
        <f t="shared" si="17"/>
        <v>89803.654783948397</v>
      </c>
      <c r="G41" s="483">
        <f t="shared" si="18"/>
        <v>17000.503037424998</v>
      </c>
      <c r="H41" s="452">
        <f t="shared" si="19"/>
        <v>17000.503037424998</v>
      </c>
      <c r="I41" s="472">
        <f t="shared" si="0"/>
        <v>0</v>
      </c>
      <c r="J41" s="472"/>
      <c r="K41" s="484"/>
      <c r="L41" s="475">
        <f t="shared" si="2"/>
        <v>0</v>
      </c>
      <c r="M41" s="484"/>
      <c r="N41" s="475">
        <f t="shared" si="4"/>
        <v>0</v>
      </c>
      <c r="O41" s="475">
        <f t="shared" si="5"/>
        <v>0</v>
      </c>
      <c r="P41" s="241"/>
    </row>
    <row r="42" spans="2:16" ht="12.5">
      <c r="B42" s="160" t="str">
        <f t="shared" si="7"/>
        <v/>
      </c>
      <c r="C42" s="469">
        <f>IF(D11="","-",+C41+1)</f>
        <v>2043</v>
      </c>
      <c r="D42" s="480">
        <f>IF(F41+SUM(E$17:E41)=D$10,F41,D$10-SUM(E$17:E41))</f>
        <v>89803.654783948397</v>
      </c>
      <c r="E42" s="481">
        <f t="shared" si="16"/>
        <v>6421.0526315789475</v>
      </c>
      <c r="F42" s="482">
        <f t="shared" si="17"/>
        <v>83382.602152369451</v>
      </c>
      <c r="G42" s="483">
        <f t="shared" si="18"/>
        <v>16270.171306650791</v>
      </c>
      <c r="H42" s="452">
        <f t="shared" si="19"/>
        <v>16270.171306650791</v>
      </c>
      <c r="I42" s="472">
        <f t="shared" si="0"/>
        <v>0</v>
      </c>
      <c r="J42" s="472"/>
      <c r="K42" s="484"/>
      <c r="L42" s="475">
        <f t="shared" si="2"/>
        <v>0</v>
      </c>
      <c r="M42" s="484"/>
      <c r="N42" s="475">
        <f t="shared" si="4"/>
        <v>0</v>
      </c>
      <c r="O42" s="475">
        <f t="shared" si="5"/>
        <v>0</v>
      </c>
      <c r="P42" s="241"/>
    </row>
    <row r="43" spans="2:16" ht="12.5">
      <c r="B43" s="160" t="str">
        <f t="shared" si="7"/>
        <v/>
      </c>
      <c r="C43" s="469">
        <f>IF(D11="","-",+C42+1)</f>
        <v>2044</v>
      </c>
      <c r="D43" s="480">
        <f>IF(F42+SUM(E$17:E42)=D$10,F42,D$10-SUM(E$17:E42))</f>
        <v>83382.602152369451</v>
      </c>
      <c r="E43" s="481">
        <f t="shared" si="16"/>
        <v>6421.0526315789475</v>
      </c>
      <c r="F43" s="482">
        <f t="shared" si="17"/>
        <v>76961.549520790504</v>
      </c>
      <c r="G43" s="483">
        <f t="shared" si="18"/>
        <v>15539.839575876591</v>
      </c>
      <c r="H43" s="452">
        <f t="shared" si="19"/>
        <v>15539.839575876591</v>
      </c>
      <c r="I43" s="472">
        <f t="shared" si="0"/>
        <v>0</v>
      </c>
      <c r="J43" s="472"/>
      <c r="K43" s="484"/>
      <c r="L43" s="475">
        <f t="shared" si="2"/>
        <v>0</v>
      </c>
      <c r="M43" s="484"/>
      <c r="N43" s="475">
        <f t="shared" si="4"/>
        <v>0</v>
      </c>
      <c r="O43" s="475">
        <f t="shared" si="5"/>
        <v>0</v>
      </c>
      <c r="P43" s="241"/>
    </row>
    <row r="44" spans="2:16" ht="12.5">
      <c r="B44" s="160" t="str">
        <f t="shared" si="7"/>
        <v/>
      </c>
      <c r="C44" s="469">
        <f>IF(D11="","-",+C43+1)</f>
        <v>2045</v>
      </c>
      <c r="D44" s="480">
        <f>IF(F43+SUM(E$17:E43)=D$10,F43,D$10-SUM(E$17:E43))</f>
        <v>76961.549520790504</v>
      </c>
      <c r="E44" s="481">
        <f t="shared" si="16"/>
        <v>6421.0526315789475</v>
      </c>
      <c r="F44" s="482">
        <f t="shared" si="17"/>
        <v>70540.496889211558</v>
      </c>
      <c r="G44" s="483">
        <f t="shared" si="18"/>
        <v>14809.507845102387</v>
      </c>
      <c r="H44" s="452">
        <f t="shared" si="19"/>
        <v>14809.507845102387</v>
      </c>
      <c r="I44" s="472">
        <f t="shared" si="0"/>
        <v>0</v>
      </c>
      <c r="J44" s="472"/>
      <c r="K44" s="484"/>
      <c r="L44" s="475">
        <f t="shared" si="2"/>
        <v>0</v>
      </c>
      <c r="M44" s="484"/>
      <c r="N44" s="475">
        <f t="shared" si="4"/>
        <v>0</v>
      </c>
      <c r="O44" s="475">
        <f t="shared" si="5"/>
        <v>0</v>
      </c>
      <c r="P44" s="241"/>
    </row>
    <row r="45" spans="2:16" ht="12.5">
      <c r="B45" s="160" t="str">
        <f t="shared" si="7"/>
        <v/>
      </c>
      <c r="C45" s="469">
        <f>IF(D11="","-",+C44+1)</f>
        <v>2046</v>
      </c>
      <c r="D45" s="480">
        <f>IF(F44+SUM(E$17:E44)=D$10,F44,D$10-SUM(E$17:E44))</f>
        <v>70540.496889211558</v>
      </c>
      <c r="E45" s="481">
        <f t="shared" si="16"/>
        <v>6421.0526315789475</v>
      </c>
      <c r="F45" s="482">
        <f t="shared" si="17"/>
        <v>64119.444257632611</v>
      </c>
      <c r="G45" s="483">
        <f t="shared" si="18"/>
        <v>14079.176114328184</v>
      </c>
      <c r="H45" s="452">
        <f t="shared" si="19"/>
        <v>14079.176114328184</v>
      </c>
      <c r="I45" s="472">
        <f t="shared" si="0"/>
        <v>0</v>
      </c>
      <c r="J45" s="472"/>
      <c r="K45" s="484"/>
      <c r="L45" s="475">
        <f t="shared" si="2"/>
        <v>0</v>
      </c>
      <c r="M45" s="484"/>
      <c r="N45" s="475">
        <f t="shared" si="4"/>
        <v>0</v>
      </c>
      <c r="O45" s="475">
        <f t="shared" si="5"/>
        <v>0</v>
      </c>
      <c r="P45" s="241"/>
    </row>
    <row r="46" spans="2:16" ht="12.5">
      <c r="B46" s="160" t="str">
        <f t="shared" si="7"/>
        <v/>
      </c>
      <c r="C46" s="469">
        <f>IF(D11="","-",+C45+1)</f>
        <v>2047</v>
      </c>
      <c r="D46" s="480">
        <f>IF(F45+SUM(E$17:E45)=D$10,F45,D$10-SUM(E$17:E45))</f>
        <v>64119.444257632611</v>
      </c>
      <c r="E46" s="481">
        <f t="shared" si="16"/>
        <v>6421.0526315789475</v>
      </c>
      <c r="F46" s="482">
        <f t="shared" si="17"/>
        <v>57698.391626053664</v>
      </c>
      <c r="G46" s="483">
        <f t="shared" si="18"/>
        <v>13348.84438355398</v>
      </c>
      <c r="H46" s="452">
        <f t="shared" si="19"/>
        <v>13348.84438355398</v>
      </c>
      <c r="I46" s="472">
        <f t="shared" si="0"/>
        <v>0</v>
      </c>
      <c r="J46" s="472"/>
      <c r="K46" s="484"/>
      <c r="L46" s="475">
        <f t="shared" si="2"/>
        <v>0</v>
      </c>
      <c r="M46" s="484"/>
      <c r="N46" s="475">
        <f t="shared" si="4"/>
        <v>0</v>
      </c>
      <c r="O46" s="475">
        <f t="shared" si="5"/>
        <v>0</v>
      </c>
      <c r="P46" s="241"/>
    </row>
    <row r="47" spans="2:16" ht="12.5">
      <c r="B47" s="160" t="str">
        <f t="shared" si="7"/>
        <v/>
      </c>
      <c r="C47" s="469">
        <f>IF(D11="","-",+C46+1)</f>
        <v>2048</v>
      </c>
      <c r="D47" s="480">
        <f>IF(F46+SUM(E$17:E46)=D$10,F46,D$10-SUM(E$17:E46))</f>
        <v>57698.391626053664</v>
      </c>
      <c r="E47" s="481">
        <f t="shared" si="16"/>
        <v>6421.0526315789475</v>
      </c>
      <c r="F47" s="482">
        <f t="shared" si="17"/>
        <v>51277.338994474718</v>
      </c>
      <c r="G47" s="483">
        <f t="shared" si="18"/>
        <v>12618.512652779777</v>
      </c>
      <c r="H47" s="452">
        <f t="shared" si="19"/>
        <v>12618.512652779777</v>
      </c>
      <c r="I47" s="472">
        <f t="shared" si="0"/>
        <v>0</v>
      </c>
      <c r="J47" s="472"/>
      <c r="K47" s="484"/>
      <c r="L47" s="475">
        <f t="shared" si="2"/>
        <v>0</v>
      </c>
      <c r="M47" s="484"/>
      <c r="N47" s="475">
        <f t="shared" si="4"/>
        <v>0</v>
      </c>
      <c r="O47" s="475">
        <f t="shared" si="5"/>
        <v>0</v>
      </c>
      <c r="P47" s="241"/>
    </row>
    <row r="48" spans="2:16" ht="12.5">
      <c r="B48" s="160" t="str">
        <f t="shared" si="7"/>
        <v/>
      </c>
      <c r="C48" s="469">
        <f>IF(D11="","-",+C47+1)</f>
        <v>2049</v>
      </c>
      <c r="D48" s="480">
        <f>IF(F47+SUM(E$17:E47)=D$10,F47,D$10-SUM(E$17:E47))</f>
        <v>51277.338994474718</v>
      </c>
      <c r="E48" s="481">
        <f t="shared" si="16"/>
        <v>6421.0526315789475</v>
      </c>
      <c r="F48" s="482">
        <f t="shared" si="17"/>
        <v>44856.286362895771</v>
      </c>
      <c r="G48" s="483">
        <f t="shared" si="18"/>
        <v>11888.180922005575</v>
      </c>
      <c r="H48" s="452">
        <f t="shared" si="19"/>
        <v>11888.180922005575</v>
      </c>
      <c r="I48" s="472">
        <f t="shared" si="0"/>
        <v>0</v>
      </c>
      <c r="J48" s="472"/>
      <c r="K48" s="484"/>
      <c r="L48" s="475">
        <f t="shared" si="2"/>
        <v>0</v>
      </c>
      <c r="M48" s="484"/>
      <c r="N48" s="475">
        <f t="shared" si="4"/>
        <v>0</v>
      </c>
      <c r="O48" s="475">
        <f t="shared" si="5"/>
        <v>0</v>
      </c>
      <c r="P48" s="241"/>
    </row>
    <row r="49" spans="2:16" ht="12.5">
      <c r="B49" s="160" t="str">
        <f t="shared" si="7"/>
        <v/>
      </c>
      <c r="C49" s="469">
        <f>IF(D11="","-",+C48+1)</f>
        <v>2050</v>
      </c>
      <c r="D49" s="480">
        <f>IF(F48+SUM(E$17:E48)=D$10,F48,D$10-SUM(E$17:E48))</f>
        <v>44856.286362895771</v>
      </c>
      <c r="E49" s="481">
        <f t="shared" si="16"/>
        <v>6421.0526315789475</v>
      </c>
      <c r="F49" s="482">
        <f t="shared" si="17"/>
        <v>38435.233731316825</v>
      </c>
      <c r="G49" s="483">
        <f t="shared" si="18"/>
        <v>11157.849191231371</v>
      </c>
      <c r="H49" s="452">
        <f t="shared" si="19"/>
        <v>11157.849191231371</v>
      </c>
      <c r="I49" s="472">
        <f t="shared" si="0"/>
        <v>0</v>
      </c>
      <c r="J49" s="472"/>
      <c r="K49" s="484"/>
      <c r="L49" s="475">
        <f t="shared" si="2"/>
        <v>0</v>
      </c>
      <c r="M49" s="484"/>
      <c r="N49" s="475">
        <f t="shared" si="4"/>
        <v>0</v>
      </c>
      <c r="O49" s="475">
        <f t="shared" si="5"/>
        <v>0</v>
      </c>
      <c r="P49" s="241"/>
    </row>
    <row r="50" spans="2:16" ht="12.5">
      <c r="B50" s="160" t="str">
        <f t="shared" si="7"/>
        <v/>
      </c>
      <c r="C50" s="469">
        <f>IF(D11="","-",+C49+1)</f>
        <v>2051</v>
      </c>
      <c r="D50" s="480">
        <f>IF(F49+SUM(E$17:E49)=D$10,F49,D$10-SUM(E$17:E49))</f>
        <v>38435.233731316825</v>
      </c>
      <c r="E50" s="481">
        <f t="shared" si="16"/>
        <v>6421.0526315789475</v>
      </c>
      <c r="F50" s="482">
        <f t="shared" si="17"/>
        <v>32014.181099737878</v>
      </c>
      <c r="G50" s="483">
        <f t="shared" si="18"/>
        <v>10427.517460457169</v>
      </c>
      <c r="H50" s="452">
        <f t="shared" si="19"/>
        <v>10427.517460457169</v>
      </c>
      <c r="I50" s="472">
        <f t="shared" si="0"/>
        <v>0</v>
      </c>
      <c r="J50" s="472"/>
      <c r="K50" s="484"/>
      <c r="L50" s="475">
        <f t="shared" si="2"/>
        <v>0</v>
      </c>
      <c r="M50" s="484"/>
      <c r="N50" s="475">
        <f t="shared" si="4"/>
        <v>0</v>
      </c>
      <c r="O50" s="475">
        <f t="shared" si="5"/>
        <v>0</v>
      </c>
      <c r="P50" s="241"/>
    </row>
    <row r="51" spans="2:16" ht="12.5">
      <c r="B51" s="160" t="str">
        <f t="shared" si="7"/>
        <v/>
      </c>
      <c r="C51" s="469">
        <f>IF(D11="","-",+C50+1)</f>
        <v>2052</v>
      </c>
      <c r="D51" s="480">
        <f>IF(F50+SUM(E$17:E50)=D$10,F50,D$10-SUM(E$17:E50))</f>
        <v>32014.181099737878</v>
      </c>
      <c r="E51" s="481">
        <f t="shared" si="16"/>
        <v>6421.0526315789475</v>
      </c>
      <c r="F51" s="482">
        <f t="shared" si="17"/>
        <v>25593.128468158931</v>
      </c>
      <c r="G51" s="483">
        <f t="shared" si="18"/>
        <v>9697.1857296829658</v>
      </c>
      <c r="H51" s="452">
        <f t="shared" si="19"/>
        <v>9697.1857296829658</v>
      </c>
      <c r="I51" s="472">
        <f t="shared" si="0"/>
        <v>0</v>
      </c>
      <c r="J51" s="472"/>
      <c r="K51" s="484"/>
      <c r="L51" s="475">
        <f t="shared" si="2"/>
        <v>0</v>
      </c>
      <c r="M51" s="484"/>
      <c r="N51" s="475">
        <f t="shared" si="4"/>
        <v>0</v>
      </c>
      <c r="O51" s="475">
        <f t="shared" si="5"/>
        <v>0</v>
      </c>
      <c r="P51" s="241"/>
    </row>
    <row r="52" spans="2:16" ht="12.5">
      <c r="B52" s="160" t="str">
        <f t="shared" si="7"/>
        <v/>
      </c>
      <c r="C52" s="469">
        <f>IF(D11="","-",+C51+1)</f>
        <v>2053</v>
      </c>
      <c r="D52" s="480">
        <f>IF(F51+SUM(E$17:E51)=D$10,F51,D$10-SUM(E$17:E51))</f>
        <v>25593.128468158931</v>
      </c>
      <c r="E52" s="481">
        <f t="shared" si="16"/>
        <v>6421.0526315789475</v>
      </c>
      <c r="F52" s="482">
        <f t="shared" si="17"/>
        <v>19172.075836579985</v>
      </c>
      <c r="G52" s="483">
        <f t="shared" si="18"/>
        <v>8966.8539989087622</v>
      </c>
      <c r="H52" s="452">
        <f t="shared" si="19"/>
        <v>8966.8539989087622</v>
      </c>
      <c r="I52" s="472">
        <f t="shared" si="0"/>
        <v>0</v>
      </c>
      <c r="J52" s="472"/>
      <c r="K52" s="484"/>
      <c r="L52" s="475">
        <f t="shared" si="2"/>
        <v>0</v>
      </c>
      <c r="M52" s="484"/>
      <c r="N52" s="475">
        <f t="shared" si="4"/>
        <v>0</v>
      </c>
      <c r="O52" s="475">
        <f t="shared" si="5"/>
        <v>0</v>
      </c>
      <c r="P52" s="241"/>
    </row>
    <row r="53" spans="2:16" ht="12.5">
      <c r="B53" s="160" t="str">
        <f t="shared" si="7"/>
        <v/>
      </c>
      <c r="C53" s="469">
        <f>IF(D11="","-",+C52+1)</f>
        <v>2054</v>
      </c>
      <c r="D53" s="480">
        <f>IF(F52+SUM(E$17:E52)=D$10,F52,D$10-SUM(E$17:E52))</f>
        <v>19172.075836579985</v>
      </c>
      <c r="E53" s="481">
        <f t="shared" si="16"/>
        <v>6421.0526315789475</v>
      </c>
      <c r="F53" s="482">
        <f t="shared" si="17"/>
        <v>12751.023205001038</v>
      </c>
      <c r="G53" s="483">
        <f t="shared" si="18"/>
        <v>8236.5222681345585</v>
      </c>
      <c r="H53" s="452">
        <f t="shared" si="19"/>
        <v>8236.5222681345585</v>
      </c>
      <c r="I53" s="472">
        <f t="shared" si="0"/>
        <v>0</v>
      </c>
      <c r="J53" s="472"/>
      <c r="K53" s="484"/>
      <c r="L53" s="475">
        <f t="shared" si="2"/>
        <v>0</v>
      </c>
      <c r="M53" s="484"/>
      <c r="N53" s="475">
        <f t="shared" si="4"/>
        <v>0</v>
      </c>
      <c r="O53" s="475">
        <f t="shared" si="5"/>
        <v>0</v>
      </c>
      <c r="P53" s="241"/>
    </row>
    <row r="54" spans="2:16" ht="12.5">
      <c r="B54" s="160" t="str">
        <f t="shared" si="7"/>
        <v/>
      </c>
      <c r="C54" s="469">
        <f>IF(D11="","-",+C53+1)</f>
        <v>2055</v>
      </c>
      <c r="D54" s="480">
        <f>IF(F53+SUM(E$17:E53)=D$10,F53,D$10-SUM(E$17:E53))</f>
        <v>12751.023205001038</v>
      </c>
      <c r="E54" s="481">
        <f t="shared" si="16"/>
        <v>6421.0526315789475</v>
      </c>
      <c r="F54" s="482">
        <f t="shared" si="17"/>
        <v>6329.9705734220906</v>
      </c>
      <c r="G54" s="483">
        <f t="shared" si="18"/>
        <v>7506.1905373603568</v>
      </c>
      <c r="H54" s="452">
        <f t="shared" si="19"/>
        <v>7506.1905373603568</v>
      </c>
      <c r="I54" s="472">
        <f t="shared" si="0"/>
        <v>0</v>
      </c>
      <c r="J54" s="472"/>
      <c r="K54" s="484"/>
      <c r="L54" s="475">
        <f t="shared" si="2"/>
        <v>0</v>
      </c>
      <c r="M54" s="484"/>
      <c r="N54" s="475">
        <f t="shared" si="4"/>
        <v>0</v>
      </c>
      <c r="O54" s="475">
        <f t="shared" si="5"/>
        <v>0</v>
      </c>
      <c r="P54" s="241"/>
    </row>
    <row r="55" spans="2:16" ht="12.5">
      <c r="B55" s="160" t="str">
        <f t="shared" si="7"/>
        <v/>
      </c>
      <c r="C55" s="469">
        <f>IF(D11="","-",+C54+1)</f>
        <v>2056</v>
      </c>
      <c r="D55" s="480">
        <f>IF(F54+SUM(E$17:E54)=D$10,F54,D$10-SUM(E$17:E54))</f>
        <v>6329.9705734220906</v>
      </c>
      <c r="E55" s="481">
        <f t="shared" si="16"/>
        <v>6329.9705734220906</v>
      </c>
      <c r="F55" s="482">
        <f t="shared" si="17"/>
        <v>0</v>
      </c>
      <c r="G55" s="483">
        <f t="shared" si="18"/>
        <v>6689.9565936192439</v>
      </c>
      <c r="H55" s="452">
        <f t="shared" si="19"/>
        <v>6689.9565936192439</v>
      </c>
      <c r="I55" s="472">
        <f t="shared" si="0"/>
        <v>0</v>
      </c>
      <c r="J55" s="472"/>
      <c r="K55" s="484"/>
      <c r="L55" s="475">
        <f t="shared" si="2"/>
        <v>0</v>
      </c>
      <c r="M55" s="484"/>
      <c r="N55" s="475">
        <f t="shared" si="4"/>
        <v>0</v>
      </c>
      <c r="O55" s="475">
        <f t="shared" si="5"/>
        <v>0</v>
      </c>
      <c r="P55" s="241"/>
    </row>
    <row r="56" spans="2:16" ht="12.5">
      <c r="B56" s="160" t="str">
        <f t="shared" si="7"/>
        <v/>
      </c>
      <c r="C56" s="469">
        <f>IF(D11="","-",+C55+1)</f>
        <v>2057</v>
      </c>
      <c r="D56" s="480">
        <f>IF(F55+SUM(E$17:E55)=D$10,F55,D$10-SUM(E$17:E55))</f>
        <v>0</v>
      </c>
      <c r="E56" s="481">
        <f t="shared" si="16"/>
        <v>0</v>
      </c>
      <c r="F56" s="482">
        <f t="shared" si="17"/>
        <v>0</v>
      </c>
      <c r="G56" s="483">
        <f t="shared" si="18"/>
        <v>0</v>
      </c>
      <c r="H56" s="452">
        <f t="shared" si="19"/>
        <v>0</v>
      </c>
      <c r="I56" s="472">
        <f t="shared" si="0"/>
        <v>0</v>
      </c>
      <c r="J56" s="472"/>
      <c r="K56" s="484"/>
      <c r="L56" s="475">
        <f t="shared" si="2"/>
        <v>0</v>
      </c>
      <c r="M56" s="484"/>
      <c r="N56" s="475">
        <f t="shared" si="4"/>
        <v>0</v>
      </c>
      <c r="O56" s="475">
        <f t="shared" si="5"/>
        <v>0</v>
      </c>
      <c r="P56" s="241"/>
    </row>
    <row r="57" spans="2:16" ht="12.5">
      <c r="B57" s="160" t="str">
        <f t="shared" si="7"/>
        <v/>
      </c>
      <c r="C57" s="469">
        <f>IF(D11="","-",+C56+1)</f>
        <v>2058</v>
      </c>
      <c r="D57" s="480">
        <f>IF(F56+SUM(E$17:E56)=D$10,F56,D$10-SUM(E$17:E56))</f>
        <v>0</v>
      </c>
      <c r="E57" s="481">
        <f t="shared" si="16"/>
        <v>0</v>
      </c>
      <c r="F57" s="482">
        <f t="shared" si="17"/>
        <v>0</v>
      </c>
      <c r="G57" s="483">
        <f t="shared" si="18"/>
        <v>0</v>
      </c>
      <c r="H57" s="452">
        <f t="shared" si="19"/>
        <v>0</v>
      </c>
      <c r="I57" s="472">
        <f t="shared" si="0"/>
        <v>0</v>
      </c>
      <c r="J57" s="472"/>
      <c r="K57" s="484"/>
      <c r="L57" s="475">
        <f t="shared" si="2"/>
        <v>0</v>
      </c>
      <c r="M57" s="484"/>
      <c r="N57" s="475">
        <f t="shared" si="4"/>
        <v>0</v>
      </c>
      <c r="O57" s="475">
        <f t="shared" si="5"/>
        <v>0</v>
      </c>
      <c r="P57" s="241"/>
    </row>
    <row r="58" spans="2:16" ht="12.5">
      <c r="B58" s="160" t="str">
        <f t="shared" si="7"/>
        <v/>
      </c>
      <c r="C58" s="469">
        <f>IF(D11="","-",+C57+1)</f>
        <v>2059</v>
      </c>
      <c r="D58" s="480">
        <f>IF(F57+SUM(E$17:E57)=D$10,F57,D$10-SUM(E$17:E57))</f>
        <v>0</v>
      </c>
      <c r="E58" s="481">
        <f t="shared" si="16"/>
        <v>0</v>
      </c>
      <c r="F58" s="482">
        <f t="shared" si="17"/>
        <v>0</v>
      </c>
      <c r="G58" s="483">
        <f t="shared" si="18"/>
        <v>0</v>
      </c>
      <c r="H58" s="452">
        <f t="shared" si="19"/>
        <v>0</v>
      </c>
      <c r="I58" s="472">
        <f t="shared" si="0"/>
        <v>0</v>
      </c>
      <c r="J58" s="472"/>
      <c r="K58" s="484"/>
      <c r="L58" s="475">
        <f t="shared" si="2"/>
        <v>0</v>
      </c>
      <c r="M58" s="484"/>
      <c r="N58" s="475">
        <f t="shared" si="4"/>
        <v>0</v>
      </c>
      <c r="O58" s="475">
        <f t="shared" si="5"/>
        <v>0</v>
      </c>
      <c r="P58" s="241"/>
    </row>
    <row r="59" spans="2:16" ht="12.5">
      <c r="B59" s="160" t="str">
        <f t="shared" si="7"/>
        <v/>
      </c>
      <c r="C59" s="469">
        <f>IF(D11="","-",+C58+1)</f>
        <v>2060</v>
      </c>
      <c r="D59" s="480">
        <f>IF(F58+SUM(E$17:E58)=D$10,F58,D$10-SUM(E$17:E58))</f>
        <v>0</v>
      </c>
      <c r="E59" s="481">
        <f t="shared" si="16"/>
        <v>0</v>
      </c>
      <c r="F59" s="482">
        <f t="shared" si="17"/>
        <v>0</v>
      </c>
      <c r="G59" s="483">
        <f t="shared" si="18"/>
        <v>0</v>
      </c>
      <c r="H59" s="452">
        <f t="shared" si="19"/>
        <v>0</v>
      </c>
      <c r="I59" s="472">
        <f t="shared" si="0"/>
        <v>0</v>
      </c>
      <c r="J59" s="472"/>
      <c r="K59" s="484"/>
      <c r="L59" s="475">
        <f t="shared" si="2"/>
        <v>0</v>
      </c>
      <c r="M59" s="484"/>
      <c r="N59" s="475">
        <f t="shared" si="4"/>
        <v>0</v>
      </c>
      <c r="O59" s="475">
        <f t="shared" si="5"/>
        <v>0</v>
      </c>
      <c r="P59" s="241"/>
    </row>
    <row r="60" spans="2:16" ht="12.5">
      <c r="B60" s="160" t="str">
        <f t="shared" si="7"/>
        <v/>
      </c>
      <c r="C60" s="469">
        <f>IF(D11="","-",+C59+1)</f>
        <v>2061</v>
      </c>
      <c r="D60" s="480">
        <f>IF(F59+SUM(E$17:E59)=D$10,F59,D$10-SUM(E$17:E59))</f>
        <v>0</v>
      </c>
      <c r="E60" s="481">
        <f t="shared" si="16"/>
        <v>0</v>
      </c>
      <c r="F60" s="482">
        <f t="shared" si="17"/>
        <v>0</v>
      </c>
      <c r="G60" s="483">
        <f t="shared" si="18"/>
        <v>0</v>
      </c>
      <c r="H60" s="452">
        <f t="shared" si="19"/>
        <v>0</v>
      </c>
      <c r="I60" s="472">
        <f t="shared" si="0"/>
        <v>0</v>
      </c>
      <c r="J60" s="472"/>
      <c r="K60" s="484"/>
      <c r="L60" s="475">
        <f t="shared" si="2"/>
        <v>0</v>
      </c>
      <c r="M60" s="484"/>
      <c r="N60" s="475">
        <f t="shared" si="4"/>
        <v>0</v>
      </c>
      <c r="O60" s="475">
        <f t="shared" si="5"/>
        <v>0</v>
      </c>
      <c r="P60" s="241"/>
    </row>
    <row r="61" spans="2:16" ht="12.5">
      <c r="B61" s="160" t="str">
        <f t="shared" si="7"/>
        <v/>
      </c>
      <c r="C61" s="469">
        <f>IF(D11="","-",+C60+1)</f>
        <v>2062</v>
      </c>
      <c r="D61" s="480">
        <f>IF(F60+SUM(E$17:E60)=D$10,F60,D$10-SUM(E$17:E60))</f>
        <v>0</v>
      </c>
      <c r="E61" s="481">
        <f t="shared" si="16"/>
        <v>0</v>
      </c>
      <c r="F61" s="482">
        <f t="shared" si="17"/>
        <v>0</v>
      </c>
      <c r="G61" s="483">
        <f t="shared" si="18"/>
        <v>0</v>
      </c>
      <c r="H61" s="452">
        <f t="shared" si="19"/>
        <v>0</v>
      </c>
      <c r="I61" s="472">
        <f t="shared" si="0"/>
        <v>0</v>
      </c>
      <c r="J61" s="472"/>
      <c r="K61" s="484"/>
      <c r="L61" s="475">
        <f t="shared" si="2"/>
        <v>0</v>
      </c>
      <c r="M61" s="484"/>
      <c r="N61" s="475">
        <f t="shared" si="4"/>
        <v>0</v>
      </c>
      <c r="O61" s="475">
        <f t="shared" si="5"/>
        <v>0</v>
      </c>
      <c r="P61" s="241"/>
    </row>
    <row r="62" spans="2:16" ht="12.5">
      <c r="B62" s="160" t="str">
        <f t="shared" si="7"/>
        <v/>
      </c>
      <c r="C62" s="469">
        <f>IF(D11="","-",+C61+1)</f>
        <v>2063</v>
      </c>
      <c r="D62" s="480">
        <f>IF(F61+SUM(E$17:E61)=D$10,F61,D$10-SUM(E$17:E61))</f>
        <v>0</v>
      </c>
      <c r="E62" s="481">
        <f t="shared" si="16"/>
        <v>0</v>
      </c>
      <c r="F62" s="482">
        <f t="shared" si="17"/>
        <v>0</v>
      </c>
      <c r="G62" s="483">
        <f t="shared" si="18"/>
        <v>0</v>
      </c>
      <c r="H62" s="452">
        <f t="shared" si="19"/>
        <v>0</v>
      </c>
      <c r="I62" s="472">
        <f t="shared" si="0"/>
        <v>0</v>
      </c>
      <c r="J62" s="472"/>
      <c r="K62" s="484"/>
      <c r="L62" s="475">
        <f t="shared" si="2"/>
        <v>0</v>
      </c>
      <c r="M62" s="484"/>
      <c r="N62" s="475">
        <f t="shared" si="4"/>
        <v>0</v>
      </c>
      <c r="O62" s="475">
        <f t="shared" si="5"/>
        <v>0</v>
      </c>
      <c r="P62" s="241"/>
    </row>
    <row r="63" spans="2:16" ht="12.5">
      <c r="B63" s="160" t="str">
        <f t="shared" si="7"/>
        <v/>
      </c>
      <c r="C63" s="469">
        <f>IF(D11="","-",+C62+1)</f>
        <v>2064</v>
      </c>
      <c r="D63" s="480">
        <f>IF(F62+SUM(E$17:E62)=D$10,F62,D$10-SUM(E$17:E62))</f>
        <v>0</v>
      </c>
      <c r="E63" s="481">
        <f t="shared" si="16"/>
        <v>0</v>
      </c>
      <c r="F63" s="482">
        <f t="shared" si="17"/>
        <v>0</v>
      </c>
      <c r="G63" s="483">
        <f t="shared" si="18"/>
        <v>0</v>
      </c>
      <c r="H63" s="452">
        <f t="shared" si="19"/>
        <v>0</v>
      </c>
      <c r="I63" s="472">
        <f t="shared" si="0"/>
        <v>0</v>
      </c>
      <c r="J63" s="472"/>
      <c r="K63" s="484"/>
      <c r="L63" s="475">
        <f t="shared" si="2"/>
        <v>0</v>
      </c>
      <c r="M63" s="484"/>
      <c r="N63" s="475">
        <f t="shared" si="4"/>
        <v>0</v>
      </c>
      <c r="O63" s="475">
        <f t="shared" si="5"/>
        <v>0</v>
      </c>
      <c r="P63" s="241"/>
    </row>
    <row r="64" spans="2:16" ht="12.5">
      <c r="B64" s="160" t="str">
        <f t="shared" si="7"/>
        <v/>
      </c>
      <c r="C64" s="469">
        <f>IF(D11="","-",+C63+1)</f>
        <v>2065</v>
      </c>
      <c r="D64" s="480">
        <f>IF(F63+SUM(E$17:E63)=D$10,F63,D$10-SUM(E$17:E63))</f>
        <v>0</v>
      </c>
      <c r="E64" s="481">
        <f t="shared" si="16"/>
        <v>0</v>
      </c>
      <c r="F64" s="482">
        <f t="shared" si="17"/>
        <v>0</v>
      </c>
      <c r="G64" s="483">
        <f t="shared" si="18"/>
        <v>0</v>
      </c>
      <c r="H64" s="452">
        <f t="shared" si="19"/>
        <v>0</v>
      </c>
      <c r="I64" s="472">
        <f t="shared" si="0"/>
        <v>0</v>
      </c>
      <c r="J64" s="472"/>
      <c r="K64" s="484"/>
      <c r="L64" s="475">
        <f t="shared" si="2"/>
        <v>0</v>
      </c>
      <c r="M64" s="484"/>
      <c r="N64" s="475">
        <f t="shared" si="4"/>
        <v>0</v>
      </c>
      <c r="O64" s="475">
        <f t="shared" si="5"/>
        <v>0</v>
      </c>
      <c r="P64" s="241"/>
    </row>
    <row r="65" spans="2:16" ht="12.5">
      <c r="B65" s="160" t="str">
        <f t="shared" si="7"/>
        <v/>
      </c>
      <c r="C65" s="469">
        <f>IF(D11="","-",+C64+1)</f>
        <v>2066</v>
      </c>
      <c r="D65" s="480">
        <f>IF(F64+SUM(E$17:E64)=D$10,F64,D$10-SUM(E$17:E64))</f>
        <v>0</v>
      </c>
      <c r="E65" s="481">
        <f t="shared" si="16"/>
        <v>0</v>
      </c>
      <c r="F65" s="482">
        <f t="shared" si="17"/>
        <v>0</v>
      </c>
      <c r="G65" s="483">
        <f t="shared" si="18"/>
        <v>0</v>
      </c>
      <c r="H65" s="452">
        <f t="shared" si="19"/>
        <v>0</v>
      </c>
      <c r="I65" s="472">
        <f t="shared" si="0"/>
        <v>0</v>
      </c>
      <c r="J65" s="472"/>
      <c r="K65" s="484"/>
      <c r="L65" s="475">
        <f t="shared" si="2"/>
        <v>0</v>
      </c>
      <c r="M65" s="484"/>
      <c r="N65" s="475">
        <f t="shared" si="4"/>
        <v>0</v>
      </c>
      <c r="O65" s="475">
        <f t="shared" si="5"/>
        <v>0</v>
      </c>
      <c r="P65" s="241"/>
    </row>
    <row r="66" spans="2:16" ht="12.5">
      <c r="B66" s="160" t="str">
        <f t="shared" si="7"/>
        <v/>
      </c>
      <c r="C66" s="469">
        <f>IF(D11="","-",+C65+1)</f>
        <v>2067</v>
      </c>
      <c r="D66" s="480">
        <f>IF(F65+SUM(E$17:E65)=D$10,F65,D$10-SUM(E$17:E65))</f>
        <v>0</v>
      </c>
      <c r="E66" s="481">
        <f t="shared" si="16"/>
        <v>0</v>
      </c>
      <c r="F66" s="482">
        <f t="shared" si="17"/>
        <v>0</v>
      </c>
      <c r="G66" s="483">
        <f t="shared" si="18"/>
        <v>0</v>
      </c>
      <c r="H66" s="452">
        <f t="shared" si="19"/>
        <v>0</v>
      </c>
      <c r="I66" s="472">
        <f t="shared" si="0"/>
        <v>0</v>
      </c>
      <c r="J66" s="472"/>
      <c r="K66" s="484"/>
      <c r="L66" s="475">
        <f t="shared" si="2"/>
        <v>0</v>
      </c>
      <c r="M66" s="484"/>
      <c r="N66" s="475">
        <f t="shared" si="4"/>
        <v>0</v>
      </c>
      <c r="O66" s="475">
        <f t="shared" si="5"/>
        <v>0</v>
      </c>
      <c r="P66" s="241"/>
    </row>
    <row r="67" spans="2:16" ht="12.5">
      <c r="B67" s="160" t="str">
        <f t="shared" si="7"/>
        <v/>
      </c>
      <c r="C67" s="469">
        <f>IF(D11="","-",+C66+1)</f>
        <v>2068</v>
      </c>
      <c r="D67" s="480">
        <f>IF(F66+SUM(E$17:E66)=D$10,F66,D$10-SUM(E$17:E66))</f>
        <v>0</v>
      </c>
      <c r="E67" s="481">
        <f t="shared" si="16"/>
        <v>0</v>
      </c>
      <c r="F67" s="482">
        <f t="shared" si="17"/>
        <v>0</v>
      </c>
      <c r="G67" s="483">
        <f t="shared" si="18"/>
        <v>0</v>
      </c>
      <c r="H67" s="452">
        <f t="shared" si="19"/>
        <v>0</v>
      </c>
      <c r="I67" s="472">
        <f t="shared" si="0"/>
        <v>0</v>
      </c>
      <c r="J67" s="472"/>
      <c r="K67" s="484"/>
      <c r="L67" s="475">
        <f t="shared" si="2"/>
        <v>0</v>
      </c>
      <c r="M67" s="484"/>
      <c r="N67" s="475">
        <f t="shared" si="4"/>
        <v>0</v>
      </c>
      <c r="O67" s="475">
        <f t="shared" si="5"/>
        <v>0</v>
      </c>
      <c r="P67" s="241"/>
    </row>
    <row r="68" spans="2:16" ht="12.5">
      <c r="B68" s="160" t="str">
        <f t="shared" si="7"/>
        <v/>
      </c>
      <c r="C68" s="469">
        <f>IF(D11="","-",+C67+1)</f>
        <v>2069</v>
      </c>
      <c r="D68" s="480">
        <f>IF(F67+SUM(E$17:E67)=D$10,F67,D$10-SUM(E$17:E67))</f>
        <v>0</v>
      </c>
      <c r="E68" s="481">
        <f t="shared" si="16"/>
        <v>0</v>
      </c>
      <c r="F68" s="482">
        <f t="shared" si="17"/>
        <v>0</v>
      </c>
      <c r="G68" s="483">
        <f t="shared" si="18"/>
        <v>0</v>
      </c>
      <c r="H68" s="452">
        <f t="shared" si="19"/>
        <v>0</v>
      </c>
      <c r="I68" s="472">
        <f t="shared" si="0"/>
        <v>0</v>
      </c>
      <c r="J68" s="472"/>
      <c r="K68" s="484"/>
      <c r="L68" s="475">
        <f t="shared" si="2"/>
        <v>0</v>
      </c>
      <c r="M68" s="484"/>
      <c r="N68" s="475">
        <f t="shared" si="4"/>
        <v>0</v>
      </c>
      <c r="O68" s="475">
        <f t="shared" si="5"/>
        <v>0</v>
      </c>
      <c r="P68" s="241"/>
    </row>
    <row r="69" spans="2:16" ht="12.5">
      <c r="B69" s="160" t="str">
        <f t="shared" si="7"/>
        <v/>
      </c>
      <c r="C69" s="469">
        <f>IF(D11="","-",+C68+1)</f>
        <v>2070</v>
      </c>
      <c r="D69" s="480">
        <f>IF(F68+SUM(E$17:E68)=D$10,F68,D$10-SUM(E$17:E68))</f>
        <v>0</v>
      </c>
      <c r="E69" s="481">
        <f t="shared" si="16"/>
        <v>0</v>
      </c>
      <c r="F69" s="482">
        <f t="shared" si="17"/>
        <v>0</v>
      </c>
      <c r="G69" s="483">
        <f t="shared" si="18"/>
        <v>0</v>
      </c>
      <c r="H69" s="452">
        <f t="shared" si="19"/>
        <v>0</v>
      </c>
      <c r="I69" s="472">
        <f t="shared" si="0"/>
        <v>0</v>
      </c>
      <c r="J69" s="472"/>
      <c r="K69" s="484"/>
      <c r="L69" s="475">
        <f t="shared" si="2"/>
        <v>0</v>
      </c>
      <c r="M69" s="484"/>
      <c r="N69" s="475">
        <f t="shared" si="4"/>
        <v>0</v>
      </c>
      <c r="O69" s="475">
        <f t="shared" si="5"/>
        <v>0</v>
      </c>
      <c r="P69" s="241"/>
    </row>
    <row r="70" spans="2:16" ht="12.5">
      <c r="B70" s="160" t="str">
        <f t="shared" si="7"/>
        <v/>
      </c>
      <c r="C70" s="469">
        <f>IF(D11="","-",+C69+1)</f>
        <v>2071</v>
      </c>
      <c r="D70" s="480">
        <f>IF(F69+SUM(E$17:E69)=D$10,F69,D$10-SUM(E$17:E69))</f>
        <v>0</v>
      </c>
      <c r="E70" s="481">
        <f t="shared" si="16"/>
        <v>0</v>
      </c>
      <c r="F70" s="482">
        <f t="shared" si="17"/>
        <v>0</v>
      </c>
      <c r="G70" s="483">
        <f t="shared" si="18"/>
        <v>0</v>
      </c>
      <c r="H70" s="452">
        <f t="shared" si="19"/>
        <v>0</v>
      </c>
      <c r="I70" s="472">
        <f t="shared" si="0"/>
        <v>0</v>
      </c>
      <c r="J70" s="472"/>
      <c r="K70" s="484"/>
      <c r="L70" s="475">
        <f t="shared" si="2"/>
        <v>0</v>
      </c>
      <c r="M70" s="484"/>
      <c r="N70" s="475">
        <f t="shared" si="4"/>
        <v>0</v>
      </c>
      <c r="O70" s="475">
        <f t="shared" si="5"/>
        <v>0</v>
      </c>
      <c r="P70" s="241"/>
    </row>
    <row r="71" spans="2:16" ht="12.5">
      <c r="B71" s="160" t="str">
        <f t="shared" si="7"/>
        <v/>
      </c>
      <c r="C71" s="469">
        <f>IF(D11="","-",+C70+1)</f>
        <v>2072</v>
      </c>
      <c r="D71" s="480">
        <f>IF(F70+SUM(E$17:E70)=D$10,F70,D$10-SUM(E$17:E70))</f>
        <v>0</v>
      </c>
      <c r="E71" s="481">
        <f t="shared" si="16"/>
        <v>0</v>
      </c>
      <c r="F71" s="482">
        <f t="shared" si="17"/>
        <v>0</v>
      </c>
      <c r="G71" s="483">
        <f t="shared" si="18"/>
        <v>0</v>
      </c>
      <c r="H71" s="452">
        <f t="shared" si="19"/>
        <v>0</v>
      </c>
      <c r="I71" s="472">
        <f t="shared" si="0"/>
        <v>0</v>
      </c>
      <c r="J71" s="472"/>
      <c r="K71" s="484"/>
      <c r="L71" s="475">
        <f t="shared" si="2"/>
        <v>0</v>
      </c>
      <c r="M71" s="484"/>
      <c r="N71" s="475">
        <f t="shared" si="4"/>
        <v>0</v>
      </c>
      <c r="O71" s="475">
        <f t="shared" si="5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2073</v>
      </c>
      <c r="D72" s="608">
        <f>IF(F71+SUM(E$17:E71)=D$10,F71,D$10-SUM(E$17:E71))</f>
        <v>0</v>
      </c>
      <c r="E72" s="488">
        <f t="shared" si="16"/>
        <v>0</v>
      </c>
      <c r="F72" s="487">
        <f t="shared" si="17"/>
        <v>0</v>
      </c>
      <c r="G72" s="541">
        <f t="shared" si="18"/>
        <v>0</v>
      </c>
      <c r="H72" s="432">
        <f t="shared" si="19"/>
        <v>0</v>
      </c>
      <c r="I72" s="490">
        <f t="shared" si="0"/>
        <v>0</v>
      </c>
      <c r="J72" s="472"/>
      <c r="K72" s="491"/>
      <c r="L72" s="492">
        <f t="shared" si="2"/>
        <v>0</v>
      </c>
      <c r="M72" s="491"/>
      <c r="N72" s="492">
        <f t="shared" si="4"/>
        <v>0</v>
      </c>
      <c r="O72" s="492">
        <f t="shared" si="5"/>
        <v>0</v>
      </c>
      <c r="P72" s="241"/>
    </row>
    <row r="73" spans="2:16" ht="12.5">
      <c r="C73" s="344" t="s">
        <v>77</v>
      </c>
      <c r="D73" s="345"/>
      <c r="E73" s="345">
        <f>SUM(E17:E72)</f>
        <v>244000.00000000009</v>
      </c>
      <c r="F73" s="345"/>
      <c r="G73" s="345">
        <f>SUM(G17:G72)</f>
        <v>782566.63041982718</v>
      </c>
      <c r="H73" s="345">
        <f>SUM(H17:H72)</f>
        <v>782566.63041982718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22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31144.041414021089</v>
      </c>
      <c r="N87" s="505">
        <f>IF(J92&lt;D11,0,VLOOKUP(J92,C17:O72,11))</f>
        <v>31144.041414021089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34318.928857250634</v>
      </c>
      <c r="N88" s="509">
        <f>IF(J92&lt;D11,0,VLOOKUP(J92,C99:P154,7))</f>
        <v>34318.928857250634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Northeastern Station 138 kV Terminal Upgrades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3174.8874432295452</v>
      </c>
      <c r="N89" s="514">
        <f>+N88-N87</f>
        <v>3174.8874432295452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TP2015169</v>
      </c>
      <c r="E91" s="519" t="str">
        <f>E9</f>
        <v xml:space="preserve">  SPP Project ID = 31003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244000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2018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6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6421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2018</v>
      </c>
      <c r="D99" s="581">
        <v>0</v>
      </c>
      <c r="E99" s="604">
        <v>2837</v>
      </c>
      <c r="F99" s="581">
        <v>241163</v>
      </c>
      <c r="G99" s="604">
        <v>120581.5</v>
      </c>
      <c r="H99" s="584">
        <v>15225.00875134001</v>
      </c>
      <c r="I99" s="603">
        <v>15225.00875134001</v>
      </c>
      <c r="J99" s="475">
        <f t="shared" ref="J99:J130" si="20">+I99-H99</f>
        <v>0</v>
      </c>
      <c r="K99" s="475"/>
      <c r="L99" s="474">
        <f>+H99</f>
        <v>15225.00875134001</v>
      </c>
      <c r="M99" s="474">
        <f t="shared" ref="M99" si="21">IF(L99&lt;&gt;0,+H99-L99,0)</f>
        <v>0</v>
      </c>
      <c r="N99" s="474">
        <f>+I99</f>
        <v>15225.00875134001</v>
      </c>
      <c r="O99" s="474">
        <f t="shared" ref="O99" si="22">IF(N99&lt;&gt;0,+I99-N99,0)</f>
        <v>0</v>
      </c>
      <c r="P99" s="474">
        <f t="shared" ref="P99" si="23">+O99-M99</f>
        <v>0</v>
      </c>
    </row>
    <row r="100" spans="1:16" ht="12.5">
      <c r="B100" s="160" t="str">
        <f>IF(D100=F99,"","IU")</f>
        <v/>
      </c>
      <c r="C100" s="469">
        <f>IF(D93="","-",+C99+1)</f>
        <v>2019</v>
      </c>
      <c r="D100" s="581">
        <v>241163</v>
      </c>
      <c r="E100" s="582">
        <v>5951</v>
      </c>
      <c r="F100" s="583">
        <v>235212</v>
      </c>
      <c r="G100" s="583">
        <v>238187.5</v>
      </c>
      <c r="H100" s="602">
        <v>30511.472087080136</v>
      </c>
      <c r="I100" s="603">
        <v>30511.472087080136</v>
      </c>
      <c r="J100" s="475">
        <f t="shared" si="20"/>
        <v>0</v>
      </c>
      <c r="K100" s="475"/>
      <c r="L100" s="473">
        <f>H100</f>
        <v>30511.472087080136</v>
      </c>
      <c r="M100" s="346">
        <f>IF(L100&lt;&gt;0,+H100-L100,0)</f>
        <v>0</v>
      </c>
      <c r="N100" s="473">
        <f>I100</f>
        <v>30511.472087080136</v>
      </c>
      <c r="O100" s="475">
        <f t="shared" ref="O100:O130" si="24">IF(N100&lt;&gt;0,+I100-N100,0)</f>
        <v>0</v>
      </c>
      <c r="P100" s="475">
        <f t="shared" ref="P100:P130" si="25">+O100-M100</f>
        <v>0</v>
      </c>
    </row>
    <row r="101" spans="1:16" ht="12.5">
      <c r="B101" s="160" t="str">
        <f t="shared" ref="B101:B154" si="26">IF(D101=F100,"","IU")</f>
        <v/>
      </c>
      <c r="C101" s="469">
        <f>IF(D93="","-",+C100+1)</f>
        <v>2020</v>
      </c>
      <c r="D101" s="581">
        <v>235212</v>
      </c>
      <c r="E101" s="582">
        <v>5674</v>
      </c>
      <c r="F101" s="583">
        <v>229538</v>
      </c>
      <c r="G101" s="583">
        <v>232375</v>
      </c>
      <c r="H101" s="602">
        <v>32466.198637614907</v>
      </c>
      <c r="I101" s="603">
        <v>32466.198637614907</v>
      </c>
      <c r="J101" s="475">
        <f t="shared" si="20"/>
        <v>0</v>
      </c>
      <c r="K101" s="475"/>
      <c r="L101" s="473">
        <f>H101</f>
        <v>32466.198637614907</v>
      </c>
      <c r="M101" s="346">
        <f>IF(L101&lt;&gt;0,+H101-L101,0)</f>
        <v>0</v>
      </c>
      <c r="N101" s="473">
        <f>I101</f>
        <v>32466.198637614907</v>
      </c>
      <c r="O101" s="475">
        <f t="shared" si="24"/>
        <v>0</v>
      </c>
      <c r="P101" s="475">
        <f t="shared" si="25"/>
        <v>0</v>
      </c>
    </row>
    <row r="102" spans="1:16" ht="12.5">
      <c r="B102" s="160" t="str">
        <f t="shared" si="26"/>
        <v/>
      </c>
      <c r="C102" s="469">
        <f>IF(D93="","-",+C101+1)</f>
        <v>2021</v>
      </c>
      <c r="D102" s="581">
        <v>229538</v>
      </c>
      <c r="E102" s="582">
        <v>5951</v>
      </c>
      <c r="F102" s="583">
        <v>223587</v>
      </c>
      <c r="G102" s="583">
        <v>226562.5</v>
      </c>
      <c r="H102" s="602">
        <v>31732.179671191017</v>
      </c>
      <c r="I102" s="603">
        <v>31732.179671191017</v>
      </c>
      <c r="J102" s="475">
        <f t="shared" si="20"/>
        <v>0</v>
      </c>
      <c r="K102" s="475"/>
      <c r="L102" s="473">
        <f>H102</f>
        <v>31732.179671191017</v>
      </c>
      <c r="M102" s="346">
        <f>IF(L102&lt;&gt;0,+H102-L102,0)</f>
        <v>0</v>
      </c>
      <c r="N102" s="473">
        <f>I102</f>
        <v>31732.179671191017</v>
      </c>
      <c r="O102" s="475">
        <f t="shared" si="24"/>
        <v>0</v>
      </c>
      <c r="P102" s="475">
        <f t="shared" si="25"/>
        <v>0</v>
      </c>
    </row>
    <row r="103" spans="1:16" ht="12.5">
      <c r="B103" s="160" t="str">
        <f t="shared" si="26"/>
        <v/>
      </c>
      <c r="C103" s="469">
        <f>IF(D93="","-",+C102+1)</f>
        <v>2022</v>
      </c>
      <c r="D103" s="581">
        <v>223587</v>
      </c>
      <c r="E103" s="582">
        <v>6256</v>
      </c>
      <c r="F103" s="583">
        <v>217331</v>
      </c>
      <c r="G103" s="583">
        <v>220459</v>
      </c>
      <c r="H103" s="602">
        <v>30546.757470312874</v>
      </c>
      <c r="I103" s="603">
        <v>30546.757470312874</v>
      </c>
      <c r="J103" s="475">
        <f t="shared" si="20"/>
        <v>0</v>
      </c>
      <c r="K103" s="475"/>
      <c r="L103" s="473">
        <f>H103</f>
        <v>30546.757470312874</v>
      </c>
      <c r="M103" s="346">
        <f>IF(L103&lt;&gt;0,+H103-L103,0)</f>
        <v>0</v>
      </c>
      <c r="N103" s="473">
        <f>I103</f>
        <v>30546.757470312874</v>
      </c>
      <c r="O103" s="475">
        <f t="shared" ref="O103" si="27">IF(N103&lt;&gt;0,+I103-N103,0)</f>
        <v>0</v>
      </c>
      <c r="P103" s="475">
        <f t="shared" ref="P103" si="28">+O103-M103</f>
        <v>0</v>
      </c>
    </row>
    <row r="104" spans="1:16" ht="12.5">
      <c r="B104" s="160" t="str">
        <f t="shared" si="26"/>
        <v/>
      </c>
      <c r="C104" s="469">
        <f>IF(D93="","-",+C103+1)</f>
        <v>2023</v>
      </c>
      <c r="D104" s="581">
        <v>217331</v>
      </c>
      <c r="E104" s="582">
        <v>6421</v>
      </c>
      <c r="F104" s="583">
        <v>210910</v>
      </c>
      <c r="G104" s="583">
        <v>214120.5</v>
      </c>
      <c r="H104" s="602">
        <v>30879.353713761124</v>
      </c>
      <c r="I104" s="603">
        <v>30879.353713761124</v>
      </c>
      <c r="J104" s="475">
        <f t="shared" si="20"/>
        <v>0</v>
      </c>
      <c r="K104" s="475"/>
      <c r="L104" s="473">
        <f>H104</f>
        <v>30879.353713761124</v>
      </c>
      <c r="M104" s="346">
        <f>IF(L104&lt;&gt;0,+H104-L104,0)</f>
        <v>0</v>
      </c>
      <c r="N104" s="473">
        <f>I104</f>
        <v>30879.353713761124</v>
      </c>
      <c r="O104" s="475">
        <f t="shared" ref="O104" si="29">IF(N104&lt;&gt;0,+I104-N104,0)</f>
        <v>0</v>
      </c>
      <c r="P104" s="475">
        <f t="shared" ref="P104" si="30">+O104-M104</f>
        <v>0</v>
      </c>
    </row>
    <row r="105" spans="1:16" ht="12.5">
      <c r="B105" s="160" t="str">
        <f t="shared" si="26"/>
        <v/>
      </c>
      <c r="C105" s="469">
        <f>IF(D93="","-",+C104+1)</f>
        <v>2024</v>
      </c>
      <c r="D105" s="344">
        <f>IF(F104+SUM(E$99:E104)=D$92,F104,D$92-SUM(E$99:E104))</f>
        <v>210910</v>
      </c>
      <c r="E105" s="481">
        <f t="shared" ref="E105:E154" si="31">IF(+J$96&lt;F104,J$96,D105)</f>
        <v>6421</v>
      </c>
      <c r="F105" s="482">
        <f t="shared" ref="F105:F154" si="32">+D105-E105</f>
        <v>204489</v>
      </c>
      <c r="G105" s="482">
        <f t="shared" ref="G105:G154" si="33">+(F105+D105)/2</f>
        <v>207699.5</v>
      </c>
      <c r="H105" s="483">
        <f t="shared" ref="H105:H153" si="34">(D105+F105)/2*J$94+E105</f>
        <v>34318.928857250634</v>
      </c>
      <c r="I105" s="539">
        <f t="shared" ref="I105:I153" si="35">+J$95*G105+E105</f>
        <v>34318.928857250634</v>
      </c>
      <c r="J105" s="475">
        <f t="shared" si="20"/>
        <v>0</v>
      </c>
      <c r="K105" s="475"/>
      <c r="L105" s="484"/>
      <c r="M105" s="475">
        <f t="shared" ref="M105:M130" si="36">IF(L105&lt;&gt;0,+H105-L105,0)</f>
        <v>0</v>
      </c>
      <c r="N105" s="484"/>
      <c r="O105" s="475">
        <f t="shared" si="24"/>
        <v>0</v>
      </c>
      <c r="P105" s="475">
        <f t="shared" si="25"/>
        <v>0</v>
      </c>
    </row>
    <row r="106" spans="1:16" ht="12.5">
      <c r="B106" s="160" t="str">
        <f t="shared" si="26"/>
        <v/>
      </c>
      <c r="C106" s="469">
        <f>IF(D93="","-",+C105+1)</f>
        <v>2025</v>
      </c>
      <c r="D106" s="344">
        <f>IF(F105+SUM(E$99:E105)=D$92,F105,D$92-SUM(E$99:E105))</f>
        <v>204489</v>
      </c>
      <c r="E106" s="481">
        <f t="shared" si="31"/>
        <v>6421</v>
      </c>
      <c r="F106" s="482">
        <f t="shared" si="32"/>
        <v>198068</v>
      </c>
      <c r="G106" s="482">
        <f t="shared" si="33"/>
        <v>201278.5</v>
      </c>
      <c r="H106" s="483">
        <f t="shared" si="34"/>
        <v>33456.468421898564</v>
      </c>
      <c r="I106" s="539">
        <f t="shared" si="35"/>
        <v>33456.468421898564</v>
      </c>
      <c r="J106" s="475">
        <f t="shared" si="20"/>
        <v>0</v>
      </c>
      <c r="K106" s="475"/>
      <c r="L106" s="484"/>
      <c r="M106" s="475">
        <f t="shared" si="36"/>
        <v>0</v>
      </c>
      <c r="N106" s="484"/>
      <c r="O106" s="475">
        <f t="shared" si="24"/>
        <v>0</v>
      </c>
      <c r="P106" s="475">
        <f t="shared" si="25"/>
        <v>0</v>
      </c>
    </row>
    <row r="107" spans="1:16" ht="12.5">
      <c r="B107" s="160" t="str">
        <f t="shared" si="26"/>
        <v/>
      </c>
      <c r="C107" s="469">
        <f>IF(D93="","-",+C106+1)</f>
        <v>2026</v>
      </c>
      <c r="D107" s="344">
        <f>IF(F106+SUM(E$99:E106)=D$92,F106,D$92-SUM(E$99:E106))</f>
        <v>198068</v>
      </c>
      <c r="E107" s="481">
        <f t="shared" si="31"/>
        <v>6421</v>
      </c>
      <c r="F107" s="482">
        <f t="shared" si="32"/>
        <v>191647</v>
      </c>
      <c r="G107" s="482">
        <f t="shared" si="33"/>
        <v>194857.5</v>
      </c>
      <c r="H107" s="483">
        <f t="shared" si="34"/>
        <v>32594.007986546498</v>
      </c>
      <c r="I107" s="539">
        <f t="shared" si="35"/>
        <v>32594.007986546498</v>
      </c>
      <c r="J107" s="475">
        <f t="shared" si="20"/>
        <v>0</v>
      </c>
      <c r="K107" s="475"/>
      <c r="L107" s="484"/>
      <c r="M107" s="475">
        <f t="shared" si="36"/>
        <v>0</v>
      </c>
      <c r="N107" s="484"/>
      <c r="O107" s="475">
        <f t="shared" si="24"/>
        <v>0</v>
      </c>
      <c r="P107" s="475">
        <f t="shared" si="25"/>
        <v>0</v>
      </c>
    </row>
    <row r="108" spans="1:16" ht="12.5">
      <c r="B108" s="160" t="str">
        <f t="shared" si="26"/>
        <v/>
      </c>
      <c r="C108" s="469">
        <f>IF(D93="","-",+C107+1)</f>
        <v>2027</v>
      </c>
      <c r="D108" s="344">
        <f>IF(F107+SUM(E$99:E107)=D$92,F107,D$92-SUM(E$99:E107))</f>
        <v>191647</v>
      </c>
      <c r="E108" s="481">
        <f t="shared" si="31"/>
        <v>6421</v>
      </c>
      <c r="F108" s="482">
        <f t="shared" si="32"/>
        <v>185226</v>
      </c>
      <c r="G108" s="482">
        <f t="shared" si="33"/>
        <v>188436.5</v>
      </c>
      <c r="H108" s="483">
        <f t="shared" si="34"/>
        <v>31731.547551194435</v>
      </c>
      <c r="I108" s="539">
        <f t="shared" si="35"/>
        <v>31731.547551194435</v>
      </c>
      <c r="J108" s="475">
        <f t="shared" si="20"/>
        <v>0</v>
      </c>
      <c r="K108" s="475"/>
      <c r="L108" s="484"/>
      <c r="M108" s="475">
        <f t="shared" si="36"/>
        <v>0</v>
      </c>
      <c r="N108" s="484"/>
      <c r="O108" s="475">
        <f t="shared" si="24"/>
        <v>0</v>
      </c>
      <c r="P108" s="475">
        <f t="shared" si="25"/>
        <v>0</v>
      </c>
    </row>
    <row r="109" spans="1:16" ht="12.5">
      <c r="B109" s="160" t="str">
        <f t="shared" si="26"/>
        <v/>
      </c>
      <c r="C109" s="469">
        <f>IF(D93="","-",+C108+1)</f>
        <v>2028</v>
      </c>
      <c r="D109" s="344">
        <f>IF(F108+SUM(E$99:E108)=D$92,F108,D$92-SUM(E$99:E108))</f>
        <v>185226</v>
      </c>
      <c r="E109" s="481">
        <f t="shared" si="31"/>
        <v>6421</v>
      </c>
      <c r="F109" s="482">
        <f t="shared" si="32"/>
        <v>178805</v>
      </c>
      <c r="G109" s="482">
        <f t="shared" si="33"/>
        <v>182015.5</v>
      </c>
      <c r="H109" s="483">
        <f t="shared" si="34"/>
        <v>30869.087115842369</v>
      </c>
      <c r="I109" s="539">
        <f t="shared" si="35"/>
        <v>30869.087115842369</v>
      </c>
      <c r="J109" s="475">
        <f t="shared" si="20"/>
        <v>0</v>
      </c>
      <c r="K109" s="475"/>
      <c r="L109" s="484"/>
      <c r="M109" s="475">
        <f t="shared" si="36"/>
        <v>0</v>
      </c>
      <c r="N109" s="484"/>
      <c r="O109" s="475">
        <f t="shared" si="24"/>
        <v>0</v>
      </c>
      <c r="P109" s="475">
        <f t="shared" si="25"/>
        <v>0</v>
      </c>
    </row>
    <row r="110" spans="1:16" ht="12.5">
      <c r="B110" s="160" t="str">
        <f t="shared" si="26"/>
        <v/>
      </c>
      <c r="C110" s="469">
        <f>IF(D93="","-",+C109+1)</f>
        <v>2029</v>
      </c>
      <c r="D110" s="344">
        <f>IF(F109+SUM(E$99:E109)=D$92,F109,D$92-SUM(E$99:E109))</f>
        <v>178805</v>
      </c>
      <c r="E110" s="481">
        <f t="shared" si="31"/>
        <v>6421</v>
      </c>
      <c r="F110" s="482">
        <f t="shared" si="32"/>
        <v>172384</v>
      </c>
      <c r="G110" s="482">
        <f t="shared" si="33"/>
        <v>175594.5</v>
      </c>
      <c r="H110" s="483">
        <f t="shared" si="34"/>
        <v>30006.626680490303</v>
      </c>
      <c r="I110" s="539">
        <f t="shared" si="35"/>
        <v>30006.626680490303</v>
      </c>
      <c r="J110" s="475">
        <f t="shared" si="20"/>
        <v>0</v>
      </c>
      <c r="K110" s="475"/>
      <c r="L110" s="484"/>
      <c r="M110" s="475">
        <f t="shared" si="36"/>
        <v>0</v>
      </c>
      <c r="N110" s="484"/>
      <c r="O110" s="475">
        <f t="shared" si="24"/>
        <v>0</v>
      </c>
      <c r="P110" s="475">
        <f t="shared" si="25"/>
        <v>0</v>
      </c>
    </row>
    <row r="111" spans="1:16" ht="12.5">
      <c r="B111" s="160" t="str">
        <f t="shared" si="26"/>
        <v/>
      </c>
      <c r="C111" s="469">
        <f>IF(D93="","-",+C110+1)</f>
        <v>2030</v>
      </c>
      <c r="D111" s="344">
        <f>IF(F110+SUM(E$99:E110)=D$92,F110,D$92-SUM(E$99:E110))</f>
        <v>172384</v>
      </c>
      <c r="E111" s="481">
        <f t="shared" si="31"/>
        <v>6421</v>
      </c>
      <c r="F111" s="482">
        <f t="shared" si="32"/>
        <v>165963</v>
      </c>
      <c r="G111" s="482">
        <f t="shared" si="33"/>
        <v>169173.5</v>
      </c>
      <c r="H111" s="483">
        <f t="shared" si="34"/>
        <v>29144.166245138236</v>
      </c>
      <c r="I111" s="539">
        <f t="shared" si="35"/>
        <v>29144.166245138236</v>
      </c>
      <c r="J111" s="475">
        <f t="shared" si="20"/>
        <v>0</v>
      </c>
      <c r="K111" s="475"/>
      <c r="L111" s="484"/>
      <c r="M111" s="475">
        <f t="shared" si="36"/>
        <v>0</v>
      </c>
      <c r="N111" s="484"/>
      <c r="O111" s="475">
        <f t="shared" si="24"/>
        <v>0</v>
      </c>
      <c r="P111" s="475">
        <f t="shared" si="25"/>
        <v>0</v>
      </c>
    </row>
    <row r="112" spans="1:16" ht="12.5">
      <c r="B112" s="160" t="str">
        <f t="shared" si="26"/>
        <v/>
      </c>
      <c r="C112" s="469">
        <f>IF(D93="","-",+C111+1)</f>
        <v>2031</v>
      </c>
      <c r="D112" s="344">
        <f>IF(F111+SUM(E$99:E111)=D$92,F111,D$92-SUM(E$99:E111))</f>
        <v>165963</v>
      </c>
      <c r="E112" s="481">
        <f t="shared" si="31"/>
        <v>6421</v>
      </c>
      <c r="F112" s="482">
        <f t="shared" si="32"/>
        <v>159542</v>
      </c>
      <c r="G112" s="482">
        <f t="shared" si="33"/>
        <v>162752.5</v>
      </c>
      <c r="H112" s="483">
        <f t="shared" si="34"/>
        <v>28281.705809786174</v>
      </c>
      <c r="I112" s="539">
        <f t="shared" si="35"/>
        <v>28281.705809786174</v>
      </c>
      <c r="J112" s="475">
        <f t="shared" si="20"/>
        <v>0</v>
      </c>
      <c r="K112" s="475"/>
      <c r="L112" s="484"/>
      <c r="M112" s="475">
        <f t="shared" si="36"/>
        <v>0</v>
      </c>
      <c r="N112" s="484"/>
      <c r="O112" s="475">
        <f t="shared" si="24"/>
        <v>0</v>
      </c>
      <c r="P112" s="475">
        <f t="shared" si="25"/>
        <v>0</v>
      </c>
    </row>
    <row r="113" spans="2:16" ht="12.5">
      <c r="B113" s="160" t="str">
        <f t="shared" si="26"/>
        <v/>
      </c>
      <c r="C113" s="469">
        <f>IF(D93="","-",+C112+1)</f>
        <v>2032</v>
      </c>
      <c r="D113" s="344">
        <f>IF(F112+SUM(E$99:E112)=D$92,F112,D$92-SUM(E$99:E112))</f>
        <v>159542</v>
      </c>
      <c r="E113" s="481">
        <f t="shared" si="31"/>
        <v>6421</v>
      </c>
      <c r="F113" s="482">
        <f t="shared" si="32"/>
        <v>153121</v>
      </c>
      <c r="G113" s="482">
        <f t="shared" si="33"/>
        <v>156331.5</v>
      </c>
      <c r="H113" s="483">
        <f t="shared" si="34"/>
        <v>27419.245374434107</v>
      </c>
      <c r="I113" s="539">
        <f t="shared" si="35"/>
        <v>27419.245374434107</v>
      </c>
      <c r="J113" s="475">
        <f t="shared" si="20"/>
        <v>0</v>
      </c>
      <c r="K113" s="475"/>
      <c r="L113" s="484"/>
      <c r="M113" s="475">
        <f t="shared" si="36"/>
        <v>0</v>
      </c>
      <c r="N113" s="484"/>
      <c r="O113" s="475">
        <f t="shared" si="24"/>
        <v>0</v>
      </c>
      <c r="P113" s="475">
        <f t="shared" si="25"/>
        <v>0</v>
      </c>
    </row>
    <row r="114" spans="2:16" ht="12.5">
      <c r="B114" s="160" t="str">
        <f t="shared" si="26"/>
        <v/>
      </c>
      <c r="C114" s="469">
        <f>IF(D93="","-",+C113+1)</f>
        <v>2033</v>
      </c>
      <c r="D114" s="344">
        <f>IF(F113+SUM(E$99:E113)=D$92,F113,D$92-SUM(E$99:E113))</f>
        <v>153121</v>
      </c>
      <c r="E114" s="481">
        <f t="shared" si="31"/>
        <v>6421</v>
      </c>
      <c r="F114" s="482">
        <f t="shared" si="32"/>
        <v>146700</v>
      </c>
      <c r="G114" s="482">
        <f t="shared" si="33"/>
        <v>149910.5</v>
      </c>
      <c r="H114" s="483">
        <f t="shared" si="34"/>
        <v>26556.784939082041</v>
      </c>
      <c r="I114" s="539">
        <f t="shared" si="35"/>
        <v>26556.784939082041</v>
      </c>
      <c r="J114" s="475">
        <f t="shared" si="20"/>
        <v>0</v>
      </c>
      <c r="K114" s="475"/>
      <c r="L114" s="484"/>
      <c r="M114" s="475">
        <f t="shared" si="36"/>
        <v>0</v>
      </c>
      <c r="N114" s="484"/>
      <c r="O114" s="475">
        <f t="shared" si="24"/>
        <v>0</v>
      </c>
      <c r="P114" s="475">
        <f t="shared" si="25"/>
        <v>0</v>
      </c>
    </row>
    <row r="115" spans="2:16" ht="12.5">
      <c r="B115" s="160" t="str">
        <f t="shared" si="26"/>
        <v/>
      </c>
      <c r="C115" s="469">
        <f>IF(D93="","-",+C114+1)</f>
        <v>2034</v>
      </c>
      <c r="D115" s="344">
        <f>IF(F114+SUM(E$99:E114)=D$92,F114,D$92-SUM(E$99:E114))</f>
        <v>146700</v>
      </c>
      <c r="E115" s="481">
        <f t="shared" si="31"/>
        <v>6421</v>
      </c>
      <c r="F115" s="482">
        <f t="shared" si="32"/>
        <v>140279</v>
      </c>
      <c r="G115" s="482">
        <f t="shared" si="33"/>
        <v>143489.5</v>
      </c>
      <c r="H115" s="483">
        <f t="shared" si="34"/>
        <v>25694.324503729975</v>
      </c>
      <c r="I115" s="539">
        <f t="shared" si="35"/>
        <v>25694.324503729975</v>
      </c>
      <c r="J115" s="475">
        <f t="shared" si="20"/>
        <v>0</v>
      </c>
      <c r="K115" s="475"/>
      <c r="L115" s="484"/>
      <c r="M115" s="475">
        <f t="shared" si="36"/>
        <v>0</v>
      </c>
      <c r="N115" s="484"/>
      <c r="O115" s="475">
        <f t="shared" si="24"/>
        <v>0</v>
      </c>
      <c r="P115" s="475">
        <f t="shared" si="25"/>
        <v>0</v>
      </c>
    </row>
    <row r="116" spans="2:16" ht="12.5">
      <c r="B116" s="160" t="str">
        <f t="shared" si="26"/>
        <v/>
      </c>
      <c r="C116" s="469">
        <f>IF(D93="","-",+C115+1)</f>
        <v>2035</v>
      </c>
      <c r="D116" s="344">
        <f>IF(F115+SUM(E$99:E115)=D$92,F115,D$92-SUM(E$99:E115))</f>
        <v>140279</v>
      </c>
      <c r="E116" s="481">
        <f t="shared" si="31"/>
        <v>6421</v>
      </c>
      <c r="F116" s="482">
        <f t="shared" si="32"/>
        <v>133858</v>
      </c>
      <c r="G116" s="482">
        <f t="shared" si="33"/>
        <v>137068.5</v>
      </c>
      <c r="H116" s="483">
        <f t="shared" si="34"/>
        <v>24831.864068377912</v>
      </c>
      <c r="I116" s="539">
        <f t="shared" si="35"/>
        <v>24831.864068377912</v>
      </c>
      <c r="J116" s="475">
        <f t="shared" si="20"/>
        <v>0</v>
      </c>
      <c r="K116" s="475"/>
      <c r="L116" s="484"/>
      <c r="M116" s="475">
        <f t="shared" si="36"/>
        <v>0</v>
      </c>
      <c r="N116" s="484"/>
      <c r="O116" s="475">
        <f t="shared" si="24"/>
        <v>0</v>
      </c>
      <c r="P116" s="475">
        <f t="shared" si="25"/>
        <v>0</v>
      </c>
    </row>
    <row r="117" spans="2:16" ht="12.5">
      <c r="B117" s="160" t="str">
        <f t="shared" si="26"/>
        <v/>
      </c>
      <c r="C117" s="469">
        <f>IF(D93="","-",+C116+1)</f>
        <v>2036</v>
      </c>
      <c r="D117" s="344">
        <f>IF(F116+SUM(E$99:E116)=D$92,F116,D$92-SUM(E$99:E116))</f>
        <v>133858</v>
      </c>
      <c r="E117" s="481">
        <f t="shared" si="31"/>
        <v>6421</v>
      </c>
      <c r="F117" s="482">
        <f t="shared" si="32"/>
        <v>127437</v>
      </c>
      <c r="G117" s="482">
        <f t="shared" si="33"/>
        <v>130647.5</v>
      </c>
      <c r="H117" s="483">
        <f t="shared" si="34"/>
        <v>23969.403633025846</v>
      </c>
      <c r="I117" s="539">
        <f t="shared" si="35"/>
        <v>23969.403633025846</v>
      </c>
      <c r="J117" s="475">
        <f t="shared" si="20"/>
        <v>0</v>
      </c>
      <c r="K117" s="475"/>
      <c r="L117" s="484"/>
      <c r="M117" s="475">
        <f t="shared" si="36"/>
        <v>0</v>
      </c>
      <c r="N117" s="484"/>
      <c r="O117" s="475">
        <f t="shared" si="24"/>
        <v>0</v>
      </c>
      <c r="P117" s="475">
        <f t="shared" si="25"/>
        <v>0</v>
      </c>
    </row>
    <row r="118" spans="2:16" ht="12.5">
      <c r="B118" s="160" t="str">
        <f t="shared" si="26"/>
        <v/>
      </c>
      <c r="C118" s="469">
        <f>IF(D93="","-",+C117+1)</f>
        <v>2037</v>
      </c>
      <c r="D118" s="344">
        <f>IF(F117+SUM(E$99:E117)=D$92,F117,D$92-SUM(E$99:E117))</f>
        <v>127437</v>
      </c>
      <c r="E118" s="481">
        <f t="shared" si="31"/>
        <v>6421</v>
      </c>
      <c r="F118" s="482">
        <f t="shared" si="32"/>
        <v>121016</v>
      </c>
      <c r="G118" s="482">
        <f t="shared" si="33"/>
        <v>124226.5</v>
      </c>
      <c r="H118" s="483">
        <f t="shared" si="34"/>
        <v>23106.94319767378</v>
      </c>
      <c r="I118" s="539">
        <f t="shared" si="35"/>
        <v>23106.94319767378</v>
      </c>
      <c r="J118" s="475">
        <f t="shared" si="20"/>
        <v>0</v>
      </c>
      <c r="K118" s="475"/>
      <c r="L118" s="484"/>
      <c r="M118" s="475">
        <f t="shared" si="36"/>
        <v>0</v>
      </c>
      <c r="N118" s="484"/>
      <c r="O118" s="475">
        <f t="shared" si="24"/>
        <v>0</v>
      </c>
      <c r="P118" s="475">
        <f t="shared" si="25"/>
        <v>0</v>
      </c>
    </row>
    <row r="119" spans="2:16" ht="12.5">
      <c r="B119" s="160" t="str">
        <f t="shared" si="26"/>
        <v/>
      </c>
      <c r="C119" s="469">
        <f>IF(D93="","-",+C118+1)</f>
        <v>2038</v>
      </c>
      <c r="D119" s="344">
        <f>IF(F118+SUM(E$99:E118)=D$92,F118,D$92-SUM(E$99:E118))</f>
        <v>121016</v>
      </c>
      <c r="E119" s="481">
        <f t="shared" si="31"/>
        <v>6421</v>
      </c>
      <c r="F119" s="482">
        <f t="shared" si="32"/>
        <v>114595</v>
      </c>
      <c r="G119" s="482">
        <f t="shared" si="33"/>
        <v>117805.5</v>
      </c>
      <c r="H119" s="483">
        <f t="shared" si="34"/>
        <v>22244.482762321713</v>
      </c>
      <c r="I119" s="539">
        <f t="shared" si="35"/>
        <v>22244.482762321713</v>
      </c>
      <c r="J119" s="475">
        <f t="shared" si="20"/>
        <v>0</v>
      </c>
      <c r="K119" s="475"/>
      <c r="L119" s="484"/>
      <c r="M119" s="475">
        <f t="shared" si="36"/>
        <v>0</v>
      </c>
      <c r="N119" s="484"/>
      <c r="O119" s="475">
        <f t="shared" si="24"/>
        <v>0</v>
      </c>
      <c r="P119" s="475">
        <f t="shared" si="25"/>
        <v>0</v>
      </c>
    </row>
    <row r="120" spans="2:16" ht="12.5">
      <c r="B120" s="160" t="str">
        <f t="shared" si="26"/>
        <v/>
      </c>
      <c r="C120" s="469">
        <f>IF(D93="","-",+C119+1)</f>
        <v>2039</v>
      </c>
      <c r="D120" s="344">
        <f>IF(F119+SUM(E$99:E119)=D$92,F119,D$92-SUM(E$99:E119))</f>
        <v>114595</v>
      </c>
      <c r="E120" s="481">
        <f t="shared" si="31"/>
        <v>6421</v>
      </c>
      <c r="F120" s="482">
        <f t="shared" si="32"/>
        <v>108174</v>
      </c>
      <c r="G120" s="482">
        <f t="shared" si="33"/>
        <v>111384.5</v>
      </c>
      <c r="H120" s="483">
        <f t="shared" si="34"/>
        <v>21382.022326969651</v>
      </c>
      <c r="I120" s="539">
        <f t="shared" si="35"/>
        <v>21382.022326969651</v>
      </c>
      <c r="J120" s="475">
        <f t="shared" si="20"/>
        <v>0</v>
      </c>
      <c r="K120" s="475"/>
      <c r="L120" s="484"/>
      <c r="M120" s="475">
        <f t="shared" si="36"/>
        <v>0</v>
      </c>
      <c r="N120" s="484"/>
      <c r="O120" s="475">
        <f t="shared" si="24"/>
        <v>0</v>
      </c>
      <c r="P120" s="475">
        <f t="shared" si="25"/>
        <v>0</v>
      </c>
    </row>
    <row r="121" spans="2:16" ht="12.5">
      <c r="B121" s="160" t="str">
        <f t="shared" si="26"/>
        <v/>
      </c>
      <c r="C121" s="469">
        <f>IF(D93="","-",+C120+1)</f>
        <v>2040</v>
      </c>
      <c r="D121" s="344">
        <f>IF(F120+SUM(E$99:E120)=D$92,F120,D$92-SUM(E$99:E120))</f>
        <v>108174</v>
      </c>
      <c r="E121" s="481">
        <f t="shared" si="31"/>
        <v>6421</v>
      </c>
      <c r="F121" s="482">
        <f t="shared" si="32"/>
        <v>101753</v>
      </c>
      <c r="G121" s="482">
        <f t="shared" si="33"/>
        <v>104963.5</v>
      </c>
      <c r="H121" s="483">
        <f t="shared" si="34"/>
        <v>20519.561891617584</v>
      </c>
      <c r="I121" s="539">
        <f t="shared" si="35"/>
        <v>20519.561891617584</v>
      </c>
      <c r="J121" s="475">
        <f t="shared" si="20"/>
        <v>0</v>
      </c>
      <c r="K121" s="475"/>
      <c r="L121" s="484"/>
      <c r="M121" s="475">
        <f t="shared" si="36"/>
        <v>0</v>
      </c>
      <c r="N121" s="484"/>
      <c r="O121" s="475">
        <f t="shared" si="24"/>
        <v>0</v>
      </c>
      <c r="P121" s="475">
        <f t="shared" si="25"/>
        <v>0</v>
      </c>
    </row>
    <row r="122" spans="2:16" ht="12.5">
      <c r="B122" s="160" t="str">
        <f t="shared" si="26"/>
        <v/>
      </c>
      <c r="C122" s="469">
        <f>IF(D93="","-",+C121+1)</f>
        <v>2041</v>
      </c>
      <c r="D122" s="344">
        <f>IF(F121+SUM(E$99:E121)=D$92,F121,D$92-SUM(E$99:E121))</f>
        <v>101753</v>
      </c>
      <c r="E122" s="481">
        <f t="shared" si="31"/>
        <v>6421</v>
      </c>
      <c r="F122" s="482">
        <f t="shared" si="32"/>
        <v>95332</v>
      </c>
      <c r="G122" s="482">
        <f t="shared" si="33"/>
        <v>98542.5</v>
      </c>
      <c r="H122" s="483">
        <f t="shared" si="34"/>
        <v>19657.101456265518</v>
      </c>
      <c r="I122" s="539">
        <f t="shared" si="35"/>
        <v>19657.101456265518</v>
      </c>
      <c r="J122" s="475">
        <f t="shared" si="20"/>
        <v>0</v>
      </c>
      <c r="K122" s="475"/>
      <c r="L122" s="484"/>
      <c r="M122" s="475">
        <f t="shared" si="36"/>
        <v>0</v>
      </c>
      <c r="N122" s="484"/>
      <c r="O122" s="475">
        <f t="shared" si="24"/>
        <v>0</v>
      </c>
      <c r="P122" s="475">
        <f t="shared" si="25"/>
        <v>0</v>
      </c>
    </row>
    <row r="123" spans="2:16" ht="12.5">
      <c r="B123" s="160" t="str">
        <f t="shared" si="26"/>
        <v/>
      </c>
      <c r="C123" s="469">
        <f>IF(D93="","-",+C122+1)</f>
        <v>2042</v>
      </c>
      <c r="D123" s="344">
        <f>IF(F122+SUM(E$99:E122)=D$92,F122,D$92-SUM(E$99:E122))</f>
        <v>95332</v>
      </c>
      <c r="E123" s="481">
        <f t="shared" si="31"/>
        <v>6421</v>
      </c>
      <c r="F123" s="482">
        <f t="shared" si="32"/>
        <v>88911</v>
      </c>
      <c r="G123" s="482">
        <f t="shared" si="33"/>
        <v>92121.5</v>
      </c>
      <c r="H123" s="483">
        <f t="shared" si="34"/>
        <v>18794.641020913456</v>
      </c>
      <c r="I123" s="539">
        <f t="shared" si="35"/>
        <v>18794.641020913456</v>
      </c>
      <c r="J123" s="475">
        <f t="shared" si="20"/>
        <v>0</v>
      </c>
      <c r="K123" s="475"/>
      <c r="L123" s="484"/>
      <c r="M123" s="475">
        <f t="shared" si="36"/>
        <v>0</v>
      </c>
      <c r="N123" s="484"/>
      <c r="O123" s="475">
        <f t="shared" si="24"/>
        <v>0</v>
      </c>
      <c r="P123" s="475">
        <f t="shared" si="25"/>
        <v>0</v>
      </c>
    </row>
    <row r="124" spans="2:16" ht="12.5">
      <c r="B124" s="160" t="str">
        <f t="shared" si="26"/>
        <v/>
      </c>
      <c r="C124" s="469">
        <f>IF(D93="","-",+C123+1)</f>
        <v>2043</v>
      </c>
      <c r="D124" s="344">
        <f>IF(F123+SUM(E$99:E123)=D$92,F123,D$92-SUM(E$99:E123))</f>
        <v>88911</v>
      </c>
      <c r="E124" s="481">
        <f t="shared" si="31"/>
        <v>6421</v>
      </c>
      <c r="F124" s="482">
        <f t="shared" si="32"/>
        <v>82490</v>
      </c>
      <c r="G124" s="482">
        <f t="shared" si="33"/>
        <v>85700.5</v>
      </c>
      <c r="H124" s="483">
        <f t="shared" si="34"/>
        <v>17932.180585561389</v>
      </c>
      <c r="I124" s="539">
        <f t="shared" si="35"/>
        <v>17932.180585561389</v>
      </c>
      <c r="J124" s="475">
        <f t="shared" si="20"/>
        <v>0</v>
      </c>
      <c r="K124" s="475"/>
      <c r="L124" s="484"/>
      <c r="M124" s="475">
        <f t="shared" si="36"/>
        <v>0</v>
      </c>
      <c r="N124" s="484"/>
      <c r="O124" s="475">
        <f t="shared" si="24"/>
        <v>0</v>
      </c>
      <c r="P124" s="475">
        <f t="shared" si="25"/>
        <v>0</v>
      </c>
    </row>
    <row r="125" spans="2:16" ht="12.5">
      <c r="B125" s="160" t="str">
        <f t="shared" si="26"/>
        <v/>
      </c>
      <c r="C125" s="469">
        <f>IF(D93="","-",+C124+1)</f>
        <v>2044</v>
      </c>
      <c r="D125" s="344">
        <f>IF(F124+SUM(E$99:E124)=D$92,F124,D$92-SUM(E$99:E124))</f>
        <v>82490</v>
      </c>
      <c r="E125" s="481">
        <f t="shared" si="31"/>
        <v>6421</v>
      </c>
      <c r="F125" s="482">
        <f t="shared" si="32"/>
        <v>76069</v>
      </c>
      <c r="G125" s="482">
        <f t="shared" si="33"/>
        <v>79279.5</v>
      </c>
      <c r="H125" s="483">
        <f t="shared" si="34"/>
        <v>17069.720150209323</v>
      </c>
      <c r="I125" s="539">
        <f t="shared" si="35"/>
        <v>17069.720150209323</v>
      </c>
      <c r="J125" s="475">
        <f t="shared" si="20"/>
        <v>0</v>
      </c>
      <c r="K125" s="475"/>
      <c r="L125" s="484"/>
      <c r="M125" s="475">
        <f t="shared" si="36"/>
        <v>0</v>
      </c>
      <c r="N125" s="484"/>
      <c r="O125" s="475">
        <f t="shared" si="24"/>
        <v>0</v>
      </c>
      <c r="P125" s="475">
        <f t="shared" si="25"/>
        <v>0</v>
      </c>
    </row>
    <row r="126" spans="2:16" ht="12.5">
      <c r="B126" s="160" t="str">
        <f t="shared" si="26"/>
        <v/>
      </c>
      <c r="C126" s="469">
        <f>IF(D93="","-",+C125+1)</f>
        <v>2045</v>
      </c>
      <c r="D126" s="344">
        <f>IF(F125+SUM(E$99:E125)=D$92,F125,D$92-SUM(E$99:E125))</f>
        <v>76069</v>
      </c>
      <c r="E126" s="481">
        <f t="shared" si="31"/>
        <v>6421</v>
      </c>
      <c r="F126" s="482">
        <f t="shared" si="32"/>
        <v>69648</v>
      </c>
      <c r="G126" s="482">
        <f t="shared" si="33"/>
        <v>72858.5</v>
      </c>
      <c r="H126" s="483">
        <f t="shared" si="34"/>
        <v>16207.259714857259</v>
      </c>
      <c r="I126" s="539">
        <f t="shared" si="35"/>
        <v>16207.259714857259</v>
      </c>
      <c r="J126" s="475">
        <f t="shared" si="20"/>
        <v>0</v>
      </c>
      <c r="K126" s="475"/>
      <c r="L126" s="484"/>
      <c r="M126" s="475">
        <f t="shared" si="36"/>
        <v>0</v>
      </c>
      <c r="N126" s="484"/>
      <c r="O126" s="475">
        <f t="shared" si="24"/>
        <v>0</v>
      </c>
      <c r="P126" s="475">
        <f t="shared" si="25"/>
        <v>0</v>
      </c>
    </row>
    <row r="127" spans="2:16" ht="12.5">
      <c r="B127" s="160" t="str">
        <f t="shared" si="26"/>
        <v/>
      </c>
      <c r="C127" s="469">
        <f>IF(D93="","-",+C126+1)</f>
        <v>2046</v>
      </c>
      <c r="D127" s="344">
        <f>IF(F126+SUM(E$99:E126)=D$92,F126,D$92-SUM(E$99:E126))</f>
        <v>69648</v>
      </c>
      <c r="E127" s="481">
        <f t="shared" si="31"/>
        <v>6421</v>
      </c>
      <c r="F127" s="482">
        <f t="shared" si="32"/>
        <v>63227</v>
      </c>
      <c r="G127" s="482">
        <f t="shared" si="33"/>
        <v>66437.5</v>
      </c>
      <c r="H127" s="483">
        <f t="shared" si="34"/>
        <v>15344.799279505192</v>
      </c>
      <c r="I127" s="539">
        <f t="shared" si="35"/>
        <v>15344.799279505192</v>
      </c>
      <c r="J127" s="475">
        <f t="shared" si="20"/>
        <v>0</v>
      </c>
      <c r="K127" s="475"/>
      <c r="L127" s="484"/>
      <c r="M127" s="475">
        <f t="shared" si="36"/>
        <v>0</v>
      </c>
      <c r="N127" s="484"/>
      <c r="O127" s="475">
        <f t="shared" si="24"/>
        <v>0</v>
      </c>
      <c r="P127" s="475">
        <f t="shared" si="25"/>
        <v>0</v>
      </c>
    </row>
    <row r="128" spans="2:16" ht="12.5">
      <c r="B128" s="160" t="str">
        <f t="shared" si="26"/>
        <v/>
      </c>
      <c r="C128" s="469">
        <f>IF(D93="","-",+C127+1)</f>
        <v>2047</v>
      </c>
      <c r="D128" s="344">
        <f>IF(F127+SUM(E$99:E127)=D$92,F127,D$92-SUM(E$99:E127))</f>
        <v>63227</v>
      </c>
      <c r="E128" s="481">
        <f t="shared" si="31"/>
        <v>6421</v>
      </c>
      <c r="F128" s="482">
        <f t="shared" si="32"/>
        <v>56806</v>
      </c>
      <c r="G128" s="482">
        <f t="shared" si="33"/>
        <v>60016.5</v>
      </c>
      <c r="H128" s="483">
        <f t="shared" si="34"/>
        <v>14482.338844153128</v>
      </c>
      <c r="I128" s="539">
        <f t="shared" si="35"/>
        <v>14482.338844153128</v>
      </c>
      <c r="J128" s="475">
        <f t="shared" si="20"/>
        <v>0</v>
      </c>
      <c r="K128" s="475"/>
      <c r="L128" s="484"/>
      <c r="M128" s="475">
        <f t="shared" si="36"/>
        <v>0</v>
      </c>
      <c r="N128" s="484"/>
      <c r="O128" s="475">
        <f t="shared" si="24"/>
        <v>0</v>
      </c>
      <c r="P128" s="475">
        <f t="shared" si="25"/>
        <v>0</v>
      </c>
    </row>
    <row r="129" spans="2:16" ht="12.5">
      <c r="B129" s="160" t="str">
        <f t="shared" si="26"/>
        <v/>
      </c>
      <c r="C129" s="469">
        <f>IF(D93="","-",+C128+1)</f>
        <v>2048</v>
      </c>
      <c r="D129" s="344">
        <f>IF(F128+SUM(E$99:E128)=D$92,F128,D$92-SUM(E$99:E128))</f>
        <v>56806</v>
      </c>
      <c r="E129" s="481">
        <f t="shared" si="31"/>
        <v>6421</v>
      </c>
      <c r="F129" s="482">
        <f t="shared" si="32"/>
        <v>50385</v>
      </c>
      <c r="G129" s="482">
        <f t="shared" si="33"/>
        <v>53595.5</v>
      </c>
      <c r="H129" s="483">
        <f t="shared" si="34"/>
        <v>13619.878408801062</v>
      </c>
      <c r="I129" s="539">
        <f t="shared" si="35"/>
        <v>13619.878408801062</v>
      </c>
      <c r="J129" s="475">
        <f t="shared" si="20"/>
        <v>0</v>
      </c>
      <c r="K129" s="475"/>
      <c r="L129" s="484"/>
      <c r="M129" s="475">
        <f t="shared" si="36"/>
        <v>0</v>
      </c>
      <c r="N129" s="484"/>
      <c r="O129" s="475">
        <f t="shared" si="24"/>
        <v>0</v>
      </c>
      <c r="P129" s="475">
        <f t="shared" si="25"/>
        <v>0</v>
      </c>
    </row>
    <row r="130" spans="2:16" ht="12.5">
      <c r="B130" s="160" t="str">
        <f t="shared" si="26"/>
        <v/>
      </c>
      <c r="C130" s="469">
        <f>IF(D93="","-",+C129+1)</f>
        <v>2049</v>
      </c>
      <c r="D130" s="344">
        <f>IF(F129+SUM(E$99:E129)=D$92,F129,D$92-SUM(E$99:E129))</f>
        <v>50385</v>
      </c>
      <c r="E130" s="481">
        <f t="shared" si="31"/>
        <v>6421</v>
      </c>
      <c r="F130" s="482">
        <f t="shared" si="32"/>
        <v>43964</v>
      </c>
      <c r="G130" s="482">
        <f t="shared" si="33"/>
        <v>47174.5</v>
      </c>
      <c r="H130" s="483">
        <f t="shared" si="34"/>
        <v>12757.417973448995</v>
      </c>
      <c r="I130" s="539">
        <f t="shared" si="35"/>
        <v>12757.417973448995</v>
      </c>
      <c r="J130" s="475">
        <f t="shared" si="20"/>
        <v>0</v>
      </c>
      <c r="K130" s="475"/>
      <c r="L130" s="484"/>
      <c r="M130" s="475">
        <f t="shared" si="36"/>
        <v>0</v>
      </c>
      <c r="N130" s="484"/>
      <c r="O130" s="475">
        <f t="shared" si="24"/>
        <v>0</v>
      </c>
      <c r="P130" s="475">
        <f t="shared" si="25"/>
        <v>0</v>
      </c>
    </row>
    <row r="131" spans="2:16" ht="12.5">
      <c r="B131" s="160" t="str">
        <f t="shared" si="26"/>
        <v/>
      </c>
      <c r="C131" s="469">
        <f>IF(D93="","-",+C130+1)</f>
        <v>2050</v>
      </c>
      <c r="D131" s="344">
        <f>IF(F130+SUM(E$99:E130)=D$92,F130,D$92-SUM(E$99:E130))</f>
        <v>43964</v>
      </c>
      <c r="E131" s="481">
        <f t="shared" si="31"/>
        <v>6421</v>
      </c>
      <c r="F131" s="482">
        <f t="shared" si="32"/>
        <v>37543</v>
      </c>
      <c r="G131" s="482">
        <f t="shared" si="33"/>
        <v>40753.5</v>
      </c>
      <c r="H131" s="483">
        <f t="shared" si="34"/>
        <v>11894.957538096931</v>
      </c>
      <c r="I131" s="539">
        <f t="shared" si="35"/>
        <v>11894.957538096931</v>
      </c>
      <c r="J131" s="475">
        <f t="shared" ref="J131:J154" si="37">+I541-H541</f>
        <v>0</v>
      </c>
      <c r="K131" s="475"/>
      <c r="L131" s="484"/>
      <c r="M131" s="475">
        <f t="shared" ref="M131:M154" si="38">IF(L541&lt;&gt;0,+H541-L541,0)</f>
        <v>0</v>
      </c>
      <c r="N131" s="484"/>
      <c r="O131" s="475">
        <f t="shared" ref="O131:O154" si="39">IF(N541&lt;&gt;0,+I541-N541,0)</f>
        <v>0</v>
      </c>
      <c r="P131" s="475">
        <f t="shared" ref="P131:P154" si="40">+O541-M541</f>
        <v>0</v>
      </c>
    </row>
    <row r="132" spans="2:16" ht="12.5">
      <c r="B132" s="160" t="str">
        <f t="shared" si="26"/>
        <v/>
      </c>
      <c r="C132" s="469">
        <f>IF(D93="","-",+C131+1)</f>
        <v>2051</v>
      </c>
      <c r="D132" s="344">
        <f>IF(F131+SUM(E$99:E131)=D$92,F131,D$92-SUM(E$99:E131))</f>
        <v>37543</v>
      </c>
      <c r="E132" s="481">
        <f t="shared" si="31"/>
        <v>6421</v>
      </c>
      <c r="F132" s="482">
        <f t="shared" si="32"/>
        <v>31122</v>
      </c>
      <c r="G132" s="482">
        <f t="shared" si="33"/>
        <v>34332.5</v>
      </c>
      <c r="H132" s="483">
        <f t="shared" si="34"/>
        <v>11032.497102744866</v>
      </c>
      <c r="I132" s="539">
        <f t="shared" si="35"/>
        <v>11032.497102744866</v>
      </c>
      <c r="J132" s="475">
        <f t="shared" si="37"/>
        <v>0</v>
      </c>
      <c r="K132" s="475"/>
      <c r="L132" s="484"/>
      <c r="M132" s="475">
        <f t="shared" si="38"/>
        <v>0</v>
      </c>
      <c r="N132" s="484"/>
      <c r="O132" s="475">
        <f t="shared" si="39"/>
        <v>0</v>
      </c>
      <c r="P132" s="475">
        <f t="shared" si="40"/>
        <v>0</v>
      </c>
    </row>
    <row r="133" spans="2:16" ht="12.5">
      <c r="B133" s="160" t="str">
        <f t="shared" si="26"/>
        <v/>
      </c>
      <c r="C133" s="469">
        <f>IF(D93="","-",+C132+1)</f>
        <v>2052</v>
      </c>
      <c r="D133" s="344">
        <f>IF(F132+SUM(E$99:E132)=D$92,F132,D$92-SUM(E$99:E132))</f>
        <v>31122</v>
      </c>
      <c r="E133" s="481">
        <f t="shared" si="31"/>
        <v>6421</v>
      </c>
      <c r="F133" s="482">
        <f t="shared" si="32"/>
        <v>24701</v>
      </c>
      <c r="G133" s="482">
        <f t="shared" si="33"/>
        <v>27911.5</v>
      </c>
      <c r="H133" s="483">
        <f t="shared" si="34"/>
        <v>10170.0366673928</v>
      </c>
      <c r="I133" s="539">
        <f t="shared" si="35"/>
        <v>10170.0366673928</v>
      </c>
      <c r="J133" s="475">
        <f t="shared" si="37"/>
        <v>0</v>
      </c>
      <c r="K133" s="475"/>
      <c r="L133" s="484"/>
      <c r="M133" s="475">
        <f t="shared" si="38"/>
        <v>0</v>
      </c>
      <c r="N133" s="484"/>
      <c r="O133" s="475">
        <f t="shared" si="39"/>
        <v>0</v>
      </c>
      <c r="P133" s="475">
        <f t="shared" si="40"/>
        <v>0</v>
      </c>
    </row>
    <row r="134" spans="2:16" ht="12.5">
      <c r="B134" s="160" t="str">
        <f t="shared" si="26"/>
        <v/>
      </c>
      <c r="C134" s="469">
        <f>IF(D93="","-",+C133+1)</f>
        <v>2053</v>
      </c>
      <c r="D134" s="344">
        <f>IF(F133+SUM(E$99:E133)=D$92,F133,D$92-SUM(E$99:E133))</f>
        <v>24701</v>
      </c>
      <c r="E134" s="481">
        <f t="shared" si="31"/>
        <v>6421</v>
      </c>
      <c r="F134" s="482">
        <f t="shared" si="32"/>
        <v>18280</v>
      </c>
      <c r="G134" s="482">
        <f t="shared" si="33"/>
        <v>21490.5</v>
      </c>
      <c r="H134" s="483">
        <f t="shared" si="34"/>
        <v>9307.5762320407357</v>
      </c>
      <c r="I134" s="539">
        <f t="shared" si="35"/>
        <v>9307.5762320407357</v>
      </c>
      <c r="J134" s="475">
        <f t="shared" si="37"/>
        <v>0</v>
      </c>
      <c r="K134" s="475"/>
      <c r="L134" s="484"/>
      <c r="M134" s="475">
        <f t="shared" si="38"/>
        <v>0</v>
      </c>
      <c r="N134" s="484"/>
      <c r="O134" s="475">
        <f t="shared" si="39"/>
        <v>0</v>
      </c>
      <c r="P134" s="475">
        <f t="shared" si="40"/>
        <v>0</v>
      </c>
    </row>
    <row r="135" spans="2:16" ht="12.5">
      <c r="B135" s="160" t="str">
        <f t="shared" si="26"/>
        <v/>
      </c>
      <c r="C135" s="469">
        <f>IF(D93="","-",+C134+1)</f>
        <v>2054</v>
      </c>
      <c r="D135" s="344">
        <f>IF(F134+SUM(E$99:E134)=D$92,F134,D$92-SUM(E$99:E134))</f>
        <v>18280</v>
      </c>
      <c r="E135" s="481">
        <f t="shared" si="31"/>
        <v>6421</v>
      </c>
      <c r="F135" s="482">
        <f t="shared" si="32"/>
        <v>11859</v>
      </c>
      <c r="G135" s="482">
        <f t="shared" si="33"/>
        <v>15069.5</v>
      </c>
      <c r="H135" s="483">
        <f t="shared" si="34"/>
        <v>8445.1157966886694</v>
      </c>
      <c r="I135" s="539">
        <f t="shared" si="35"/>
        <v>8445.1157966886694</v>
      </c>
      <c r="J135" s="475">
        <f t="shared" si="37"/>
        <v>0</v>
      </c>
      <c r="K135" s="475"/>
      <c r="L135" s="484"/>
      <c r="M135" s="475">
        <f t="shared" si="38"/>
        <v>0</v>
      </c>
      <c r="N135" s="484"/>
      <c r="O135" s="475">
        <f t="shared" si="39"/>
        <v>0</v>
      </c>
      <c r="P135" s="475">
        <f t="shared" si="40"/>
        <v>0</v>
      </c>
    </row>
    <row r="136" spans="2:16" ht="12.5">
      <c r="B136" s="160" t="str">
        <f t="shared" si="26"/>
        <v/>
      </c>
      <c r="C136" s="469">
        <f>IF(D93="","-",+C135+1)</f>
        <v>2055</v>
      </c>
      <c r="D136" s="344">
        <f>IF(F135+SUM(E$99:E135)=D$92,F135,D$92-SUM(E$99:E135))</f>
        <v>11859</v>
      </c>
      <c r="E136" s="481">
        <f t="shared" si="31"/>
        <v>6421</v>
      </c>
      <c r="F136" s="482">
        <f t="shared" si="32"/>
        <v>5438</v>
      </c>
      <c r="G136" s="482">
        <f t="shared" si="33"/>
        <v>8648.5</v>
      </c>
      <c r="H136" s="483">
        <f t="shared" si="34"/>
        <v>7582.655361336605</v>
      </c>
      <c r="I136" s="539">
        <f t="shared" si="35"/>
        <v>7582.655361336605</v>
      </c>
      <c r="J136" s="475">
        <f t="shared" si="37"/>
        <v>0</v>
      </c>
      <c r="K136" s="475"/>
      <c r="L136" s="484"/>
      <c r="M136" s="475">
        <f t="shared" si="38"/>
        <v>0</v>
      </c>
      <c r="N136" s="484"/>
      <c r="O136" s="475">
        <f t="shared" si="39"/>
        <v>0</v>
      </c>
      <c r="P136" s="475">
        <f t="shared" si="40"/>
        <v>0</v>
      </c>
    </row>
    <row r="137" spans="2:16" ht="12.5">
      <c r="B137" s="160" t="str">
        <f t="shared" si="26"/>
        <v/>
      </c>
      <c r="C137" s="469">
        <f>IF(D93="","-",+C136+1)</f>
        <v>2056</v>
      </c>
      <c r="D137" s="344">
        <f>IF(F136+SUM(E$99:E136)=D$92,F136,D$92-SUM(E$99:E136))</f>
        <v>5438</v>
      </c>
      <c r="E137" s="481">
        <f t="shared" si="31"/>
        <v>5438</v>
      </c>
      <c r="F137" s="482">
        <f t="shared" si="32"/>
        <v>0</v>
      </c>
      <c r="G137" s="482">
        <f t="shared" si="33"/>
        <v>2719</v>
      </c>
      <c r="H137" s="483">
        <f t="shared" si="34"/>
        <v>5803.2125718302859</v>
      </c>
      <c r="I137" s="539">
        <f t="shared" si="35"/>
        <v>5803.2125718302859</v>
      </c>
      <c r="J137" s="475">
        <f t="shared" si="37"/>
        <v>0</v>
      </c>
      <c r="K137" s="475"/>
      <c r="L137" s="484"/>
      <c r="M137" s="475">
        <f t="shared" si="38"/>
        <v>0</v>
      </c>
      <c r="N137" s="484"/>
      <c r="O137" s="475">
        <f t="shared" si="39"/>
        <v>0</v>
      </c>
      <c r="P137" s="475">
        <f t="shared" si="40"/>
        <v>0</v>
      </c>
    </row>
    <row r="138" spans="2:16" ht="12.5">
      <c r="B138" s="160" t="str">
        <f t="shared" si="26"/>
        <v/>
      </c>
      <c r="C138" s="469">
        <f>IF(D93="","-",+C137+1)</f>
        <v>2057</v>
      </c>
      <c r="D138" s="344">
        <f>IF(F137+SUM(E$99:E137)=D$92,F137,D$92-SUM(E$99:E137))</f>
        <v>0</v>
      </c>
      <c r="E138" s="481">
        <f t="shared" si="31"/>
        <v>0</v>
      </c>
      <c r="F138" s="482">
        <f t="shared" si="32"/>
        <v>0</v>
      </c>
      <c r="G138" s="482">
        <f t="shared" si="33"/>
        <v>0</v>
      </c>
      <c r="H138" s="483">
        <f t="shared" si="34"/>
        <v>0</v>
      </c>
      <c r="I138" s="539">
        <f t="shared" si="35"/>
        <v>0</v>
      </c>
      <c r="J138" s="475">
        <f t="shared" si="37"/>
        <v>0</v>
      </c>
      <c r="K138" s="475"/>
      <c r="L138" s="484"/>
      <c r="M138" s="475">
        <f t="shared" si="38"/>
        <v>0</v>
      </c>
      <c r="N138" s="484"/>
      <c r="O138" s="475">
        <f t="shared" si="39"/>
        <v>0</v>
      </c>
      <c r="P138" s="475">
        <f t="shared" si="40"/>
        <v>0</v>
      </c>
    </row>
    <row r="139" spans="2:16" ht="12.5">
      <c r="B139" s="160" t="str">
        <f t="shared" si="26"/>
        <v/>
      </c>
      <c r="C139" s="469">
        <f>IF(D93="","-",+C138+1)</f>
        <v>2058</v>
      </c>
      <c r="D139" s="344">
        <f>IF(F138+SUM(E$99:E138)=D$92,F138,D$92-SUM(E$99:E138))</f>
        <v>0</v>
      </c>
      <c r="E139" s="481">
        <f t="shared" si="31"/>
        <v>0</v>
      </c>
      <c r="F139" s="482">
        <f t="shared" si="32"/>
        <v>0</v>
      </c>
      <c r="G139" s="482">
        <f t="shared" si="33"/>
        <v>0</v>
      </c>
      <c r="H139" s="483">
        <f t="shared" si="34"/>
        <v>0</v>
      </c>
      <c r="I139" s="539">
        <f t="shared" si="35"/>
        <v>0</v>
      </c>
      <c r="J139" s="475">
        <f t="shared" si="37"/>
        <v>0</v>
      </c>
      <c r="K139" s="475"/>
      <c r="L139" s="484"/>
      <c r="M139" s="475">
        <f t="shared" si="38"/>
        <v>0</v>
      </c>
      <c r="N139" s="484"/>
      <c r="O139" s="475">
        <f t="shared" si="39"/>
        <v>0</v>
      </c>
      <c r="P139" s="475">
        <f t="shared" si="40"/>
        <v>0</v>
      </c>
    </row>
    <row r="140" spans="2:16" ht="12.5">
      <c r="B140" s="160" t="str">
        <f t="shared" si="26"/>
        <v/>
      </c>
      <c r="C140" s="469">
        <f>IF(D93="","-",+C139+1)</f>
        <v>2059</v>
      </c>
      <c r="D140" s="344">
        <f>IF(F139+SUM(E$99:E139)=D$92,F139,D$92-SUM(E$99:E139))</f>
        <v>0</v>
      </c>
      <c r="E140" s="481">
        <f t="shared" si="31"/>
        <v>0</v>
      </c>
      <c r="F140" s="482">
        <f t="shared" si="32"/>
        <v>0</v>
      </c>
      <c r="G140" s="482">
        <f t="shared" si="33"/>
        <v>0</v>
      </c>
      <c r="H140" s="483">
        <f t="shared" si="34"/>
        <v>0</v>
      </c>
      <c r="I140" s="539">
        <f t="shared" si="35"/>
        <v>0</v>
      </c>
      <c r="J140" s="475">
        <f t="shared" si="37"/>
        <v>0</v>
      </c>
      <c r="K140" s="475"/>
      <c r="L140" s="484"/>
      <c r="M140" s="475">
        <f t="shared" si="38"/>
        <v>0</v>
      </c>
      <c r="N140" s="484"/>
      <c r="O140" s="475">
        <f t="shared" si="39"/>
        <v>0</v>
      </c>
      <c r="P140" s="475">
        <f t="shared" si="40"/>
        <v>0</v>
      </c>
    </row>
    <row r="141" spans="2:16" ht="12.5">
      <c r="B141" s="160" t="str">
        <f t="shared" si="26"/>
        <v/>
      </c>
      <c r="C141" s="469">
        <f>IF(D93="","-",+C140+1)</f>
        <v>2060</v>
      </c>
      <c r="D141" s="344">
        <f>IF(F140+SUM(E$99:E140)=D$92,F140,D$92-SUM(E$99:E140))</f>
        <v>0</v>
      </c>
      <c r="E141" s="481">
        <f t="shared" si="31"/>
        <v>0</v>
      </c>
      <c r="F141" s="482">
        <f t="shared" si="32"/>
        <v>0</v>
      </c>
      <c r="G141" s="482">
        <f t="shared" si="33"/>
        <v>0</v>
      </c>
      <c r="H141" s="483">
        <f t="shared" si="34"/>
        <v>0</v>
      </c>
      <c r="I141" s="539">
        <f t="shared" si="35"/>
        <v>0</v>
      </c>
      <c r="J141" s="475">
        <f t="shared" si="37"/>
        <v>0</v>
      </c>
      <c r="K141" s="475"/>
      <c r="L141" s="484"/>
      <c r="M141" s="475">
        <f t="shared" si="38"/>
        <v>0</v>
      </c>
      <c r="N141" s="484"/>
      <c r="O141" s="475">
        <f t="shared" si="39"/>
        <v>0</v>
      </c>
      <c r="P141" s="475">
        <f t="shared" si="40"/>
        <v>0</v>
      </c>
    </row>
    <row r="142" spans="2:16" ht="12.5">
      <c r="B142" s="160" t="str">
        <f t="shared" si="26"/>
        <v/>
      </c>
      <c r="C142" s="469">
        <f>IF(D93="","-",+C141+1)</f>
        <v>2061</v>
      </c>
      <c r="D142" s="344">
        <f>IF(F141+SUM(E$99:E141)=D$92,F141,D$92-SUM(E$99:E141))</f>
        <v>0</v>
      </c>
      <c r="E142" s="481">
        <f t="shared" si="31"/>
        <v>0</v>
      </c>
      <c r="F142" s="482">
        <f t="shared" si="32"/>
        <v>0</v>
      </c>
      <c r="G142" s="482">
        <f t="shared" si="33"/>
        <v>0</v>
      </c>
      <c r="H142" s="483">
        <f t="shared" si="34"/>
        <v>0</v>
      </c>
      <c r="I142" s="539">
        <f t="shared" si="35"/>
        <v>0</v>
      </c>
      <c r="J142" s="475">
        <f t="shared" si="37"/>
        <v>0</v>
      </c>
      <c r="K142" s="475"/>
      <c r="L142" s="484"/>
      <c r="M142" s="475">
        <f t="shared" si="38"/>
        <v>0</v>
      </c>
      <c r="N142" s="484"/>
      <c r="O142" s="475">
        <f t="shared" si="39"/>
        <v>0</v>
      </c>
      <c r="P142" s="475">
        <f t="shared" si="40"/>
        <v>0</v>
      </c>
    </row>
    <row r="143" spans="2:16" ht="12.5">
      <c r="B143" s="160" t="str">
        <f t="shared" si="26"/>
        <v/>
      </c>
      <c r="C143" s="469">
        <f>IF(D93="","-",+C142+1)</f>
        <v>2062</v>
      </c>
      <c r="D143" s="344">
        <f>IF(F142+SUM(E$99:E142)=D$92,F142,D$92-SUM(E$99:E142))</f>
        <v>0</v>
      </c>
      <c r="E143" s="481">
        <f t="shared" si="31"/>
        <v>0</v>
      </c>
      <c r="F143" s="482">
        <f t="shared" si="32"/>
        <v>0</v>
      </c>
      <c r="G143" s="482">
        <f t="shared" si="33"/>
        <v>0</v>
      </c>
      <c r="H143" s="483">
        <f t="shared" si="34"/>
        <v>0</v>
      </c>
      <c r="I143" s="539">
        <f t="shared" si="35"/>
        <v>0</v>
      </c>
      <c r="J143" s="475">
        <f t="shared" si="37"/>
        <v>0</v>
      </c>
      <c r="K143" s="475"/>
      <c r="L143" s="484"/>
      <c r="M143" s="475">
        <f t="shared" si="38"/>
        <v>0</v>
      </c>
      <c r="N143" s="484"/>
      <c r="O143" s="475">
        <f t="shared" si="39"/>
        <v>0</v>
      </c>
      <c r="P143" s="475">
        <f t="shared" si="40"/>
        <v>0</v>
      </c>
    </row>
    <row r="144" spans="2:16" ht="12.5">
      <c r="B144" s="160" t="str">
        <f t="shared" si="26"/>
        <v/>
      </c>
      <c r="C144" s="469">
        <f>IF(D93="","-",+C143+1)</f>
        <v>2063</v>
      </c>
      <c r="D144" s="344">
        <f>IF(F143+SUM(E$99:E143)=D$92,F143,D$92-SUM(E$99:E143))</f>
        <v>0</v>
      </c>
      <c r="E144" s="481">
        <f t="shared" si="31"/>
        <v>0</v>
      </c>
      <c r="F144" s="482">
        <f t="shared" si="32"/>
        <v>0</v>
      </c>
      <c r="G144" s="482">
        <f t="shared" si="33"/>
        <v>0</v>
      </c>
      <c r="H144" s="483">
        <f t="shared" si="34"/>
        <v>0</v>
      </c>
      <c r="I144" s="539">
        <f t="shared" si="35"/>
        <v>0</v>
      </c>
      <c r="J144" s="475">
        <f t="shared" si="37"/>
        <v>0</v>
      </c>
      <c r="K144" s="475"/>
      <c r="L144" s="484"/>
      <c r="M144" s="475">
        <f t="shared" si="38"/>
        <v>0</v>
      </c>
      <c r="N144" s="484"/>
      <c r="O144" s="475">
        <f t="shared" si="39"/>
        <v>0</v>
      </c>
      <c r="P144" s="475">
        <f t="shared" si="40"/>
        <v>0</v>
      </c>
    </row>
    <row r="145" spans="2:16" ht="12.5">
      <c r="B145" s="160" t="str">
        <f t="shared" si="26"/>
        <v/>
      </c>
      <c r="C145" s="469">
        <f>IF(D93="","-",+C144+1)</f>
        <v>2064</v>
      </c>
      <c r="D145" s="344">
        <f>IF(F144+SUM(E$99:E144)=D$92,F144,D$92-SUM(E$99:E144))</f>
        <v>0</v>
      </c>
      <c r="E145" s="481">
        <f t="shared" si="31"/>
        <v>0</v>
      </c>
      <c r="F145" s="482">
        <f t="shared" si="32"/>
        <v>0</v>
      </c>
      <c r="G145" s="482">
        <f t="shared" si="33"/>
        <v>0</v>
      </c>
      <c r="H145" s="483">
        <f t="shared" si="34"/>
        <v>0</v>
      </c>
      <c r="I145" s="539">
        <f t="shared" si="35"/>
        <v>0</v>
      </c>
      <c r="J145" s="475">
        <f t="shared" si="37"/>
        <v>0</v>
      </c>
      <c r="K145" s="475"/>
      <c r="L145" s="484"/>
      <c r="M145" s="475">
        <f t="shared" si="38"/>
        <v>0</v>
      </c>
      <c r="N145" s="484"/>
      <c r="O145" s="475">
        <f t="shared" si="39"/>
        <v>0</v>
      </c>
      <c r="P145" s="475">
        <f t="shared" si="40"/>
        <v>0</v>
      </c>
    </row>
    <row r="146" spans="2:16" ht="12.5">
      <c r="B146" s="160" t="str">
        <f t="shared" si="26"/>
        <v/>
      </c>
      <c r="C146" s="469">
        <f>IF(D93="","-",+C145+1)</f>
        <v>2065</v>
      </c>
      <c r="D146" s="344">
        <f>IF(F145+SUM(E$99:E145)=D$92,F145,D$92-SUM(E$99:E145))</f>
        <v>0</v>
      </c>
      <c r="E146" s="481">
        <f t="shared" si="31"/>
        <v>0</v>
      </c>
      <c r="F146" s="482">
        <f t="shared" si="32"/>
        <v>0</v>
      </c>
      <c r="G146" s="482">
        <f t="shared" si="33"/>
        <v>0</v>
      </c>
      <c r="H146" s="483">
        <f t="shared" si="34"/>
        <v>0</v>
      </c>
      <c r="I146" s="539">
        <f t="shared" si="35"/>
        <v>0</v>
      </c>
      <c r="J146" s="475">
        <f t="shared" si="37"/>
        <v>0</v>
      </c>
      <c r="K146" s="475"/>
      <c r="L146" s="484"/>
      <c r="M146" s="475">
        <f t="shared" si="38"/>
        <v>0</v>
      </c>
      <c r="N146" s="484"/>
      <c r="O146" s="475">
        <f t="shared" si="39"/>
        <v>0</v>
      </c>
      <c r="P146" s="475">
        <f t="shared" si="40"/>
        <v>0</v>
      </c>
    </row>
    <row r="147" spans="2:16" ht="12.5">
      <c r="B147" s="160" t="str">
        <f t="shared" si="26"/>
        <v/>
      </c>
      <c r="C147" s="469">
        <f>IF(D93="","-",+C146+1)</f>
        <v>2066</v>
      </c>
      <c r="D147" s="344">
        <f>IF(F146+SUM(E$99:E146)=D$92,F146,D$92-SUM(E$99:E146))</f>
        <v>0</v>
      </c>
      <c r="E147" s="481">
        <f t="shared" si="31"/>
        <v>0</v>
      </c>
      <c r="F147" s="482">
        <f t="shared" si="32"/>
        <v>0</v>
      </c>
      <c r="G147" s="482">
        <f t="shared" si="33"/>
        <v>0</v>
      </c>
      <c r="H147" s="483">
        <f t="shared" si="34"/>
        <v>0</v>
      </c>
      <c r="I147" s="539">
        <f t="shared" si="35"/>
        <v>0</v>
      </c>
      <c r="J147" s="475">
        <f t="shared" si="37"/>
        <v>0</v>
      </c>
      <c r="K147" s="475"/>
      <c r="L147" s="484"/>
      <c r="M147" s="475">
        <f t="shared" si="38"/>
        <v>0</v>
      </c>
      <c r="N147" s="484"/>
      <c r="O147" s="475">
        <f t="shared" si="39"/>
        <v>0</v>
      </c>
      <c r="P147" s="475">
        <f t="shared" si="40"/>
        <v>0</v>
      </c>
    </row>
    <row r="148" spans="2:16" ht="12.5">
      <c r="B148" s="160" t="str">
        <f t="shared" si="26"/>
        <v/>
      </c>
      <c r="C148" s="469">
        <f>IF(D93="","-",+C147+1)</f>
        <v>2067</v>
      </c>
      <c r="D148" s="344">
        <f>IF(F147+SUM(E$99:E147)=D$92,F147,D$92-SUM(E$99:E147))</f>
        <v>0</v>
      </c>
      <c r="E148" s="481">
        <f t="shared" si="31"/>
        <v>0</v>
      </c>
      <c r="F148" s="482">
        <f t="shared" si="32"/>
        <v>0</v>
      </c>
      <c r="G148" s="482">
        <f t="shared" si="33"/>
        <v>0</v>
      </c>
      <c r="H148" s="483">
        <f t="shared" si="34"/>
        <v>0</v>
      </c>
      <c r="I148" s="539">
        <f t="shared" si="35"/>
        <v>0</v>
      </c>
      <c r="J148" s="475">
        <f t="shared" si="37"/>
        <v>0</v>
      </c>
      <c r="K148" s="475"/>
      <c r="L148" s="484"/>
      <c r="M148" s="475">
        <f t="shared" si="38"/>
        <v>0</v>
      </c>
      <c r="N148" s="484"/>
      <c r="O148" s="475">
        <f t="shared" si="39"/>
        <v>0</v>
      </c>
      <c r="P148" s="475">
        <f t="shared" si="40"/>
        <v>0</v>
      </c>
    </row>
    <row r="149" spans="2:16" ht="12.5">
      <c r="B149" s="160" t="str">
        <f t="shared" si="26"/>
        <v/>
      </c>
      <c r="C149" s="469">
        <f>IF(D93="","-",+C148+1)</f>
        <v>2068</v>
      </c>
      <c r="D149" s="344">
        <f>IF(F148+SUM(E$99:E148)=D$92,F148,D$92-SUM(E$99:E148))</f>
        <v>0</v>
      </c>
      <c r="E149" s="481">
        <f t="shared" si="31"/>
        <v>0</v>
      </c>
      <c r="F149" s="482">
        <f t="shared" si="32"/>
        <v>0</v>
      </c>
      <c r="G149" s="482">
        <f t="shared" si="33"/>
        <v>0</v>
      </c>
      <c r="H149" s="483">
        <f t="shared" si="34"/>
        <v>0</v>
      </c>
      <c r="I149" s="539">
        <f t="shared" si="35"/>
        <v>0</v>
      </c>
      <c r="J149" s="475">
        <f t="shared" si="37"/>
        <v>0</v>
      </c>
      <c r="K149" s="475"/>
      <c r="L149" s="484"/>
      <c r="M149" s="475">
        <f t="shared" si="38"/>
        <v>0</v>
      </c>
      <c r="N149" s="484"/>
      <c r="O149" s="475">
        <f t="shared" si="39"/>
        <v>0</v>
      </c>
      <c r="P149" s="475">
        <f t="shared" si="40"/>
        <v>0</v>
      </c>
    </row>
    <row r="150" spans="2:16" ht="12.5">
      <c r="B150" s="160" t="str">
        <f t="shared" si="26"/>
        <v/>
      </c>
      <c r="C150" s="469">
        <f>IF(D93="","-",+C149+1)</f>
        <v>2069</v>
      </c>
      <c r="D150" s="344">
        <f>IF(F149+SUM(E$99:E149)=D$92,F149,D$92-SUM(E$99:E149))</f>
        <v>0</v>
      </c>
      <c r="E150" s="481">
        <f t="shared" si="31"/>
        <v>0</v>
      </c>
      <c r="F150" s="482">
        <f t="shared" si="32"/>
        <v>0</v>
      </c>
      <c r="G150" s="482">
        <f t="shared" si="33"/>
        <v>0</v>
      </c>
      <c r="H150" s="483">
        <f t="shared" si="34"/>
        <v>0</v>
      </c>
      <c r="I150" s="539">
        <f t="shared" si="35"/>
        <v>0</v>
      </c>
      <c r="J150" s="475">
        <f t="shared" si="37"/>
        <v>0</v>
      </c>
      <c r="K150" s="475"/>
      <c r="L150" s="484"/>
      <c r="M150" s="475">
        <f t="shared" si="38"/>
        <v>0</v>
      </c>
      <c r="N150" s="484"/>
      <c r="O150" s="475">
        <f t="shared" si="39"/>
        <v>0</v>
      </c>
      <c r="P150" s="475">
        <f t="shared" si="40"/>
        <v>0</v>
      </c>
    </row>
    <row r="151" spans="2:16" ht="12.5">
      <c r="B151" s="160" t="str">
        <f t="shared" si="26"/>
        <v/>
      </c>
      <c r="C151" s="469">
        <f>IF(D93="","-",+C150+1)</f>
        <v>2070</v>
      </c>
      <c r="D151" s="344">
        <f>IF(F150+SUM(E$99:E150)=D$92,F150,D$92-SUM(E$99:E150))</f>
        <v>0</v>
      </c>
      <c r="E151" s="481">
        <f t="shared" si="31"/>
        <v>0</v>
      </c>
      <c r="F151" s="482">
        <f t="shared" si="32"/>
        <v>0</v>
      </c>
      <c r="G151" s="482">
        <f t="shared" si="33"/>
        <v>0</v>
      </c>
      <c r="H151" s="483">
        <f t="shared" si="34"/>
        <v>0</v>
      </c>
      <c r="I151" s="539">
        <f t="shared" si="35"/>
        <v>0</v>
      </c>
      <c r="J151" s="475">
        <f t="shared" si="37"/>
        <v>0</v>
      </c>
      <c r="K151" s="475"/>
      <c r="L151" s="484"/>
      <c r="M151" s="475">
        <f t="shared" si="38"/>
        <v>0</v>
      </c>
      <c r="N151" s="484"/>
      <c r="O151" s="475">
        <f t="shared" si="39"/>
        <v>0</v>
      </c>
      <c r="P151" s="475">
        <f t="shared" si="40"/>
        <v>0</v>
      </c>
    </row>
    <row r="152" spans="2:16" ht="12.5">
      <c r="B152" s="160" t="str">
        <f t="shared" si="26"/>
        <v/>
      </c>
      <c r="C152" s="469">
        <f>IF(D93="","-",+C151+1)</f>
        <v>2071</v>
      </c>
      <c r="D152" s="344">
        <f>IF(F151+SUM(E$99:E151)=D$92,F151,D$92-SUM(E$99:E151))</f>
        <v>0</v>
      </c>
      <c r="E152" s="481">
        <f t="shared" si="31"/>
        <v>0</v>
      </c>
      <c r="F152" s="482">
        <f t="shared" si="32"/>
        <v>0</v>
      </c>
      <c r="G152" s="482">
        <f t="shared" si="33"/>
        <v>0</v>
      </c>
      <c r="H152" s="483">
        <f t="shared" si="34"/>
        <v>0</v>
      </c>
      <c r="I152" s="539">
        <f t="shared" si="35"/>
        <v>0</v>
      </c>
      <c r="J152" s="475">
        <f t="shared" si="37"/>
        <v>0</v>
      </c>
      <c r="K152" s="475"/>
      <c r="L152" s="484"/>
      <c r="M152" s="475">
        <f t="shared" si="38"/>
        <v>0</v>
      </c>
      <c r="N152" s="484"/>
      <c r="O152" s="475">
        <f t="shared" si="39"/>
        <v>0</v>
      </c>
      <c r="P152" s="475">
        <f t="shared" si="40"/>
        <v>0</v>
      </c>
    </row>
    <row r="153" spans="2:16" ht="12.5">
      <c r="B153" s="160" t="str">
        <f t="shared" si="26"/>
        <v/>
      </c>
      <c r="C153" s="469">
        <f>IF(D93="","-",+C152+1)</f>
        <v>2072</v>
      </c>
      <c r="D153" s="344">
        <f>IF(F152+SUM(E$99:E152)=D$92,F152,D$92-SUM(E$99:E152))</f>
        <v>0</v>
      </c>
      <c r="E153" s="481">
        <f t="shared" si="31"/>
        <v>0</v>
      </c>
      <c r="F153" s="482">
        <f t="shared" si="32"/>
        <v>0</v>
      </c>
      <c r="G153" s="482">
        <f t="shared" si="33"/>
        <v>0</v>
      </c>
      <c r="H153" s="483">
        <f t="shared" si="34"/>
        <v>0</v>
      </c>
      <c r="I153" s="539">
        <f t="shared" si="35"/>
        <v>0</v>
      </c>
      <c r="J153" s="475">
        <f t="shared" si="37"/>
        <v>0</v>
      </c>
      <c r="K153" s="475"/>
      <c r="L153" s="484"/>
      <c r="M153" s="475">
        <f t="shared" si="38"/>
        <v>0</v>
      </c>
      <c r="N153" s="484"/>
      <c r="O153" s="475">
        <f t="shared" si="39"/>
        <v>0</v>
      </c>
      <c r="P153" s="475">
        <f t="shared" si="40"/>
        <v>0</v>
      </c>
    </row>
    <row r="154" spans="2:16" ht="13" thickBot="1">
      <c r="B154" s="160" t="str">
        <f t="shared" si="26"/>
        <v/>
      </c>
      <c r="C154" s="486">
        <f>IF(D93="","-",+C153+1)</f>
        <v>2073</v>
      </c>
      <c r="D154" s="488">
        <f>IF(F153+SUM(E$99:E153)=D$92,F153,D$92-SUM(E$99:E153))</f>
        <v>0</v>
      </c>
      <c r="E154" s="488">
        <f t="shared" si="31"/>
        <v>0</v>
      </c>
      <c r="F154" s="487">
        <f t="shared" si="32"/>
        <v>0</v>
      </c>
      <c r="G154" s="487">
        <f t="shared" si="33"/>
        <v>0</v>
      </c>
      <c r="H154" s="609">
        <f t="shared" ref="H154" si="41">+J$94*G154+E154</f>
        <v>0</v>
      </c>
      <c r="I154" s="610">
        <f t="shared" ref="I154" si="42">+J$95*G154+E154</f>
        <v>0</v>
      </c>
      <c r="J154" s="492">
        <f t="shared" si="37"/>
        <v>0</v>
      </c>
      <c r="K154" s="475"/>
      <c r="L154" s="491"/>
      <c r="M154" s="492">
        <f t="shared" si="38"/>
        <v>0</v>
      </c>
      <c r="N154" s="491"/>
      <c r="O154" s="492">
        <f t="shared" si="39"/>
        <v>0</v>
      </c>
      <c r="P154" s="492">
        <f t="shared" si="40"/>
        <v>0</v>
      </c>
    </row>
    <row r="155" spans="2:16" ht="12.5">
      <c r="C155" s="344" t="s">
        <v>77</v>
      </c>
      <c r="D155" s="345"/>
      <c r="E155" s="345">
        <f>SUM(E99:E154)</f>
        <v>244000</v>
      </c>
      <c r="F155" s="345"/>
      <c r="G155" s="345"/>
      <c r="H155" s="345">
        <f>SUM(H99:H154)</f>
        <v>847589.53040052624</v>
      </c>
      <c r="I155" s="345">
        <f>SUM(I99:I154)</f>
        <v>847589.53040052624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29" priority="1" stopIfTrue="1" operator="equal">
      <formula>$I$10</formula>
    </cfRule>
  </conditionalFormatting>
  <conditionalFormatting sqref="C99:C154">
    <cfRule type="cellIs" dxfId="2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P162"/>
  <sheetViews>
    <sheetView topLeftCell="A58" zoomScale="80" zoomScaleNormal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23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145235.20056587984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145235.20056587984</v>
      </c>
      <c r="O6" s="231"/>
      <c r="P6" s="231"/>
    </row>
    <row r="7" spans="1:16" ht="13.5" thickBot="1">
      <c r="C7" s="428" t="s">
        <v>46</v>
      </c>
      <c r="D7" s="596" t="s">
        <v>299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300</v>
      </c>
      <c r="E9" s="574" t="s">
        <v>301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1165593.0099999998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2018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5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30673.50026315789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2018</v>
      </c>
      <c r="D17" s="581">
        <v>0</v>
      </c>
      <c r="E17" s="604">
        <v>19755.555555555555</v>
      </c>
      <c r="F17" s="581">
        <v>1758244.4444444445</v>
      </c>
      <c r="G17" s="604">
        <v>125038.30164155026</v>
      </c>
      <c r="H17" s="584">
        <v>125038.30164155026</v>
      </c>
      <c r="I17" s="472">
        <f>H17-G17</f>
        <v>0</v>
      </c>
      <c r="J17" s="472"/>
      <c r="K17" s="551">
        <f t="shared" ref="K17:K22" si="0">+G17</f>
        <v>125038.30164155026</v>
      </c>
      <c r="L17" s="474">
        <f t="shared" ref="L17:L72" si="1">IF(K17&lt;&gt;0,+G17-K17,0)</f>
        <v>0</v>
      </c>
      <c r="M17" s="551">
        <f t="shared" ref="M17:M22" si="2">+H17</f>
        <v>125038.30164155026</v>
      </c>
      <c r="N17" s="474">
        <f t="shared" ref="N17:N72" si="3">IF(M17&lt;&gt;0,+H17-M17,0)</f>
        <v>0</v>
      </c>
      <c r="O17" s="475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2019</v>
      </c>
      <c r="D18" s="581">
        <v>2017244.4444444445</v>
      </c>
      <c r="E18" s="582">
        <v>50925</v>
      </c>
      <c r="F18" s="581">
        <v>1966319.4444444445</v>
      </c>
      <c r="G18" s="582">
        <v>273320.66219595348</v>
      </c>
      <c r="H18" s="584">
        <v>273320.66219595348</v>
      </c>
      <c r="I18" s="472">
        <f>H18-G18</f>
        <v>0</v>
      </c>
      <c r="J18" s="472"/>
      <c r="K18" s="475">
        <f t="shared" si="0"/>
        <v>273320.66219595348</v>
      </c>
      <c r="L18" s="475">
        <f t="shared" si="1"/>
        <v>0</v>
      </c>
      <c r="M18" s="475">
        <f t="shared" si="2"/>
        <v>273320.66219595348</v>
      </c>
      <c r="N18" s="475">
        <f t="shared" si="3"/>
        <v>0</v>
      </c>
      <c r="O18" s="475">
        <f t="shared" si="4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2020</v>
      </c>
      <c r="D19" s="581">
        <v>1141057.3333333333</v>
      </c>
      <c r="E19" s="582">
        <v>28579.142857142859</v>
      </c>
      <c r="F19" s="581">
        <v>1112478.1904761903</v>
      </c>
      <c r="G19" s="582">
        <v>150275.44361099388</v>
      </c>
      <c r="H19" s="584">
        <v>150275.44361099388</v>
      </c>
      <c r="I19" s="472">
        <f t="shared" ref="I19:I71" si="5">H19-G19</f>
        <v>0</v>
      </c>
      <c r="J19" s="472"/>
      <c r="K19" s="475">
        <f t="shared" si="0"/>
        <v>150275.44361099388</v>
      </c>
      <c r="L19" s="475">
        <f t="shared" ref="L19" si="6">IF(K19&lt;&gt;0,+G19-K19,0)</f>
        <v>0</v>
      </c>
      <c r="M19" s="475">
        <f t="shared" si="2"/>
        <v>150275.44361099388</v>
      </c>
      <c r="N19" s="475">
        <f t="shared" si="3"/>
        <v>0</v>
      </c>
      <c r="O19" s="475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2021</v>
      </c>
      <c r="D20" s="581">
        <v>1076920.3015873015</v>
      </c>
      <c r="E20" s="582">
        <v>27353.023255813954</v>
      </c>
      <c r="F20" s="581">
        <v>1049567.2783314877</v>
      </c>
      <c r="G20" s="582">
        <v>141993.72505975311</v>
      </c>
      <c r="H20" s="584">
        <v>141993.72505975311</v>
      </c>
      <c r="I20" s="472">
        <f t="shared" si="5"/>
        <v>0</v>
      </c>
      <c r="J20" s="472"/>
      <c r="K20" s="475">
        <f t="shared" si="0"/>
        <v>141993.72505975311</v>
      </c>
      <c r="L20" s="475">
        <f t="shared" ref="L20" si="8">IF(K20&lt;&gt;0,+G20-K20,0)</f>
        <v>0</v>
      </c>
      <c r="M20" s="475">
        <f t="shared" si="2"/>
        <v>141993.72505975311</v>
      </c>
      <c r="N20" s="475">
        <f t="shared" si="3"/>
        <v>0</v>
      </c>
      <c r="O20" s="475">
        <f t="shared" si="4"/>
        <v>0</v>
      </c>
      <c r="P20" s="241"/>
    </row>
    <row r="21" spans="2:16" ht="12.5">
      <c r="B21" s="160" t="str">
        <f t="shared" si="7"/>
        <v>IU</v>
      </c>
      <c r="C21" s="469">
        <f>IF(D11="","-",+C20+1)</f>
        <v>2022</v>
      </c>
      <c r="D21" s="581">
        <v>1038980.2783314877</v>
      </c>
      <c r="E21" s="582">
        <v>27752.214285714286</v>
      </c>
      <c r="F21" s="581">
        <v>1011228.0640457734</v>
      </c>
      <c r="G21" s="582">
        <v>138269.97206377087</v>
      </c>
      <c r="H21" s="584">
        <v>138269.97206377087</v>
      </c>
      <c r="I21" s="472">
        <f t="shared" si="5"/>
        <v>0</v>
      </c>
      <c r="J21" s="472"/>
      <c r="K21" s="475">
        <f t="shared" si="0"/>
        <v>138269.97206377087</v>
      </c>
      <c r="L21" s="475">
        <f t="shared" ref="L21" si="9">IF(K21&lt;&gt;0,+G21-K21,0)</f>
        <v>0</v>
      </c>
      <c r="M21" s="475">
        <f t="shared" si="2"/>
        <v>138269.97206377087</v>
      </c>
      <c r="N21" s="475">
        <f t="shared" si="3"/>
        <v>0</v>
      </c>
      <c r="O21" s="475">
        <f t="shared" si="4"/>
        <v>0</v>
      </c>
      <c r="P21" s="241"/>
    </row>
    <row r="22" spans="2:16" ht="12.5">
      <c r="B22" s="160" t="str">
        <f t="shared" si="7"/>
        <v>IU</v>
      </c>
      <c r="C22" s="469">
        <f>IF(D11="","-",+C21+1)</f>
        <v>2023</v>
      </c>
      <c r="D22" s="581">
        <v>1011228.0740457731</v>
      </c>
      <c r="E22" s="582">
        <v>29887.000256410251</v>
      </c>
      <c r="F22" s="581">
        <v>981341.07378936291</v>
      </c>
      <c r="G22" s="582">
        <v>148802.48155476435</v>
      </c>
      <c r="H22" s="584">
        <v>148802.48155476435</v>
      </c>
      <c r="I22" s="472">
        <f t="shared" si="5"/>
        <v>0</v>
      </c>
      <c r="J22" s="472"/>
      <c r="K22" s="475">
        <f t="shared" si="0"/>
        <v>148802.48155476435</v>
      </c>
      <c r="L22" s="475">
        <f t="shared" ref="L22" si="10">IF(K22&lt;&gt;0,+G22-K22,0)</f>
        <v>0</v>
      </c>
      <c r="M22" s="475">
        <f t="shared" si="2"/>
        <v>148802.48155476435</v>
      </c>
      <c r="N22" s="475">
        <f t="shared" si="3"/>
        <v>0</v>
      </c>
      <c r="O22" s="475">
        <f t="shared" si="4"/>
        <v>0</v>
      </c>
      <c r="P22" s="241"/>
    </row>
    <row r="23" spans="2:16" ht="12.5">
      <c r="B23" s="160" t="str">
        <f t="shared" si="7"/>
        <v/>
      </c>
      <c r="C23" s="469">
        <f>IF(D11="","-",+C22+1)</f>
        <v>2024</v>
      </c>
      <c r="D23" s="581">
        <v>981341.07378936291</v>
      </c>
      <c r="E23" s="582">
        <v>29887.000256410251</v>
      </c>
      <c r="F23" s="581">
        <v>951454.07353295269</v>
      </c>
      <c r="G23" s="582">
        <v>145235.20056587984</v>
      </c>
      <c r="H23" s="584">
        <v>145235.20056587984</v>
      </c>
      <c r="I23" s="472">
        <f t="shared" si="5"/>
        <v>0</v>
      </c>
      <c r="J23" s="472"/>
      <c r="K23" s="475">
        <f t="shared" ref="K23" si="11">+G23</f>
        <v>145235.20056587984</v>
      </c>
      <c r="L23" s="475">
        <f t="shared" ref="L23" si="12">IF(K23&lt;&gt;0,+G23-K23,0)</f>
        <v>0</v>
      </c>
      <c r="M23" s="475">
        <f t="shared" ref="M23" si="13">+H23</f>
        <v>145235.20056587984</v>
      </c>
      <c r="N23" s="475">
        <f t="shared" ref="N23" si="14">IF(M23&lt;&gt;0,+H23-M23,0)</f>
        <v>0</v>
      </c>
      <c r="O23" s="475">
        <f t="shared" ref="O23" si="15">+N23-L23</f>
        <v>0</v>
      </c>
      <c r="P23" s="241"/>
    </row>
    <row r="24" spans="2:16" ht="12.5">
      <c r="B24" s="160" t="str">
        <f t="shared" si="7"/>
        <v/>
      </c>
      <c r="C24" s="469">
        <f>IF(D11="","-",+C23+1)</f>
        <v>2025</v>
      </c>
      <c r="D24" s="480">
        <f>IF(F23+SUM(E$17:E23)=D$10,F23,D$10-SUM(E$17:E23))</f>
        <v>951454.07353295269</v>
      </c>
      <c r="E24" s="481">
        <f t="shared" ref="E24:E71" si="16">IF(+I$14&lt;F23,I$14,D24)</f>
        <v>30673.50026315789</v>
      </c>
      <c r="F24" s="482">
        <f t="shared" ref="F24:F71" si="17">+D24-E24</f>
        <v>920780.57326979481</v>
      </c>
      <c r="G24" s="483">
        <f t="shared" ref="G24:G71" si="18">(D24+F24)/2*I$12+E24</f>
        <v>137147.66022333293</v>
      </c>
      <c r="H24" s="452">
        <f t="shared" ref="H24:H71" si="19">+(D24+F24)/2*I$13+E24</f>
        <v>137147.66022333293</v>
      </c>
      <c r="I24" s="472">
        <f t="shared" si="5"/>
        <v>0</v>
      </c>
      <c r="J24" s="472"/>
      <c r="K24" s="484"/>
      <c r="L24" s="475">
        <f t="shared" si="1"/>
        <v>0</v>
      </c>
      <c r="M24" s="484"/>
      <c r="N24" s="475">
        <f t="shared" si="3"/>
        <v>0</v>
      </c>
      <c r="O24" s="475">
        <f t="shared" si="4"/>
        <v>0</v>
      </c>
      <c r="P24" s="241"/>
    </row>
    <row r="25" spans="2:16" ht="12.5">
      <c r="B25" s="160" t="str">
        <f t="shared" si="7"/>
        <v/>
      </c>
      <c r="C25" s="469">
        <f>IF(D11="","-",+C24+1)</f>
        <v>2026</v>
      </c>
      <c r="D25" s="480">
        <f>IF(F24+SUM(E$17:E24)=D$10,F24,D$10-SUM(E$17:E24))</f>
        <v>920780.57326979481</v>
      </c>
      <c r="E25" s="481">
        <f t="shared" si="16"/>
        <v>30673.50026315789</v>
      </c>
      <c r="F25" s="482">
        <f t="shared" si="17"/>
        <v>890107.07300663693</v>
      </c>
      <c r="G25" s="483">
        <f t="shared" si="18"/>
        <v>133658.85054967878</v>
      </c>
      <c r="H25" s="452">
        <f t="shared" si="19"/>
        <v>133658.85054967878</v>
      </c>
      <c r="I25" s="472">
        <f t="shared" si="5"/>
        <v>0</v>
      </c>
      <c r="J25" s="472"/>
      <c r="K25" s="484"/>
      <c r="L25" s="475">
        <f t="shared" si="1"/>
        <v>0</v>
      </c>
      <c r="M25" s="484"/>
      <c r="N25" s="475">
        <f t="shared" si="3"/>
        <v>0</v>
      </c>
      <c r="O25" s="475">
        <f t="shared" si="4"/>
        <v>0</v>
      </c>
      <c r="P25" s="241"/>
    </row>
    <row r="26" spans="2:16" ht="12.5">
      <c r="B26" s="160" t="str">
        <f t="shared" si="7"/>
        <v/>
      </c>
      <c r="C26" s="469">
        <f>IF(D11="","-",+C25+1)</f>
        <v>2027</v>
      </c>
      <c r="D26" s="480">
        <f>IF(F25+SUM(E$17:E25)=D$10,F25,D$10-SUM(E$17:E25))</f>
        <v>890107.07300663693</v>
      </c>
      <c r="E26" s="481">
        <f t="shared" si="16"/>
        <v>30673.50026315789</v>
      </c>
      <c r="F26" s="482">
        <f t="shared" si="17"/>
        <v>859433.57274347905</v>
      </c>
      <c r="G26" s="483">
        <f t="shared" si="18"/>
        <v>130170.04087602464</v>
      </c>
      <c r="H26" s="452">
        <f t="shared" si="19"/>
        <v>130170.04087602464</v>
      </c>
      <c r="I26" s="472">
        <f t="shared" si="5"/>
        <v>0</v>
      </c>
      <c r="J26" s="472"/>
      <c r="K26" s="484"/>
      <c r="L26" s="475">
        <f t="shared" si="1"/>
        <v>0</v>
      </c>
      <c r="M26" s="484"/>
      <c r="N26" s="475">
        <f t="shared" si="3"/>
        <v>0</v>
      </c>
      <c r="O26" s="475">
        <f t="shared" si="4"/>
        <v>0</v>
      </c>
      <c r="P26" s="241"/>
    </row>
    <row r="27" spans="2:16" ht="12.5">
      <c r="B27" s="160" t="str">
        <f t="shared" si="7"/>
        <v/>
      </c>
      <c r="C27" s="469">
        <f>IF(D11="","-",+C26+1)</f>
        <v>2028</v>
      </c>
      <c r="D27" s="480">
        <f>IF(F26+SUM(E$17:E26)=D$10,F26,D$10-SUM(E$17:E26))</f>
        <v>859433.57274347905</v>
      </c>
      <c r="E27" s="481">
        <f t="shared" si="16"/>
        <v>30673.50026315789</v>
      </c>
      <c r="F27" s="482">
        <f t="shared" si="17"/>
        <v>828760.07248032116</v>
      </c>
      <c r="G27" s="483">
        <f t="shared" si="18"/>
        <v>126681.23120237046</v>
      </c>
      <c r="H27" s="452">
        <f t="shared" si="19"/>
        <v>126681.23120237046</v>
      </c>
      <c r="I27" s="472">
        <f t="shared" si="5"/>
        <v>0</v>
      </c>
      <c r="J27" s="472"/>
      <c r="K27" s="484"/>
      <c r="L27" s="475">
        <f t="shared" si="1"/>
        <v>0</v>
      </c>
      <c r="M27" s="484"/>
      <c r="N27" s="475">
        <f t="shared" si="3"/>
        <v>0</v>
      </c>
      <c r="O27" s="475">
        <f t="shared" si="4"/>
        <v>0</v>
      </c>
      <c r="P27" s="241"/>
    </row>
    <row r="28" spans="2:16" ht="12.5">
      <c r="B28" s="160" t="str">
        <f t="shared" si="7"/>
        <v/>
      </c>
      <c r="C28" s="469">
        <f>IF(D11="","-",+C27+1)</f>
        <v>2029</v>
      </c>
      <c r="D28" s="480">
        <f>IF(F27+SUM(E$17:E27)=D$10,F27,D$10-SUM(E$17:E27))</f>
        <v>828760.07248032116</v>
      </c>
      <c r="E28" s="481">
        <f t="shared" si="16"/>
        <v>30673.50026315789</v>
      </c>
      <c r="F28" s="482">
        <f t="shared" si="17"/>
        <v>798086.57221716328</v>
      </c>
      <c r="G28" s="483">
        <f t="shared" si="18"/>
        <v>123192.42152871634</v>
      </c>
      <c r="H28" s="452">
        <f t="shared" si="19"/>
        <v>123192.42152871634</v>
      </c>
      <c r="I28" s="472">
        <f t="shared" si="5"/>
        <v>0</v>
      </c>
      <c r="J28" s="472"/>
      <c r="K28" s="484"/>
      <c r="L28" s="475">
        <f t="shared" si="1"/>
        <v>0</v>
      </c>
      <c r="M28" s="484"/>
      <c r="N28" s="475">
        <f t="shared" si="3"/>
        <v>0</v>
      </c>
      <c r="O28" s="475">
        <f t="shared" si="4"/>
        <v>0</v>
      </c>
      <c r="P28" s="241"/>
    </row>
    <row r="29" spans="2:16" ht="12.5">
      <c r="B29" s="160" t="str">
        <f t="shared" si="7"/>
        <v/>
      </c>
      <c r="C29" s="469">
        <f>IF(D11="","-",+C28+1)</f>
        <v>2030</v>
      </c>
      <c r="D29" s="480">
        <f>IF(F28+SUM(E$17:E28)=D$10,F28,D$10-SUM(E$17:E28))</f>
        <v>798086.57221716328</v>
      </c>
      <c r="E29" s="481">
        <f t="shared" si="16"/>
        <v>30673.50026315789</v>
      </c>
      <c r="F29" s="482">
        <f t="shared" si="17"/>
        <v>767413.0719540054</v>
      </c>
      <c r="G29" s="483">
        <f t="shared" si="18"/>
        <v>119703.61185506216</v>
      </c>
      <c r="H29" s="452">
        <f t="shared" si="19"/>
        <v>119703.61185506216</v>
      </c>
      <c r="I29" s="472">
        <f t="shared" si="5"/>
        <v>0</v>
      </c>
      <c r="J29" s="472"/>
      <c r="K29" s="484"/>
      <c r="L29" s="475">
        <f t="shared" si="1"/>
        <v>0</v>
      </c>
      <c r="M29" s="484"/>
      <c r="N29" s="475">
        <f t="shared" si="3"/>
        <v>0</v>
      </c>
      <c r="O29" s="475">
        <f t="shared" si="4"/>
        <v>0</v>
      </c>
      <c r="P29" s="241"/>
    </row>
    <row r="30" spans="2:16" ht="12.5">
      <c r="B30" s="160" t="str">
        <f t="shared" si="7"/>
        <v/>
      </c>
      <c r="C30" s="469">
        <f>IF(D11="","-",+C29+1)</f>
        <v>2031</v>
      </c>
      <c r="D30" s="480">
        <f>IF(F29+SUM(E$17:E29)=D$10,F29,D$10-SUM(E$17:E29))</f>
        <v>767413.0719540054</v>
      </c>
      <c r="E30" s="481">
        <f t="shared" si="16"/>
        <v>30673.50026315789</v>
      </c>
      <c r="F30" s="482">
        <f t="shared" si="17"/>
        <v>736739.57169084752</v>
      </c>
      <c r="G30" s="483">
        <f t="shared" si="18"/>
        <v>116214.80218140804</v>
      </c>
      <c r="H30" s="452">
        <f t="shared" si="19"/>
        <v>116214.80218140804</v>
      </c>
      <c r="I30" s="472">
        <f t="shared" si="5"/>
        <v>0</v>
      </c>
      <c r="J30" s="472"/>
      <c r="K30" s="484"/>
      <c r="L30" s="475">
        <f t="shared" si="1"/>
        <v>0</v>
      </c>
      <c r="M30" s="484"/>
      <c r="N30" s="475">
        <f t="shared" si="3"/>
        <v>0</v>
      </c>
      <c r="O30" s="475">
        <f t="shared" si="4"/>
        <v>0</v>
      </c>
      <c r="P30" s="241"/>
    </row>
    <row r="31" spans="2:16" ht="12.5">
      <c r="B31" s="160" t="str">
        <f t="shared" si="7"/>
        <v/>
      </c>
      <c r="C31" s="469">
        <f>IF(D11="","-",+C30+1)</f>
        <v>2032</v>
      </c>
      <c r="D31" s="480">
        <f>IF(F30+SUM(E$17:E30)=D$10,F30,D$10-SUM(E$17:E30))</f>
        <v>736739.57169084752</v>
      </c>
      <c r="E31" s="481">
        <f t="shared" si="16"/>
        <v>30673.50026315789</v>
      </c>
      <c r="F31" s="482">
        <f t="shared" si="17"/>
        <v>706066.07142768963</v>
      </c>
      <c r="G31" s="483">
        <f t="shared" si="18"/>
        <v>112725.99250775386</v>
      </c>
      <c r="H31" s="452">
        <f t="shared" si="19"/>
        <v>112725.99250775386</v>
      </c>
      <c r="I31" s="472">
        <f t="shared" si="5"/>
        <v>0</v>
      </c>
      <c r="J31" s="472"/>
      <c r="K31" s="484"/>
      <c r="L31" s="475">
        <f t="shared" si="1"/>
        <v>0</v>
      </c>
      <c r="M31" s="484"/>
      <c r="N31" s="475">
        <f t="shared" si="3"/>
        <v>0</v>
      </c>
      <c r="O31" s="475">
        <f t="shared" si="4"/>
        <v>0</v>
      </c>
      <c r="P31" s="241"/>
    </row>
    <row r="32" spans="2:16" ht="12.5">
      <c r="B32" s="160" t="str">
        <f t="shared" si="7"/>
        <v/>
      </c>
      <c r="C32" s="469">
        <f>IF(D11="","-",+C31+1)</f>
        <v>2033</v>
      </c>
      <c r="D32" s="480">
        <f>IF(F31+SUM(E$17:E31)=D$10,F31,D$10-SUM(E$17:E31))</f>
        <v>706066.07142768963</v>
      </c>
      <c r="E32" s="481">
        <f t="shared" si="16"/>
        <v>30673.50026315789</v>
      </c>
      <c r="F32" s="482">
        <f t="shared" si="17"/>
        <v>675392.57116453175</v>
      </c>
      <c r="G32" s="483">
        <f t="shared" si="18"/>
        <v>109237.18283409975</v>
      </c>
      <c r="H32" s="452">
        <f t="shared" si="19"/>
        <v>109237.18283409975</v>
      </c>
      <c r="I32" s="472">
        <f t="shared" si="5"/>
        <v>0</v>
      </c>
      <c r="J32" s="472"/>
      <c r="K32" s="484"/>
      <c r="L32" s="475">
        <f t="shared" si="1"/>
        <v>0</v>
      </c>
      <c r="M32" s="484"/>
      <c r="N32" s="475">
        <f t="shared" si="3"/>
        <v>0</v>
      </c>
      <c r="O32" s="475">
        <f t="shared" si="4"/>
        <v>0</v>
      </c>
      <c r="P32" s="241"/>
    </row>
    <row r="33" spans="2:16" ht="12.5">
      <c r="B33" s="160" t="str">
        <f t="shared" si="7"/>
        <v/>
      </c>
      <c r="C33" s="469">
        <f>IF(D11="","-",+C32+1)</f>
        <v>2034</v>
      </c>
      <c r="D33" s="480">
        <f>IF(F32+SUM(E$17:E32)=D$10,F32,D$10-SUM(E$17:E32))</f>
        <v>675392.57116453175</v>
      </c>
      <c r="E33" s="481">
        <f t="shared" si="16"/>
        <v>30673.50026315789</v>
      </c>
      <c r="F33" s="482">
        <f t="shared" si="17"/>
        <v>644719.07090137387</v>
      </c>
      <c r="G33" s="483">
        <f t="shared" si="18"/>
        <v>105748.37316044557</v>
      </c>
      <c r="H33" s="452">
        <f t="shared" si="19"/>
        <v>105748.37316044557</v>
      </c>
      <c r="I33" s="472">
        <f t="shared" si="5"/>
        <v>0</v>
      </c>
      <c r="J33" s="472"/>
      <c r="K33" s="484"/>
      <c r="L33" s="475">
        <f t="shared" si="1"/>
        <v>0</v>
      </c>
      <c r="M33" s="484"/>
      <c r="N33" s="475">
        <f t="shared" si="3"/>
        <v>0</v>
      </c>
      <c r="O33" s="475">
        <f t="shared" si="4"/>
        <v>0</v>
      </c>
      <c r="P33" s="241"/>
    </row>
    <row r="34" spans="2:16" ht="12.5">
      <c r="B34" s="160" t="str">
        <f t="shared" si="7"/>
        <v/>
      </c>
      <c r="C34" s="469">
        <f>IF(D11="","-",+C33+1)</f>
        <v>2035</v>
      </c>
      <c r="D34" s="480">
        <f>IF(F33+SUM(E$17:E33)=D$10,F33,D$10-SUM(E$17:E33))</f>
        <v>644719.07090137387</v>
      </c>
      <c r="E34" s="481">
        <f t="shared" si="16"/>
        <v>30673.50026315789</v>
      </c>
      <c r="F34" s="482">
        <f t="shared" si="17"/>
        <v>614045.57063821598</v>
      </c>
      <c r="G34" s="483">
        <f t="shared" si="18"/>
        <v>102259.56348679142</v>
      </c>
      <c r="H34" s="452">
        <f t="shared" si="19"/>
        <v>102259.56348679142</v>
      </c>
      <c r="I34" s="472">
        <f t="shared" si="5"/>
        <v>0</v>
      </c>
      <c r="J34" s="472"/>
      <c r="K34" s="484"/>
      <c r="L34" s="475">
        <f t="shared" si="1"/>
        <v>0</v>
      </c>
      <c r="M34" s="484"/>
      <c r="N34" s="475">
        <f t="shared" si="3"/>
        <v>0</v>
      </c>
      <c r="O34" s="475">
        <f t="shared" si="4"/>
        <v>0</v>
      </c>
      <c r="P34" s="241"/>
    </row>
    <row r="35" spans="2:16" ht="12.5">
      <c r="B35" s="160" t="str">
        <f t="shared" si="7"/>
        <v/>
      </c>
      <c r="C35" s="469">
        <f>IF(D11="","-",+C34+1)</f>
        <v>2036</v>
      </c>
      <c r="D35" s="480">
        <f>IF(F34+SUM(E$17:E34)=D$10,F34,D$10-SUM(E$17:E34))</f>
        <v>614045.57063821598</v>
      </c>
      <c r="E35" s="481">
        <f t="shared" si="16"/>
        <v>30673.50026315789</v>
      </c>
      <c r="F35" s="482">
        <f t="shared" si="17"/>
        <v>583372.0703750581</v>
      </c>
      <c r="G35" s="483">
        <f t="shared" si="18"/>
        <v>98770.753813137271</v>
      </c>
      <c r="H35" s="452">
        <f t="shared" si="19"/>
        <v>98770.753813137271</v>
      </c>
      <c r="I35" s="472">
        <f t="shared" si="5"/>
        <v>0</v>
      </c>
      <c r="J35" s="472"/>
      <c r="K35" s="484"/>
      <c r="L35" s="475">
        <f t="shared" si="1"/>
        <v>0</v>
      </c>
      <c r="M35" s="484"/>
      <c r="N35" s="475">
        <f t="shared" si="3"/>
        <v>0</v>
      </c>
      <c r="O35" s="475">
        <f t="shared" si="4"/>
        <v>0</v>
      </c>
      <c r="P35" s="241"/>
    </row>
    <row r="36" spans="2:16" ht="12.5">
      <c r="B36" s="160" t="str">
        <f t="shared" si="7"/>
        <v/>
      </c>
      <c r="C36" s="469">
        <f>IF(D11="","-",+C35+1)</f>
        <v>2037</v>
      </c>
      <c r="D36" s="480">
        <f>IF(F35+SUM(E$17:E35)=D$10,F35,D$10-SUM(E$17:E35))</f>
        <v>583372.0703750581</v>
      </c>
      <c r="E36" s="481">
        <f t="shared" si="16"/>
        <v>30673.50026315789</v>
      </c>
      <c r="F36" s="482">
        <f t="shared" si="17"/>
        <v>552698.57011190022</v>
      </c>
      <c r="G36" s="483">
        <f t="shared" si="18"/>
        <v>95281.944139483123</v>
      </c>
      <c r="H36" s="452">
        <f t="shared" si="19"/>
        <v>95281.944139483123</v>
      </c>
      <c r="I36" s="472">
        <f t="shared" si="5"/>
        <v>0</v>
      </c>
      <c r="J36" s="472"/>
      <c r="K36" s="484"/>
      <c r="L36" s="475">
        <f t="shared" si="1"/>
        <v>0</v>
      </c>
      <c r="M36" s="484"/>
      <c r="N36" s="475">
        <f t="shared" si="3"/>
        <v>0</v>
      </c>
      <c r="O36" s="475">
        <f t="shared" si="4"/>
        <v>0</v>
      </c>
      <c r="P36" s="241"/>
    </row>
    <row r="37" spans="2:16" ht="12.5">
      <c r="B37" s="160" t="str">
        <f t="shared" si="7"/>
        <v/>
      </c>
      <c r="C37" s="469">
        <f>IF(D11="","-",+C36+1)</f>
        <v>2038</v>
      </c>
      <c r="D37" s="480">
        <f>IF(F36+SUM(E$17:E36)=D$10,F36,D$10-SUM(E$17:E36))</f>
        <v>552698.57011190022</v>
      </c>
      <c r="E37" s="481">
        <f t="shared" si="16"/>
        <v>30673.50026315789</v>
      </c>
      <c r="F37" s="482">
        <f t="shared" si="17"/>
        <v>522025.06984874234</v>
      </c>
      <c r="G37" s="483">
        <f t="shared" si="18"/>
        <v>91793.134465828974</v>
      </c>
      <c r="H37" s="452">
        <f t="shared" si="19"/>
        <v>91793.134465828974</v>
      </c>
      <c r="I37" s="472">
        <f t="shared" si="5"/>
        <v>0</v>
      </c>
      <c r="J37" s="472"/>
      <c r="K37" s="484"/>
      <c r="L37" s="475">
        <f t="shared" si="1"/>
        <v>0</v>
      </c>
      <c r="M37" s="484"/>
      <c r="N37" s="475">
        <f t="shared" si="3"/>
        <v>0</v>
      </c>
      <c r="O37" s="475">
        <f t="shared" si="4"/>
        <v>0</v>
      </c>
      <c r="P37" s="241"/>
    </row>
    <row r="38" spans="2:16" ht="12.5">
      <c r="B38" s="160" t="str">
        <f t="shared" si="7"/>
        <v/>
      </c>
      <c r="C38" s="469">
        <f>IF(D11="","-",+C37+1)</f>
        <v>2039</v>
      </c>
      <c r="D38" s="480">
        <f>IF(F37+SUM(E$17:E37)=D$10,F37,D$10-SUM(E$17:E37))</f>
        <v>522025.06984874234</v>
      </c>
      <c r="E38" s="481">
        <f t="shared" si="16"/>
        <v>30673.50026315789</v>
      </c>
      <c r="F38" s="482">
        <f t="shared" si="17"/>
        <v>491351.56958558445</v>
      </c>
      <c r="G38" s="483">
        <f t="shared" si="18"/>
        <v>88304.324792174826</v>
      </c>
      <c r="H38" s="452">
        <f t="shared" si="19"/>
        <v>88304.324792174826</v>
      </c>
      <c r="I38" s="472">
        <f t="shared" si="5"/>
        <v>0</v>
      </c>
      <c r="J38" s="472"/>
      <c r="K38" s="484"/>
      <c r="L38" s="475">
        <f t="shared" si="1"/>
        <v>0</v>
      </c>
      <c r="M38" s="484"/>
      <c r="N38" s="475">
        <f t="shared" si="3"/>
        <v>0</v>
      </c>
      <c r="O38" s="475">
        <f t="shared" si="4"/>
        <v>0</v>
      </c>
      <c r="P38" s="241"/>
    </row>
    <row r="39" spans="2:16" ht="12.5">
      <c r="B39" s="160" t="str">
        <f t="shared" si="7"/>
        <v/>
      </c>
      <c r="C39" s="469">
        <f>IF(D11="","-",+C38+1)</f>
        <v>2040</v>
      </c>
      <c r="D39" s="480">
        <f>IF(F38+SUM(E$17:E38)=D$10,F38,D$10-SUM(E$17:E38))</f>
        <v>491351.56958558445</v>
      </c>
      <c r="E39" s="481">
        <f t="shared" si="16"/>
        <v>30673.50026315789</v>
      </c>
      <c r="F39" s="482">
        <f t="shared" si="17"/>
        <v>460678.06932242657</v>
      </c>
      <c r="G39" s="483">
        <f t="shared" si="18"/>
        <v>84815.515118520678</v>
      </c>
      <c r="H39" s="452">
        <f t="shared" si="19"/>
        <v>84815.515118520678</v>
      </c>
      <c r="I39" s="472">
        <f t="shared" si="5"/>
        <v>0</v>
      </c>
      <c r="J39" s="472"/>
      <c r="K39" s="484"/>
      <c r="L39" s="475">
        <f t="shared" si="1"/>
        <v>0</v>
      </c>
      <c r="M39" s="484"/>
      <c r="N39" s="475">
        <f t="shared" si="3"/>
        <v>0</v>
      </c>
      <c r="O39" s="475">
        <f t="shared" si="4"/>
        <v>0</v>
      </c>
      <c r="P39" s="241"/>
    </row>
    <row r="40" spans="2:16" ht="12.5">
      <c r="B40" s="160" t="str">
        <f t="shared" si="7"/>
        <v/>
      </c>
      <c r="C40" s="469">
        <f>IF(D11="","-",+C39+1)</f>
        <v>2041</v>
      </c>
      <c r="D40" s="480">
        <f>IF(F39+SUM(E$17:E39)=D$10,F39,D$10-SUM(E$17:E39))</f>
        <v>460678.06932242657</v>
      </c>
      <c r="E40" s="481">
        <f t="shared" si="16"/>
        <v>30673.50026315789</v>
      </c>
      <c r="F40" s="482">
        <f t="shared" si="17"/>
        <v>430004.56905926869</v>
      </c>
      <c r="G40" s="483">
        <f t="shared" si="18"/>
        <v>81326.705444866529</v>
      </c>
      <c r="H40" s="452">
        <f t="shared" si="19"/>
        <v>81326.705444866529</v>
      </c>
      <c r="I40" s="472">
        <f t="shared" si="5"/>
        <v>0</v>
      </c>
      <c r="J40" s="472"/>
      <c r="K40" s="484"/>
      <c r="L40" s="475">
        <f t="shared" si="1"/>
        <v>0</v>
      </c>
      <c r="M40" s="484"/>
      <c r="N40" s="475">
        <f t="shared" si="3"/>
        <v>0</v>
      </c>
      <c r="O40" s="475">
        <f t="shared" si="4"/>
        <v>0</v>
      </c>
      <c r="P40" s="241"/>
    </row>
    <row r="41" spans="2:16" ht="12.5">
      <c r="B41" s="160" t="str">
        <f t="shared" si="7"/>
        <v/>
      </c>
      <c r="C41" s="469">
        <f>IF(D11="","-",+C40+1)</f>
        <v>2042</v>
      </c>
      <c r="D41" s="480">
        <f>IF(F40+SUM(E$17:E40)=D$10,F40,D$10-SUM(E$17:E40))</f>
        <v>430004.56905926869</v>
      </c>
      <c r="E41" s="481">
        <f t="shared" si="16"/>
        <v>30673.50026315789</v>
      </c>
      <c r="F41" s="482">
        <f t="shared" si="17"/>
        <v>399331.06879611081</v>
      </c>
      <c r="G41" s="483">
        <f t="shared" si="18"/>
        <v>77837.895771212381</v>
      </c>
      <c r="H41" s="452">
        <f t="shared" si="19"/>
        <v>77837.895771212381</v>
      </c>
      <c r="I41" s="472">
        <f t="shared" si="5"/>
        <v>0</v>
      </c>
      <c r="J41" s="472"/>
      <c r="K41" s="484"/>
      <c r="L41" s="475">
        <f t="shared" si="1"/>
        <v>0</v>
      </c>
      <c r="M41" s="484"/>
      <c r="N41" s="475">
        <f t="shared" si="3"/>
        <v>0</v>
      </c>
      <c r="O41" s="475">
        <f t="shared" si="4"/>
        <v>0</v>
      </c>
      <c r="P41" s="241"/>
    </row>
    <row r="42" spans="2:16" ht="12.5">
      <c r="B42" s="160" t="str">
        <f t="shared" si="7"/>
        <v/>
      </c>
      <c r="C42" s="469">
        <f>IF(D11="","-",+C41+1)</f>
        <v>2043</v>
      </c>
      <c r="D42" s="480">
        <f>IF(F41+SUM(E$17:E41)=D$10,F41,D$10-SUM(E$17:E41))</f>
        <v>399331.06879611081</v>
      </c>
      <c r="E42" s="481">
        <f t="shared" si="16"/>
        <v>30673.50026315789</v>
      </c>
      <c r="F42" s="482">
        <f t="shared" si="17"/>
        <v>368657.56853295292</v>
      </c>
      <c r="G42" s="483">
        <f t="shared" si="18"/>
        <v>74349.086097558218</v>
      </c>
      <c r="H42" s="452">
        <f t="shared" si="19"/>
        <v>74349.086097558218</v>
      </c>
      <c r="I42" s="472">
        <f t="shared" si="5"/>
        <v>0</v>
      </c>
      <c r="J42" s="472"/>
      <c r="K42" s="484"/>
      <c r="L42" s="475">
        <f t="shared" si="1"/>
        <v>0</v>
      </c>
      <c r="M42" s="484"/>
      <c r="N42" s="475">
        <f t="shared" si="3"/>
        <v>0</v>
      </c>
      <c r="O42" s="475">
        <f t="shared" si="4"/>
        <v>0</v>
      </c>
      <c r="P42" s="241"/>
    </row>
    <row r="43" spans="2:16" ht="12.5">
      <c r="B43" s="160" t="str">
        <f t="shared" si="7"/>
        <v/>
      </c>
      <c r="C43" s="469">
        <f>IF(D11="","-",+C42+1)</f>
        <v>2044</v>
      </c>
      <c r="D43" s="480">
        <f>IF(F42+SUM(E$17:E42)=D$10,F42,D$10-SUM(E$17:E42))</f>
        <v>368657.56853295292</v>
      </c>
      <c r="E43" s="481">
        <f t="shared" si="16"/>
        <v>30673.50026315789</v>
      </c>
      <c r="F43" s="482">
        <f t="shared" si="17"/>
        <v>337984.06826979504</v>
      </c>
      <c r="G43" s="483">
        <f t="shared" si="18"/>
        <v>70860.27642390407</v>
      </c>
      <c r="H43" s="452">
        <f t="shared" si="19"/>
        <v>70860.27642390407</v>
      </c>
      <c r="I43" s="472">
        <f t="shared" si="5"/>
        <v>0</v>
      </c>
      <c r="J43" s="472"/>
      <c r="K43" s="484"/>
      <c r="L43" s="475">
        <f t="shared" si="1"/>
        <v>0</v>
      </c>
      <c r="M43" s="484"/>
      <c r="N43" s="475">
        <f t="shared" si="3"/>
        <v>0</v>
      </c>
      <c r="O43" s="475">
        <f t="shared" si="4"/>
        <v>0</v>
      </c>
      <c r="P43" s="241"/>
    </row>
    <row r="44" spans="2:16" ht="12.5">
      <c r="B44" s="160" t="str">
        <f t="shared" si="7"/>
        <v/>
      </c>
      <c r="C44" s="469">
        <f>IF(D11="","-",+C43+1)</f>
        <v>2045</v>
      </c>
      <c r="D44" s="480">
        <f>IF(F43+SUM(E$17:E43)=D$10,F43,D$10-SUM(E$17:E43))</f>
        <v>337984.06826979504</v>
      </c>
      <c r="E44" s="481">
        <f t="shared" si="16"/>
        <v>30673.50026315789</v>
      </c>
      <c r="F44" s="482">
        <f t="shared" si="17"/>
        <v>307310.56800663716</v>
      </c>
      <c r="G44" s="483">
        <f t="shared" si="18"/>
        <v>67371.466750249921</v>
      </c>
      <c r="H44" s="452">
        <f t="shared" si="19"/>
        <v>67371.466750249921</v>
      </c>
      <c r="I44" s="472">
        <f t="shared" si="5"/>
        <v>0</v>
      </c>
      <c r="J44" s="472"/>
      <c r="K44" s="484"/>
      <c r="L44" s="475">
        <f t="shared" si="1"/>
        <v>0</v>
      </c>
      <c r="M44" s="484"/>
      <c r="N44" s="475">
        <f t="shared" si="3"/>
        <v>0</v>
      </c>
      <c r="O44" s="475">
        <f t="shared" si="4"/>
        <v>0</v>
      </c>
      <c r="P44" s="241"/>
    </row>
    <row r="45" spans="2:16" ht="12.5">
      <c r="B45" s="160" t="str">
        <f t="shared" si="7"/>
        <v/>
      </c>
      <c r="C45" s="469">
        <f>IF(D11="","-",+C44+1)</f>
        <v>2046</v>
      </c>
      <c r="D45" s="480">
        <f>IF(F44+SUM(E$17:E44)=D$10,F44,D$10-SUM(E$17:E44))</f>
        <v>307310.56800663716</v>
      </c>
      <c r="E45" s="481">
        <f t="shared" si="16"/>
        <v>30673.50026315789</v>
      </c>
      <c r="F45" s="482">
        <f t="shared" si="17"/>
        <v>276637.06774347927</v>
      </c>
      <c r="G45" s="483">
        <f t="shared" si="18"/>
        <v>63882.657076595773</v>
      </c>
      <c r="H45" s="452">
        <f t="shared" si="19"/>
        <v>63882.657076595773</v>
      </c>
      <c r="I45" s="472">
        <f t="shared" si="5"/>
        <v>0</v>
      </c>
      <c r="J45" s="472"/>
      <c r="K45" s="484"/>
      <c r="L45" s="475">
        <f t="shared" si="1"/>
        <v>0</v>
      </c>
      <c r="M45" s="484"/>
      <c r="N45" s="475">
        <f t="shared" si="3"/>
        <v>0</v>
      </c>
      <c r="O45" s="475">
        <f t="shared" si="4"/>
        <v>0</v>
      </c>
      <c r="P45" s="241"/>
    </row>
    <row r="46" spans="2:16" ht="12.5">
      <c r="B46" s="160" t="str">
        <f t="shared" si="7"/>
        <v/>
      </c>
      <c r="C46" s="469">
        <f>IF(D11="","-",+C45+1)</f>
        <v>2047</v>
      </c>
      <c r="D46" s="480">
        <f>IF(F45+SUM(E$17:E45)=D$10,F45,D$10-SUM(E$17:E45))</f>
        <v>276637.06774347927</v>
      </c>
      <c r="E46" s="481">
        <f t="shared" si="16"/>
        <v>30673.50026315789</v>
      </c>
      <c r="F46" s="482">
        <f t="shared" si="17"/>
        <v>245963.56748032139</v>
      </c>
      <c r="G46" s="483">
        <f t="shared" si="18"/>
        <v>60393.847402941617</v>
      </c>
      <c r="H46" s="452">
        <f t="shared" si="19"/>
        <v>60393.847402941617</v>
      </c>
      <c r="I46" s="472">
        <f t="shared" si="5"/>
        <v>0</v>
      </c>
      <c r="J46" s="472"/>
      <c r="K46" s="484"/>
      <c r="L46" s="475">
        <f t="shared" si="1"/>
        <v>0</v>
      </c>
      <c r="M46" s="484"/>
      <c r="N46" s="475">
        <f t="shared" si="3"/>
        <v>0</v>
      </c>
      <c r="O46" s="475">
        <f t="shared" si="4"/>
        <v>0</v>
      </c>
      <c r="P46" s="241"/>
    </row>
    <row r="47" spans="2:16" ht="12.5">
      <c r="B47" s="160" t="str">
        <f t="shared" si="7"/>
        <v/>
      </c>
      <c r="C47" s="469">
        <f>IF(D11="","-",+C46+1)</f>
        <v>2048</v>
      </c>
      <c r="D47" s="480">
        <f>IF(F46+SUM(E$17:E46)=D$10,F46,D$10-SUM(E$17:E46))</f>
        <v>245963.56748032139</v>
      </c>
      <c r="E47" s="481">
        <f t="shared" si="16"/>
        <v>30673.50026315789</v>
      </c>
      <c r="F47" s="482">
        <f t="shared" si="17"/>
        <v>215290.06721716351</v>
      </c>
      <c r="G47" s="483">
        <f t="shared" si="18"/>
        <v>56905.037729287469</v>
      </c>
      <c r="H47" s="452">
        <f t="shared" si="19"/>
        <v>56905.037729287469</v>
      </c>
      <c r="I47" s="472">
        <f t="shared" si="5"/>
        <v>0</v>
      </c>
      <c r="J47" s="472"/>
      <c r="K47" s="484"/>
      <c r="L47" s="475">
        <f t="shared" si="1"/>
        <v>0</v>
      </c>
      <c r="M47" s="484"/>
      <c r="N47" s="475">
        <f t="shared" si="3"/>
        <v>0</v>
      </c>
      <c r="O47" s="475">
        <f t="shared" si="4"/>
        <v>0</v>
      </c>
      <c r="P47" s="241"/>
    </row>
    <row r="48" spans="2:16" ht="12.5">
      <c r="B48" s="160" t="str">
        <f t="shared" si="7"/>
        <v/>
      </c>
      <c r="C48" s="469">
        <f>IF(D11="","-",+C47+1)</f>
        <v>2049</v>
      </c>
      <c r="D48" s="480">
        <f>IF(F47+SUM(E$17:E47)=D$10,F47,D$10-SUM(E$17:E47))</f>
        <v>215290.06721716351</v>
      </c>
      <c r="E48" s="481">
        <f t="shared" si="16"/>
        <v>30673.50026315789</v>
      </c>
      <c r="F48" s="482">
        <f t="shared" si="17"/>
        <v>184616.56695400563</v>
      </c>
      <c r="G48" s="483">
        <f t="shared" si="18"/>
        <v>53416.228055633313</v>
      </c>
      <c r="H48" s="452">
        <f t="shared" si="19"/>
        <v>53416.228055633313</v>
      </c>
      <c r="I48" s="472">
        <f t="shared" si="5"/>
        <v>0</v>
      </c>
      <c r="J48" s="472"/>
      <c r="K48" s="484"/>
      <c r="L48" s="475">
        <f t="shared" si="1"/>
        <v>0</v>
      </c>
      <c r="M48" s="484"/>
      <c r="N48" s="475">
        <f t="shared" si="3"/>
        <v>0</v>
      </c>
      <c r="O48" s="475">
        <f t="shared" si="4"/>
        <v>0</v>
      </c>
      <c r="P48" s="241"/>
    </row>
    <row r="49" spans="2:16" ht="12.5">
      <c r="B49" s="160" t="str">
        <f t="shared" si="7"/>
        <v/>
      </c>
      <c r="C49" s="469">
        <f>IF(D11="","-",+C48+1)</f>
        <v>2050</v>
      </c>
      <c r="D49" s="480">
        <f>IF(F48+SUM(E$17:E48)=D$10,F48,D$10-SUM(E$17:E48))</f>
        <v>184616.56695400563</v>
      </c>
      <c r="E49" s="481">
        <f t="shared" si="16"/>
        <v>30673.50026315789</v>
      </c>
      <c r="F49" s="482">
        <f t="shared" si="17"/>
        <v>153943.06669084774</v>
      </c>
      <c r="G49" s="483">
        <f t="shared" si="18"/>
        <v>49927.418381979165</v>
      </c>
      <c r="H49" s="452">
        <f t="shared" si="19"/>
        <v>49927.418381979165</v>
      </c>
      <c r="I49" s="472">
        <f t="shared" si="5"/>
        <v>0</v>
      </c>
      <c r="J49" s="472"/>
      <c r="K49" s="484"/>
      <c r="L49" s="475">
        <f t="shared" si="1"/>
        <v>0</v>
      </c>
      <c r="M49" s="484"/>
      <c r="N49" s="475">
        <f t="shared" si="3"/>
        <v>0</v>
      </c>
      <c r="O49" s="475">
        <f t="shared" si="4"/>
        <v>0</v>
      </c>
      <c r="P49" s="241"/>
    </row>
    <row r="50" spans="2:16" ht="12.5">
      <c r="B50" s="160" t="str">
        <f t="shared" si="7"/>
        <v/>
      </c>
      <c r="C50" s="469">
        <f>IF(D11="","-",+C49+1)</f>
        <v>2051</v>
      </c>
      <c r="D50" s="480">
        <f>IF(F49+SUM(E$17:E49)=D$10,F49,D$10-SUM(E$17:E49))</f>
        <v>153943.06669084774</v>
      </c>
      <c r="E50" s="481">
        <f t="shared" si="16"/>
        <v>30673.50026315789</v>
      </c>
      <c r="F50" s="482">
        <f t="shared" si="17"/>
        <v>123269.56642768986</v>
      </c>
      <c r="G50" s="483">
        <f t="shared" si="18"/>
        <v>46438.608708325017</v>
      </c>
      <c r="H50" s="452">
        <f t="shared" si="19"/>
        <v>46438.608708325017</v>
      </c>
      <c r="I50" s="472">
        <f t="shared" si="5"/>
        <v>0</v>
      </c>
      <c r="J50" s="472"/>
      <c r="K50" s="484"/>
      <c r="L50" s="475">
        <f t="shared" si="1"/>
        <v>0</v>
      </c>
      <c r="M50" s="484"/>
      <c r="N50" s="475">
        <f t="shared" si="3"/>
        <v>0</v>
      </c>
      <c r="O50" s="475">
        <f t="shared" si="4"/>
        <v>0</v>
      </c>
      <c r="P50" s="241"/>
    </row>
    <row r="51" spans="2:16" ht="12.5">
      <c r="B51" s="160" t="str">
        <f t="shared" si="7"/>
        <v/>
      </c>
      <c r="C51" s="469">
        <f>IF(D11="","-",+C50+1)</f>
        <v>2052</v>
      </c>
      <c r="D51" s="480">
        <f>IF(F50+SUM(E$17:E50)=D$10,F50,D$10-SUM(E$17:E50))</f>
        <v>123269.56642768986</v>
      </c>
      <c r="E51" s="481">
        <f t="shared" si="16"/>
        <v>30673.50026315789</v>
      </c>
      <c r="F51" s="482">
        <f t="shared" si="17"/>
        <v>92596.066164531978</v>
      </c>
      <c r="G51" s="483">
        <f t="shared" si="18"/>
        <v>42949.799034670868</v>
      </c>
      <c r="H51" s="452">
        <f t="shared" si="19"/>
        <v>42949.799034670868</v>
      </c>
      <c r="I51" s="472">
        <f t="shared" si="5"/>
        <v>0</v>
      </c>
      <c r="J51" s="472"/>
      <c r="K51" s="484"/>
      <c r="L51" s="475">
        <f t="shared" si="1"/>
        <v>0</v>
      </c>
      <c r="M51" s="484"/>
      <c r="N51" s="475">
        <f t="shared" si="3"/>
        <v>0</v>
      </c>
      <c r="O51" s="475">
        <f t="shared" si="4"/>
        <v>0</v>
      </c>
      <c r="P51" s="241"/>
    </row>
    <row r="52" spans="2:16" ht="12.5">
      <c r="B52" s="160" t="str">
        <f t="shared" si="7"/>
        <v/>
      </c>
      <c r="C52" s="469">
        <f>IF(D11="","-",+C51+1)</f>
        <v>2053</v>
      </c>
      <c r="D52" s="480">
        <f>IF(F51+SUM(E$17:E51)=D$10,F51,D$10-SUM(E$17:E51))</f>
        <v>92596.066164531978</v>
      </c>
      <c r="E52" s="481">
        <f t="shared" si="16"/>
        <v>30673.50026315789</v>
      </c>
      <c r="F52" s="482">
        <f t="shared" si="17"/>
        <v>61922.565901374088</v>
      </c>
      <c r="G52" s="483">
        <f t="shared" si="18"/>
        <v>39460.98936101672</v>
      </c>
      <c r="H52" s="452">
        <f t="shared" si="19"/>
        <v>39460.98936101672</v>
      </c>
      <c r="I52" s="472">
        <f t="shared" si="5"/>
        <v>0</v>
      </c>
      <c r="J52" s="472"/>
      <c r="K52" s="484"/>
      <c r="L52" s="475">
        <f t="shared" si="1"/>
        <v>0</v>
      </c>
      <c r="M52" s="484"/>
      <c r="N52" s="475">
        <f t="shared" si="3"/>
        <v>0</v>
      </c>
      <c r="O52" s="475">
        <f t="shared" si="4"/>
        <v>0</v>
      </c>
      <c r="P52" s="241"/>
    </row>
    <row r="53" spans="2:16" ht="12.5">
      <c r="B53" s="160" t="str">
        <f t="shared" si="7"/>
        <v/>
      </c>
      <c r="C53" s="469">
        <f>IF(D11="","-",+C52+1)</f>
        <v>2054</v>
      </c>
      <c r="D53" s="480">
        <f>IF(F52+SUM(E$17:E52)=D$10,F52,D$10-SUM(E$17:E52))</f>
        <v>61922.565901374088</v>
      </c>
      <c r="E53" s="481">
        <f t="shared" si="16"/>
        <v>30673.50026315789</v>
      </c>
      <c r="F53" s="482">
        <f t="shared" si="17"/>
        <v>31249.065638216198</v>
      </c>
      <c r="G53" s="483">
        <f t="shared" si="18"/>
        <v>35972.179687362564</v>
      </c>
      <c r="H53" s="452">
        <f t="shared" si="19"/>
        <v>35972.179687362564</v>
      </c>
      <c r="I53" s="472">
        <f t="shared" si="5"/>
        <v>0</v>
      </c>
      <c r="J53" s="472"/>
      <c r="K53" s="484"/>
      <c r="L53" s="475">
        <f t="shared" si="1"/>
        <v>0</v>
      </c>
      <c r="M53" s="484"/>
      <c r="N53" s="475">
        <f t="shared" si="3"/>
        <v>0</v>
      </c>
      <c r="O53" s="475">
        <f t="shared" si="4"/>
        <v>0</v>
      </c>
      <c r="P53" s="241"/>
    </row>
    <row r="54" spans="2:16" ht="12.5">
      <c r="B54" s="160" t="str">
        <f t="shared" si="7"/>
        <v/>
      </c>
      <c r="C54" s="469">
        <f>IF(D11="","-",+C53+1)</f>
        <v>2055</v>
      </c>
      <c r="D54" s="480">
        <f>IF(F53+SUM(E$17:E53)=D$10,F53,D$10-SUM(E$17:E53))</f>
        <v>31249.065638216198</v>
      </c>
      <c r="E54" s="481">
        <f t="shared" si="16"/>
        <v>30673.50026315789</v>
      </c>
      <c r="F54" s="482">
        <f t="shared" si="17"/>
        <v>575.56537505830784</v>
      </c>
      <c r="G54" s="483">
        <f t="shared" si="18"/>
        <v>32483.370013708412</v>
      </c>
      <c r="H54" s="452">
        <f t="shared" si="19"/>
        <v>32483.370013708412</v>
      </c>
      <c r="I54" s="472">
        <f t="shared" si="5"/>
        <v>0</v>
      </c>
      <c r="J54" s="472"/>
      <c r="K54" s="484"/>
      <c r="L54" s="475">
        <f t="shared" si="1"/>
        <v>0</v>
      </c>
      <c r="M54" s="484"/>
      <c r="N54" s="475">
        <f t="shared" si="3"/>
        <v>0</v>
      </c>
      <c r="O54" s="475">
        <f t="shared" si="4"/>
        <v>0</v>
      </c>
      <c r="P54" s="241"/>
    </row>
    <row r="55" spans="2:16" ht="12.5">
      <c r="B55" s="160" t="str">
        <f t="shared" si="7"/>
        <v/>
      </c>
      <c r="C55" s="469">
        <f>IF(D11="","-",+C54+1)</f>
        <v>2056</v>
      </c>
      <c r="D55" s="480">
        <f>IF(F54+SUM(E$17:E54)=D$10,F54,D$10-SUM(E$17:E54))</f>
        <v>575.56537505830784</v>
      </c>
      <c r="E55" s="481">
        <f t="shared" si="16"/>
        <v>575.56537505830784</v>
      </c>
      <c r="F55" s="482">
        <f t="shared" si="17"/>
        <v>0</v>
      </c>
      <c r="G55" s="483">
        <f t="shared" si="18"/>
        <v>608.29783192003208</v>
      </c>
      <c r="H55" s="452">
        <f t="shared" si="19"/>
        <v>608.29783192003208</v>
      </c>
      <c r="I55" s="472">
        <f t="shared" si="5"/>
        <v>0</v>
      </c>
      <c r="J55" s="472"/>
      <c r="K55" s="484"/>
      <c r="L55" s="475">
        <f t="shared" si="1"/>
        <v>0</v>
      </c>
      <c r="M55" s="484"/>
      <c r="N55" s="475">
        <f t="shared" si="3"/>
        <v>0</v>
      </c>
      <c r="O55" s="475">
        <f t="shared" si="4"/>
        <v>0</v>
      </c>
      <c r="P55" s="241"/>
    </row>
    <row r="56" spans="2:16" ht="12.5">
      <c r="B56" s="160" t="str">
        <f t="shared" si="7"/>
        <v/>
      </c>
      <c r="C56" s="469">
        <f>IF(D11="","-",+C55+1)</f>
        <v>2057</v>
      </c>
      <c r="D56" s="480">
        <f>IF(F55+SUM(E$17:E55)=D$10,F55,D$10-SUM(E$17:E55))</f>
        <v>0</v>
      </c>
      <c r="E56" s="481">
        <f t="shared" si="16"/>
        <v>0</v>
      </c>
      <c r="F56" s="482">
        <f t="shared" si="17"/>
        <v>0</v>
      </c>
      <c r="G56" s="483">
        <f t="shared" si="18"/>
        <v>0</v>
      </c>
      <c r="H56" s="452">
        <f t="shared" si="19"/>
        <v>0</v>
      </c>
      <c r="I56" s="472">
        <f t="shared" si="5"/>
        <v>0</v>
      </c>
      <c r="J56" s="472"/>
      <c r="K56" s="484"/>
      <c r="L56" s="475">
        <f t="shared" si="1"/>
        <v>0</v>
      </c>
      <c r="M56" s="484"/>
      <c r="N56" s="475">
        <f t="shared" si="3"/>
        <v>0</v>
      </c>
      <c r="O56" s="475">
        <f t="shared" si="4"/>
        <v>0</v>
      </c>
      <c r="P56" s="241"/>
    </row>
    <row r="57" spans="2:16" ht="12.5">
      <c r="B57" s="160" t="str">
        <f t="shared" si="7"/>
        <v/>
      </c>
      <c r="C57" s="469">
        <f>IF(D11="","-",+C56+1)</f>
        <v>2058</v>
      </c>
      <c r="D57" s="480">
        <f>IF(F56+SUM(E$17:E56)=D$10,F56,D$10-SUM(E$17:E56))</f>
        <v>0</v>
      </c>
      <c r="E57" s="481">
        <f t="shared" si="16"/>
        <v>0</v>
      </c>
      <c r="F57" s="482">
        <f t="shared" si="17"/>
        <v>0</v>
      </c>
      <c r="G57" s="483">
        <f t="shared" si="18"/>
        <v>0</v>
      </c>
      <c r="H57" s="452">
        <f t="shared" si="19"/>
        <v>0</v>
      </c>
      <c r="I57" s="472">
        <f t="shared" si="5"/>
        <v>0</v>
      </c>
      <c r="J57" s="472"/>
      <c r="K57" s="484"/>
      <c r="L57" s="475">
        <f t="shared" si="1"/>
        <v>0</v>
      </c>
      <c r="M57" s="484"/>
      <c r="N57" s="475">
        <f t="shared" si="3"/>
        <v>0</v>
      </c>
      <c r="O57" s="475">
        <f t="shared" si="4"/>
        <v>0</v>
      </c>
      <c r="P57" s="241"/>
    </row>
    <row r="58" spans="2:16" ht="12.5">
      <c r="B58" s="160" t="str">
        <f t="shared" si="7"/>
        <v/>
      </c>
      <c r="C58" s="469">
        <f>IF(D11="","-",+C57+1)</f>
        <v>2059</v>
      </c>
      <c r="D58" s="480">
        <f>IF(F57+SUM(E$17:E57)=D$10,F57,D$10-SUM(E$17:E57))</f>
        <v>0</v>
      </c>
      <c r="E58" s="481">
        <f t="shared" si="16"/>
        <v>0</v>
      </c>
      <c r="F58" s="482">
        <f t="shared" si="17"/>
        <v>0</v>
      </c>
      <c r="G58" s="483">
        <f t="shared" si="18"/>
        <v>0</v>
      </c>
      <c r="H58" s="452">
        <f t="shared" si="19"/>
        <v>0</v>
      </c>
      <c r="I58" s="472">
        <f t="shared" si="5"/>
        <v>0</v>
      </c>
      <c r="J58" s="472"/>
      <c r="K58" s="484"/>
      <c r="L58" s="475">
        <f t="shared" si="1"/>
        <v>0</v>
      </c>
      <c r="M58" s="484"/>
      <c r="N58" s="475">
        <f t="shared" si="3"/>
        <v>0</v>
      </c>
      <c r="O58" s="475">
        <f t="shared" si="4"/>
        <v>0</v>
      </c>
      <c r="P58" s="241"/>
    </row>
    <row r="59" spans="2:16" ht="12.5">
      <c r="B59" s="160" t="str">
        <f t="shared" si="7"/>
        <v/>
      </c>
      <c r="C59" s="469">
        <f>IF(D11="","-",+C58+1)</f>
        <v>2060</v>
      </c>
      <c r="D59" s="480">
        <f>IF(F58+SUM(E$17:E58)=D$10,F58,D$10-SUM(E$17:E58))</f>
        <v>0</v>
      </c>
      <c r="E59" s="481">
        <f t="shared" si="16"/>
        <v>0</v>
      </c>
      <c r="F59" s="482">
        <f t="shared" si="17"/>
        <v>0</v>
      </c>
      <c r="G59" s="483">
        <f t="shared" si="18"/>
        <v>0</v>
      </c>
      <c r="H59" s="452">
        <f t="shared" si="19"/>
        <v>0</v>
      </c>
      <c r="I59" s="472">
        <f t="shared" si="5"/>
        <v>0</v>
      </c>
      <c r="J59" s="472"/>
      <c r="K59" s="484"/>
      <c r="L59" s="475">
        <f t="shared" si="1"/>
        <v>0</v>
      </c>
      <c r="M59" s="484"/>
      <c r="N59" s="475">
        <f t="shared" si="3"/>
        <v>0</v>
      </c>
      <c r="O59" s="475">
        <f t="shared" si="4"/>
        <v>0</v>
      </c>
      <c r="P59" s="241"/>
    </row>
    <row r="60" spans="2:16" ht="12.5">
      <c r="B60" s="160" t="str">
        <f t="shared" si="7"/>
        <v/>
      </c>
      <c r="C60" s="469">
        <f>IF(D11="","-",+C59+1)</f>
        <v>2061</v>
      </c>
      <c r="D60" s="480">
        <f>IF(F59+SUM(E$17:E59)=D$10,F59,D$10-SUM(E$17:E59))</f>
        <v>0</v>
      </c>
      <c r="E60" s="481">
        <f t="shared" si="16"/>
        <v>0</v>
      </c>
      <c r="F60" s="482">
        <f t="shared" si="17"/>
        <v>0</v>
      </c>
      <c r="G60" s="483">
        <f t="shared" si="18"/>
        <v>0</v>
      </c>
      <c r="H60" s="452">
        <f t="shared" si="19"/>
        <v>0</v>
      </c>
      <c r="I60" s="472">
        <f t="shared" si="5"/>
        <v>0</v>
      </c>
      <c r="J60" s="472"/>
      <c r="K60" s="484"/>
      <c r="L60" s="475">
        <f t="shared" si="1"/>
        <v>0</v>
      </c>
      <c r="M60" s="484"/>
      <c r="N60" s="475">
        <f t="shared" si="3"/>
        <v>0</v>
      </c>
      <c r="O60" s="475">
        <f t="shared" si="4"/>
        <v>0</v>
      </c>
      <c r="P60" s="241"/>
    </row>
    <row r="61" spans="2:16" ht="12.5">
      <c r="B61" s="160" t="str">
        <f t="shared" si="7"/>
        <v/>
      </c>
      <c r="C61" s="469">
        <f>IF(D11="","-",+C60+1)</f>
        <v>2062</v>
      </c>
      <c r="D61" s="480">
        <f>IF(F60+SUM(E$17:E60)=D$10,F60,D$10-SUM(E$17:E60))</f>
        <v>0</v>
      </c>
      <c r="E61" s="481">
        <f t="shared" si="16"/>
        <v>0</v>
      </c>
      <c r="F61" s="482">
        <f t="shared" si="17"/>
        <v>0</v>
      </c>
      <c r="G61" s="483">
        <f t="shared" si="18"/>
        <v>0</v>
      </c>
      <c r="H61" s="452">
        <f t="shared" si="19"/>
        <v>0</v>
      </c>
      <c r="I61" s="472">
        <f t="shared" si="5"/>
        <v>0</v>
      </c>
      <c r="J61" s="472"/>
      <c r="K61" s="484"/>
      <c r="L61" s="475">
        <f t="shared" si="1"/>
        <v>0</v>
      </c>
      <c r="M61" s="484"/>
      <c r="N61" s="475">
        <f t="shared" si="3"/>
        <v>0</v>
      </c>
      <c r="O61" s="475">
        <f t="shared" si="4"/>
        <v>0</v>
      </c>
      <c r="P61" s="241"/>
    </row>
    <row r="62" spans="2:16" ht="12.5">
      <c r="B62" s="160" t="str">
        <f t="shared" si="7"/>
        <v/>
      </c>
      <c r="C62" s="469">
        <f>IF(D11="","-",+C61+1)</f>
        <v>2063</v>
      </c>
      <c r="D62" s="480">
        <f>IF(F61+SUM(E$17:E61)=D$10,F61,D$10-SUM(E$17:E61))</f>
        <v>0</v>
      </c>
      <c r="E62" s="481">
        <f t="shared" si="16"/>
        <v>0</v>
      </c>
      <c r="F62" s="482">
        <f t="shared" si="17"/>
        <v>0</v>
      </c>
      <c r="G62" s="483">
        <f t="shared" si="18"/>
        <v>0</v>
      </c>
      <c r="H62" s="452">
        <f t="shared" si="19"/>
        <v>0</v>
      </c>
      <c r="I62" s="472">
        <f t="shared" si="5"/>
        <v>0</v>
      </c>
      <c r="J62" s="472"/>
      <c r="K62" s="484"/>
      <c r="L62" s="475">
        <f t="shared" si="1"/>
        <v>0</v>
      </c>
      <c r="M62" s="484"/>
      <c r="N62" s="475">
        <f t="shared" si="3"/>
        <v>0</v>
      </c>
      <c r="O62" s="475">
        <f t="shared" si="4"/>
        <v>0</v>
      </c>
      <c r="P62" s="241"/>
    </row>
    <row r="63" spans="2:16" ht="12.5">
      <c r="B63" s="160" t="str">
        <f t="shared" si="7"/>
        <v/>
      </c>
      <c r="C63" s="469">
        <f>IF(D11="","-",+C62+1)</f>
        <v>2064</v>
      </c>
      <c r="D63" s="480">
        <f>IF(F62+SUM(E$17:E62)=D$10,F62,D$10-SUM(E$17:E62))</f>
        <v>0</v>
      </c>
      <c r="E63" s="481">
        <f t="shared" si="16"/>
        <v>0</v>
      </c>
      <c r="F63" s="482">
        <f t="shared" si="17"/>
        <v>0</v>
      </c>
      <c r="G63" s="483">
        <f t="shared" si="18"/>
        <v>0</v>
      </c>
      <c r="H63" s="452">
        <f t="shared" si="19"/>
        <v>0</v>
      </c>
      <c r="I63" s="472">
        <f t="shared" si="5"/>
        <v>0</v>
      </c>
      <c r="J63" s="472"/>
      <c r="K63" s="484"/>
      <c r="L63" s="475">
        <f t="shared" si="1"/>
        <v>0</v>
      </c>
      <c r="M63" s="484"/>
      <c r="N63" s="475">
        <f t="shared" si="3"/>
        <v>0</v>
      </c>
      <c r="O63" s="475">
        <f t="shared" si="4"/>
        <v>0</v>
      </c>
      <c r="P63" s="241"/>
    </row>
    <row r="64" spans="2:16" ht="12.5">
      <c r="B64" s="160" t="str">
        <f t="shared" si="7"/>
        <v/>
      </c>
      <c r="C64" s="469">
        <f>IF(D11="","-",+C63+1)</f>
        <v>2065</v>
      </c>
      <c r="D64" s="480">
        <f>IF(F63+SUM(E$17:E63)=D$10,F63,D$10-SUM(E$17:E63))</f>
        <v>0</v>
      </c>
      <c r="E64" s="481">
        <f t="shared" si="16"/>
        <v>0</v>
      </c>
      <c r="F64" s="482">
        <f t="shared" si="17"/>
        <v>0</v>
      </c>
      <c r="G64" s="483">
        <f t="shared" si="18"/>
        <v>0</v>
      </c>
      <c r="H64" s="452">
        <f t="shared" si="19"/>
        <v>0</v>
      </c>
      <c r="I64" s="472">
        <f t="shared" si="5"/>
        <v>0</v>
      </c>
      <c r="J64" s="472"/>
      <c r="K64" s="484"/>
      <c r="L64" s="475">
        <f t="shared" si="1"/>
        <v>0</v>
      </c>
      <c r="M64" s="484"/>
      <c r="N64" s="475">
        <f t="shared" si="3"/>
        <v>0</v>
      </c>
      <c r="O64" s="475">
        <f t="shared" si="4"/>
        <v>0</v>
      </c>
      <c r="P64" s="241"/>
    </row>
    <row r="65" spans="2:16" ht="12.5">
      <c r="B65" s="160" t="str">
        <f t="shared" si="7"/>
        <v/>
      </c>
      <c r="C65" s="469">
        <f>IF(D11="","-",+C64+1)</f>
        <v>2066</v>
      </c>
      <c r="D65" s="480">
        <f>IF(F64+SUM(E$17:E64)=D$10,F64,D$10-SUM(E$17:E64))</f>
        <v>0</v>
      </c>
      <c r="E65" s="481">
        <f t="shared" si="16"/>
        <v>0</v>
      </c>
      <c r="F65" s="482">
        <f t="shared" si="17"/>
        <v>0</v>
      </c>
      <c r="G65" s="483">
        <f t="shared" si="18"/>
        <v>0</v>
      </c>
      <c r="H65" s="452">
        <f t="shared" si="19"/>
        <v>0</v>
      </c>
      <c r="I65" s="472">
        <f t="shared" si="5"/>
        <v>0</v>
      </c>
      <c r="J65" s="472"/>
      <c r="K65" s="484"/>
      <c r="L65" s="475">
        <f t="shared" si="1"/>
        <v>0</v>
      </c>
      <c r="M65" s="484"/>
      <c r="N65" s="475">
        <f t="shared" si="3"/>
        <v>0</v>
      </c>
      <c r="O65" s="475">
        <f t="shared" si="4"/>
        <v>0</v>
      </c>
      <c r="P65" s="241"/>
    </row>
    <row r="66" spans="2:16" ht="12.5">
      <c r="B66" s="160" t="str">
        <f t="shared" si="7"/>
        <v/>
      </c>
      <c r="C66" s="469">
        <f>IF(D11="","-",+C65+1)</f>
        <v>2067</v>
      </c>
      <c r="D66" s="480">
        <f>IF(F65+SUM(E$17:E65)=D$10,F65,D$10-SUM(E$17:E65))</f>
        <v>0</v>
      </c>
      <c r="E66" s="481">
        <f t="shared" si="16"/>
        <v>0</v>
      </c>
      <c r="F66" s="482">
        <f t="shared" si="17"/>
        <v>0</v>
      </c>
      <c r="G66" s="483">
        <f t="shared" si="18"/>
        <v>0</v>
      </c>
      <c r="H66" s="452">
        <f t="shared" si="19"/>
        <v>0</v>
      </c>
      <c r="I66" s="472">
        <f t="shared" si="5"/>
        <v>0</v>
      </c>
      <c r="J66" s="472"/>
      <c r="K66" s="484"/>
      <c r="L66" s="475">
        <f t="shared" si="1"/>
        <v>0</v>
      </c>
      <c r="M66" s="484"/>
      <c r="N66" s="475">
        <f t="shared" si="3"/>
        <v>0</v>
      </c>
      <c r="O66" s="475">
        <f t="shared" si="4"/>
        <v>0</v>
      </c>
      <c r="P66" s="241"/>
    </row>
    <row r="67" spans="2:16" ht="12.5">
      <c r="B67" s="160" t="str">
        <f t="shared" si="7"/>
        <v/>
      </c>
      <c r="C67" s="469">
        <f>IF(D11="","-",+C66+1)</f>
        <v>2068</v>
      </c>
      <c r="D67" s="480">
        <f>IF(F66+SUM(E$17:E66)=D$10,F66,D$10-SUM(E$17:E66))</f>
        <v>0</v>
      </c>
      <c r="E67" s="481">
        <f t="shared" si="16"/>
        <v>0</v>
      </c>
      <c r="F67" s="482">
        <f t="shared" si="17"/>
        <v>0</v>
      </c>
      <c r="G67" s="483">
        <f t="shared" si="18"/>
        <v>0</v>
      </c>
      <c r="H67" s="452">
        <f t="shared" si="19"/>
        <v>0</v>
      </c>
      <c r="I67" s="472">
        <f t="shared" si="5"/>
        <v>0</v>
      </c>
      <c r="J67" s="472"/>
      <c r="K67" s="484"/>
      <c r="L67" s="475">
        <f t="shared" si="1"/>
        <v>0</v>
      </c>
      <c r="M67" s="484"/>
      <c r="N67" s="475">
        <f t="shared" si="3"/>
        <v>0</v>
      </c>
      <c r="O67" s="475">
        <f t="shared" si="4"/>
        <v>0</v>
      </c>
      <c r="P67" s="241"/>
    </row>
    <row r="68" spans="2:16" ht="12.5">
      <c r="B68" s="160" t="str">
        <f t="shared" si="7"/>
        <v/>
      </c>
      <c r="C68" s="469">
        <f>IF(D11="","-",+C67+1)</f>
        <v>2069</v>
      </c>
      <c r="D68" s="480">
        <f>IF(F67+SUM(E$17:E67)=D$10,F67,D$10-SUM(E$17:E67))</f>
        <v>0</v>
      </c>
      <c r="E68" s="481">
        <f t="shared" si="16"/>
        <v>0</v>
      </c>
      <c r="F68" s="482">
        <f t="shared" si="17"/>
        <v>0</v>
      </c>
      <c r="G68" s="483">
        <f t="shared" si="18"/>
        <v>0</v>
      </c>
      <c r="H68" s="452">
        <f t="shared" si="19"/>
        <v>0</v>
      </c>
      <c r="I68" s="472">
        <f t="shared" si="5"/>
        <v>0</v>
      </c>
      <c r="J68" s="472"/>
      <c r="K68" s="484"/>
      <c r="L68" s="475">
        <f t="shared" si="1"/>
        <v>0</v>
      </c>
      <c r="M68" s="484"/>
      <c r="N68" s="475">
        <f t="shared" si="3"/>
        <v>0</v>
      </c>
      <c r="O68" s="475">
        <f t="shared" si="4"/>
        <v>0</v>
      </c>
      <c r="P68" s="241"/>
    </row>
    <row r="69" spans="2:16" ht="12.5">
      <c r="B69" s="160" t="str">
        <f t="shared" si="7"/>
        <v/>
      </c>
      <c r="C69" s="469">
        <f>IF(D11="","-",+C68+1)</f>
        <v>2070</v>
      </c>
      <c r="D69" s="480">
        <f>IF(F68+SUM(E$17:E68)=D$10,F68,D$10-SUM(E$17:E68))</f>
        <v>0</v>
      </c>
      <c r="E69" s="481">
        <f t="shared" si="16"/>
        <v>0</v>
      </c>
      <c r="F69" s="482">
        <f t="shared" si="17"/>
        <v>0</v>
      </c>
      <c r="G69" s="483">
        <f t="shared" si="18"/>
        <v>0</v>
      </c>
      <c r="H69" s="452">
        <f t="shared" si="19"/>
        <v>0</v>
      </c>
      <c r="I69" s="472">
        <f t="shared" si="5"/>
        <v>0</v>
      </c>
      <c r="J69" s="472"/>
      <c r="K69" s="484"/>
      <c r="L69" s="475">
        <f t="shared" si="1"/>
        <v>0</v>
      </c>
      <c r="M69" s="484"/>
      <c r="N69" s="475">
        <f t="shared" si="3"/>
        <v>0</v>
      </c>
      <c r="O69" s="475">
        <f t="shared" si="4"/>
        <v>0</v>
      </c>
      <c r="P69" s="241"/>
    </row>
    <row r="70" spans="2:16" ht="12.5">
      <c r="B70" s="160" t="str">
        <f t="shared" si="7"/>
        <v/>
      </c>
      <c r="C70" s="469">
        <f>IF(D11="","-",+C69+1)</f>
        <v>2071</v>
      </c>
      <c r="D70" s="480">
        <f>IF(F69+SUM(E$17:E69)=D$10,F69,D$10-SUM(E$17:E69))</f>
        <v>0</v>
      </c>
      <c r="E70" s="481">
        <f t="shared" si="16"/>
        <v>0</v>
      </c>
      <c r="F70" s="482">
        <f t="shared" si="17"/>
        <v>0</v>
      </c>
      <c r="G70" s="483">
        <f t="shared" si="18"/>
        <v>0</v>
      </c>
      <c r="H70" s="452">
        <f t="shared" si="19"/>
        <v>0</v>
      </c>
      <c r="I70" s="472">
        <f t="shared" si="5"/>
        <v>0</v>
      </c>
      <c r="J70" s="472"/>
      <c r="K70" s="484"/>
      <c r="L70" s="475">
        <f t="shared" si="1"/>
        <v>0</v>
      </c>
      <c r="M70" s="484"/>
      <c r="N70" s="475">
        <f t="shared" si="3"/>
        <v>0</v>
      </c>
      <c r="O70" s="475">
        <f t="shared" si="4"/>
        <v>0</v>
      </c>
      <c r="P70" s="241"/>
    </row>
    <row r="71" spans="2:16" ht="12.5">
      <c r="B71" s="160" t="str">
        <f t="shared" si="7"/>
        <v/>
      </c>
      <c r="C71" s="469">
        <f>IF(D11="","-",+C70+1)</f>
        <v>2072</v>
      </c>
      <c r="D71" s="480">
        <f>IF(F70+SUM(E$17:E70)=D$10,F70,D$10-SUM(E$17:E70))</f>
        <v>0</v>
      </c>
      <c r="E71" s="481">
        <f t="shared" si="16"/>
        <v>0</v>
      </c>
      <c r="F71" s="482">
        <f t="shared" si="17"/>
        <v>0</v>
      </c>
      <c r="G71" s="483">
        <f t="shared" si="18"/>
        <v>0</v>
      </c>
      <c r="H71" s="452">
        <f t="shared" si="19"/>
        <v>0</v>
      </c>
      <c r="I71" s="472">
        <f t="shared" si="5"/>
        <v>0</v>
      </c>
      <c r="J71" s="472"/>
      <c r="K71" s="484"/>
      <c r="L71" s="475">
        <f t="shared" si="1"/>
        <v>0</v>
      </c>
      <c r="M71" s="484"/>
      <c r="N71" s="475">
        <f t="shared" si="3"/>
        <v>0</v>
      </c>
      <c r="O71" s="475">
        <f t="shared" si="4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2073</v>
      </c>
      <c r="D72" s="608">
        <f>IF(F71+SUM(E$17:E71)=D$10,F71,D$10-SUM(E$17:E71))</f>
        <v>0</v>
      </c>
      <c r="E72" s="488">
        <f>IF(+I$14&lt;F71,I$14,D72)</f>
        <v>0</v>
      </c>
      <c r="F72" s="487">
        <f>+D72-E72</f>
        <v>0</v>
      </c>
      <c r="G72" s="541">
        <f>(D72+F72)/2*I$12+E72</f>
        <v>0</v>
      </c>
      <c r="H72" s="432">
        <f>+(D72+F72)/2*I$13+E72</f>
        <v>0</v>
      </c>
      <c r="I72" s="490">
        <f>H72-G72</f>
        <v>0</v>
      </c>
      <c r="J72" s="472"/>
      <c r="K72" s="491"/>
      <c r="L72" s="492">
        <f t="shared" si="1"/>
        <v>0</v>
      </c>
      <c r="M72" s="491"/>
      <c r="N72" s="492">
        <f t="shared" si="3"/>
        <v>0</v>
      </c>
      <c r="O72" s="492">
        <f t="shared" si="4"/>
        <v>0</v>
      </c>
      <c r="P72" s="241"/>
    </row>
    <row r="73" spans="2:16" ht="12.5">
      <c r="C73" s="344" t="s">
        <v>77</v>
      </c>
      <c r="D73" s="345"/>
      <c r="E73" s="345">
        <f>SUM(E17:E72)</f>
        <v>1165593.0100000002</v>
      </c>
      <c r="F73" s="345"/>
      <c r="G73" s="345">
        <f>SUM(G17:G72)</f>
        <v>3752825.0531987245</v>
      </c>
      <c r="H73" s="345">
        <f>SUM(H17:H72)</f>
        <v>3752825.0531987245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23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145235.20056587984</v>
      </c>
      <c r="N87" s="505">
        <f>IF(J92&lt;D11,0,VLOOKUP(J92,C17:O72,11))</f>
        <v>145235.20056587984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162950.73091546952</v>
      </c>
      <c r="N88" s="509">
        <f>IF(J92&lt;D11,0,VLOOKUP(J92,C99:P154,7))</f>
        <v>162950.73091546952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Elk City 138KV Move Load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17715.530349589681</v>
      </c>
      <c r="N89" s="514">
        <f>+N88-N87</f>
        <v>17715.530349589681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TP2011110</v>
      </c>
      <c r="E91" s="519" t="str">
        <f>E9</f>
        <v xml:space="preserve">  SPP Project ID = 31005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1165593.0099999998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2018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5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30674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2018</v>
      </c>
      <c r="D99" s="581">
        <v>0</v>
      </c>
      <c r="E99" s="604">
        <v>20674.5</v>
      </c>
      <c r="F99" s="581">
        <v>1757325.5</v>
      </c>
      <c r="G99" s="604">
        <v>878662.75</v>
      </c>
      <c r="H99" s="584">
        <v>110944.41567094853</v>
      </c>
      <c r="I99" s="603">
        <v>110944.41567094853</v>
      </c>
      <c r="J99" s="475">
        <f>+I99-H99</f>
        <v>0</v>
      </c>
      <c r="K99" s="475"/>
      <c r="L99" s="474">
        <f>+H99</f>
        <v>110944.41567094853</v>
      </c>
      <c r="M99" s="474">
        <f t="shared" ref="M99" si="20">IF(L99&lt;&gt;0,+H99-L99,0)</f>
        <v>0</v>
      </c>
      <c r="N99" s="474">
        <f>+I99</f>
        <v>110944.41567094853</v>
      </c>
      <c r="O99" s="474">
        <f t="shared" ref="O99" si="21">IF(N99&lt;&gt;0,+I99-N99,0)</f>
        <v>0</v>
      </c>
      <c r="P99" s="474">
        <f t="shared" ref="P99" si="22">+O99-M99</f>
        <v>0</v>
      </c>
    </row>
    <row r="100" spans="1:16" ht="12.5">
      <c r="B100" s="160" t="str">
        <f>IF(D100=F99,"","IU")</f>
        <v>IU</v>
      </c>
      <c r="C100" s="469">
        <f>IF(D93="","-",+C99+1)</f>
        <v>2019</v>
      </c>
      <c r="D100" s="581">
        <v>1155505.5</v>
      </c>
      <c r="E100" s="582">
        <v>28687</v>
      </c>
      <c r="F100" s="583">
        <v>1126818.5</v>
      </c>
      <c r="G100" s="583">
        <v>1141162</v>
      </c>
      <c r="H100" s="602">
        <v>146356.80823022424</v>
      </c>
      <c r="I100" s="603">
        <v>146356.80823022424</v>
      </c>
      <c r="J100" s="475">
        <f t="shared" ref="J100:J130" si="23">+I100-H100</f>
        <v>0</v>
      </c>
      <c r="K100" s="475"/>
      <c r="L100" s="473">
        <f>H100</f>
        <v>146356.80823022424</v>
      </c>
      <c r="M100" s="346">
        <f>IF(L100&lt;&gt;0,+H100-L100,0)</f>
        <v>0</v>
      </c>
      <c r="N100" s="473">
        <f>I100</f>
        <v>146356.80823022424</v>
      </c>
      <c r="O100" s="475">
        <f t="shared" ref="O100:O130" si="24">IF(N100&lt;&gt;0,+I100-N100,0)</f>
        <v>0</v>
      </c>
      <c r="P100" s="475">
        <f t="shared" ref="P100:P130" si="25">+O100-M100</f>
        <v>0</v>
      </c>
    </row>
    <row r="101" spans="1:16" ht="12.5">
      <c r="B101" s="160" t="str">
        <f t="shared" ref="B101:B154" si="26">IF(D101=F100,"","IU")</f>
        <v>IU</v>
      </c>
      <c r="C101" s="469">
        <f>IF(D93="","-",+C100+1)</f>
        <v>2020</v>
      </c>
      <c r="D101" s="581">
        <v>1116231.5</v>
      </c>
      <c r="E101" s="582">
        <v>27107</v>
      </c>
      <c r="F101" s="583">
        <v>1089124.5</v>
      </c>
      <c r="G101" s="583">
        <v>1102678</v>
      </c>
      <c r="H101" s="602">
        <v>154242.74183680658</v>
      </c>
      <c r="I101" s="603">
        <v>154242.74183680658</v>
      </c>
      <c r="J101" s="475">
        <f t="shared" si="23"/>
        <v>0</v>
      </c>
      <c r="K101" s="475"/>
      <c r="L101" s="473">
        <f>H101</f>
        <v>154242.74183680658</v>
      </c>
      <c r="M101" s="346">
        <f>IF(L101&lt;&gt;0,+H101-L101,0)</f>
        <v>0</v>
      </c>
      <c r="N101" s="473">
        <f>I101</f>
        <v>154242.74183680658</v>
      </c>
      <c r="O101" s="475">
        <f t="shared" si="24"/>
        <v>0</v>
      </c>
      <c r="P101" s="475">
        <f t="shared" si="25"/>
        <v>0</v>
      </c>
    </row>
    <row r="102" spans="1:16" ht="12.5">
      <c r="B102" s="160" t="str">
        <f t="shared" si="26"/>
        <v/>
      </c>
      <c r="C102" s="469">
        <f>IF(D93="","-",+C101+1)</f>
        <v>2021</v>
      </c>
      <c r="D102" s="581">
        <v>1089124.5</v>
      </c>
      <c r="E102" s="582">
        <v>28429</v>
      </c>
      <c r="F102" s="583">
        <v>1060695.5</v>
      </c>
      <c r="G102" s="583">
        <v>1074910</v>
      </c>
      <c r="H102" s="602">
        <v>150746.01115745076</v>
      </c>
      <c r="I102" s="603">
        <v>150746.01115745076</v>
      </c>
      <c r="J102" s="475">
        <f t="shared" si="23"/>
        <v>0</v>
      </c>
      <c r="K102" s="475"/>
      <c r="L102" s="473">
        <f>H102</f>
        <v>150746.01115745076</v>
      </c>
      <c r="M102" s="346">
        <f>IF(L102&lt;&gt;0,+H102-L102,0)</f>
        <v>0</v>
      </c>
      <c r="N102" s="473">
        <f>I102</f>
        <v>150746.01115745076</v>
      </c>
      <c r="O102" s="475">
        <f t="shared" si="24"/>
        <v>0</v>
      </c>
      <c r="P102" s="475">
        <f t="shared" si="25"/>
        <v>0</v>
      </c>
    </row>
    <row r="103" spans="1:16" ht="12.5">
      <c r="B103" s="160" t="str">
        <f t="shared" si="26"/>
        <v/>
      </c>
      <c r="C103" s="469">
        <f>IF(D93="","-",+C102+1)</f>
        <v>2022</v>
      </c>
      <c r="D103" s="581">
        <v>1060695.5</v>
      </c>
      <c r="E103" s="582">
        <v>29887</v>
      </c>
      <c r="F103" s="583">
        <v>1030808.5</v>
      </c>
      <c r="G103" s="583">
        <v>1045752</v>
      </c>
      <c r="H103" s="602">
        <v>145110.72961001651</v>
      </c>
      <c r="I103" s="603">
        <v>145110.72961001651</v>
      </c>
      <c r="J103" s="475">
        <f t="shared" si="23"/>
        <v>0</v>
      </c>
      <c r="K103" s="475"/>
      <c r="L103" s="473">
        <f>H103</f>
        <v>145110.72961001651</v>
      </c>
      <c r="M103" s="346">
        <f>IF(L103&lt;&gt;0,+H103-L103,0)</f>
        <v>0</v>
      </c>
      <c r="N103" s="473">
        <f>I103</f>
        <v>145110.72961001651</v>
      </c>
      <c r="O103" s="475">
        <f t="shared" ref="O103" si="27">IF(N103&lt;&gt;0,+I103-N103,0)</f>
        <v>0</v>
      </c>
      <c r="P103" s="475">
        <f t="shared" ref="P103" si="28">+O103-M103</f>
        <v>0</v>
      </c>
    </row>
    <row r="104" spans="1:16" ht="12.5">
      <c r="B104" s="160" t="str">
        <f t="shared" si="26"/>
        <v>IU</v>
      </c>
      <c r="C104" s="469">
        <f>IF(D93="","-",+C103+1)</f>
        <v>2023</v>
      </c>
      <c r="D104" s="581">
        <v>1030808.5099999998</v>
      </c>
      <c r="E104" s="582">
        <v>30674</v>
      </c>
      <c r="F104" s="583">
        <v>1000134.5099999998</v>
      </c>
      <c r="G104" s="583">
        <v>1015471.5099999998</v>
      </c>
      <c r="H104" s="602">
        <v>146668.31804907569</v>
      </c>
      <c r="I104" s="603">
        <v>146668.31804907569</v>
      </c>
      <c r="J104" s="475">
        <f t="shared" si="23"/>
        <v>0</v>
      </c>
      <c r="K104" s="475"/>
      <c r="L104" s="473">
        <f>H104</f>
        <v>146668.31804907569</v>
      </c>
      <c r="M104" s="346">
        <f>IF(L104&lt;&gt;0,+H104-L104,0)</f>
        <v>0</v>
      </c>
      <c r="N104" s="473">
        <f>I104</f>
        <v>146668.31804907569</v>
      </c>
      <c r="O104" s="475">
        <f t="shared" ref="O104" si="29">IF(N104&lt;&gt;0,+I104-N104,0)</f>
        <v>0</v>
      </c>
      <c r="P104" s="475">
        <f t="shared" ref="P104" si="30">+O104-M104</f>
        <v>0</v>
      </c>
    </row>
    <row r="105" spans="1:16" ht="12.5">
      <c r="B105" s="160" t="str">
        <f t="shared" si="26"/>
        <v/>
      </c>
      <c r="C105" s="469">
        <f>IF(D93="","-",+C104+1)</f>
        <v>2024</v>
      </c>
      <c r="D105" s="344">
        <f>IF(F104+SUM(E$99:E104)=D$92,F104,D$92-SUM(E$99:E104))</f>
        <v>1000134.5099999998</v>
      </c>
      <c r="E105" s="481">
        <f t="shared" ref="E105:E154" si="31">IF(+J$96&lt;F104,J$96,D105)</f>
        <v>30674</v>
      </c>
      <c r="F105" s="482">
        <f t="shared" ref="F105:F154" si="32">+D105-E105</f>
        <v>969460.50999999978</v>
      </c>
      <c r="G105" s="482">
        <f t="shared" ref="G105:G154" si="33">+(F105+D105)/2</f>
        <v>984797.50999999978</v>
      </c>
      <c r="H105" s="483">
        <f t="shared" ref="H105:H153" si="34">(D105+F105)/2*J$94+E105</f>
        <v>162950.73091546952</v>
      </c>
      <c r="I105" s="539">
        <f t="shared" ref="I105:I153" si="35">+J$95*G105+E105</f>
        <v>162950.73091546952</v>
      </c>
      <c r="J105" s="475">
        <f t="shared" si="23"/>
        <v>0</v>
      </c>
      <c r="K105" s="475"/>
      <c r="L105" s="484"/>
      <c r="M105" s="475">
        <f t="shared" ref="M105:M130" si="36">IF(L105&lt;&gt;0,+H105-L105,0)</f>
        <v>0</v>
      </c>
      <c r="N105" s="484"/>
      <c r="O105" s="475">
        <f t="shared" si="24"/>
        <v>0</v>
      </c>
      <c r="P105" s="475">
        <f t="shared" si="25"/>
        <v>0</v>
      </c>
    </row>
    <row r="106" spans="1:16" ht="12.5">
      <c r="B106" s="160" t="str">
        <f t="shared" si="26"/>
        <v/>
      </c>
      <c r="C106" s="469">
        <f>IF(D93="","-",+C105+1)</f>
        <v>2025</v>
      </c>
      <c r="D106" s="344">
        <f>IF(F105+SUM(E$99:E105)=D$92,F105,D$92-SUM(E$99:E105))</f>
        <v>969460.50999999978</v>
      </c>
      <c r="E106" s="481">
        <f t="shared" si="31"/>
        <v>30674</v>
      </c>
      <c r="F106" s="482">
        <f t="shared" si="32"/>
        <v>938786.50999999978</v>
      </c>
      <c r="G106" s="482">
        <f t="shared" si="33"/>
        <v>954123.50999999978</v>
      </c>
      <c r="H106" s="483">
        <f t="shared" si="34"/>
        <v>158830.638812372</v>
      </c>
      <c r="I106" s="539">
        <f t="shared" si="35"/>
        <v>158830.638812372</v>
      </c>
      <c r="J106" s="475">
        <f t="shared" si="23"/>
        <v>0</v>
      </c>
      <c r="K106" s="475"/>
      <c r="L106" s="484"/>
      <c r="M106" s="475">
        <f t="shared" si="36"/>
        <v>0</v>
      </c>
      <c r="N106" s="484"/>
      <c r="O106" s="475">
        <f t="shared" si="24"/>
        <v>0</v>
      </c>
      <c r="P106" s="475">
        <f t="shared" si="25"/>
        <v>0</v>
      </c>
    </row>
    <row r="107" spans="1:16" ht="12.5">
      <c r="B107" s="160" t="str">
        <f t="shared" si="26"/>
        <v/>
      </c>
      <c r="C107" s="469">
        <f>IF(D93="","-",+C106+1)</f>
        <v>2026</v>
      </c>
      <c r="D107" s="344">
        <f>IF(F106+SUM(E$99:E106)=D$92,F106,D$92-SUM(E$99:E106))</f>
        <v>938786.50999999978</v>
      </c>
      <c r="E107" s="481">
        <f t="shared" si="31"/>
        <v>30674</v>
      </c>
      <c r="F107" s="482">
        <f t="shared" si="32"/>
        <v>908112.50999999978</v>
      </c>
      <c r="G107" s="482">
        <f t="shared" si="33"/>
        <v>923449.50999999978</v>
      </c>
      <c r="H107" s="483">
        <f t="shared" si="34"/>
        <v>154710.54670927447</v>
      </c>
      <c r="I107" s="539">
        <f t="shared" si="35"/>
        <v>154710.54670927447</v>
      </c>
      <c r="J107" s="475">
        <f t="shared" si="23"/>
        <v>0</v>
      </c>
      <c r="K107" s="475"/>
      <c r="L107" s="484"/>
      <c r="M107" s="475">
        <f t="shared" si="36"/>
        <v>0</v>
      </c>
      <c r="N107" s="484"/>
      <c r="O107" s="475">
        <f t="shared" si="24"/>
        <v>0</v>
      </c>
      <c r="P107" s="475">
        <f t="shared" si="25"/>
        <v>0</v>
      </c>
    </row>
    <row r="108" spans="1:16" ht="12.5">
      <c r="B108" s="160" t="str">
        <f t="shared" si="26"/>
        <v/>
      </c>
      <c r="C108" s="469">
        <f>IF(D93="","-",+C107+1)</f>
        <v>2027</v>
      </c>
      <c r="D108" s="344">
        <f>IF(F107+SUM(E$99:E107)=D$92,F107,D$92-SUM(E$99:E107))</f>
        <v>908112.50999999978</v>
      </c>
      <c r="E108" s="481">
        <f t="shared" si="31"/>
        <v>30674</v>
      </c>
      <c r="F108" s="482">
        <f t="shared" si="32"/>
        <v>877438.50999999978</v>
      </c>
      <c r="G108" s="482">
        <f t="shared" si="33"/>
        <v>892775.50999999978</v>
      </c>
      <c r="H108" s="483">
        <f t="shared" si="34"/>
        <v>150590.45460617694</v>
      </c>
      <c r="I108" s="539">
        <f t="shared" si="35"/>
        <v>150590.45460617694</v>
      </c>
      <c r="J108" s="475">
        <f t="shared" si="23"/>
        <v>0</v>
      </c>
      <c r="K108" s="475"/>
      <c r="L108" s="484"/>
      <c r="M108" s="475">
        <f t="shared" si="36"/>
        <v>0</v>
      </c>
      <c r="N108" s="484"/>
      <c r="O108" s="475">
        <f t="shared" si="24"/>
        <v>0</v>
      </c>
      <c r="P108" s="475">
        <f t="shared" si="25"/>
        <v>0</v>
      </c>
    </row>
    <row r="109" spans="1:16" ht="12.5">
      <c r="B109" s="160" t="str">
        <f t="shared" si="26"/>
        <v/>
      </c>
      <c r="C109" s="469">
        <f>IF(D93="","-",+C108+1)</f>
        <v>2028</v>
      </c>
      <c r="D109" s="344">
        <f>IF(F108+SUM(E$99:E108)=D$92,F108,D$92-SUM(E$99:E108))</f>
        <v>877438.50999999978</v>
      </c>
      <c r="E109" s="481">
        <f t="shared" si="31"/>
        <v>30674</v>
      </c>
      <c r="F109" s="482">
        <f t="shared" si="32"/>
        <v>846764.50999999978</v>
      </c>
      <c r="G109" s="482">
        <f t="shared" si="33"/>
        <v>862101.50999999978</v>
      </c>
      <c r="H109" s="483">
        <f t="shared" si="34"/>
        <v>146470.36250307938</v>
      </c>
      <c r="I109" s="539">
        <f t="shared" si="35"/>
        <v>146470.36250307938</v>
      </c>
      <c r="J109" s="475">
        <f t="shared" si="23"/>
        <v>0</v>
      </c>
      <c r="K109" s="475"/>
      <c r="L109" s="484"/>
      <c r="M109" s="475">
        <f t="shared" si="36"/>
        <v>0</v>
      </c>
      <c r="N109" s="484"/>
      <c r="O109" s="475">
        <f t="shared" si="24"/>
        <v>0</v>
      </c>
      <c r="P109" s="475">
        <f t="shared" si="25"/>
        <v>0</v>
      </c>
    </row>
    <row r="110" spans="1:16" ht="12.5">
      <c r="B110" s="160" t="str">
        <f t="shared" si="26"/>
        <v/>
      </c>
      <c r="C110" s="469">
        <f>IF(D93="","-",+C109+1)</f>
        <v>2029</v>
      </c>
      <c r="D110" s="344">
        <f>IF(F109+SUM(E$99:E109)=D$92,F109,D$92-SUM(E$99:E109))</f>
        <v>846764.50999999978</v>
      </c>
      <c r="E110" s="481">
        <f t="shared" si="31"/>
        <v>30674</v>
      </c>
      <c r="F110" s="482">
        <f t="shared" si="32"/>
        <v>816090.50999999978</v>
      </c>
      <c r="G110" s="482">
        <f t="shared" si="33"/>
        <v>831427.50999999978</v>
      </c>
      <c r="H110" s="483">
        <f t="shared" si="34"/>
        <v>142350.27039998185</v>
      </c>
      <c r="I110" s="539">
        <f t="shared" si="35"/>
        <v>142350.27039998185</v>
      </c>
      <c r="J110" s="475">
        <f t="shared" si="23"/>
        <v>0</v>
      </c>
      <c r="K110" s="475"/>
      <c r="L110" s="484"/>
      <c r="M110" s="475">
        <f t="shared" si="36"/>
        <v>0</v>
      </c>
      <c r="N110" s="484"/>
      <c r="O110" s="475">
        <f t="shared" si="24"/>
        <v>0</v>
      </c>
      <c r="P110" s="475">
        <f t="shared" si="25"/>
        <v>0</v>
      </c>
    </row>
    <row r="111" spans="1:16" ht="12.5">
      <c r="B111" s="160" t="str">
        <f t="shared" si="26"/>
        <v/>
      </c>
      <c r="C111" s="469">
        <f>IF(D93="","-",+C110+1)</f>
        <v>2030</v>
      </c>
      <c r="D111" s="344">
        <f>IF(F110+SUM(E$99:E110)=D$92,F110,D$92-SUM(E$99:E110))</f>
        <v>816090.50999999978</v>
      </c>
      <c r="E111" s="481">
        <f t="shared" si="31"/>
        <v>30674</v>
      </c>
      <c r="F111" s="482">
        <f t="shared" si="32"/>
        <v>785416.50999999978</v>
      </c>
      <c r="G111" s="482">
        <f t="shared" si="33"/>
        <v>800753.50999999978</v>
      </c>
      <c r="H111" s="483">
        <f t="shared" si="34"/>
        <v>138230.17829688432</v>
      </c>
      <c r="I111" s="539">
        <f t="shared" si="35"/>
        <v>138230.17829688432</v>
      </c>
      <c r="J111" s="475">
        <f t="shared" si="23"/>
        <v>0</v>
      </c>
      <c r="K111" s="475"/>
      <c r="L111" s="484"/>
      <c r="M111" s="475">
        <f t="shared" si="36"/>
        <v>0</v>
      </c>
      <c r="N111" s="484"/>
      <c r="O111" s="475">
        <f t="shared" si="24"/>
        <v>0</v>
      </c>
      <c r="P111" s="475">
        <f t="shared" si="25"/>
        <v>0</v>
      </c>
    </row>
    <row r="112" spans="1:16" ht="12.5">
      <c r="B112" s="160" t="str">
        <f t="shared" si="26"/>
        <v/>
      </c>
      <c r="C112" s="469">
        <f>IF(D93="","-",+C111+1)</f>
        <v>2031</v>
      </c>
      <c r="D112" s="344">
        <f>IF(F111+SUM(E$99:E111)=D$92,F111,D$92-SUM(E$99:E111))</f>
        <v>785416.50999999978</v>
      </c>
      <c r="E112" s="481">
        <f t="shared" si="31"/>
        <v>30674</v>
      </c>
      <c r="F112" s="482">
        <f t="shared" si="32"/>
        <v>754742.50999999978</v>
      </c>
      <c r="G112" s="482">
        <f t="shared" si="33"/>
        <v>770079.50999999978</v>
      </c>
      <c r="H112" s="483">
        <f t="shared" si="34"/>
        <v>134110.08619378679</v>
      </c>
      <c r="I112" s="539">
        <f t="shared" si="35"/>
        <v>134110.08619378679</v>
      </c>
      <c r="J112" s="475">
        <f t="shared" si="23"/>
        <v>0</v>
      </c>
      <c r="K112" s="475"/>
      <c r="L112" s="484"/>
      <c r="M112" s="475">
        <f t="shared" si="36"/>
        <v>0</v>
      </c>
      <c r="N112" s="484"/>
      <c r="O112" s="475">
        <f t="shared" si="24"/>
        <v>0</v>
      </c>
      <c r="P112" s="475">
        <f t="shared" si="25"/>
        <v>0</v>
      </c>
    </row>
    <row r="113" spans="2:16" ht="12.5">
      <c r="B113" s="160" t="str">
        <f t="shared" si="26"/>
        <v/>
      </c>
      <c r="C113" s="469">
        <f>IF(D93="","-",+C112+1)</f>
        <v>2032</v>
      </c>
      <c r="D113" s="344">
        <f>IF(F112+SUM(E$99:E112)=D$92,F112,D$92-SUM(E$99:E112))</f>
        <v>754742.50999999978</v>
      </c>
      <c r="E113" s="481">
        <f t="shared" si="31"/>
        <v>30674</v>
      </c>
      <c r="F113" s="482">
        <f t="shared" si="32"/>
        <v>724068.50999999978</v>
      </c>
      <c r="G113" s="482">
        <f t="shared" si="33"/>
        <v>739405.50999999978</v>
      </c>
      <c r="H113" s="483">
        <f t="shared" si="34"/>
        <v>129989.99409068926</v>
      </c>
      <c r="I113" s="539">
        <f t="shared" si="35"/>
        <v>129989.99409068926</v>
      </c>
      <c r="J113" s="475">
        <f t="shared" si="23"/>
        <v>0</v>
      </c>
      <c r="K113" s="475"/>
      <c r="L113" s="484"/>
      <c r="M113" s="475">
        <f t="shared" si="36"/>
        <v>0</v>
      </c>
      <c r="N113" s="484"/>
      <c r="O113" s="475">
        <f t="shared" si="24"/>
        <v>0</v>
      </c>
      <c r="P113" s="475">
        <f t="shared" si="25"/>
        <v>0</v>
      </c>
    </row>
    <row r="114" spans="2:16" ht="12.5">
      <c r="B114" s="160" t="str">
        <f t="shared" si="26"/>
        <v/>
      </c>
      <c r="C114" s="469">
        <f>IF(D93="","-",+C113+1)</f>
        <v>2033</v>
      </c>
      <c r="D114" s="344">
        <f>IF(F113+SUM(E$99:E113)=D$92,F113,D$92-SUM(E$99:E113))</f>
        <v>724068.50999999978</v>
      </c>
      <c r="E114" s="481">
        <f t="shared" si="31"/>
        <v>30674</v>
      </c>
      <c r="F114" s="482">
        <f t="shared" si="32"/>
        <v>693394.50999999978</v>
      </c>
      <c r="G114" s="482">
        <f t="shared" si="33"/>
        <v>708731.50999999978</v>
      </c>
      <c r="H114" s="483">
        <f t="shared" si="34"/>
        <v>125869.90198759173</v>
      </c>
      <c r="I114" s="539">
        <f t="shared" si="35"/>
        <v>125869.90198759173</v>
      </c>
      <c r="J114" s="475">
        <f t="shared" si="23"/>
        <v>0</v>
      </c>
      <c r="K114" s="475"/>
      <c r="L114" s="484"/>
      <c r="M114" s="475">
        <f t="shared" si="36"/>
        <v>0</v>
      </c>
      <c r="N114" s="484"/>
      <c r="O114" s="475">
        <f t="shared" si="24"/>
        <v>0</v>
      </c>
      <c r="P114" s="475">
        <f t="shared" si="25"/>
        <v>0</v>
      </c>
    </row>
    <row r="115" spans="2:16" ht="12.5">
      <c r="B115" s="160" t="str">
        <f t="shared" si="26"/>
        <v/>
      </c>
      <c r="C115" s="469">
        <f>IF(D93="","-",+C114+1)</f>
        <v>2034</v>
      </c>
      <c r="D115" s="344">
        <f>IF(F114+SUM(E$99:E114)=D$92,F114,D$92-SUM(E$99:E114))</f>
        <v>693394.50999999978</v>
      </c>
      <c r="E115" s="481">
        <f t="shared" si="31"/>
        <v>30674</v>
      </c>
      <c r="F115" s="482">
        <f t="shared" si="32"/>
        <v>662720.50999999978</v>
      </c>
      <c r="G115" s="482">
        <f t="shared" si="33"/>
        <v>678057.50999999978</v>
      </c>
      <c r="H115" s="483">
        <f t="shared" si="34"/>
        <v>121749.80988449419</v>
      </c>
      <c r="I115" s="539">
        <f t="shared" si="35"/>
        <v>121749.80988449419</v>
      </c>
      <c r="J115" s="475">
        <f t="shared" si="23"/>
        <v>0</v>
      </c>
      <c r="K115" s="475"/>
      <c r="L115" s="484"/>
      <c r="M115" s="475">
        <f t="shared" si="36"/>
        <v>0</v>
      </c>
      <c r="N115" s="484"/>
      <c r="O115" s="475">
        <f t="shared" si="24"/>
        <v>0</v>
      </c>
      <c r="P115" s="475">
        <f t="shared" si="25"/>
        <v>0</v>
      </c>
    </row>
    <row r="116" spans="2:16" ht="12.5">
      <c r="B116" s="160" t="str">
        <f t="shared" si="26"/>
        <v/>
      </c>
      <c r="C116" s="469">
        <f>IF(D93="","-",+C115+1)</f>
        <v>2035</v>
      </c>
      <c r="D116" s="344">
        <f>IF(F115+SUM(E$99:E115)=D$92,F115,D$92-SUM(E$99:E115))</f>
        <v>662720.50999999978</v>
      </c>
      <c r="E116" s="481">
        <f t="shared" si="31"/>
        <v>30674</v>
      </c>
      <c r="F116" s="482">
        <f t="shared" si="32"/>
        <v>632046.50999999978</v>
      </c>
      <c r="G116" s="482">
        <f t="shared" si="33"/>
        <v>647383.50999999978</v>
      </c>
      <c r="H116" s="483">
        <f t="shared" si="34"/>
        <v>117629.71778139666</v>
      </c>
      <c r="I116" s="539">
        <f t="shared" si="35"/>
        <v>117629.71778139666</v>
      </c>
      <c r="J116" s="475">
        <f t="shared" si="23"/>
        <v>0</v>
      </c>
      <c r="K116" s="475"/>
      <c r="L116" s="484"/>
      <c r="M116" s="475">
        <f t="shared" si="36"/>
        <v>0</v>
      </c>
      <c r="N116" s="484"/>
      <c r="O116" s="475">
        <f t="shared" si="24"/>
        <v>0</v>
      </c>
      <c r="P116" s="475">
        <f t="shared" si="25"/>
        <v>0</v>
      </c>
    </row>
    <row r="117" spans="2:16" ht="12.5">
      <c r="B117" s="160" t="str">
        <f t="shared" si="26"/>
        <v/>
      </c>
      <c r="C117" s="469">
        <f>IF(D93="","-",+C116+1)</f>
        <v>2036</v>
      </c>
      <c r="D117" s="344">
        <f>IF(F116+SUM(E$99:E116)=D$92,F116,D$92-SUM(E$99:E116))</f>
        <v>632046.50999999978</v>
      </c>
      <c r="E117" s="481">
        <f t="shared" si="31"/>
        <v>30674</v>
      </c>
      <c r="F117" s="482">
        <f t="shared" si="32"/>
        <v>601372.50999999978</v>
      </c>
      <c r="G117" s="482">
        <f t="shared" si="33"/>
        <v>616709.50999999978</v>
      </c>
      <c r="H117" s="483">
        <f t="shared" si="34"/>
        <v>113509.62567829913</v>
      </c>
      <c r="I117" s="539">
        <f t="shared" si="35"/>
        <v>113509.62567829913</v>
      </c>
      <c r="J117" s="475">
        <f t="shared" si="23"/>
        <v>0</v>
      </c>
      <c r="K117" s="475"/>
      <c r="L117" s="484"/>
      <c r="M117" s="475">
        <f t="shared" si="36"/>
        <v>0</v>
      </c>
      <c r="N117" s="484"/>
      <c r="O117" s="475">
        <f t="shared" si="24"/>
        <v>0</v>
      </c>
      <c r="P117" s="475">
        <f t="shared" si="25"/>
        <v>0</v>
      </c>
    </row>
    <row r="118" spans="2:16" ht="12.5">
      <c r="B118" s="160" t="str">
        <f t="shared" si="26"/>
        <v/>
      </c>
      <c r="C118" s="469">
        <f>IF(D93="","-",+C117+1)</f>
        <v>2037</v>
      </c>
      <c r="D118" s="344">
        <f>IF(F117+SUM(E$99:E117)=D$92,F117,D$92-SUM(E$99:E117))</f>
        <v>601372.50999999978</v>
      </c>
      <c r="E118" s="481">
        <f t="shared" si="31"/>
        <v>30674</v>
      </c>
      <c r="F118" s="482">
        <f t="shared" si="32"/>
        <v>570698.50999999978</v>
      </c>
      <c r="G118" s="482">
        <f t="shared" si="33"/>
        <v>586035.50999999978</v>
      </c>
      <c r="H118" s="483">
        <f t="shared" si="34"/>
        <v>109389.5335752016</v>
      </c>
      <c r="I118" s="539">
        <f t="shared" si="35"/>
        <v>109389.5335752016</v>
      </c>
      <c r="J118" s="475">
        <f t="shared" si="23"/>
        <v>0</v>
      </c>
      <c r="K118" s="475"/>
      <c r="L118" s="484"/>
      <c r="M118" s="475">
        <f t="shared" si="36"/>
        <v>0</v>
      </c>
      <c r="N118" s="484"/>
      <c r="O118" s="475">
        <f t="shared" si="24"/>
        <v>0</v>
      </c>
      <c r="P118" s="475">
        <f t="shared" si="25"/>
        <v>0</v>
      </c>
    </row>
    <row r="119" spans="2:16" ht="12.5">
      <c r="B119" s="160" t="str">
        <f t="shared" si="26"/>
        <v/>
      </c>
      <c r="C119" s="469">
        <f>IF(D93="","-",+C118+1)</f>
        <v>2038</v>
      </c>
      <c r="D119" s="344">
        <f>IF(F118+SUM(E$99:E118)=D$92,F118,D$92-SUM(E$99:E118))</f>
        <v>570698.50999999978</v>
      </c>
      <c r="E119" s="481">
        <f t="shared" si="31"/>
        <v>30674</v>
      </c>
      <c r="F119" s="482">
        <f t="shared" si="32"/>
        <v>540024.50999999978</v>
      </c>
      <c r="G119" s="482">
        <f t="shared" si="33"/>
        <v>555361.50999999978</v>
      </c>
      <c r="H119" s="483">
        <f t="shared" si="34"/>
        <v>105269.44147210407</v>
      </c>
      <c r="I119" s="539">
        <f t="shared" si="35"/>
        <v>105269.44147210407</v>
      </c>
      <c r="J119" s="475">
        <f t="shared" si="23"/>
        <v>0</v>
      </c>
      <c r="K119" s="475"/>
      <c r="L119" s="484"/>
      <c r="M119" s="475">
        <f t="shared" si="36"/>
        <v>0</v>
      </c>
      <c r="N119" s="484"/>
      <c r="O119" s="475">
        <f t="shared" si="24"/>
        <v>0</v>
      </c>
      <c r="P119" s="475">
        <f t="shared" si="25"/>
        <v>0</v>
      </c>
    </row>
    <row r="120" spans="2:16" ht="12.5">
      <c r="B120" s="160" t="str">
        <f t="shared" si="26"/>
        <v/>
      </c>
      <c r="C120" s="469">
        <f>IF(D93="","-",+C119+1)</f>
        <v>2039</v>
      </c>
      <c r="D120" s="344">
        <f>IF(F119+SUM(E$99:E119)=D$92,F119,D$92-SUM(E$99:E119))</f>
        <v>540024.50999999978</v>
      </c>
      <c r="E120" s="481">
        <f t="shared" si="31"/>
        <v>30674</v>
      </c>
      <c r="F120" s="482">
        <f t="shared" si="32"/>
        <v>509350.50999999978</v>
      </c>
      <c r="G120" s="482">
        <f t="shared" si="33"/>
        <v>524687.50999999978</v>
      </c>
      <c r="H120" s="483">
        <f t="shared" si="34"/>
        <v>101149.34936900654</v>
      </c>
      <c r="I120" s="539">
        <f t="shared" si="35"/>
        <v>101149.34936900654</v>
      </c>
      <c r="J120" s="475">
        <f t="shared" si="23"/>
        <v>0</v>
      </c>
      <c r="K120" s="475"/>
      <c r="L120" s="484"/>
      <c r="M120" s="475">
        <f t="shared" si="36"/>
        <v>0</v>
      </c>
      <c r="N120" s="484"/>
      <c r="O120" s="475">
        <f t="shared" si="24"/>
        <v>0</v>
      </c>
      <c r="P120" s="475">
        <f t="shared" si="25"/>
        <v>0</v>
      </c>
    </row>
    <row r="121" spans="2:16" ht="12.5">
      <c r="B121" s="160" t="str">
        <f t="shared" si="26"/>
        <v/>
      </c>
      <c r="C121" s="469">
        <f>IF(D93="","-",+C120+1)</f>
        <v>2040</v>
      </c>
      <c r="D121" s="344">
        <f>IF(F120+SUM(E$99:E120)=D$92,F120,D$92-SUM(E$99:E120))</f>
        <v>509350.50999999978</v>
      </c>
      <c r="E121" s="481">
        <f t="shared" si="31"/>
        <v>30674</v>
      </c>
      <c r="F121" s="482">
        <f t="shared" si="32"/>
        <v>478676.50999999978</v>
      </c>
      <c r="G121" s="482">
        <f t="shared" si="33"/>
        <v>494013.50999999978</v>
      </c>
      <c r="H121" s="483">
        <f t="shared" si="34"/>
        <v>97029.257265909007</v>
      </c>
      <c r="I121" s="539">
        <f t="shared" si="35"/>
        <v>97029.257265909007</v>
      </c>
      <c r="J121" s="475">
        <f t="shared" si="23"/>
        <v>0</v>
      </c>
      <c r="K121" s="475"/>
      <c r="L121" s="484"/>
      <c r="M121" s="475">
        <f t="shared" si="36"/>
        <v>0</v>
      </c>
      <c r="N121" s="484"/>
      <c r="O121" s="475">
        <f t="shared" si="24"/>
        <v>0</v>
      </c>
      <c r="P121" s="475">
        <f t="shared" si="25"/>
        <v>0</v>
      </c>
    </row>
    <row r="122" spans="2:16" ht="12.5">
      <c r="B122" s="160" t="str">
        <f t="shared" si="26"/>
        <v/>
      </c>
      <c r="C122" s="469">
        <f>IF(D93="","-",+C121+1)</f>
        <v>2041</v>
      </c>
      <c r="D122" s="344">
        <f>IF(F121+SUM(E$99:E121)=D$92,F121,D$92-SUM(E$99:E121))</f>
        <v>478676.50999999978</v>
      </c>
      <c r="E122" s="481">
        <f t="shared" si="31"/>
        <v>30674</v>
      </c>
      <c r="F122" s="482">
        <f t="shared" si="32"/>
        <v>448002.50999999978</v>
      </c>
      <c r="G122" s="482">
        <f t="shared" si="33"/>
        <v>463339.50999999978</v>
      </c>
      <c r="H122" s="483">
        <f t="shared" si="34"/>
        <v>92909.165162811463</v>
      </c>
      <c r="I122" s="539">
        <f t="shared" si="35"/>
        <v>92909.165162811463</v>
      </c>
      <c r="J122" s="475">
        <f t="shared" si="23"/>
        <v>0</v>
      </c>
      <c r="K122" s="475"/>
      <c r="L122" s="484"/>
      <c r="M122" s="475">
        <f t="shared" si="36"/>
        <v>0</v>
      </c>
      <c r="N122" s="484"/>
      <c r="O122" s="475">
        <f t="shared" si="24"/>
        <v>0</v>
      </c>
      <c r="P122" s="475">
        <f t="shared" si="25"/>
        <v>0</v>
      </c>
    </row>
    <row r="123" spans="2:16" ht="12.5">
      <c r="B123" s="160" t="str">
        <f t="shared" si="26"/>
        <v/>
      </c>
      <c r="C123" s="469">
        <f>IF(D93="","-",+C122+1)</f>
        <v>2042</v>
      </c>
      <c r="D123" s="344">
        <f>IF(F122+SUM(E$99:E122)=D$92,F122,D$92-SUM(E$99:E122))</f>
        <v>448002.50999999978</v>
      </c>
      <c r="E123" s="481">
        <f t="shared" si="31"/>
        <v>30674</v>
      </c>
      <c r="F123" s="482">
        <f t="shared" si="32"/>
        <v>417328.50999999978</v>
      </c>
      <c r="G123" s="482">
        <f t="shared" si="33"/>
        <v>432665.50999999978</v>
      </c>
      <c r="H123" s="483">
        <f t="shared" si="34"/>
        <v>88789.073059713934</v>
      </c>
      <c r="I123" s="539">
        <f t="shared" si="35"/>
        <v>88789.073059713934</v>
      </c>
      <c r="J123" s="475">
        <f t="shared" si="23"/>
        <v>0</v>
      </c>
      <c r="K123" s="475"/>
      <c r="L123" s="484"/>
      <c r="M123" s="475">
        <f t="shared" si="36"/>
        <v>0</v>
      </c>
      <c r="N123" s="484"/>
      <c r="O123" s="475">
        <f t="shared" si="24"/>
        <v>0</v>
      </c>
      <c r="P123" s="475">
        <f t="shared" si="25"/>
        <v>0</v>
      </c>
    </row>
    <row r="124" spans="2:16" ht="12.5">
      <c r="B124" s="160" t="str">
        <f t="shared" si="26"/>
        <v/>
      </c>
      <c r="C124" s="469">
        <f>IF(D93="","-",+C123+1)</f>
        <v>2043</v>
      </c>
      <c r="D124" s="344">
        <f>IF(F123+SUM(E$99:E123)=D$92,F123,D$92-SUM(E$99:E123))</f>
        <v>417328.50999999978</v>
      </c>
      <c r="E124" s="481">
        <f t="shared" si="31"/>
        <v>30674</v>
      </c>
      <c r="F124" s="482">
        <f t="shared" si="32"/>
        <v>386654.50999999978</v>
      </c>
      <c r="G124" s="482">
        <f t="shared" si="33"/>
        <v>401991.50999999978</v>
      </c>
      <c r="H124" s="483">
        <f t="shared" si="34"/>
        <v>84668.980956616404</v>
      </c>
      <c r="I124" s="539">
        <f t="shared" si="35"/>
        <v>84668.980956616404</v>
      </c>
      <c r="J124" s="475">
        <f t="shared" si="23"/>
        <v>0</v>
      </c>
      <c r="K124" s="475"/>
      <c r="L124" s="484"/>
      <c r="M124" s="475">
        <f t="shared" si="36"/>
        <v>0</v>
      </c>
      <c r="N124" s="484"/>
      <c r="O124" s="475">
        <f t="shared" si="24"/>
        <v>0</v>
      </c>
      <c r="P124" s="475">
        <f t="shared" si="25"/>
        <v>0</v>
      </c>
    </row>
    <row r="125" spans="2:16" ht="12.5">
      <c r="B125" s="160" t="str">
        <f t="shared" si="26"/>
        <v/>
      </c>
      <c r="C125" s="469">
        <f>IF(D93="","-",+C124+1)</f>
        <v>2044</v>
      </c>
      <c r="D125" s="344">
        <f>IF(F124+SUM(E$99:E124)=D$92,F124,D$92-SUM(E$99:E124))</f>
        <v>386654.50999999978</v>
      </c>
      <c r="E125" s="481">
        <f t="shared" si="31"/>
        <v>30674</v>
      </c>
      <c r="F125" s="482">
        <f t="shared" si="32"/>
        <v>355980.50999999978</v>
      </c>
      <c r="G125" s="482">
        <f t="shared" si="33"/>
        <v>371317.50999999978</v>
      </c>
      <c r="H125" s="483">
        <f t="shared" si="34"/>
        <v>80548.888853518874</v>
      </c>
      <c r="I125" s="539">
        <f t="shared" si="35"/>
        <v>80548.888853518874</v>
      </c>
      <c r="J125" s="475">
        <f t="shared" si="23"/>
        <v>0</v>
      </c>
      <c r="K125" s="475"/>
      <c r="L125" s="484"/>
      <c r="M125" s="475">
        <f t="shared" si="36"/>
        <v>0</v>
      </c>
      <c r="N125" s="484"/>
      <c r="O125" s="475">
        <f t="shared" si="24"/>
        <v>0</v>
      </c>
      <c r="P125" s="475">
        <f t="shared" si="25"/>
        <v>0</v>
      </c>
    </row>
    <row r="126" spans="2:16" ht="12.5">
      <c r="B126" s="160" t="str">
        <f t="shared" si="26"/>
        <v/>
      </c>
      <c r="C126" s="469">
        <f>IF(D93="","-",+C125+1)</f>
        <v>2045</v>
      </c>
      <c r="D126" s="344">
        <f>IF(F125+SUM(E$99:E125)=D$92,F125,D$92-SUM(E$99:E125))</f>
        <v>355980.50999999978</v>
      </c>
      <c r="E126" s="481">
        <f t="shared" si="31"/>
        <v>30674</v>
      </c>
      <c r="F126" s="482">
        <f t="shared" si="32"/>
        <v>325306.50999999978</v>
      </c>
      <c r="G126" s="482">
        <f t="shared" si="33"/>
        <v>340643.50999999978</v>
      </c>
      <c r="H126" s="483">
        <f t="shared" si="34"/>
        <v>76428.796750421345</v>
      </c>
      <c r="I126" s="539">
        <f t="shared" si="35"/>
        <v>76428.796750421345</v>
      </c>
      <c r="J126" s="475">
        <f t="shared" si="23"/>
        <v>0</v>
      </c>
      <c r="K126" s="475"/>
      <c r="L126" s="484"/>
      <c r="M126" s="475">
        <f t="shared" si="36"/>
        <v>0</v>
      </c>
      <c r="N126" s="484"/>
      <c r="O126" s="475">
        <f t="shared" si="24"/>
        <v>0</v>
      </c>
      <c r="P126" s="475">
        <f t="shared" si="25"/>
        <v>0</v>
      </c>
    </row>
    <row r="127" spans="2:16" ht="12.5">
      <c r="B127" s="160" t="str">
        <f t="shared" si="26"/>
        <v/>
      </c>
      <c r="C127" s="469">
        <f>IF(D93="","-",+C126+1)</f>
        <v>2046</v>
      </c>
      <c r="D127" s="344">
        <f>IF(F126+SUM(E$99:E126)=D$92,F126,D$92-SUM(E$99:E126))</f>
        <v>325306.50999999978</v>
      </c>
      <c r="E127" s="481">
        <f t="shared" si="31"/>
        <v>30674</v>
      </c>
      <c r="F127" s="482">
        <f t="shared" si="32"/>
        <v>294632.50999999978</v>
      </c>
      <c r="G127" s="482">
        <f t="shared" si="33"/>
        <v>309969.50999999978</v>
      </c>
      <c r="H127" s="483">
        <f t="shared" si="34"/>
        <v>72308.704647323815</v>
      </c>
      <c r="I127" s="539">
        <f t="shared" si="35"/>
        <v>72308.704647323815</v>
      </c>
      <c r="J127" s="475">
        <f t="shared" si="23"/>
        <v>0</v>
      </c>
      <c r="K127" s="475"/>
      <c r="L127" s="484"/>
      <c r="M127" s="475">
        <f t="shared" si="36"/>
        <v>0</v>
      </c>
      <c r="N127" s="484"/>
      <c r="O127" s="475">
        <f t="shared" si="24"/>
        <v>0</v>
      </c>
      <c r="P127" s="475">
        <f t="shared" si="25"/>
        <v>0</v>
      </c>
    </row>
    <row r="128" spans="2:16" ht="12.5">
      <c r="B128" s="160" t="str">
        <f t="shared" si="26"/>
        <v/>
      </c>
      <c r="C128" s="469">
        <f>IF(D93="","-",+C127+1)</f>
        <v>2047</v>
      </c>
      <c r="D128" s="344">
        <f>IF(F127+SUM(E$99:E127)=D$92,F127,D$92-SUM(E$99:E127))</f>
        <v>294632.50999999978</v>
      </c>
      <c r="E128" s="481">
        <f t="shared" si="31"/>
        <v>30674</v>
      </c>
      <c r="F128" s="482">
        <f t="shared" si="32"/>
        <v>263958.50999999978</v>
      </c>
      <c r="G128" s="482">
        <f t="shared" si="33"/>
        <v>279295.50999999978</v>
      </c>
      <c r="H128" s="483">
        <f t="shared" si="34"/>
        <v>68188.612544226286</v>
      </c>
      <c r="I128" s="539">
        <f t="shared" si="35"/>
        <v>68188.612544226286</v>
      </c>
      <c r="J128" s="475">
        <f t="shared" si="23"/>
        <v>0</v>
      </c>
      <c r="K128" s="475"/>
      <c r="L128" s="484"/>
      <c r="M128" s="475">
        <f t="shared" si="36"/>
        <v>0</v>
      </c>
      <c r="N128" s="484"/>
      <c r="O128" s="475">
        <f t="shared" si="24"/>
        <v>0</v>
      </c>
      <c r="P128" s="475">
        <f t="shared" si="25"/>
        <v>0</v>
      </c>
    </row>
    <row r="129" spans="2:16" ht="12.5">
      <c r="B129" s="160" t="str">
        <f t="shared" si="26"/>
        <v/>
      </c>
      <c r="C129" s="469">
        <f>IF(D93="","-",+C128+1)</f>
        <v>2048</v>
      </c>
      <c r="D129" s="344">
        <f>IF(F128+SUM(E$99:E128)=D$92,F128,D$92-SUM(E$99:E128))</f>
        <v>263958.50999999978</v>
      </c>
      <c r="E129" s="481">
        <f t="shared" si="31"/>
        <v>30674</v>
      </c>
      <c r="F129" s="482">
        <f t="shared" si="32"/>
        <v>233284.50999999978</v>
      </c>
      <c r="G129" s="482">
        <f t="shared" si="33"/>
        <v>248621.50999999978</v>
      </c>
      <c r="H129" s="483">
        <f t="shared" si="34"/>
        <v>64068.520441128749</v>
      </c>
      <c r="I129" s="539">
        <f t="shared" si="35"/>
        <v>64068.520441128749</v>
      </c>
      <c r="J129" s="475">
        <f t="shared" si="23"/>
        <v>0</v>
      </c>
      <c r="K129" s="475"/>
      <c r="L129" s="484"/>
      <c r="M129" s="475">
        <f t="shared" si="36"/>
        <v>0</v>
      </c>
      <c r="N129" s="484"/>
      <c r="O129" s="475">
        <f t="shared" si="24"/>
        <v>0</v>
      </c>
      <c r="P129" s="475">
        <f t="shared" si="25"/>
        <v>0</v>
      </c>
    </row>
    <row r="130" spans="2:16" ht="12.5">
      <c r="B130" s="160" t="str">
        <f t="shared" si="26"/>
        <v/>
      </c>
      <c r="C130" s="469">
        <f>IF(D93="","-",+C129+1)</f>
        <v>2049</v>
      </c>
      <c r="D130" s="344">
        <f>IF(F129+SUM(E$99:E129)=D$92,F129,D$92-SUM(E$99:E129))</f>
        <v>233284.50999999978</v>
      </c>
      <c r="E130" s="481">
        <f t="shared" si="31"/>
        <v>30674</v>
      </c>
      <c r="F130" s="482">
        <f t="shared" si="32"/>
        <v>202610.50999999978</v>
      </c>
      <c r="G130" s="482">
        <f t="shared" si="33"/>
        <v>217947.50999999978</v>
      </c>
      <c r="H130" s="483">
        <f t="shared" si="34"/>
        <v>59948.428338031212</v>
      </c>
      <c r="I130" s="539">
        <f t="shared" si="35"/>
        <v>59948.428338031212</v>
      </c>
      <c r="J130" s="475">
        <f t="shared" si="23"/>
        <v>0</v>
      </c>
      <c r="K130" s="475"/>
      <c r="L130" s="484"/>
      <c r="M130" s="475">
        <f t="shared" si="36"/>
        <v>0</v>
      </c>
      <c r="N130" s="484"/>
      <c r="O130" s="475">
        <f t="shared" si="24"/>
        <v>0</v>
      </c>
      <c r="P130" s="475">
        <f t="shared" si="25"/>
        <v>0</v>
      </c>
    </row>
    <row r="131" spans="2:16" ht="12.5">
      <c r="B131" s="160" t="str">
        <f t="shared" si="26"/>
        <v/>
      </c>
      <c r="C131" s="469">
        <f>IF(D93="","-",+C130+1)</f>
        <v>2050</v>
      </c>
      <c r="D131" s="344">
        <f>IF(F130+SUM(E$99:E130)=D$92,F130,D$92-SUM(E$99:E130))</f>
        <v>202610.50999999978</v>
      </c>
      <c r="E131" s="481">
        <f t="shared" si="31"/>
        <v>30674</v>
      </c>
      <c r="F131" s="482">
        <f t="shared" si="32"/>
        <v>171936.50999999978</v>
      </c>
      <c r="G131" s="482">
        <f t="shared" si="33"/>
        <v>187273.50999999978</v>
      </c>
      <c r="H131" s="483">
        <f t="shared" si="34"/>
        <v>55828.336234933682</v>
      </c>
      <c r="I131" s="539">
        <f t="shared" si="35"/>
        <v>55828.336234933682</v>
      </c>
      <c r="J131" s="475">
        <f t="shared" ref="J131:J154" si="37">+I541-H541</f>
        <v>0</v>
      </c>
      <c r="K131" s="475"/>
      <c r="L131" s="484"/>
      <c r="M131" s="475">
        <f t="shared" ref="M131:M154" si="38">IF(L541&lt;&gt;0,+H541-L541,0)</f>
        <v>0</v>
      </c>
      <c r="N131" s="484"/>
      <c r="O131" s="475">
        <f t="shared" ref="O131:O154" si="39">IF(N541&lt;&gt;0,+I541-N541,0)</f>
        <v>0</v>
      </c>
      <c r="P131" s="475">
        <f t="shared" ref="P131:P154" si="40">+O541-M541</f>
        <v>0</v>
      </c>
    </row>
    <row r="132" spans="2:16" ht="12.5">
      <c r="B132" s="160" t="str">
        <f t="shared" si="26"/>
        <v/>
      </c>
      <c r="C132" s="469">
        <f>IF(D93="","-",+C131+1)</f>
        <v>2051</v>
      </c>
      <c r="D132" s="344">
        <f>IF(F131+SUM(E$99:E131)=D$92,F131,D$92-SUM(E$99:E131))</f>
        <v>171936.50999999978</v>
      </c>
      <c r="E132" s="481">
        <f t="shared" si="31"/>
        <v>30674</v>
      </c>
      <c r="F132" s="482">
        <f t="shared" si="32"/>
        <v>141262.50999999978</v>
      </c>
      <c r="G132" s="482">
        <f t="shared" si="33"/>
        <v>156599.50999999978</v>
      </c>
      <c r="H132" s="483">
        <f t="shared" si="34"/>
        <v>51708.244131836153</v>
      </c>
      <c r="I132" s="539">
        <f t="shared" si="35"/>
        <v>51708.244131836153</v>
      </c>
      <c r="J132" s="475">
        <f t="shared" si="37"/>
        <v>0</v>
      </c>
      <c r="K132" s="475"/>
      <c r="L132" s="484"/>
      <c r="M132" s="475">
        <f t="shared" si="38"/>
        <v>0</v>
      </c>
      <c r="N132" s="484"/>
      <c r="O132" s="475">
        <f t="shared" si="39"/>
        <v>0</v>
      </c>
      <c r="P132" s="475">
        <f t="shared" si="40"/>
        <v>0</v>
      </c>
    </row>
    <row r="133" spans="2:16" ht="12.5">
      <c r="B133" s="160" t="str">
        <f t="shared" si="26"/>
        <v/>
      </c>
      <c r="C133" s="469">
        <f>IF(D93="","-",+C132+1)</f>
        <v>2052</v>
      </c>
      <c r="D133" s="344">
        <f>IF(F132+SUM(E$99:E132)=D$92,F132,D$92-SUM(E$99:E132))</f>
        <v>141262.50999999978</v>
      </c>
      <c r="E133" s="481">
        <f t="shared" si="31"/>
        <v>30674</v>
      </c>
      <c r="F133" s="482">
        <f t="shared" si="32"/>
        <v>110588.50999999978</v>
      </c>
      <c r="G133" s="482">
        <f t="shared" si="33"/>
        <v>125925.50999999978</v>
      </c>
      <c r="H133" s="483">
        <f t="shared" si="34"/>
        <v>47588.152028738623</v>
      </c>
      <c r="I133" s="539">
        <f t="shared" si="35"/>
        <v>47588.152028738623</v>
      </c>
      <c r="J133" s="475">
        <f t="shared" si="37"/>
        <v>0</v>
      </c>
      <c r="K133" s="475"/>
      <c r="L133" s="484"/>
      <c r="M133" s="475">
        <f t="shared" si="38"/>
        <v>0</v>
      </c>
      <c r="N133" s="484"/>
      <c r="O133" s="475">
        <f t="shared" si="39"/>
        <v>0</v>
      </c>
      <c r="P133" s="475">
        <f t="shared" si="40"/>
        <v>0</v>
      </c>
    </row>
    <row r="134" spans="2:16" ht="12.5">
      <c r="B134" s="160" t="str">
        <f t="shared" si="26"/>
        <v/>
      </c>
      <c r="C134" s="469">
        <f>IF(D93="","-",+C133+1)</f>
        <v>2053</v>
      </c>
      <c r="D134" s="344">
        <f>IF(F133+SUM(E$99:E133)=D$92,F133,D$92-SUM(E$99:E133))</f>
        <v>110588.50999999978</v>
      </c>
      <c r="E134" s="481">
        <f t="shared" si="31"/>
        <v>30674</v>
      </c>
      <c r="F134" s="482">
        <f t="shared" si="32"/>
        <v>79914.509999999776</v>
      </c>
      <c r="G134" s="482">
        <f t="shared" si="33"/>
        <v>95251.509999999776</v>
      </c>
      <c r="H134" s="483">
        <f t="shared" si="34"/>
        <v>43468.059925641086</v>
      </c>
      <c r="I134" s="539">
        <f t="shared" si="35"/>
        <v>43468.059925641086</v>
      </c>
      <c r="J134" s="475">
        <f t="shared" si="37"/>
        <v>0</v>
      </c>
      <c r="K134" s="475"/>
      <c r="L134" s="484"/>
      <c r="M134" s="475">
        <f t="shared" si="38"/>
        <v>0</v>
      </c>
      <c r="N134" s="484"/>
      <c r="O134" s="475">
        <f t="shared" si="39"/>
        <v>0</v>
      </c>
      <c r="P134" s="475">
        <f t="shared" si="40"/>
        <v>0</v>
      </c>
    </row>
    <row r="135" spans="2:16" ht="12.5">
      <c r="B135" s="160" t="str">
        <f t="shared" si="26"/>
        <v/>
      </c>
      <c r="C135" s="469">
        <f>IF(D93="","-",+C134+1)</f>
        <v>2054</v>
      </c>
      <c r="D135" s="344">
        <f>IF(F134+SUM(E$99:E134)=D$92,F134,D$92-SUM(E$99:E134))</f>
        <v>79914.509999999776</v>
      </c>
      <c r="E135" s="481">
        <f t="shared" si="31"/>
        <v>30674</v>
      </c>
      <c r="F135" s="482">
        <f t="shared" si="32"/>
        <v>49240.509999999776</v>
      </c>
      <c r="G135" s="482">
        <f t="shared" si="33"/>
        <v>64577.509999999776</v>
      </c>
      <c r="H135" s="483">
        <f t="shared" si="34"/>
        <v>39347.967822543556</v>
      </c>
      <c r="I135" s="539">
        <f t="shared" si="35"/>
        <v>39347.967822543556</v>
      </c>
      <c r="J135" s="475">
        <f t="shared" si="37"/>
        <v>0</v>
      </c>
      <c r="K135" s="475"/>
      <c r="L135" s="484"/>
      <c r="M135" s="475">
        <f t="shared" si="38"/>
        <v>0</v>
      </c>
      <c r="N135" s="484"/>
      <c r="O135" s="475">
        <f t="shared" si="39"/>
        <v>0</v>
      </c>
      <c r="P135" s="475">
        <f t="shared" si="40"/>
        <v>0</v>
      </c>
    </row>
    <row r="136" spans="2:16" ht="12.5">
      <c r="B136" s="160" t="str">
        <f t="shared" si="26"/>
        <v/>
      </c>
      <c r="C136" s="469">
        <f>IF(D93="","-",+C135+1)</f>
        <v>2055</v>
      </c>
      <c r="D136" s="344">
        <f>IF(F135+SUM(E$99:E135)=D$92,F135,D$92-SUM(E$99:E135))</f>
        <v>49240.509999999776</v>
      </c>
      <c r="E136" s="481">
        <f t="shared" si="31"/>
        <v>30674</v>
      </c>
      <c r="F136" s="482">
        <f t="shared" si="32"/>
        <v>18566.509999999776</v>
      </c>
      <c r="G136" s="482">
        <f t="shared" si="33"/>
        <v>33903.509999999776</v>
      </c>
      <c r="H136" s="483">
        <f t="shared" si="34"/>
        <v>35227.87571944602</v>
      </c>
      <c r="I136" s="539">
        <f t="shared" si="35"/>
        <v>35227.87571944602</v>
      </c>
      <c r="J136" s="475">
        <f t="shared" si="37"/>
        <v>0</v>
      </c>
      <c r="K136" s="475"/>
      <c r="L136" s="484"/>
      <c r="M136" s="475">
        <f t="shared" si="38"/>
        <v>0</v>
      </c>
      <c r="N136" s="484"/>
      <c r="O136" s="475">
        <f t="shared" si="39"/>
        <v>0</v>
      </c>
      <c r="P136" s="475">
        <f t="shared" si="40"/>
        <v>0</v>
      </c>
    </row>
    <row r="137" spans="2:16" ht="12.5">
      <c r="B137" s="160" t="str">
        <f t="shared" si="26"/>
        <v/>
      </c>
      <c r="C137" s="469">
        <f>IF(D93="","-",+C136+1)</f>
        <v>2056</v>
      </c>
      <c r="D137" s="344">
        <f>IF(F136+SUM(E$99:E136)=D$92,F136,D$92-SUM(E$99:E136))</f>
        <v>18566.509999999776</v>
      </c>
      <c r="E137" s="481">
        <f t="shared" si="31"/>
        <v>18566.509999999776</v>
      </c>
      <c r="F137" s="482">
        <f t="shared" si="32"/>
        <v>0</v>
      </c>
      <c r="G137" s="482">
        <f t="shared" si="33"/>
        <v>9283.2549999998882</v>
      </c>
      <c r="H137" s="483">
        <f t="shared" si="34"/>
        <v>19813.424833948404</v>
      </c>
      <c r="I137" s="539">
        <f t="shared" si="35"/>
        <v>19813.424833948404</v>
      </c>
      <c r="J137" s="475">
        <f t="shared" si="37"/>
        <v>0</v>
      </c>
      <c r="K137" s="475"/>
      <c r="L137" s="484"/>
      <c r="M137" s="475">
        <f t="shared" si="38"/>
        <v>0</v>
      </c>
      <c r="N137" s="484"/>
      <c r="O137" s="475">
        <f t="shared" si="39"/>
        <v>0</v>
      </c>
      <c r="P137" s="475">
        <f t="shared" si="40"/>
        <v>0</v>
      </c>
    </row>
    <row r="138" spans="2:16" ht="12.5">
      <c r="B138" s="160" t="str">
        <f t="shared" si="26"/>
        <v/>
      </c>
      <c r="C138" s="469">
        <f>IF(D93="","-",+C137+1)</f>
        <v>2057</v>
      </c>
      <c r="D138" s="344">
        <f>IF(F137+SUM(E$99:E137)=D$92,F137,D$92-SUM(E$99:E137))</f>
        <v>0</v>
      </c>
      <c r="E138" s="481">
        <f t="shared" si="31"/>
        <v>0</v>
      </c>
      <c r="F138" s="482">
        <f t="shared" si="32"/>
        <v>0</v>
      </c>
      <c r="G138" s="482">
        <f t="shared" si="33"/>
        <v>0</v>
      </c>
      <c r="H138" s="483">
        <f t="shared" si="34"/>
        <v>0</v>
      </c>
      <c r="I138" s="539">
        <f t="shared" si="35"/>
        <v>0</v>
      </c>
      <c r="J138" s="475">
        <f t="shared" si="37"/>
        <v>0</v>
      </c>
      <c r="K138" s="475"/>
      <c r="L138" s="484"/>
      <c r="M138" s="475">
        <f t="shared" si="38"/>
        <v>0</v>
      </c>
      <c r="N138" s="484"/>
      <c r="O138" s="475">
        <f t="shared" si="39"/>
        <v>0</v>
      </c>
      <c r="P138" s="475">
        <f t="shared" si="40"/>
        <v>0</v>
      </c>
    </row>
    <row r="139" spans="2:16" ht="12.5">
      <c r="B139" s="160" t="str">
        <f t="shared" si="26"/>
        <v/>
      </c>
      <c r="C139" s="469">
        <f>IF(D93="","-",+C138+1)</f>
        <v>2058</v>
      </c>
      <c r="D139" s="344">
        <f>IF(F138+SUM(E$99:E138)=D$92,F138,D$92-SUM(E$99:E138))</f>
        <v>0</v>
      </c>
      <c r="E139" s="481">
        <f t="shared" si="31"/>
        <v>0</v>
      </c>
      <c r="F139" s="482">
        <f t="shared" si="32"/>
        <v>0</v>
      </c>
      <c r="G139" s="482">
        <f t="shared" si="33"/>
        <v>0</v>
      </c>
      <c r="H139" s="483">
        <f t="shared" si="34"/>
        <v>0</v>
      </c>
      <c r="I139" s="539">
        <f t="shared" si="35"/>
        <v>0</v>
      </c>
      <c r="J139" s="475">
        <f t="shared" si="37"/>
        <v>0</v>
      </c>
      <c r="K139" s="475"/>
      <c r="L139" s="484"/>
      <c r="M139" s="475">
        <f t="shared" si="38"/>
        <v>0</v>
      </c>
      <c r="N139" s="484"/>
      <c r="O139" s="475">
        <f t="shared" si="39"/>
        <v>0</v>
      </c>
      <c r="P139" s="475">
        <f t="shared" si="40"/>
        <v>0</v>
      </c>
    </row>
    <row r="140" spans="2:16" ht="12.5">
      <c r="B140" s="160" t="str">
        <f t="shared" si="26"/>
        <v/>
      </c>
      <c r="C140" s="469">
        <f>IF(D93="","-",+C139+1)</f>
        <v>2059</v>
      </c>
      <c r="D140" s="344">
        <f>IF(F139+SUM(E$99:E139)=D$92,F139,D$92-SUM(E$99:E139))</f>
        <v>0</v>
      </c>
      <c r="E140" s="481">
        <f t="shared" si="31"/>
        <v>0</v>
      </c>
      <c r="F140" s="482">
        <f t="shared" si="32"/>
        <v>0</v>
      </c>
      <c r="G140" s="482">
        <f t="shared" si="33"/>
        <v>0</v>
      </c>
      <c r="H140" s="483">
        <f t="shared" si="34"/>
        <v>0</v>
      </c>
      <c r="I140" s="539">
        <f t="shared" si="35"/>
        <v>0</v>
      </c>
      <c r="J140" s="475">
        <f t="shared" si="37"/>
        <v>0</v>
      </c>
      <c r="K140" s="475"/>
      <c r="L140" s="484"/>
      <c r="M140" s="475">
        <f t="shared" si="38"/>
        <v>0</v>
      </c>
      <c r="N140" s="484"/>
      <c r="O140" s="475">
        <f t="shared" si="39"/>
        <v>0</v>
      </c>
      <c r="P140" s="475">
        <f t="shared" si="40"/>
        <v>0</v>
      </c>
    </row>
    <row r="141" spans="2:16" ht="12.5">
      <c r="B141" s="160" t="str">
        <f t="shared" si="26"/>
        <v/>
      </c>
      <c r="C141" s="469">
        <f>IF(D93="","-",+C140+1)</f>
        <v>2060</v>
      </c>
      <c r="D141" s="344">
        <f>IF(F140+SUM(E$99:E140)=D$92,F140,D$92-SUM(E$99:E140))</f>
        <v>0</v>
      </c>
      <c r="E141" s="481">
        <f t="shared" si="31"/>
        <v>0</v>
      </c>
      <c r="F141" s="482">
        <f t="shared" si="32"/>
        <v>0</v>
      </c>
      <c r="G141" s="482">
        <f t="shared" si="33"/>
        <v>0</v>
      </c>
      <c r="H141" s="483">
        <f t="shared" si="34"/>
        <v>0</v>
      </c>
      <c r="I141" s="539">
        <f t="shared" si="35"/>
        <v>0</v>
      </c>
      <c r="J141" s="475">
        <f t="shared" si="37"/>
        <v>0</v>
      </c>
      <c r="K141" s="475"/>
      <c r="L141" s="484"/>
      <c r="M141" s="475">
        <f t="shared" si="38"/>
        <v>0</v>
      </c>
      <c r="N141" s="484"/>
      <c r="O141" s="475">
        <f t="shared" si="39"/>
        <v>0</v>
      </c>
      <c r="P141" s="475">
        <f t="shared" si="40"/>
        <v>0</v>
      </c>
    </row>
    <row r="142" spans="2:16" ht="12.5">
      <c r="B142" s="160" t="str">
        <f t="shared" si="26"/>
        <v/>
      </c>
      <c r="C142" s="469">
        <f>IF(D93="","-",+C141+1)</f>
        <v>2061</v>
      </c>
      <c r="D142" s="344">
        <f>IF(F141+SUM(E$99:E141)=D$92,F141,D$92-SUM(E$99:E141))</f>
        <v>0</v>
      </c>
      <c r="E142" s="481">
        <f t="shared" si="31"/>
        <v>0</v>
      </c>
      <c r="F142" s="482">
        <f t="shared" si="32"/>
        <v>0</v>
      </c>
      <c r="G142" s="482">
        <f t="shared" si="33"/>
        <v>0</v>
      </c>
      <c r="H142" s="483">
        <f t="shared" si="34"/>
        <v>0</v>
      </c>
      <c r="I142" s="539">
        <f t="shared" si="35"/>
        <v>0</v>
      </c>
      <c r="J142" s="475">
        <f t="shared" si="37"/>
        <v>0</v>
      </c>
      <c r="K142" s="475"/>
      <c r="L142" s="484"/>
      <c r="M142" s="475">
        <f t="shared" si="38"/>
        <v>0</v>
      </c>
      <c r="N142" s="484"/>
      <c r="O142" s="475">
        <f t="shared" si="39"/>
        <v>0</v>
      </c>
      <c r="P142" s="475">
        <f t="shared" si="40"/>
        <v>0</v>
      </c>
    </row>
    <row r="143" spans="2:16" ht="12.5">
      <c r="B143" s="160" t="str">
        <f t="shared" si="26"/>
        <v/>
      </c>
      <c r="C143" s="469">
        <f>IF(D93="","-",+C142+1)</f>
        <v>2062</v>
      </c>
      <c r="D143" s="344">
        <f>IF(F142+SUM(E$99:E142)=D$92,F142,D$92-SUM(E$99:E142))</f>
        <v>0</v>
      </c>
      <c r="E143" s="481">
        <f t="shared" si="31"/>
        <v>0</v>
      </c>
      <c r="F143" s="482">
        <f t="shared" si="32"/>
        <v>0</v>
      </c>
      <c r="G143" s="482">
        <f t="shared" si="33"/>
        <v>0</v>
      </c>
      <c r="H143" s="483">
        <f t="shared" si="34"/>
        <v>0</v>
      </c>
      <c r="I143" s="539">
        <f t="shared" si="35"/>
        <v>0</v>
      </c>
      <c r="J143" s="475">
        <f t="shared" si="37"/>
        <v>0</v>
      </c>
      <c r="K143" s="475"/>
      <c r="L143" s="484"/>
      <c r="M143" s="475">
        <f t="shared" si="38"/>
        <v>0</v>
      </c>
      <c r="N143" s="484"/>
      <c r="O143" s="475">
        <f t="shared" si="39"/>
        <v>0</v>
      </c>
      <c r="P143" s="475">
        <f t="shared" si="40"/>
        <v>0</v>
      </c>
    </row>
    <row r="144" spans="2:16" ht="12.5">
      <c r="B144" s="160" t="str">
        <f t="shared" si="26"/>
        <v/>
      </c>
      <c r="C144" s="469">
        <f>IF(D93="","-",+C143+1)</f>
        <v>2063</v>
      </c>
      <c r="D144" s="344">
        <f>IF(F143+SUM(E$99:E143)=D$92,F143,D$92-SUM(E$99:E143))</f>
        <v>0</v>
      </c>
      <c r="E144" s="481">
        <f t="shared" si="31"/>
        <v>0</v>
      </c>
      <c r="F144" s="482">
        <f t="shared" si="32"/>
        <v>0</v>
      </c>
      <c r="G144" s="482">
        <f t="shared" si="33"/>
        <v>0</v>
      </c>
      <c r="H144" s="483">
        <f t="shared" si="34"/>
        <v>0</v>
      </c>
      <c r="I144" s="539">
        <f t="shared" si="35"/>
        <v>0</v>
      </c>
      <c r="J144" s="475">
        <f t="shared" si="37"/>
        <v>0</v>
      </c>
      <c r="K144" s="475"/>
      <c r="L144" s="484"/>
      <c r="M144" s="475">
        <f t="shared" si="38"/>
        <v>0</v>
      </c>
      <c r="N144" s="484"/>
      <c r="O144" s="475">
        <f t="shared" si="39"/>
        <v>0</v>
      </c>
      <c r="P144" s="475">
        <f t="shared" si="40"/>
        <v>0</v>
      </c>
    </row>
    <row r="145" spans="2:16" ht="12.5">
      <c r="B145" s="160" t="str">
        <f t="shared" si="26"/>
        <v/>
      </c>
      <c r="C145" s="469">
        <f>IF(D93="","-",+C144+1)</f>
        <v>2064</v>
      </c>
      <c r="D145" s="344">
        <f>IF(F144+SUM(E$99:E144)=D$92,F144,D$92-SUM(E$99:E144))</f>
        <v>0</v>
      </c>
      <c r="E145" s="481">
        <f t="shared" si="31"/>
        <v>0</v>
      </c>
      <c r="F145" s="482">
        <f t="shared" si="32"/>
        <v>0</v>
      </c>
      <c r="G145" s="482">
        <f t="shared" si="33"/>
        <v>0</v>
      </c>
      <c r="H145" s="483">
        <f t="shared" si="34"/>
        <v>0</v>
      </c>
      <c r="I145" s="539">
        <f t="shared" si="35"/>
        <v>0</v>
      </c>
      <c r="J145" s="475">
        <f t="shared" si="37"/>
        <v>0</v>
      </c>
      <c r="K145" s="475"/>
      <c r="L145" s="484"/>
      <c r="M145" s="475">
        <f t="shared" si="38"/>
        <v>0</v>
      </c>
      <c r="N145" s="484"/>
      <c r="O145" s="475">
        <f t="shared" si="39"/>
        <v>0</v>
      </c>
      <c r="P145" s="475">
        <f t="shared" si="40"/>
        <v>0</v>
      </c>
    </row>
    <row r="146" spans="2:16" ht="12.5">
      <c r="B146" s="160" t="str">
        <f t="shared" si="26"/>
        <v/>
      </c>
      <c r="C146" s="469">
        <f>IF(D93="","-",+C145+1)</f>
        <v>2065</v>
      </c>
      <c r="D146" s="344">
        <f>IF(F145+SUM(E$99:E145)=D$92,F145,D$92-SUM(E$99:E145))</f>
        <v>0</v>
      </c>
      <c r="E146" s="481">
        <f t="shared" si="31"/>
        <v>0</v>
      </c>
      <c r="F146" s="482">
        <f t="shared" si="32"/>
        <v>0</v>
      </c>
      <c r="G146" s="482">
        <f t="shared" si="33"/>
        <v>0</v>
      </c>
      <c r="H146" s="483">
        <f t="shared" si="34"/>
        <v>0</v>
      </c>
      <c r="I146" s="539">
        <f t="shared" si="35"/>
        <v>0</v>
      </c>
      <c r="J146" s="475">
        <f t="shared" si="37"/>
        <v>0</v>
      </c>
      <c r="K146" s="475"/>
      <c r="L146" s="484"/>
      <c r="M146" s="475">
        <f t="shared" si="38"/>
        <v>0</v>
      </c>
      <c r="N146" s="484"/>
      <c r="O146" s="475">
        <f t="shared" si="39"/>
        <v>0</v>
      </c>
      <c r="P146" s="475">
        <f t="shared" si="40"/>
        <v>0</v>
      </c>
    </row>
    <row r="147" spans="2:16" ht="12.5">
      <c r="B147" s="160" t="str">
        <f t="shared" si="26"/>
        <v/>
      </c>
      <c r="C147" s="469">
        <f>IF(D93="","-",+C146+1)</f>
        <v>2066</v>
      </c>
      <c r="D147" s="344">
        <f>IF(F146+SUM(E$99:E146)=D$92,F146,D$92-SUM(E$99:E146))</f>
        <v>0</v>
      </c>
      <c r="E147" s="481">
        <f t="shared" si="31"/>
        <v>0</v>
      </c>
      <c r="F147" s="482">
        <f t="shared" si="32"/>
        <v>0</v>
      </c>
      <c r="G147" s="482">
        <f t="shared" si="33"/>
        <v>0</v>
      </c>
      <c r="H147" s="483">
        <f t="shared" si="34"/>
        <v>0</v>
      </c>
      <c r="I147" s="539">
        <f t="shared" si="35"/>
        <v>0</v>
      </c>
      <c r="J147" s="475">
        <f t="shared" si="37"/>
        <v>0</v>
      </c>
      <c r="K147" s="475"/>
      <c r="L147" s="484"/>
      <c r="M147" s="475">
        <f t="shared" si="38"/>
        <v>0</v>
      </c>
      <c r="N147" s="484"/>
      <c r="O147" s="475">
        <f t="shared" si="39"/>
        <v>0</v>
      </c>
      <c r="P147" s="475">
        <f t="shared" si="40"/>
        <v>0</v>
      </c>
    </row>
    <row r="148" spans="2:16" ht="12.5">
      <c r="B148" s="160" t="str">
        <f t="shared" si="26"/>
        <v/>
      </c>
      <c r="C148" s="469">
        <f>IF(D93="","-",+C147+1)</f>
        <v>2067</v>
      </c>
      <c r="D148" s="344">
        <f>IF(F147+SUM(E$99:E147)=D$92,F147,D$92-SUM(E$99:E147))</f>
        <v>0</v>
      </c>
      <c r="E148" s="481">
        <f t="shared" si="31"/>
        <v>0</v>
      </c>
      <c r="F148" s="482">
        <f t="shared" si="32"/>
        <v>0</v>
      </c>
      <c r="G148" s="482">
        <f t="shared" si="33"/>
        <v>0</v>
      </c>
      <c r="H148" s="483">
        <f t="shared" si="34"/>
        <v>0</v>
      </c>
      <c r="I148" s="539">
        <f t="shared" si="35"/>
        <v>0</v>
      </c>
      <c r="J148" s="475">
        <f t="shared" si="37"/>
        <v>0</v>
      </c>
      <c r="K148" s="475"/>
      <c r="L148" s="484"/>
      <c r="M148" s="475">
        <f t="shared" si="38"/>
        <v>0</v>
      </c>
      <c r="N148" s="484"/>
      <c r="O148" s="475">
        <f t="shared" si="39"/>
        <v>0</v>
      </c>
      <c r="P148" s="475">
        <f t="shared" si="40"/>
        <v>0</v>
      </c>
    </row>
    <row r="149" spans="2:16" ht="12.5">
      <c r="B149" s="160" t="str">
        <f t="shared" si="26"/>
        <v/>
      </c>
      <c r="C149" s="469">
        <f>IF(D93="","-",+C148+1)</f>
        <v>2068</v>
      </c>
      <c r="D149" s="344">
        <f>IF(F148+SUM(E$99:E148)=D$92,F148,D$92-SUM(E$99:E148))</f>
        <v>0</v>
      </c>
      <c r="E149" s="481">
        <f t="shared" si="31"/>
        <v>0</v>
      </c>
      <c r="F149" s="482">
        <f t="shared" si="32"/>
        <v>0</v>
      </c>
      <c r="G149" s="482">
        <f t="shared" si="33"/>
        <v>0</v>
      </c>
      <c r="H149" s="483">
        <f t="shared" si="34"/>
        <v>0</v>
      </c>
      <c r="I149" s="539">
        <f t="shared" si="35"/>
        <v>0</v>
      </c>
      <c r="J149" s="475">
        <f t="shared" si="37"/>
        <v>0</v>
      </c>
      <c r="K149" s="475"/>
      <c r="L149" s="484"/>
      <c r="M149" s="475">
        <f t="shared" si="38"/>
        <v>0</v>
      </c>
      <c r="N149" s="484"/>
      <c r="O149" s="475">
        <f t="shared" si="39"/>
        <v>0</v>
      </c>
      <c r="P149" s="475">
        <f t="shared" si="40"/>
        <v>0</v>
      </c>
    </row>
    <row r="150" spans="2:16" ht="12.5">
      <c r="B150" s="160" t="str">
        <f t="shared" si="26"/>
        <v/>
      </c>
      <c r="C150" s="469">
        <f>IF(D93="","-",+C149+1)</f>
        <v>2069</v>
      </c>
      <c r="D150" s="344">
        <f>IF(F149+SUM(E$99:E149)=D$92,F149,D$92-SUM(E$99:E149))</f>
        <v>0</v>
      </c>
      <c r="E150" s="481">
        <f t="shared" si="31"/>
        <v>0</v>
      </c>
      <c r="F150" s="482">
        <f t="shared" si="32"/>
        <v>0</v>
      </c>
      <c r="G150" s="482">
        <f t="shared" si="33"/>
        <v>0</v>
      </c>
      <c r="H150" s="483">
        <f t="shared" si="34"/>
        <v>0</v>
      </c>
      <c r="I150" s="539">
        <f t="shared" si="35"/>
        <v>0</v>
      </c>
      <c r="J150" s="475">
        <f t="shared" si="37"/>
        <v>0</v>
      </c>
      <c r="K150" s="475"/>
      <c r="L150" s="484"/>
      <c r="M150" s="475">
        <f t="shared" si="38"/>
        <v>0</v>
      </c>
      <c r="N150" s="484"/>
      <c r="O150" s="475">
        <f t="shared" si="39"/>
        <v>0</v>
      </c>
      <c r="P150" s="475">
        <f t="shared" si="40"/>
        <v>0</v>
      </c>
    </row>
    <row r="151" spans="2:16" ht="12.5">
      <c r="B151" s="160" t="str">
        <f t="shared" si="26"/>
        <v/>
      </c>
      <c r="C151" s="469">
        <f>IF(D93="","-",+C150+1)</f>
        <v>2070</v>
      </c>
      <c r="D151" s="344">
        <f>IF(F150+SUM(E$99:E150)=D$92,F150,D$92-SUM(E$99:E150))</f>
        <v>0</v>
      </c>
      <c r="E151" s="481">
        <f t="shared" si="31"/>
        <v>0</v>
      </c>
      <c r="F151" s="482">
        <f t="shared" si="32"/>
        <v>0</v>
      </c>
      <c r="G151" s="482">
        <f t="shared" si="33"/>
        <v>0</v>
      </c>
      <c r="H151" s="483">
        <f t="shared" si="34"/>
        <v>0</v>
      </c>
      <c r="I151" s="539">
        <f t="shared" si="35"/>
        <v>0</v>
      </c>
      <c r="J151" s="475">
        <f t="shared" si="37"/>
        <v>0</v>
      </c>
      <c r="K151" s="475"/>
      <c r="L151" s="484"/>
      <c r="M151" s="475">
        <f t="shared" si="38"/>
        <v>0</v>
      </c>
      <c r="N151" s="484"/>
      <c r="O151" s="475">
        <f t="shared" si="39"/>
        <v>0</v>
      </c>
      <c r="P151" s="475">
        <f t="shared" si="40"/>
        <v>0</v>
      </c>
    </row>
    <row r="152" spans="2:16" ht="12.5">
      <c r="B152" s="160" t="str">
        <f t="shared" si="26"/>
        <v/>
      </c>
      <c r="C152" s="469">
        <f>IF(D93="","-",+C151+1)</f>
        <v>2071</v>
      </c>
      <c r="D152" s="344">
        <f>IF(F151+SUM(E$99:E151)=D$92,F151,D$92-SUM(E$99:E151))</f>
        <v>0</v>
      </c>
      <c r="E152" s="481">
        <f t="shared" si="31"/>
        <v>0</v>
      </c>
      <c r="F152" s="482">
        <f t="shared" si="32"/>
        <v>0</v>
      </c>
      <c r="G152" s="482">
        <f t="shared" si="33"/>
        <v>0</v>
      </c>
      <c r="H152" s="483">
        <f t="shared" si="34"/>
        <v>0</v>
      </c>
      <c r="I152" s="539">
        <f t="shared" si="35"/>
        <v>0</v>
      </c>
      <c r="J152" s="475">
        <f t="shared" si="37"/>
        <v>0</v>
      </c>
      <c r="K152" s="475"/>
      <c r="L152" s="484"/>
      <c r="M152" s="475">
        <f t="shared" si="38"/>
        <v>0</v>
      </c>
      <c r="N152" s="484"/>
      <c r="O152" s="475">
        <f t="shared" si="39"/>
        <v>0</v>
      </c>
      <c r="P152" s="475">
        <f t="shared" si="40"/>
        <v>0</v>
      </c>
    </row>
    <row r="153" spans="2:16" ht="12.5">
      <c r="B153" s="160" t="str">
        <f t="shared" si="26"/>
        <v/>
      </c>
      <c r="C153" s="469">
        <f>IF(D93="","-",+C152+1)</f>
        <v>2072</v>
      </c>
      <c r="D153" s="344">
        <f>IF(F152+SUM(E$99:E152)=D$92,F152,D$92-SUM(E$99:E152))</f>
        <v>0</v>
      </c>
      <c r="E153" s="481">
        <f t="shared" si="31"/>
        <v>0</v>
      </c>
      <c r="F153" s="482">
        <f t="shared" si="32"/>
        <v>0</v>
      </c>
      <c r="G153" s="482">
        <f t="shared" si="33"/>
        <v>0</v>
      </c>
      <c r="H153" s="483">
        <f t="shared" si="34"/>
        <v>0</v>
      </c>
      <c r="I153" s="539">
        <f t="shared" si="35"/>
        <v>0</v>
      </c>
      <c r="J153" s="475">
        <f t="shared" si="37"/>
        <v>0</v>
      </c>
      <c r="K153" s="475"/>
      <c r="L153" s="484"/>
      <c r="M153" s="475">
        <f t="shared" si="38"/>
        <v>0</v>
      </c>
      <c r="N153" s="484"/>
      <c r="O153" s="475">
        <f t="shared" si="39"/>
        <v>0</v>
      </c>
      <c r="P153" s="475">
        <f t="shared" si="40"/>
        <v>0</v>
      </c>
    </row>
    <row r="154" spans="2:16" ht="13" thickBot="1">
      <c r="B154" s="160" t="str">
        <f t="shared" si="26"/>
        <v/>
      </c>
      <c r="C154" s="486">
        <f>IF(D93="","-",+C153+1)</f>
        <v>2073</v>
      </c>
      <c r="D154" s="540">
        <f>IF(F153+SUM(E$99:E153)=D$92,F153,D$92-SUM(E$99:E153))</f>
        <v>0</v>
      </c>
      <c r="E154" s="488">
        <f t="shared" si="31"/>
        <v>0</v>
      </c>
      <c r="F154" s="487">
        <f t="shared" si="32"/>
        <v>0</v>
      </c>
      <c r="G154" s="487">
        <f t="shared" si="33"/>
        <v>0</v>
      </c>
      <c r="H154" s="609">
        <f t="shared" ref="H154" si="41">+J$94*G154+E154</f>
        <v>0</v>
      </c>
      <c r="I154" s="610">
        <f t="shared" ref="I154" si="42">+J$95*G154+E154</f>
        <v>0</v>
      </c>
      <c r="J154" s="492">
        <f t="shared" si="37"/>
        <v>0</v>
      </c>
      <c r="K154" s="475"/>
      <c r="L154" s="491"/>
      <c r="M154" s="492">
        <f t="shared" si="38"/>
        <v>0</v>
      </c>
      <c r="N154" s="491"/>
      <c r="O154" s="492">
        <f t="shared" si="39"/>
        <v>0</v>
      </c>
      <c r="P154" s="492">
        <f t="shared" si="40"/>
        <v>0</v>
      </c>
    </row>
    <row r="155" spans="2:16" ht="12.5">
      <c r="C155" s="344" t="s">
        <v>77</v>
      </c>
      <c r="D155" s="345"/>
      <c r="E155" s="345">
        <f>SUM(E99:E154)</f>
        <v>1165593.0099999998</v>
      </c>
      <c r="F155" s="345"/>
      <c r="G155" s="345"/>
      <c r="H155" s="345">
        <f>SUM(H99:H154)</f>
        <v>4044740.1555471187</v>
      </c>
      <c r="I155" s="345">
        <f>SUM(I99:I154)</f>
        <v>4044740.1555471187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27" priority="1" stopIfTrue="1" operator="equal">
      <formula>$I$10</formula>
    </cfRule>
  </conditionalFormatting>
  <conditionalFormatting sqref="C99:C154">
    <cfRule type="cellIs" dxfId="2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P162"/>
  <sheetViews>
    <sheetView topLeftCell="C1" zoomScale="80" zoomScaleNormal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24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172282.90527113216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172282.90527113216</v>
      </c>
      <c r="O6" s="231"/>
      <c r="P6" s="231"/>
    </row>
    <row r="7" spans="1:16" ht="13.5" thickBot="1">
      <c r="C7" s="428" t="s">
        <v>46</v>
      </c>
      <c r="D7" s="596" t="s">
        <v>302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303</v>
      </c>
      <c r="E9" s="574" t="s">
        <v>304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1345382.62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2018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5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35404.805789473685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2018</v>
      </c>
      <c r="D17" s="581">
        <v>0</v>
      </c>
      <c r="E17" s="604">
        <v>13511.111111111109</v>
      </c>
      <c r="F17" s="581">
        <v>1202488.888888889</v>
      </c>
      <c r="G17" s="604">
        <v>85515.508884209848</v>
      </c>
      <c r="H17" s="584">
        <v>85515.508884209848</v>
      </c>
      <c r="I17" s="472">
        <f>H17-G17</f>
        <v>0</v>
      </c>
      <c r="J17" s="472"/>
      <c r="K17" s="551">
        <f t="shared" ref="K17:K22" si="0">+G17</f>
        <v>85515.508884209848</v>
      </c>
      <c r="L17" s="474">
        <f t="shared" ref="L17:L72" si="1">IF(K17&lt;&gt;0,+G17-K17,0)</f>
        <v>0</v>
      </c>
      <c r="M17" s="551">
        <f t="shared" ref="M17:M22" si="2">+H17</f>
        <v>85515.508884209848</v>
      </c>
      <c r="N17" s="474">
        <f t="shared" ref="N17:N72" si="3">IF(M17&lt;&gt;0,+H17-M17,0)</f>
        <v>0</v>
      </c>
      <c r="O17" s="475">
        <f t="shared" ref="O17:O72" si="4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2019</v>
      </c>
      <c r="D18" s="581">
        <v>1202488.888888889</v>
      </c>
      <c r="E18" s="582">
        <v>30400</v>
      </c>
      <c r="F18" s="581">
        <v>1172088.888888889</v>
      </c>
      <c r="G18" s="582">
        <v>162968.67771034624</v>
      </c>
      <c r="H18" s="584">
        <v>162968.67771034624</v>
      </c>
      <c r="I18" s="472">
        <f>H18-G18</f>
        <v>0</v>
      </c>
      <c r="J18" s="472"/>
      <c r="K18" s="475">
        <f t="shared" si="0"/>
        <v>162968.67771034624</v>
      </c>
      <c r="L18" s="475">
        <f t="shared" si="1"/>
        <v>0</v>
      </c>
      <c r="M18" s="475">
        <f t="shared" si="2"/>
        <v>162968.67771034624</v>
      </c>
      <c r="N18" s="475">
        <f t="shared" si="3"/>
        <v>0</v>
      </c>
      <c r="O18" s="475">
        <f t="shared" si="4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2020</v>
      </c>
      <c r="D19" s="581">
        <v>1304405.6666666667</v>
      </c>
      <c r="E19" s="582">
        <v>32022.357142857141</v>
      </c>
      <c r="F19" s="581">
        <v>1272383.3095238097</v>
      </c>
      <c r="G19" s="582">
        <v>171175.11640159666</v>
      </c>
      <c r="H19" s="584">
        <v>171175.11640159666</v>
      </c>
      <c r="I19" s="472">
        <f t="shared" ref="I19:I71" si="5">H19-G19</f>
        <v>0</v>
      </c>
      <c r="J19" s="472"/>
      <c r="K19" s="475">
        <f t="shared" si="0"/>
        <v>171175.11640159666</v>
      </c>
      <c r="L19" s="475">
        <f t="shared" ref="L19" si="6">IF(K19&lt;&gt;0,+G19-K19,0)</f>
        <v>0</v>
      </c>
      <c r="M19" s="475">
        <f t="shared" si="2"/>
        <v>171175.11640159666</v>
      </c>
      <c r="N19" s="475">
        <f t="shared" si="3"/>
        <v>0</v>
      </c>
      <c r="O19" s="475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2021</v>
      </c>
      <c r="D20" s="581">
        <v>1269449.5317460317</v>
      </c>
      <c r="E20" s="582">
        <v>31287.976744186046</v>
      </c>
      <c r="F20" s="581">
        <v>1238161.5550018456</v>
      </c>
      <c r="G20" s="582">
        <v>166475.36158990141</v>
      </c>
      <c r="H20" s="584">
        <v>166475.36158990141</v>
      </c>
      <c r="I20" s="472">
        <f t="shared" si="5"/>
        <v>0</v>
      </c>
      <c r="J20" s="472"/>
      <c r="K20" s="475">
        <f t="shared" si="0"/>
        <v>166475.36158990141</v>
      </c>
      <c r="L20" s="475">
        <f t="shared" ref="L20" si="8">IF(K20&lt;&gt;0,+G20-K20,0)</f>
        <v>0</v>
      </c>
      <c r="M20" s="475">
        <f t="shared" si="2"/>
        <v>166475.36158990141</v>
      </c>
      <c r="N20" s="475">
        <f t="shared" si="3"/>
        <v>0</v>
      </c>
      <c r="O20" s="475">
        <f t="shared" si="4"/>
        <v>0</v>
      </c>
      <c r="P20" s="241"/>
    </row>
    <row r="21" spans="2:16" ht="12.5">
      <c r="B21" s="160" t="str">
        <f t="shared" si="7"/>
        <v/>
      </c>
      <c r="C21" s="469">
        <f>IF(D11="","-",+C20+1)</f>
        <v>2022</v>
      </c>
      <c r="D21" s="581">
        <v>1238161.5550018456</v>
      </c>
      <c r="E21" s="582">
        <v>32032.928571428572</v>
      </c>
      <c r="F21" s="581">
        <v>1206128.6264304169</v>
      </c>
      <c r="G21" s="582">
        <v>163793.91335875148</v>
      </c>
      <c r="H21" s="584">
        <v>163793.91335875148</v>
      </c>
      <c r="I21" s="472">
        <f t="shared" si="5"/>
        <v>0</v>
      </c>
      <c r="J21" s="472"/>
      <c r="K21" s="475">
        <f t="shared" si="0"/>
        <v>163793.91335875148</v>
      </c>
      <c r="L21" s="475">
        <f t="shared" ref="L21" si="9">IF(K21&lt;&gt;0,+G21-K21,0)</f>
        <v>0</v>
      </c>
      <c r="M21" s="475">
        <f t="shared" si="2"/>
        <v>163793.91335875148</v>
      </c>
      <c r="N21" s="475">
        <f t="shared" si="3"/>
        <v>0</v>
      </c>
      <c r="O21" s="475">
        <f t="shared" si="4"/>
        <v>0</v>
      </c>
      <c r="P21" s="241"/>
    </row>
    <row r="22" spans="2:16" ht="12.5">
      <c r="B22" s="160" t="str">
        <f t="shared" si="7"/>
        <v>IU</v>
      </c>
      <c r="C22" s="469">
        <f>IF(D11="","-",+C21+1)</f>
        <v>2023</v>
      </c>
      <c r="D22" s="581">
        <v>1206128.2464304173</v>
      </c>
      <c r="E22" s="582">
        <v>34496.990256410259</v>
      </c>
      <c r="F22" s="581">
        <v>1171631.256174007</v>
      </c>
      <c r="G22" s="582">
        <v>176400.42982895498</v>
      </c>
      <c r="H22" s="584">
        <v>176400.42982895498</v>
      </c>
      <c r="I22" s="472">
        <v>0</v>
      </c>
      <c r="J22" s="472"/>
      <c r="K22" s="475">
        <f t="shared" si="0"/>
        <v>176400.42982895498</v>
      </c>
      <c r="L22" s="475">
        <f t="shared" ref="L22" si="10">IF(K22&lt;&gt;0,+G22-K22,0)</f>
        <v>0</v>
      </c>
      <c r="M22" s="475">
        <f t="shared" si="2"/>
        <v>176400.42982895498</v>
      </c>
      <c r="N22" s="475">
        <f t="shared" ref="N22" si="11">IF(M22&lt;&gt;0,+H22-M22,0)</f>
        <v>0</v>
      </c>
      <c r="O22" s="475">
        <f t="shared" ref="O22" si="12">+N22-L22</f>
        <v>0</v>
      </c>
      <c r="P22" s="241"/>
    </row>
    <row r="23" spans="2:16" ht="12.5">
      <c r="B23" s="160" t="str">
        <f t="shared" si="7"/>
        <v/>
      </c>
      <c r="C23" s="469">
        <f>IF(D11="","-",+C22+1)</f>
        <v>2024</v>
      </c>
      <c r="D23" s="581">
        <v>1171631.256174007</v>
      </c>
      <c r="E23" s="582">
        <v>34496.990256410259</v>
      </c>
      <c r="F23" s="581">
        <v>1137134.2659175966</v>
      </c>
      <c r="G23" s="582">
        <v>172282.90527113216</v>
      </c>
      <c r="H23" s="584">
        <v>172282.90527113216</v>
      </c>
      <c r="I23" s="472">
        <f t="shared" si="5"/>
        <v>0</v>
      </c>
      <c r="J23" s="472"/>
      <c r="K23" s="475">
        <f t="shared" ref="K23" si="13">+G23</f>
        <v>172282.90527113216</v>
      </c>
      <c r="L23" s="475">
        <f t="shared" ref="L23" si="14">IF(K23&lt;&gt;0,+G23-K23,0)</f>
        <v>0</v>
      </c>
      <c r="M23" s="475">
        <f t="shared" ref="M23" si="15">+H23</f>
        <v>172282.90527113216</v>
      </c>
      <c r="N23" s="475">
        <f t="shared" ref="N23" si="16">IF(M23&lt;&gt;0,+H23-M23,0)</f>
        <v>0</v>
      </c>
      <c r="O23" s="475">
        <f t="shared" ref="O23" si="17">+N23-L23</f>
        <v>0</v>
      </c>
      <c r="P23" s="241"/>
    </row>
    <row r="24" spans="2:16" ht="12.5">
      <c r="B24" s="160" t="str">
        <f t="shared" si="7"/>
        <v/>
      </c>
      <c r="C24" s="469">
        <f>IF(D11="","-",+C23+1)</f>
        <v>2025</v>
      </c>
      <c r="D24" s="480">
        <f>IF(F23+SUM(E$17:E23)=D$10,F23,D$10-SUM(E$17:E23))</f>
        <v>1137134.2659175966</v>
      </c>
      <c r="E24" s="481">
        <f t="shared" ref="E24:E71" si="18">IF(+I$14&lt;F23,I$14,D24)</f>
        <v>35404.805789473685</v>
      </c>
      <c r="F24" s="482">
        <f t="shared" ref="F24:F71" si="19">+D24-E24</f>
        <v>1101729.4601281229</v>
      </c>
      <c r="G24" s="483">
        <f t="shared" ref="G24:G71" si="20">(D24+F24)/2*I$12+E24</f>
        <v>162729.19587226253</v>
      </c>
      <c r="H24" s="452">
        <f t="shared" ref="H24:H71" si="21">+(D24+F24)/2*I$13+E24</f>
        <v>162729.19587226253</v>
      </c>
      <c r="I24" s="472">
        <f t="shared" si="5"/>
        <v>0</v>
      </c>
      <c r="J24" s="472"/>
      <c r="K24" s="484"/>
      <c r="L24" s="475">
        <f t="shared" si="1"/>
        <v>0</v>
      </c>
      <c r="M24" s="484"/>
      <c r="N24" s="475">
        <f t="shared" si="3"/>
        <v>0</v>
      </c>
      <c r="O24" s="475">
        <f t="shared" si="4"/>
        <v>0</v>
      </c>
      <c r="P24" s="241"/>
    </row>
    <row r="25" spans="2:16" ht="12.5">
      <c r="B25" s="160" t="str">
        <f t="shared" si="7"/>
        <v/>
      </c>
      <c r="C25" s="469">
        <f>IF(D11="","-",+C24+1)</f>
        <v>2026</v>
      </c>
      <c r="D25" s="480">
        <f>IF(F24+SUM(E$17:E24)=D$10,F24,D$10-SUM(E$17:E24))</f>
        <v>1101729.4601281229</v>
      </c>
      <c r="E25" s="481">
        <f t="shared" si="18"/>
        <v>35404.805789473685</v>
      </c>
      <c r="F25" s="482">
        <f t="shared" si="19"/>
        <v>1066324.6543386492</v>
      </c>
      <c r="G25" s="483">
        <f t="shared" si="20"/>
        <v>158702.24662054889</v>
      </c>
      <c r="H25" s="452">
        <f t="shared" si="21"/>
        <v>158702.24662054889</v>
      </c>
      <c r="I25" s="472">
        <f t="shared" si="5"/>
        <v>0</v>
      </c>
      <c r="J25" s="472"/>
      <c r="K25" s="484"/>
      <c r="L25" s="475">
        <f t="shared" si="1"/>
        <v>0</v>
      </c>
      <c r="M25" s="484"/>
      <c r="N25" s="475">
        <f t="shared" si="3"/>
        <v>0</v>
      </c>
      <c r="O25" s="475">
        <f t="shared" si="4"/>
        <v>0</v>
      </c>
      <c r="P25" s="241"/>
    </row>
    <row r="26" spans="2:16" ht="12.5">
      <c r="B26" s="160" t="str">
        <f t="shared" si="7"/>
        <v/>
      </c>
      <c r="C26" s="469">
        <f>IF(D11="","-",+C25+1)</f>
        <v>2027</v>
      </c>
      <c r="D26" s="480">
        <f>IF(F25+SUM(E$17:E25)=D$10,F25,D$10-SUM(E$17:E25))</f>
        <v>1066324.6543386492</v>
      </c>
      <c r="E26" s="481">
        <f t="shared" si="18"/>
        <v>35404.805789473685</v>
      </c>
      <c r="F26" s="482">
        <f t="shared" si="19"/>
        <v>1030919.8485491755</v>
      </c>
      <c r="G26" s="483">
        <f t="shared" si="20"/>
        <v>154675.29736883522</v>
      </c>
      <c r="H26" s="452">
        <f t="shared" si="21"/>
        <v>154675.29736883522</v>
      </c>
      <c r="I26" s="472">
        <f t="shared" si="5"/>
        <v>0</v>
      </c>
      <c r="J26" s="472"/>
      <c r="K26" s="484"/>
      <c r="L26" s="475">
        <f t="shared" si="1"/>
        <v>0</v>
      </c>
      <c r="M26" s="484"/>
      <c r="N26" s="475">
        <f t="shared" si="3"/>
        <v>0</v>
      </c>
      <c r="O26" s="475">
        <f t="shared" si="4"/>
        <v>0</v>
      </c>
      <c r="P26" s="241"/>
    </row>
    <row r="27" spans="2:16" ht="12.5">
      <c r="B27" s="160" t="str">
        <f t="shared" si="7"/>
        <v/>
      </c>
      <c r="C27" s="469">
        <f>IF(D11="","-",+C26+1)</f>
        <v>2028</v>
      </c>
      <c r="D27" s="480">
        <f>IF(F26+SUM(E$17:E26)=D$10,F26,D$10-SUM(E$17:E26))</f>
        <v>1030919.8485491755</v>
      </c>
      <c r="E27" s="481">
        <f t="shared" si="18"/>
        <v>35404.805789473685</v>
      </c>
      <c r="F27" s="482">
        <f t="shared" si="19"/>
        <v>995515.04275970184</v>
      </c>
      <c r="G27" s="483">
        <f t="shared" si="20"/>
        <v>150648.34811712155</v>
      </c>
      <c r="H27" s="452">
        <f t="shared" si="21"/>
        <v>150648.34811712155</v>
      </c>
      <c r="I27" s="472">
        <f t="shared" si="5"/>
        <v>0</v>
      </c>
      <c r="J27" s="472"/>
      <c r="K27" s="484"/>
      <c r="L27" s="475">
        <f t="shared" si="1"/>
        <v>0</v>
      </c>
      <c r="M27" s="484"/>
      <c r="N27" s="475">
        <f t="shared" si="3"/>
        <v>0</v>
      </c>
      <c r="O27" s="475">
        <f t="shared" si="4"/>
        <v>0</v>
      </c>
      <c r="P27" s="241"/>
    </row>
    <row r="28" spans="2:16" ht="12.5">
      <c r="B28" s="160" t="str">
        <f t="shared" si="7"/>
        <v/>
      </c>
      <c r="C28" s="469">
        <f>IF(D11="","-",+C27+1)</f>
        <v>2029</v>
      </c>
      <c r="D28" s="480">
        <f>IF(F27+SUM(E$17:E27)=D$10,F27,D$10-SUM(E$17:E27))</f>
        <v>995515.04275970184</v>
      </c>
      <c r="E28" s="481">
        <f t="shared" si="18"/>
        <v>35404.805789473685</v>
      </c>
      <c r="F28" s="482">
        <f t="shared" si="19"/>
        <v>960110.23697022814</v>
      </c>
      <c r="G28" s="483">
        <f t="shared" si="20"/>
        <v>146621.39886540791</v>
      </c>
      <c r="H28" s="452">
        <f t="shared" si="21"/>
        <v>146621.39886540791</v>
      </c>
      <c r="I28" s="472">
        <f t="shared" si="5"/>
        <v>0</v>
      </c>
      <c r="J28" s="472"/>
      <c r="K28" s="484"/>
      <c r="L28" s="475">
        <f t="shared" si="1"/>
        <v>0</v>
      </c>
      <c r="M28" s="484"/>
      <c r="N28" s="475">
        <f t="shared" si="3"/>
        <v>0</v>
      </c>
      <c r="O28" s="475">
        <f t="shared" si="4"/>
        <v>0</v>
      </c>
      <c r="P28" s="241"/>
    </row>
    <row r="29" spans="2:16" ht="12.5">
      <c r="B29" s="160" t="str">
        <f t="shared" si="7"/>
        <v/>
      </c>
      <c r="C29" s="469">
        <f>IF(D11="","-",+C28+1)</f>
        <v>2030</v>
      </c>
      <c r="D29" s="480">
        <f>IF(F28+SUM(E$17:E28)=D$10,F28,D$10-SUM(E$17:E28))</f>
        <v>960110.23697022814</v>
      </c>
      <c r="E29" s="481">
        <f t="shared" si="18"/>
        <v>35404.805789473685</v>
      </c>
      <c r="F29" s="482">
        <f t="shared" si="19"/>
        <v>924705.43118075444</v>
      </c>
      <c r="G29" s="483">
        <f t="shared" si="20"/>
        <v>142594.44961369428</v>
      </c>
      <c r="H29" s="452">
        <f t="shared" si="21"/>
        <v>142594.44961369428</v>
      </c>
      <c r="I29" s="472">
        <f t="shared" si="5"/>
        <v>0</v>
      </c>
      <c r="J29" s="472"/>
      <c r="K29" s="484"/>
      <c r="L29" s="475">
        <f t="shared" si="1"/>
        <v>0</v>
      </c>
      <c r="M29" s="484"/>
      <c r="N29" s="475">
        <f t="shared" si="3"/>
        <v>0</v>
      </c>
      <c r="O29" s="475">
        <f t="shared" si="4"/>
        <v>0</v>
      </c>
      <c r="P29" s="241"/>
    </row>
    <row r="30" spans="2:16" ht="12.5">
      <c r="B30" s="160" t="str">
        <f t="shared" si="7"/>
        <v/>
      </c>
      <c r="C30" s="469">
        <f>IF(D11="","-",+C29+1)</f>
        <v>2031</v>
      </c>
      <c r="D30" s="480">
        <f>IF(F29+SUM(E$17:E29)=D$10,F29,D$10-SUM(E$17:E29))</f>
        <v>924705.43118075444</v>
      </c>
      <c r="E30" s="481">
        <f t="shared" si="18"/>
        <v>35404.805789473685</v>
      </c>
      <c r="F30" s="482">
        <f t="shared" si="19"/>
        <v>889300.62539128074</v>
      </c>
      <c r="G30" s="483">
        <f t="shared" si="20"/>
        <v>138567.50036198058</v>
      </c>
      <c r="H30" s="452">
        <f t="shared" si="21"/>
        <v>138567.50036198058</v>
      </c>
      <c r="I30" s="472">
        <f t="shared" si="5"/>
        <v>0</v>
      </c>
      <c r="J30" s="472"/>
      <c r="K30" s="484"/>
      <c r="L30" s="475">
        <f t="shared" si="1"/>
        <v>0</v>
      </c>
      <c r="M30" s="484"/>
      <c r="N30" s="475">
        <f t="shared" si="3"/>
        <v>0</v>
      </c>
      <c r="O30" s="475">
        <f t="shared" si="4"/>
        <v>0</v>
      </c>
      <c r="P30" s="241"/>
    </row>
    <row r="31" spans="2:16" ht="12.5">
      <c r="B31" s="160" t="str">
        <f t="shared" si="7"/>
        <v/>
      </c>
      <c r="C31" s="469">
        <f>IF(D11="","-",+C30+1)</f>
        <v>2032</v>
      </c>
      <c r="D31" s="480">
        <f>IF(F30+SUM(E$17:E30)=D$10,F30,D$10-SUM(E$17:E30))</f>
        <v>889300.62539128074</v>
      </c>
      <c r="E31" s="481">
        <f t="shared" si="18"/>
        <v>35404.805789473685</v>
      </c>
      <c r="F31" s="482">
        <f t="shared" si="19"/>
        <v>853895.81960180704</v>
      </c>
      <c r="G31" s="483">
        <f t="shared" si="20"/>
        <v>134540.55111026694</v>
      </c>
      <c r="H31" s="452">
        <f t="shared" si="21"/>
        <v>134540.55111026694</v>
      </c>
      <c r="I31" s="472">
        <f t="shared" si="5"/>
        <v>0</v>
      </c>
      <c r="J31" s="472"/>
      <c r="K31" s="484"/>
      <c r="L31" s="475">
        <f t="shared" si="1"/>
        <v>0</v>
      </c>
      <c r="M31" s="484"/>
      <c r="N31" s="475">
        <f t="shared" si="3"/>
        <v>0</v>
      </c>
      <c r="O31" s="475">
        <f t="shared" si="4"/>
        <v>0</v>
      </c>
      <c r="P31" s="241"/>
    </row>
    <row r="32" spans="2:16" ht="12.5">
      <c r="B32" s="160" t="str">
        <f t="shared" si="7"/>
        <v/>
      </c>
      <c r="C32" s="469">
        <f>IF(D11="","-",+C31+1)</f>
        <v>2033</v>
      </c>
      <c r="D32" s="480">
        <f>IF(F31+SUM(E$17:E31)=D$10,F31,D$10-SUM(E$17:E31))</f>
        <v>853895.81960180704</v>
      </c>
      <c r="E32" s="481">
        <f t="shared" si="18"/>
        <v>35404.805789473685</v>
      </c>
      <c r="F32" s="482">
        <f t="shared" si="19"/>
        <v>818491.01381233335</v>
      </c>
      <c r="G32" s="483">
        <f t="shared" si="20"/>
        <v>130513.60185855329</v>
      </c>
      <c r="H32" s="452">
        <f t="shared" si="21"/>
        <v>130513.60185855329</v>
      </c>
      <c r="I32" s="472">
        <f t="shared" si="5"/>
        <v>0</v>
      </c>
      <c r="J32" s="472"/>
      <c r="K32" s="484"/>
      <c r="L32" s="475">
        <f t="shared" si="1"/>
        <v>0</v>
      </c>
      <c r="M32" s="484"/>
      <c r="N32" s="475">
        <f t="shared" si="3"/>
        <v>0</v>
      </c>
      <c r="O32" s="475">
        <f t="shared" si="4"/>
        <v>0</v>
      </c>
      <c r="P32" s="241"/>
    </row>
    <row r="33" spans="2:16" ht="12.5">
      <c r="B33" s="160" t="str">
        <f t="shared" si="7"/>
        <v/>
      </c>
      <c r="C33" s="469">
        <f>IF(D11="","-",+C32+1)</f>
        <v>2034</v>
      </c>
      <c r="D33" s="480">
        <f>IF(F32+SUM(E$17:E32)=D$10,F32,D$10-SUM(E$17:E32))</f>
        <v>818491.01381233335</v>
      </c>
      <c r="E33" s="481">
        <f t="shared" si="18"/>
        <v>35404.805789473685</v>
      </c>
      <c r="F33" s="482">
        <f t="shared" si="19"/>
        <v>783086.20802285965</v>
      </c>
      <c r="G33" s="483">
        <f t="shared" si="20"/>
        <v>126486.65260683963</v>
      </c>
      <c r="H33" s="452">
        <f t="shared" si="21"/>
        <v>126486.65260683963</v>
      </c>
      <c r="I33" s="472">
        <f t="shared" si="5"/>
        <v>0</v>
      </c>
      <c r="J33" s="472"/>
      <c r="K33" s="484"/>
      <c r="L33" s="475">
        <f t="shared" si="1"/>
        <v>0</v>
      </c>
      <c r="M33" s="484"/>
      <c r="N33" s="475">
        <f t="shared" si="3"/>
        <v>0</v>
      </c>
      <c r="O33" s="475">
        <f t="shared" si="4"/>
        <v>0</v>
      </c>
      <c r="P33" s="241"/>
    </row>
    <row r="34" spans="2:16" ht="12.5">
      <c r="B34" s="160" t="str">
        <f t="shared" si="7"/>
        <v/>
      </c>
      <c r="C34" s="469">
        <f>IF(D11="","-",+C33+1)</f>
        <v>2035</v>
      </c>
      <c r="D34" s="480">
        <f>IF(F33+SUM(E$17:E33)=D$10,F33,D$10-SUM(E$17:E33))</f>
        <v>783086.20802285965</v>
      </c>
      <c r="E34" s="481">
        <f t="shared" si="18"/>
        <v>35404.805789473685</v>
      </c>
      <c r="F34" s="482">
        <f t="shared" si="19"/>
        <v>747681.40223338595</v>
      </c>
      <c r="G34" s="483">
        <f t="shared" si="20"/>
        <v>122459.70335512597</v>
      </c>
      <c r="H34" s="452">
        <f t="shared" si="21"/>
        <v>122459.70335512597</v>
      </c>
      <c r="I34" s="472">
        <f t="shared" si="5"/>
        <v>0</v>
      </c>
      <c r="J34" s="472"/>
      <c r="K34" s="484"/>
      <c r="L34" s="475">
        <f t="shared" si="1"/>
        <v>0</v>
      </c>
      <c r="M34" s="484"/>
      <c r="N34" s="475">
        <f t="shared" si="3"/>
        <v>0</v>
      </c>
      <c r="O34" s="475">
        <f t="shared" si="4"/>
        <v>0</v>
      </c>
      <c r="P34" s="241"/>
    </row>
    <row r="35" spans="2:16" ht="12.5">
      <c r="B35" s="160" t="str">
        <f t="shared" si="7"/>
        <v/>
      </c>
      <c r="C35" s="469">
        <f>IF(D11="","-",+C34+1)</f>
        <v>2036</v>
      </c>
      <c r="D35" s="480">
        <f>IF(F34+SUM(E$17:E34)=D$10,F34,D$10-SUM(E$17:E34))</f>
        <v>747681.40223338595</v>
      </c>
      <c r="E35" s="481">
        <f t="shared" si="18"/>
        <v>35404.805789473685</v>
      </c>
      <c r="F35" s="482">
        <f t="shared" si="19"/>
        <v>712276.59644391225</v>
      </c>
      <c r="G35" s="483">
        <f t="shared" si="20"/>
        <v>118432.75410341231</v>
      </c>
      <c r="H35" s="452">
        <f t="shared" si="21"/>
        <v>118432.75410341231</v>
      </c>
      <c r="I35" s="472">
        <f t="shared" si="5"/>
        <v>0</v>
      </c>
      <c r="J35" s="472"/>
      <c r="K35" s="484"/>
      <c r="L35" s="475">
        <f t="shared" si="1"/>
        <v>0</v>
      </c>
      <c r="M35" s="484"/>
      <c r="N35" s="475">
        <f t="shared" si="3"/>
        <v>0</v>
      </c>
      <c r="O35" s="475">
        <f t="shared" si="4"/>
        <v>0</v>
      </c>
      <c r="P35" s="241"/>
    </row>
    <row r="36" spans="2:16" ht="12.5">
      <c r="B36" s="160" t="str">
        <f t="shared" si="7"/>
        <v/>
      </c>
      <c r="C36" s="469">
        <f>IF(D11="","-",+C35+1)</f>
        <v>2037</v>
      </c>
      <c r="D36" s="480">
        <f>IF(F35+SUM(E$17:E35)=D$10,F35,D$10-SUM(E$17:E35))</f>
        <v>712276.59644391225</v>
      </c>
      <c r="E36" s="481">
        <f t="shared" si="18"/>
        <v>35404.805789473685</v>
      </c>
      <c r="F36" s="482">
        <f t="shared" si="19"/>
        <v>676871.79065443855</v>
      </c>
      <c r="G36" s="483">
        <f t="shared" si="20"/>
        <v>114405.80485169866</v>
      </c>
      <c r="H36" s="452">
        <f t="shared" si="21"/>
        <v>114405.80485169866</v>
      </c>
      <c r="I36" s="472">
        <f t="shared" si="5"/>
        <v>0</v>
      </c>
      <c r="J36" s="472"/>
      <c r="K36" s="484"/>
      <c r="L36" s="475">
        <f t="shared" si="1"/>
        <v>0</v>
      </c>
      <c r="M36" s="484"/>
      <c r="N36" s="475">
        <f t="shared" si="3"/>
        <v>0</v>
      </c>
      <c r="O36" s="475">
        <f t="shared" si="4"/>
        <v>0</v>
      </c>
      <c r="P36" s="241"/>
    </row>
    <row r="37" spans="2:16" ht="12.5">
      <c r="B37" s="160" t="str">
        <f t="shared" si="7"/>
        <v/>
      </c>
      <c r="C37" s="469">
        <f>IF(D11="","-",+C36+1)</f>
        <v>2038</v>
      </c>
      <c r="D37" s="480">
        <f>IF(F36+SUM(E$17:E36)=D$10,F36,D$10-SUM(E$17:E36))</f>
        <v>676871.79065443855</v>
      </c>
      <c r="E37" s="481">
        <f t="shared" si="18"/>
        <v>35404.805789473685</v>
      </c>
      <c r="F37" s="482">
        <f t="shared" si="19"/>
        <v>641466.98486496485</v>
      </c>
      <c r="G37" s="483">
        <f t="shared" si="20"/>
        <v>110378.85559998499</v>
      </c>
      <c r="H37" s="452">
        <f t="shared" si="21"/>
        <v>110378.85559998499</v>
      </c>
      <c r="I37" s="472">
        <f t="shared" si="5"/>
        <v>0</v>
      </c>
      <c r="J37" s="472"/>
      <c r="K37" s="484"/>
      <c r="L37" s="475">
        <f t="shared" si="1"/>
        <v>0</v>
      </c>
      <c r="M37" s="484"/>
      <c r="N37" s="475">
        <f t="shared" si="3"/>
        <v>0</v>
      </c>
      <c r="O37" s="475">
        <f t="shared" si="4"/>
        <v>0</v>
      </c>
      <c r="P37" s="241"/>
    </row>
    <row r="38" spans="2:16" ht="12.5">
      <c r="B38" s="160" t="str">
        <f t="shared" si="7"/>
        <v/>
      </c>
      <c r="C38" s="469">
        <f>IF(D11="","-",+C37+1)</f>
        <v>2039</v>
      </c>
      <c r="D38" s="480">
        <f>IF(F37+SUM(E$17:E37)=D$10,F37,D$10-SUM(E$17:E37))</f>
        <v>641466.98486496485</v>
      </c>
      <c r="E38" s="481">
        <f t="shared" si="18"/>
        <v>35404.805789473685</v>
      </c>
      <c r="F38" s="482">
        <f t="shared" si="19"/>
        <v>606062.17907549115</v>
      </c>
      <c r="G38" s="483">
        <f t="shared" si="20"/>
        <v>106351.90634827134</v>
      </c>
      <c r="H38" s="452">
        <f t="shared" si="21"/>
        <v>106351.90634827134</v>
      </c>
      <c r="I38" s="472">
        <f t="shared" si="5"/>
        <v>0</v>
      </c>
      <c r="J38" s="472"/>
      <c r="K38" s="484"/>
      <c r="L38" s="475">
        <f t="shared" si="1"/>
        <v>0</v>
      </c>
      <c r="M38" s="484"/>
      <c r="N38" s="475">
        <f t="shared" si="3"/>
        <v>0</v>
      </c>
      <c r="O38" s="475">
        <f t="shared" si="4"/>
        <v>0</v>
      </c>
      <c r="P38" s="241"/>
    </row>
    <row r="39" spans="2:16" ht="12.5">
      <c r="B39" s="160" t="str">
        <f t="shared" si="7"/>
        <v/>
      </c>
      <c r="C39" s="469">
        <f>IF(D11="","-",+C38+1)</f>
        <v>2040</v>
      </c>
      <c r="D39" s="480">
        <f>IF(F38+SUM(E$17:E38)=D$10,F38,D$10-SUM(E$17:E38))</f>
        <v>606062.17907549115</v>
      </c>
      <c r="E39" s="481">
        <f t="shared" si="18"/>
        <v>35404.805789473685</v>
      </c>
      <c r="F39" s="482">
        <f t="shared" si="19"/>
        <v>570657.37328601745</v>
      </c>
      <c r="G39" s="483">
        <f t="shared" si="20"/>
        <v>102324.95709655769</v>
      </c>
      <c r="H39" s="452">
        <f t="shared" si="21"/>
        <v>102324.95709655769</v>
      </c>
      <c r="I39" s="472">
        <f t="shared" si="5"/>
        <v>0</v>
      </c>
      <c r="J39" s="472"/>
      <c r="K39" s="484"/>
      <c r="L39" s="475">
        <f t="shared" si="1"/>
        <v>0</v>
      </c>
      <c r="M39" s="484"/>
      <c r="N39" s="475">
        <f t="shared" si="3"/>
        <v>0</v>
      </c>
      <c r="O39" s="475">
        <f t="shared" si="4"/>
        <v>0</v>
      </c>
      <c r="P39" s="241"/>
    </row>
    <row r="40" spans="2:16" ht="12.5">
      <c r="B40" s="160" t="str">
        <f t="shared" si="7"/>
        <v/>
      </c>
      <c r="C40" s="469">
        <f>IF(D11="","-",+C39+1)</f>
        <v>2041</v>
      </c>
      <c r="D40" s="480">
        <f>IF(F39+SUM(E$17:E39)=D$10,F39,D$10-SUM(E$17:E39))</f>
        <v>570657.37328601745</v>
      </c>
      <c r="E40" s="481">
        <f t="shared" si="18"/>
        <v>35404.805789473685</v>
      </c>
      <c r="F40" s="482">
        <f t="shared" si="19"/>
        <v>535252.56749654375</v>
      </c>
      <c r="G40" s="483">
        <f t="shared" si="20"/>
        <v>98298.007844844018</v>
      </c>
      <c r="H40" s="452">
        <f t="shared" si="21"/>
        <v>98298.007844844018</v>
      </c>
      <c r="I40" s="472">
        <f t="shared" si="5"/>
        <v>0</v>
      </c>
      <c r="J40" s="472"/>
      <c r="K40" s="484"/>
      <c r="L40" s="475">
        <f t="shared" si="1"/>
        <v>0</v>
      </c>
      <c r="M40" s="484"/>
      <c r="N40" s="475">
        <f t="shared" si="3"/>
        <v>0</v>
      </c>
      <c r="O40" s="475">
        <f t="shared" si="4"/>
        <v>0</v>
      </c>
      <c r="P40" s="241"/>
    </row>
    <row r="41" spans="2:16" ht="12.5">
      <c r="B41" s="160" t="str">
        <f t="shared" si="7"/>
        <v/>
      </c>
      <c r="C41" s="469">
        <f>IF(D11="","-",+C40+1)</f>
        <v>2042</v>
      </c>
      <c r="D41" s="480">
        <f>IF(F40+SUM(E$17:E40)=D$10,F40,D$10-SUM(E$17:E40))</f>
        <v>535252.56749654375</v>
      </c>
      <c r="E41" s="481">
        <f t="shared" si="18"/>
        <v>35404.805789473685</v>
      </c>
      <c r="F41" s="482">
        <f t="shared" si="19"/>
        <v>499847.76170707005</v>
      </c>
      <c r="G41" s="483">
        <f t="shared" si="20"/>
        <v>94271.058593130379</v>
      </c>
      <c r="H41" s="452">
        <f t="shared" si="21"/>
        <v>94271.058593130379</v>
      </c>
      <c r="I41" s="472">
        <f t="shared" si="5"/>
        <v>0</v>
      </c>
      <c r="J41" s="472"/>
      <c r="K41" s="484"/>
      <c r="L41" s="475">
        <f t="shared" si="1"/>
        <v>0</v>
      </c>
      <c r="M41" s="484"/>
      <c r="N41" s="475">
        <f t="shared" si="3"/>
        <v>0</v>
      </c>
      <c r="O41" s="475">
        <f t="shared" si="4"/>
        <v>0</v>
      </c>
      <c r="P41" s="241"/>
    </row>
    <row r="42" spans="2:16" ht="12.5">
      <c r="B42" s="160" t="str">
        <f t="shared" si="7"/>
        <v/>
      </c>
      <c r="C42" s="469">
        <f>IF(D11="","-",+C41+1)</f>
        <v>2043</v>
      </c>
      <c r="D42" s="480">
        <f>IF(F41+SUM(E$17:E41)=D$10,F41,D$10-SUM(E$17:E41))</f>
        <v>499847.76170707005</v>
      </c>
      <c r="E42" s="481">
        <f t="shared" si="18"/>
        <v>35404.805789473685</v>
      </c>
      <c r="F42" s="482">
        <f t="shared" si="19"/>
        <v>464442.95591759635</v>
      </c>
      <c r="G42" s="483">
        <f t="shared" si="20"/>
        <v>90244.109341416712</v>
      </c>
      <c r="H42" s="452">
        <f t="shared" si="21"/>
        <v>90244.109341416712</v>
      </c>
      <c r="I42" s="472">
        <f t="shared" si="5"/>
        <v>0</v>
      </c>
      <c r="J42" s="472"/>
      <c r="K42" s="484"/>
      <c r="L42" s="475">
        <f t="shared" si="1"/>
        <v>0</v>
      </c>
      <c r="M42" s="484"/>
      <c r="N42" s="475">
        <f t="shared" si="3"/>
        <v>0</v>
      </c>
      <c r="O42" s="475">
        <f t="shared" si="4"/>
        <v>0</v>
      </c>
      <c r="P42" s="241"/>
    </row>
    <row r="43" spans="2:16" ht="12.5">
      <c r="B43" s="160" t="str">
        <f t="shared" si="7"/>
        <v/>
      </c>
      <c r="C43" s="469">
        <f>IF(D11="","-",+C42+1)</f>
        <v>2044</v>
      </c>
      <c r="D43" s="480">
        <f>IF(F42+SUM(E$17:E42)=D$10,F42,D$10-SUM(E$17:E42))</f>
        <v>464442.95591759635</v>
      </c>
      <c r="E43" s="481">
        <f t="shared" si="18"/>
        <v>35404.805789473685</v>
      </c>
      <c r="F43" s="482">
        <f t="shared" si="19"/>
        <v>429038.15012812265</v>
      </c>
      <c r="G43" s="483">
        <f t="shared" si="20"/>
        <v>86217.160089703044</v>
      </c>
      <c r="H43" s="452">
        <f t="shared" si="21"/>
        <v>86217.160089703044</v>
      </c>
      <c r="I43" s="472">
        <f t="shared" si="5"/>
        <v>0</v>
      </c>
      <c r="J43" s="472"/>
      <c r="K43" s="484"/>
      <c r="L43" s="475">
        <f t="shared" si="1"/>
        <v>0</v>
      </c>
      <c r="M43" s="484"/>
      <c r="N43" s="475">
        <f t="shared" si="3"/>
        <v>0</v>
      </c>
      <c r="O43" s="475">
        <f t="shared" si="4"/>
        <v>0</v>
      </c>
      <c r="P43" s="241"/>
    </row>
    <row r="44" spans="2:16" ht="12.5">
      <c r="B44" s="160" t="str">
        <f t="shared" si="7"/>
        <v/>
      </c>
      <c r="C44" s="469">
        <f>IF(D11="","-",+C43+1)</f>
        <v>2045</v>
      </c>
      <c r="D44" s="480">
        <f>IF(F43+SUM(E$17:E43)=D$10,F43,D$10-SUM(E$17:E43))</f>
        <v>429038.15012812265</v>
      </c>
      <c r="E44" s="481">
        <f t="shared" si="18"/>
        <v>35404.805789473685</v>
      </c>
      <c r="F44" s="482">
        <f t="shared" si="19"/>
        <v>393633.34433864895</v>
      </c>
      <c r="G44" s="483">
        <f t="shared" si="20"/>
        <v>82190.210837989405</v>
      </c>
      <c r="H44" s="452">
        <f t="shared" si="21"/>
        <v>82190.210837989405</v>
      </c>
      <c r="I44" s="472">
        <f t="shared" si="5"/>
        <v>0</v>
      </c>
      <c r="J44" s="472"/>
      <c r="K44" s="484"/>
      <c r="L44" s="475">
        <f t="shared" si="1"/>
        <v>0</v>
      </c>
      <c r="M44" s="484"/>
      <c r="N44" s="475">
        <f t="shared" si="3"/>
        <v>0</v>
      </c>
      <c r="O44" s="475">
        <f t="shared" si="4"/>
        <v>0</v>
      </c>
      <c r="P44" s="241"/>
    </row>
    <row r="45" spans="2:16" ht="12.5">
      <c r="B45" s="160" t="str">
        <f t="shared" si="7"/>
        <v/>
      </c>
      <c r="C45" s="469">
        <f>IF(D11="","-",+C44+1)</f>
        <v>2046</v>
      </c>
      <c r="D45" s="480">
        <f>IF(F44+SUM(E$17:E44)=D$10,F44,D$10-SUM(E$17:E44))</f>
        <v>393633.34433864895</v>
      </c>
      <c r="E45" s="481">
        <f t="shared" si="18"/>
        <v>35404.805789473685</v>
      </c>
      <c r="F45" s="482">
        <f t="shared" si="19"/>
        <v>358228.53854917525</v>
      </c>
      <c r="G45" s="483">
        <f t="shared" si="20"/>
        <v>78163.261586275737</v>
      </c>
      <c r="H45" s="452">
        <f t="shared" si="21"/>
        <v>78163.261586275737</v>
      </c>
      <c r="I45" s="472">
        <f t="shared" si="5"/>
        <v>0</v>
      </c>
      <c r="J45" s="472"/>
      <c r="K45" s="484"/>
      <c r="L45" s="475">
        <f t="shared" si="1"/>
        <v>0</v>
      </c>
      <c r="M45" s="484"/>
      <c r="N45" s="475">
        <f t="shared" si="3"/>
        <v>0</v>
      </c>
      <c r="O45" s="475">
        <f t="shared" si="4"/>
        <v>0</v>
      </c>
      <c r="P45" s="241"/>
    </row>
    <row r="46" spans="2:16" ht="12.5">
      <c r="B46" s="160" t="str">
        <f t="shared" si="7"/>
        <v/>
      </c>
      <c r="C46" s="469">
        <f>IF(D11="","-",+C45+1)</f>
        <v>2047</v>
      </c>
      <c r="D46" s="480">
        <f>IF(F45+SUM(E$17:E45)=D$10,F45,D$10-SUM(E$17:E45))</f>
        <v>358228.53854917525</v>
      </c>
      <c r="E46" s="481">
        <f t="shared" si="18"/>
        <v>35404.805789473685</v>
      </c>
      <c r="F46" s="482">
        <f t="shared" si="19"/>
        <v>322823.73275970155</v>
      </c>
      <c r="G46" s="483">
        <f t="shared" si="20"/>
        <v>74136.312334562084</v>
      </c>
      <c r="H46" s="452">
        <f t="shared" si="21"/>
        <v>74136.312334562084</v>
      </c>
      <c r="I46" s="472">
        <f t="shared" si="5"/>
        <v>0</v>
      </c>
      <c r="J46" s="472"/>
      <c r="K46" s="484"/>
      <c r="L46" s="475">
        <f t="shared" si="1"/>
        <v>0</v>
      </c>
      <c r="M46" s="484"/>
      <c r="N46" s="475">
        <f t="shared" si="3"/>
        <v>0</v>
      </c>
      <c r="O46" s="475">
        <f t="shared" si="4"/>
        <v>0</v>
      </c>
      <c r="P46" s="241"/>
    </row>
    <row r="47" spans="2:16" ht="12.5">
      <c r="B47" s="160" t="str">
        <f t="shared" si="7"/>
        <v/>
      </c>
      <c r="C47" s="469">
        <f>IF(D11="","-",+C46+1)</f>
        <v>2048</v>
      </c>
      <c r="D47" s="480">
        <f>IF(F46+SUM(E$17:E46)=D$10,F46,D$10-SUM(E$17:E46))</f>
        <v>322823.73275970155</v>
      </c>
      <c r="E47" s="481">
        <f t="shared" si="18"/>
        <v>35404.805789473685</v>
      </c>
      <c r="F47" s="482">
        <f t="shared" si="19"/>
        <v>287418.92697022785</v>
      </c>
      <c r="G47" s="483">
        <f t="shared" si="20"/>
        <v>70109.363082848431</v>
      </c>
      <c r="H47" s="452">
        <f t="shared" si="21"/>
        <v>70109.363082848431</v>
      </c>
      <c r="I47" s="472">
        <f t="shared" si="5"/>
        <v>0</v>
      </c>
      <c r="J47" s="472"/>
      <c r="K47" s="484"/>
      <c r="L47" s="475">
        <f t="shared" si="1"/>
        <v>0</v>
      </c>
      <c r="M47" s="484"/>
      <c r="N47" s="475">
        <f t="shared" si="3"/>
        <v>0</v>
      </c>
      <c r="O47" s="475">
        <f t="shared" si="4"/>
        <v>0</v>
      </c>
      <c r="P47" s="241"/>
    </row>
    <row r="48" spans="2:16" ht="12.5">
      <c r="B48" s="160" t="str">
        <f t="shared" si="7"/>
        <v/>
      </c>
      <c r="C48" s="469">
        <f>IF(D11="","-",+C47+1)</f>
        <v>2049</v>
      </c>
      <c r="D48" s="480">
        <f>IF(F47+SUM(E$17:E47)=D$10,F47,D$10-SUM(E$17:E47))</f>
        <v>287418.92697022785</v>
      </c>
      <c r="E48" s="481">
        <f t="shared" si="18"/>
        <v>35404.805789473685</v>
      </c>
      <c r="F48" s="482">
        <f t="shared" si="19"/>
        <v>252014.12118075415</v>
      </c>
      <c r="G48" s="483">
        <f t="shared" si="20"/>
        <v>66082.413831134763</v>
      </c>
      <c r="H48" s="452">
        <f t="shared" si="21"/>
        <v>66082.413831134763</v>
      </c>
      <c r="I48" s="472">
        <f t="shared" si="5"/>
        <v>0</v>
      </c>
      <c r="J48" s="472"/>
      <c r="K48" s="484"/>
      <c r="L48" s="475">
        <f t="shared" si="1"/>
        <v>0</v>
      </c>
      <c r="M48" s="484"/>
      <c r="N48" s="475">
        <f t="shared" si="3"/>
        <v>0</v>
      </c>
      <c r="O48" s="475">
        <f t="shared" si="4"/>
        <v>0</v>
      </c>
      <c r="P48" s="241"/>
    </row>
    <row r="49" spans="2:16" ht="12.5">
      <c r="B49" s="160" t="str">
        <f t="shared" si="7"/>
        <v/>
      </c>
      <c r="C49" s="469">
        <f>IF(D11="","-",+C48+1)</f>
        <v>2050</v>
      </c>
      <c r="D49" s="480">
        <f>IF(F48+SUM(E$17:E48)=D$10,F48,D$10-SUM(E$17:E48))</f>
        <v>252014.12118075415</v>
      </c>
      <c r="E49" s="481">
        <f t="shared" si="18"/>
        <v>35404.805789473685</v>
      </c>
      <c r="F49" s="482">
        <f t="shared" si="19"/>
        <v>216609.31539128046</v>
      </c>
      <c r="G49" s="483">
        <f t="shared" si="20"/>
        <v>62055.46457942111</v>
      </c>
      <c r="H49" s="452">
        <f t="shared" si="21"/>
        <v>62055.46457942111</v>
      </c>
      <c r="I49" s="472">
        <f t="shared" si="5"/>
        <v>0</v>
      </c>
      <c r="J49" s="472"/>
      <c r="K49" s="484"/>
      <c r="L49" s="475">
        <f t="shared" si="1"/>
        <v>0</v>
      </c>
      <c r="M49" s="484"/>
      <c r="N49" s="475">
        <f t="shared" si="3"/>
        <v>0</v>
      </c>
      <c r="O49" s="475">
        <f t="shared" si="4"/>
        <v>0</v>
      </c>
      <c r="P49" s="241"/>
    </row>
    <row r="50" spans="2:16" ht="12.5">
      <c r="B50" s="160" t="str">
        <f t="shared" si="7"/>
        <v/>
      </c>
      <c r="C50" s="469">
        <f>IF(D11="","-",+C49+1)</f>
        <v>2051</v>
      </c>
      <c r="D50" s="480">
        <f>IF(F49+SUM(E$17:E49)=D$10,F49,D$10-SUM(E$17:E49))</f>
        <v>216609.31539128046</v>
      </c>
      <c r="E50" s="481">
        <f t="shared" si="18"/>
        <v>35404.805789473685</v>
      </c>
      <c r="F50" s="482">
        <f t="shared" si="19"/>
        <v>181204.50960180676</v>
      </c>
      <c r="G50" s="483">
        <f t="shared" si="20"/>
        <v>58028.515327707457</v>
      </c>
      <c r="H50" s="452">
        <f t="shared" si="21"/>
        <v>58028.515327707457</v>
      </c>
      <c r="I50" s="472">
        <f t="shared" si="5"/>
        <v>0</v>
      </c>
      <c r="J50" s="472"/>
      <c r="K50" s="484"/>
      <c r="L50" s="475">
        <f t="shared" si="1"/>
        <v>0</v>
      </c>
      <c r="M50" s="484"/>
      <c r="N50" s="475">
        <f t="shared" si="3"/>
        <v>0</v>
      </c>
      <c r="O50" s="475">
        <f t="shared" si="4"/>
        <v>0</v>
      </c>
      <c r="P50" s="241"/>
    </row>
    <row r="51" spans="2:16" ht="12.5">
      <c r="B51" s="160" t="str">
        <f t="shared" si="7"/>
        <v/>
      </c>
      <c r="C51" s="469">
        <f>IF(D11="","-",+C50+1)</f>
        <v>2052</v>
      </c>
      <c r="D51" s="480">
        <f>IF(F50+SUM(E$17:E50)=D$10,F50,D$10-SUM(E$17:E50))</f>
        <v>181204.50960180676</v>
      </c>
      <c r="E51" s="481">
        <f t="shared" si="18"/>
        <v>35404.805789473685</v>
      </c>
      <c r="F51" s="482">
        <f t="shared" si="19"/>
        <v>145799.70381233306</v>
      </c>
      <c r="G51" s="483">
        <f t="shared" si="20"/>
        <v>54001.566075993789</v>
      </c>
      <c r="H51" s="452">
        <f t="shared" si="21"/>
        <v>54001.566075993789</v>
      </c>
      <c r="I51" s="472">
        <f t="shared" si="5"/>
        <v>0</v>
      </c>
      <c r="J51" s="472"/>
      <c r="K51" s="484"/>
      <c r="L51" s="475">
        <f t="shared" si="1"/>
        <v>0</v>
      </c>
      <c r="M51" s="484"/>
      <c r="N51" s="475">
        <f t="shared" si="3"/>
        <v>0</v>
      </c>
      <c r="O51" s="475">
        <f t="shared" si="4"/>
        <v>0</v>
      </c>
      <c r="P51" s="241"/>
    </row>
    <row r="52" spans="2:16" ht="12.5">
      <c r="B52" s="160" t="str">
        <f t="shared" si="7"/>
        <v/>
      </c>
      <c r="C52" s="469">
        <f>IF(D11="","-",+C51+1)</f>
        <v>2053</v>
      </c>
      <c r="D52" s="480">
        <f>IF(F51+SUM(E$17:E51)=D$10,F51,D$10-SUM(E$17:E51))</f>
        <v>145799.70381233306</v>
      </c>
      <c r="E52" s="481">
        <f t="shared" si="18"/>
        <v>35404.805789473685</v>
      </c>
      <c r="F52" s="482">
        <f t="shared" si="19"/>
        <v>110394.89802285937</v>
      </c>
      <c r="G52" s="483">
        <f t="shared" si="20"/>
        <v>49974.616824280136</v>
      </c>
      <c r="H52" s="452">
        <f t="shared" si="21"/>
        <v>49974.616824280136</v>
      </c>
      <c r="I52" s="472">
        <f t="shared" si="5"/>
        <v>0</v>
      </c>
      <c r="J52" s="472"/>
      <c r="K52" s="484"/>
      <c r="L52" s="475">
        <f t="shared" si="1"/>
        <v>0</v>
      </c>
      <c r="M52" s="484"/>
      <c r="N52" s="475">
        <f t="shared" si="3"/>
        <v>0</v>
      </c>
      <c r="O52" s="475">
        <f t="shared" si="4"/>
        <v>0</v>
      </c>
      <c r="P52" s="241"/>
    </row>
    <row r="53" spans="2:16" ht="12.5">
      <c r="B53" s="160" t="str">
        <f t="shared" si="7"/>
        <v/>
      </c>
      <c r="C53" s="469">
        <f>IF(D11="","-",+C52+1)</f>
        <v>2054</v>
      </c>
      <c r="D53" s="480">
        <f>IF(F52+SUM(E$17:E52)=D$10,F52,D$10-SUM(E$17:E52))</f>
        <v>110394.89802285937</v>
      </c>
      <c r="E53" s="481">
        <f t="shared" si="18"/>
        <v>35404.805789473685</v>
      </c>
      <c r="F53" s="482">
        <f t="shared" si="19"/>
        <v>74990.092233385687</v>
      </c>
      <c r="G53" s="483">
        <f t="shared" si="20"/>
        <v>45947.667572566483</v>
      </c>
      <c r="H53" s="452">
        <f t="shared" si="21"/>
        <v>45947.667572566483</v>
      </c>
      <c r="I53" s="472">
        <f t="shared" si="5"/>
        <v>0</v>
      </c>
      <c r="J53" s="472"/>
      <c r="K53" s="484"/>
      <c r="L53" s="475">
        <f t="shared" si="1"/>
        <v>0</v>
      </c>
      <c r="M53" s="484"/>
      <c r="N53" s="475">
        <f t="shared" si="3"/>
        <v>0</v>
      </c>
      <c r="O53" s="475">
        <f t="shared" si="4"/>
        <v>0</v>
      </c>
      <c r="P53" s="241"/>
    </row>
    <row r="54" spans="2:16" ht="12.5">
      <c r="B54" s="160" t="str">
        <f t="shared" si="7"/>
        <v/>
      </c>
      <c r="C54" s="469">
        <f>IF(D11="","-",+C53+1)</f>
        <v>2055</v>
      </c>
      <c r="D54" s="480">
        <f>IF(F53+SUM(E$17:E53)=D$10,F53,D$10-SUM(E$17:E53))</f>
        <v>74990.092233385687</v>
      </c>
      <c r="E54" s="481">
        <f t="shared" si="18"/>
        <v>35404.805789473685</v>
      </c>
      <c r="F54" s="482">
        <f t="shared" si="19"/>
        <v>39585.286443912002</v>
      </c>
      <c r="G54" s="483">
        <f t="shared" si="20"/>
        <v>41920.718320852829</v>
      </c>
      <c r="H54" s="452">
        <f t="shared" si="21"/>
        <v>41920.718320852829</v>
      </c>
      <c r="I54" s="472">
        <f t="shared" si="5"/>
        <v>0</v>
      </c>
      <c r="J54" s="472"/>
      <c r="K54" s="484"/>
      <c r="L54" s="475">
        <f t="shared" si="1"/>
        <v>0</v>
      </c>
      <c r="M54" s="484"/>
      <c r="N54" s="475">
        <f t="shared" si="3"/>
        <v>0</v>
      </c>
      <c r="O54" s="475">
        <f t="shared" si="4"/>
        <v>0</v>
      </c>
      <c r="P54" s="241"/>
    </row>
    <row r="55" spans="2:16" ht="12.5">
      <c r="B55" s="160" t="str">
        <f t="shared" si="7"/>
        <v/>
      </c>
      <c r="C55" s="469">
        <f>IF(D11="","-",+C54+1)</f>
        <v>2056</v>
      </c>
      <c r="D55" s="480">
        <f>IF(F54+SUM(E$17:E54)=D$10,F54,D$10-SUM(E$17:E54))</f>
        <v>39585.286443912002</v>
      </c>
      <c r="E55" s="481">
        <f t="shared" si="18"/>
        <v>35404.805789473685</v>
      </c>
      <c r="F55" s="482">
        <f t="shared" si="19"/>
        <v>4180.4806544383173</v>
      </c>
      <c r="G55" s="483">
        <f t="shared" si="20"/>
        <v>37893.769069139169</v>
      </c>
      <c r="H55" s="452">
        <f t="shared" si="21"/>
        <v>37893.769069139169</v>
      </c>
      <c r="I55" s="472">
        <f t="shared" si="5"/>
        <v>0</v>
      </c>
      <c r="J55" s="472"/>
      <c r="K55" s="484"/>
      <c r="L55" s="475">
        <f t="shared" si="1"/>
        <v>0</v>
      </c>
      <c r="M55" s="484"/>
      <c r="N55" s="475">
        <f t="shared" si="3"/>
        <v>0</v>
      </c>
      <c r="O55" s="475">
        <f t="shared" si="4"/>
        <v>0</v>
      </c>
      <c r="P55" s="241"/>
    </row>
    <row r="56" spans="2:16" ht="12.5">
      <c r="B56" s="160" t="str">
        <f t="shared" si="7"/>
        <v/>
      </c>
      <c r="C56" s="469">
        <f>IF(D11="","-",+C55+1)</f>
        <v>2057</v>
      </c>
      <c r="D56" s="480">
        <f>IF(F55+SUM(E$17:E55)=D$10,F55,D$10-SUM(E$17:E55))</f>
        <v>4180.4806544383173</v>
      </c>
      <c r="E56" s="481">
        <f t="shared" si="18"/>
        <v>4180.4806544383173</v>
      </c>
      <c r="F56" s="482">
        <f t="shared" si="19"/>
        <v>0</v>
      </c>
      <c r="G56" s="483">
        <f t="shared" si="20"/>
        <v>4418.2249813426461</v>
      </c>
      <c r="H56" s="452">
        <f t="shared" si="21"/>
        <v>4418.2249813426461</v>
      </c>
      <c r="I56" s="472">
        <f t="shared" si="5"/>
        <v>0</v>
      </c>
      <c r="J56" s="472"/>
      <c r="K56" s="484"/>
      <c r="L56" s="475">
        <f t="shared" si="1"/>
        <v>0</v>
      </c>
      <c r="M56" s="484"/>
      <c r="N56" s="475">
        <f t="shared" si="3"/>
        <v>0</v>
      </c>
      <c r="O56" s="475">
        <f t="shared" si="4"/>
        <v>0</v>
      </c>
      <c r="P56" s="241"/>
    </row>
    <row r="57" spans="2:16" ht="12.5">
      <c r="B57" s="160" t="str">
        <f t="shared" si="7"/>
        <v/>
      </c>
      <c r="C57" s="469">
        <f>IF(D11="","-",+C56+1)</f>
        <v>2058</v>
      </c>
      <c r="D57" s="480">
        <f>IF(F56+SUM(E$17:E56)=D$10,F56,D$10-SUM(E$17:E56))</f>
        <v>0</v>
      </c>
      <c r="E57" s="481">
        <f t="shared" si="18"/>
        <v>0</v>
      </c>
      <c r="F57" s="482">
        <f t="shared" si="19"/>
        <v>0</v>
      </c>
      <c r="G57" s="483">
        <f t="shared" si="20"/>
        <v>0</v>
      </c>
      <c r="H57" s="452">
        <f t="shared" si="21"/>
        <v>0</v>
      </c>
      <c r="I57" s="472">
        <f t="shared" si="5"/>
        <v>0</v>
      </c>
      <c r="J57" s="472"/>
      <c r="K57" s="484"/>
      <c r="L57" s="475">
        <f t="shared" si="1"/>
        <v>0</v>
      </c>
      <c r="M57" s="484"/>
      <c r="N57" s="475">
        <f t="shared" si="3"/>
        <v>0</v>
      </c>
      <c r="O57" s="475">
        <f t="shared" si="4"/>
        <v>0</v>
      </c>
      <c r="P57" s="241"/>
    </row>
    <row r="58" spans="2:16" ht="12.5">
      <c r="B58" s="160" t="str">
        <f t="shared" si="7"/>
        <v/>
      </c>
      <c r="C58" s="469">
        <f>IF(D11="","-",+C57+1)</f>
        <v>2059</v>
      </c>
      <c r="D58" s="480">
        <f>IF(F57+SUM(E$17:E57)=D$10,F57,D$10-SUM(E$17:E57))</f>
        <v>0</v>
      </c>
      <c r="E58" s="481">
        <f t="shared" si="18"/>
        <v>0</v>
      </c>
      <c r="F58" s="482">
        <f t="shared" si="19"/>
        <v>0</v>
      </c>
      <c r="G58" s="483">
        <f t="shared" si="20"/>
        <v>0</v>
      </c>
      <c r="H58" s="452">
        <f t="shared" si="21"/>
        <v>0</v>
      </c>
      <c r="I58" s="472">
        <f t="shared" si="5"/>
        <v>0</v>
      </c>
      <c r="J58" s="472"/>
      <c r="K58" s="484"/>
      <c r="L58" s="475">
        <f t="shared" si="1"/>
        <v>0</v>
      </c>
      <c r="M58" s="484"/>
      <c r="N58" s="475">
        <f t="shared" si="3"/>
        <v>0</v>
      </c>
      <c r="O58" s="475">
        <f t="shared" si="4"/>
        <v>0</v>
      </c>
      <c r="P58" s="241"/>
    </row>
    <row r="59" spans="2:16" ht="12.5">
      <c r="B59" s="160" t="str">
        <f t="shared" si="7"/>
        <v/>
      </c>
      <c r="C59" s="469">
        <f>IF(D11="","-",+C58+1)</f>
        <v>2060</v>
      </c>
      <c r="D59" s="480">
        <f>IF(F58+SUM(E$17:E58)=D$10,F58,D$10-SUM(E$17:E58))</f>
        <v>0</v>
      </c>
      <c r="E59" s="481">
        <f t="shared" si="18"/>
        <v>0</v>
      </c>
      <c r="F59" s="482">
        <f t="shared" si="19"/>
        <v>0</v>
      </c>
      <c r="G59" s="483">
        <f t="shared" si="20"/>
        <v>0</v>
      </c>
      <c r="H59" s="452">
        <f t="shared" si="21"/>
        <v>0</v>
      </c>
      <c r="I59" s="472">
        <f t="shared" si="5"/>
        <v>0</v>
      </c>
      <c r="J59" s="472"/>
      <c r="K59" s="484"/>
      <c r="L59" s="475">
        <f t="shared" si="1"/>
        <v>0</v>
      </c>
      <c r="M59" s="484"/>
      <c r="N59" s="475">
        <f t="shared" si="3"/>
        <v>0</v>
      </c>
      <c r="O59" s="475">
        <f t="shared" si="4"/>
        <v>0</v>
      </c>
      <c r="P59" s="241"/>
    </row>
    <row r="60" spans="2:16" ht="12.5">
      <c r="B60" s="160" t="str">
        <f t="shared" si="7"/>
        <v/>
      </c>
      <c r="C60" s="469">
        <f>IF(D11="","-",+C59+1)</f>
        <v>2061</v>
      </c>
      <c r="D60" s="480">
        <f>IF(F59+SUM(E$17:E59)=D$10,F59,D$10-SUM(E$17:E59))</f>
        <v>0</v>
      </c>
      <c r="E60" s="481">
        <f t="shared" si="18"/>
        <v>0</v>
      </c>
      <c r="F60" s="482">
        <f t="shared" si="19"/>
        <v>0</v>
      </c>
      <c r="G60" s="483">
        <f t="shared" si="20"/>
        <v>0</v>
      </c>
      <c r="H60" s="452">
        <f t="shared" si="21"/>
        <v>0</v>
      </c>
      <c r="I60" s="472">
        <f t="shared" si="5"/>
        <v>0</v>
      </c>
      <c r="J60" s="472"/>
      <c r="K60" s="484"/>
      <c r="L60" s="475">
        <f t="shared" si="1"/>
        <v>0</v>
      </c>
      <c r="M60" s="484"/>
      <c r="N60" s="475">
        <f t="shared" si="3"/>
        <v>0</v>
      </c>
      <c r="O60" s="475">
        <f t="shared" si="4"/>
        <v>0</v>
      </c>
      <c r="P60" s="241"/>
    </row>
    <row r="61" spans="2:16" ht="12.5">
      <c r="B61" s="160" t="str">
        <f t="shared" si="7"/>
        <v/>
      </c>
      <c r="C61" s="469">
        <f>IF(D11="","-",+C60+1)</f>
        <v>2062</v>
      </c>
      <c r="D61" s="480">
        <f>IF(F60+SUM(E$17:E60)=D$10,F60,D$10-SUM(E$17:E60))</f>
        <v>0</v>
      </c>
      <c r="E61" s="481">
        <f t="shared" si="18"/>
        <v>0</v>
      </c>
      <c r="F61" s="482">
        <f t="shared" si="19"/>
        <v>0</v>
      </c>
      <c r="G61" s="483">
        <f t="shared" si="20"/>
        <v>0</v>
      </c>
      <c r="H61" s="452">
        <f t="shared" si="21"/>
        <v>0</v>
      </c>
      <c r="I61" s="472">
        <f t="shared" si="5"/>
        <v>0</v>
      </c>
      <c r="J61" s="472"/>
      <c r="K61" s="484"/>
      <c r="L61" s="475">
        <f t="shared" si="1"/>
        <v>0</v>
      </c>
      <c r="M61" s="484"/>
      <c r="N61" s="475">
        <f t="shared" si="3"/>
        <v>0</v>
      </c>
      <c r="O61" s="475">
        <f t="shared" si="4"/>
        <v>0</v>
      </c>
      <c r="P61" s="241"/>
    </row>
    <row r="62" spans="2:16" ht="12.5">
      <c r="B62" s="160" t="str">
        <f t="shared" si="7"/>
        <v/>
      </c>
      <c r="C62" s="469">
        <f>IF(D11="","-",+C61+1)</f>
        <v>2063</v>
      </c>
      <c r="D62" s="480">
        <f>IF(F61+SUM(E$17:E61)=D$10,F61,D$10-SUM(E$17:E61))</f>
        <v>0</v>
      </c>
      <c r="E62" s="481">
        <f t="shared" si="18"/>
        <v>0</v>
      </c>
      <c r="F62" s="482">
        <f t="shared" si="19"/>
        <v>0</v>
      </c>
      <c r="G62" s="483">
        <f t="shared" si="20"/>
        <v>0</v>
      </c>
      <c r="H62" s="452">
        <f t="shared" si="21"/>
        <v>0</v>
      </c>
      <c r="I62" s="472">
        <f t="shared" si="5"/>
        <v>0</v>
      </c>
      <c r="J62" s="472"/>
      <c r="K62" s="484"/>
      <c r="L62" s="475">
        <f t="shared" si="1"/>
        <v>0</v>
      </c>
      <c r="M62" s="484"/>
      <c r="N62" s="475">
        <f t="shared" si="3"/>
        <v>0</v>
      </c>
      <c r="O62" s="475">
        <f t="shared" si="4"/>
        <v>0</v>
      </c>
      <c r="P62" s="241"/>
    </row>
    <row r="63" spans="2:16" ht="12.5">
      <c r="B63" s="160" t="str">
        <f t="shared" si="7"/>
        <v/>
      </c>
      <c r="C63" s="469">
        <f>IF(D11="","-",+C62+1)</f>
        <v>2064</v>
      </c>
      <c r="D63" s="480">
        <f>IF(F62+SUM(E$17:E62)=D$10,F62,D$10-SUM(E$17:E62))</f>
        <v>0</v>
      </c>
      <c r="E63" s="481">
        <f t="shared" si="18"/>
        <v>0</v>
      </c>
      <c r="F63" s="482">
        <f t="shared" si="19"/>
        <v>0</v>
      </c>
      <c r="G63" s="483">
        <f t="shared" si="20"/>
        <v>0</v>
      </c>
      <c r="H63" s="452">
        <f t="shared" si="21"/>
        <v>0</v>
      </c>
      <c r="I63" s="472">
        <f t="shared" si="5"/>
        <v>0</v>
      </c>
      <c r="J63" s="472"/>
      <c r="K63" s="484"/>
      <c r="L63" s="475">
        <f t="shared" si="1"/>
        <v>0</v>
      </c>
      <c r="M63" s="484"/>
      <c r="N63" s="475">
        <f t="shared" si="3"/>
        <v>0</v>
      </c>
      <c r="O63" s="475">
        <f t="shared" si="4"/>
        <v>0</v>
      </c>
      <c r="P63" s="241"/>
    </row>
    <row r="64" spans="2:16" ht="12.5">
      <c r="B64" s="160" t="str">
        <f t="shared" si="7"/>
        <v/>
      </c>
      <c r="C64" s="469">
        <f>IF(D11="","-",+C63+1)</f>
        <v>2065</v>
      </c>
      <c r="D64" s="480">
        <f>IF(F63+SUM(E$17:E63)=D$10,F63,D$10-SUM(E$17:E63))</f>
        <v>0</v>
      </c>
      <c r="E64" s="481">
        <f t="shared" si="18"/>
        <v>0</v>
      </c>
      <c r="F64" s="482">
        <f t="shared" si="19"/>
        <v>0</v>
      </c>
      <c r="G64" s="483">
        <f t="shared" si="20"/>
        <v>0</v>
      </c>
      <c r="H64" s="452">
        <f t="shared" si="21"/>
        <v>0</v>
      </c>
      <c r="I64" s="472">
        <f t="shared" si="5"/>
        <v>0</v>
      </c>
      <c r="J64" s="472"/>
      <c r="K64" s="484"/>
      <c r="L64" s="475">
        <f t="shared" si="1"/>
        <v>0</v>
      </c>
      <c r="M64" s="484"/>
      <c r="N64" s="475">
        <f t="shared" si="3"/>
        <v>0</v>
      </c>
      <c r="O64" s="475">
        <f t="shared" si="4"/>
        <v>0</v>
      </c>
      <c r="P64" s="241"/>
    </row>
    <row r="65" spans="2:16" ht="12.5">
      <c r="B65" s="160" t="str">
        <f t="shared" si="7"/>
        <v/>
      </c>
      <c r="C65" s="469">
        <f>IF(D11="","-",+C64+1)</f>
        <v>2066</v>
      </c>
      <c r="D65" s="480">
        <f>IF(F64+SUM(E$17:E64)=D$10,F64,D$10-SUM(E$17:E64))</f>
        <v>0</v>
      </c>
      <c r="E65" s="481">
        <f t="shared" si="18"/>
        <v>0</v>
      </c>
      <c r="F65" s="482">
        <f t="shared" si="19"/>
        <v>0</v>
      </c>
      <c r="G65" s="483">
        <f t="shared" si="20"/>
        <v>0</v>
      </c>
      <c r="H65" s="452">
        <f t="shared" si="21"/>
        <v>0</v>
      </c>
      <c r="I65" s="472">
        <f t="shared" si="5"/>
        <v>0</v>
      </c>
      <c r="J65" s="472"/>
      <c r="K65" s="484"/>
      <c r="L65" s="475">
        <f t="shared" si="1"/>
        <v>0</v>
      </c>
      <c r="M65" s="484"/>
      <c r="N65" s="475">
        <f t="shared" si="3"/>
        <v>0</v>
      </c>
      <c r="O65" s="475">
        <f t="shared" si="4"/>
        <v>0</v>
      </c>
      <c r="P65" s="241"/>
    </row>
    <row r="66" spans="2:16" ht="12.5">
      <c r="B66" s="160" t="str">
        <f t="shared" si="7"/>
        <v/>
      </c>
      <c r="C66" s="469">
        <f>IF(D11="","-",+C65+1)</f>
        <v>2067</v>
      </c>
      <c r="D66" s="480">
        <f>IF(F65+SUM(E$17:E65)=D$10,F65,D$10-SUM(E$17:E65))</f>
        <v>0</v>
      </c>
      <c r="E66" s="481">
        <f t="shared" si="18"/>
        <v>0</v>
      </c>
      <c r="F66" s="482">
        <f t="shared" si="19"/>
        <v>0</v>
      </c>
      <c r="G66" s="483">
        <f t="shared" si="20"/>
        <v>0</v>
      </c>
      <c r="H66" s="452">
        <f t="shared" si="21"/>
        <v>0</v>
      </c>
      <c r="I66" s="472">
        <f t="shared" si="5"/>
        <v>0</v>
      </c>
      <c r="J66" s="472"/>
      <c r="K66" s="484"/>
      <c r="L66" s="475">
        <f t="shared" si="1"/>
        <v>0</v>
      </c>
      <c r="M66" s="484"/>
      <c r="N66" s="475">
        <f t="shared" si="3"/>
        <v>0</v>
      </c>
      <c r="O66" s="475">
        <f t="shared" si="4"/>
        <v>0</v>
      </c>
      <c r="P66" s="241"/>
    </row>
    <row r="67" spans="2:16" ht="12.5">
      <c r="B67" s="160" t="str">
        <f t="shared" si="7"/>
        <v/>
      </c>
      <c r="C67" s="469">
        <f>IF(D11="","-",+C66+1)</f>
        <v>2068</v>
      </c>
      <c r="D67" s="480">
        <f>IF(F66+SUM(E$17:E66)=D$10,F66,D$10-SUM(E$17:E66))</f>
        <v>0</v>
      </c>
      <c r="E67" s="481">
        <f t="shared" si="18"/>
        <v>0</v>
      </c>
      <c r="F67" s="482">
        <f t="shared" si="19"/>
        <v>0</v>
      </c>
      <c r="G67" s="483">
        <f t="shared" si="20"/>
        <v>0</v>
      </c>
      <c r="H67" s="452">
        <f t="shared" si="21"/>
        <v>0</v>
      </c>
      <c r="I67" s="472">
        <f t="shared" si="5"/>
        <v>0</v>
      </c>
      <c r="J67" s="472"/>
      <c r="K67" s="484"/>
      <c r="L67" s="475">
        <f t="shared" si="1"/>
        <v>0</v>
      </c>
      <c r="M67" s="484"/>
      <c r="N67" s="475">
        <f t="shared" si="3"/>
        <v>0</v>
      </c>
      <c r="O67" s="475">
        <f t="shared" si="4"/>
        <v>0</v>
      </c>
      <c r="P67" s="241"/>
    </row>
    <row r="68" spans="2:16" ht="12.5">
      <c r="B68" s="160" t="str">
        <f t="shared" si="7"/>
        <v/>
      </c>
      <c r="C68" s="469">
        <f>IF(D11="","-",+C67+1)</f>
        <v>2069</v>
      </c>
      <c r="D68" s="480">
        <f>IF(F67+SUM(E$17:E67)=D$10,F67,D$10-SUM(E$17:E67))</f>
        <v>0</v>
      </c>
      <c r="E68" s="481">
        <f t="shared" si="18"/>
        <v>0</v>
      </c>
      <c r="F68" s="482">
        <f t="shared" si="19"/>
        <v>0</v>
      </c>
      <c r="G68" s="483">
        <f t="shared" si="20"/>
        <v>0</v>
      </c>
      <c r="H68" s="452">
        <f t="shared" si="21"/>
        <v>0</v>
      </c>
      <c r="I68" s="472">
        <f t="shared" si="5"/>
        <v>0</v>
      </c>
      <c r="J68" s="472"/>
      <c r="K68" s="484"/>
      <c r="L68" s="475">
        <f t="shared" si="1"/>
        <v>0</v>
      </c>
      <c r="M68" s="484"/>
      <c r="N68" s="475">
        <f t="shared" si="3"/>
        <v>0</v>
      </c>
      <c r="O68" s="475">
        <f t="shared" si="4"/>
        <v>0</v>
      </c>
      <c r="P68" s="241"/>
    </row>
    <row r="69" spans="2:16" ht="12.5">
      <c r="B69" s="160" t="str">
        <f t="shared" si="7"/>
        <v/>
      </c>
      <c r="C69" s="469">
        <f>IF(D11="","-",+C68+1)</f>
        <v>2070</v>
      </c>
      <c r="D69" s="480">
        <f>IF(F68+SUM(E$17:E68)=D$10,F68,D$10-SUM(E$17:E68))</f>
        <v>0</v>
      </c>
      <c r="E69" s="481">
        <f t="shared" si="18"/>
        <v>0</v>
      </c>
      <c r="F69" s="482">
        <f t="shared" si="19"/>
        <v>0</v>
      </c>
      <c r="G69" s="483">
        <f t="shared" si="20"/>
        <v>0</v>
      </c>
      <c r="H69" s="452">
        <f t="shared" si="21"/>
        <v>0</v>
      </c>
      <c r="I69" s="472">
        <f t="shared" si="5"/>
        <v>0</v>
      </c>
      <c r="J69" s="472"/>
      <c r="K69" s="484"/>
      <c r="L69" s="475">
        <f t="shared" si="1"/>
        <v>0</v>
      </c>
      <c r="M69" s="484"/>
      <c r="N69" s="475">
        <f t="shared" si="3"/>
        <v>0</v>
      </c>
      <c r="O69" s="475">
        <f t="shared" si="4"/>
        <v>0</v>
      </c>
      <c r="P69" s="241"/>
    </row>
    <row r="70" spans="2:16" ht="12.5">
      <c r="B70" s="160" t="str">
        <f t="shared" si="7"/>
        <v/>
      </c>
      <c r="C70" s="469">
        <f>IF(D11="","-",+C69+1)</f>
        <v>2071</v>
      </c>
      <c r="D70" s="480">
        <f>IF(F69+SUM(E$17:E69)=D$10,F69,D$10-SUM(E$17:E69))</f>
        <v>0</v>
      </c>
      <c r="E70" s="481">
        <f t="shared" si="18"/>
        <v>0</v>
      </c>
      <c r="F70" s="482">
        <f t="shared" si="19"/>
        <v>0</v>
      </c>
      <c r="G70" s="483">
        <f t="shared" si="20"/>
        <v>0</v>
      </c>
      <c r="H70" s="452">
        <f t="shared" si="21"/>
        <v>0</v>
      </c>
      <c r="I70" s="472">
        <f t="shared" si="5"/>
        <v>0</v>
      </c>
      <c r="J70" s="472"/>
      <c r="K70" s="484"/>
      <c r="L70" s="475">
        <f t="shared" si="1"/>
        <v>0</v>
      </c>
      <c r="M70" s="484"/>
      <c r="N70" s="475">
        <f t="shared" si="3"/>
        <v>0</v>
      </c>
      <c r="O70" s="475">
        <f t="shared" si="4"/>
        <v>0</v>
      </c>
      <c r="P70" s="241"/>
    </row>
    <row r="71" spans="2:16" ht="12.5">
      <c r="B71" s="160" t="str">
        <f t="shared" si="7"/>
        <v/>
      </c>
      <c r="C71" s="469">
        <f>IF(D11="","-",+C70+1)</f>
        <v>2072</v>
      </c>
      <c r="D71" s="480">
        <f>IF(F70+SUM(E$17:E70)=D$10,F70,D$10-SUM(E$17:E70))</f>
        <v>0</v>
      </c>
      <c r="E71" s="481">
        <f t="shared" si="18"/>
        <v>0</v>
      </c>
      <c r="F71" s="482">
        <f t="shared" si="19"/>
        <v>0</v>
      </c>
      <c r="G71" s="483">
        <f t="shared" si="20"/>
        <v>0</v>
      </c>
      <c r="H71" s="452">
        <f t="shared" si="21"/>
        <v>0</v>
      </c>
      <c r="I71" s="472">
        <f t="shared" si="5"/>
        <v>0</v>
      </c>
      <c r="J71" s="472"/>
      <c r="K71" s="484"/>
      <c r="L71" s="475">
        <f t="shared" si="1"/>
        <v>0</v>
      </c>
      <c r="M71" s="484"/>
      <c r="N71" s="475">
        <f t="shared" si="3"/>
        <v>0</v>
      </c>
      <c r="O71" s="475">
        <f t="shared" si="4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2073</v>
      </c>
      <c r="D72" s="608">
        <f>IF(F71+SUM(E$17:E71)=D$10,F71,D$10-SUM(E$17:E71))</f>
        <v>0</v>
      </c>
      <c r="E72" s="488">
        <f>IF(+I$14&lt;F71,I$14,D72)</f>
        <v>0</v>
      </c>
      <c r="F72" s="487">
        <f>+D72-E72</f>
        <v>0</v>
      </c>
      <c r="G72" s="541">
        <f>(D72+F72)/2*I$12+E72</f>
        <v>0</v>
      </c>
      <c r="H72" s="432">
        <f>+(D72+F72)/2*I$13+E72</f>
        <v>0</v>
      </c>
      <c r="I72" s="490">
        <f>H72-G72</f>
        <v>0</v>
      </c>
      <c r="J72" s="472"/>
      <c r="K72" s="491"/>
      <c r="L72" s="492">
        <f t="shared" si="1"/>
        <v>0</v>
      </c>
      <c r="M72" s="491"/>
      <c r="N72" s="492">
        <f t="shared" si="3"/>
        <v>0</v>
      </c>
      <c r="O72" s="492">
        <f t="shared" si="4"/>
        <v>0</v>
      </c>
      <c r="P72" s="241"/>
    </row>
    <row r="73" spans="2:16" ht="12.5">
      <c r="C73" s="344" t="s">
        <v>77</v>
      </c>
      <c r="D73" s="345"/>
      <c r="E73" s="345">
        <f>SUM(E17:E72)</f>
        <v>1345382.6199999999</v>
      </c>
      <c r="F73" s="345"/>
      <c r="G73" s="345">
        <f>SUM(G17:G72)</f>
        <v>4312997.5770886624</v>
      </c>
      <c r="H73" s="345">
        <f>SUM(H17:H72)</f>
        <v>4312997.5770886624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24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172282.90527113216</v>
      </c>
      <c r="N87" s="505">
        <f>IF(J92&lt;D11,0,VLOOKUP(J92,C17:O72,11))</f>
        <v>172282.90527113216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189154.80770395402</v>
      </c>
      <c r="N88" s="509">
        <f>IF(J92&lt;D11,0,VLOOKUP(J92,C99:P154,7))</f>
        <v>189154.80770395402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Duncan-Comanche Tap 69 KV Rebuild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16871.902432821866</v>
      </c>
      <c r="N89" s="514">
        <f>+N88-N87</f>
        <v>16871.902432821866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TP2015191</v>
      </c>
      <c r="E91" s="519" t="str">
        <f>E9</f>
        <v xml:space="preserve">  SPP Project ID = 31009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1345382.62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2018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5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35405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2018</v>
      </c>
      <c r="D99" s="581">
        <v>0</v>
      </c>
      <c r="E99" s="604">
        <v>15290</v>
      </c>
      <c r="F99" s="581">
        <v>1299649</v>
      </c>
      <c r="G99" s="604">
        <v>649824.5</v>
      </c>
      <c r="H99" s="584">
        <v>82050.088345518569</v>
      </c>
      <c r="I99" s="603">
        <v>82050.088345518569</v>
      </c>
      <c r="J99" s="475">
        <f>+I99-H99</f>
        <v>0</v>
      </c>
      <c r="K99" s="475"/>
      <c r="L99" s="474">
        <f>+H99</f>
        <v>82050.088345518569</v>
      </c>
      <c r="M99" s="474">
        <f t="shared" ref="M99" si="22">IF(L99&lt;&gt;0,+H99-L99,0)</f>
        <v>0</v>
      </c>
      <c r="N99" s="474">
        <f>+I99</f>
        <v>82050.088345518569</v>
      </c>
      <c r="O99" s="474">
        <f t="shared" ref="O99" si="23">IF(N99&lt;&gt;0,+I99-N99,0)</f>
        <v>0</v>
      </c>
      <c r="P99" s="474">
        <f t="shared" ref="P99" si="24">+O99-M99</f>
        <v>0</v>
      </c>
    </row>
    <row r="100" spans="1:16" ht="12.5">
      <c r="B100" s="160" t="str">
        <f>IF(D100=F99,"","IU")</f>
        <v>IU</v>
      </c>
      <c r="C100" s="469">
        <f>IF(D93="","-",+C99+1)</f>
        <v>2019</v>
      </c>
      <c r="D100" s="581">
        <v>1330093</v>
      </c>
      <c r="E100" s="582">
        <v>32814</v>
      </c>
      <c r="F100" s="583">
        <v>1297279</v>
      </c>
      <c r="G100" s="583">
        <v>1313686</v>
      </c>
      <c r="H100" s="602">
        <v>168273.45246575892</v>
      </c>
      <c r="I100" s="603">
        <v>168273.45246575892</v>
      </c>
      <c r="J100" s="475">
        <f t="shared" ref="J100:J130" si="25">+I100-H100</f>
        <v>0</v>
      </c>
      <c r="K100" s="475"/>
      <c r="L100" s="473">
        <f>H100</f>
        <v>168273.45246575892</v>
      </c>
      <c r="M100" s="346">
        <f>IF(L100&lt;&gt;0,+H100-L100,0)</f>
        <v>0</v>
      </c>
      <c r="N100" s="473">
        <f>I100</f>
        <v>168273.45246575892</v>
      </c>
      <c r="O100" s="475">
        <f t="shared" ref="O100:O130" si="26">IF(N100&lt;&gt;0,+I100-N100,0)</f>
        <v>0</v>
      </c>
      <c r="P100" s="475">
        <f t="shared" ref="P100:P130" si="27">+O100-M100</f>
        <v>0</v>
      </c>
    </row>
    <row r="101" spans="1:16" ht="12.5">
      <c r="B101" s="160" t="str">
        <f t="shared" ref="B101:B154" si="28">IF(D101=F100,"","IU")</f>
        <v/>
      </c>
      <c r="C101" s="469">
        <f>IF(D93="","-",+C100+1)</f>
        <v>2020</v>
      </c>
      <c r="D101" s="581">
        <v>1297279</v>
      </c>
      <c r="E101" s="582">
        <v>31288</v>
      </c>
      <c r="F101" s="583">
        <v>1265991</v>
      </c>
      <c r="G101" s="583">
        <v>1281635</v>
      </c>
      <c r="H101" s="602">
        <v>179056.99193510308</v>
      </c>
      <c r="I101" s="603">
        <v>179056.99193510308</v>
      </c>
      <c r="J101" s="475">
        <f t="shared" si="25"/>
        <v>0</v>
      </c>
      <c r="K101" s="475"/>
      <c r="L101" s="473">
        <f>H101</f>
        <v>179056.99193510308</v>
      </c>
      <c r="M101" s="346">
        <f>IF(L101&lt;&gt;0,+H101-L101,0)</f>
        <v>0</v>
      </c>
      <c r="N101" s="473">
        <f>I101</f>
        <v>179056.99193510308</v>
      </c>
      <c r="O101" s="475">
        <f t="shared" si="26"/>
        <v>0</v>
      </c>
      <c r="P101" s="475">
        <f t="shared" si="27"/>
        <v>0</v>
      </c>
    </row>
    <row r="102" spans="1:16" ht="12.5">
      <c r="B102" s="160" t="str">
        <f t="shared" si="28"/>
        <v/>
      </c>
      <c r="C102" s="469">
        <f>IF(D93="","-",+C101+1)</f>
        <v>2021</v>
      </c>
      <c r="D102" s="581">
        <v>1265991</v>
      </c>
      <c r="E102" s="582">
        <v>32814</v>
      </c>
      <c r="F102" s="583">
        <v>1233177</v>
      </c>
      <c r="G102" s="583">
        <v>1249584</v>
      </c>
      <c r="H102" s="602">
        <v>175007.65348742867</v>
      </c>
      <c r="I102" s="603">
        <v>175007.65348742867</v>
      </c>
      <c r="J102" s="475">
        <f t="shared" si="25"/>
        <v>0</v>
      </c>
      <c r="K102" s="475"/>
      <c r="L102" s="473">
        <f>H102</f>
        <v>175007.65348742867</v>
      </c>
      <c r="M102" s="346">
        <f>IF(L102&lt;&gt;0,+H102-L102,0)</f>
        <v>0</v>
      </c>
      <c r="N102" s="473">
        <f>I102</f>
        <v>175007.65348742867</v>
      </c>
      <c r="O102" s="475">
        <f t="shared" si="26"/>
        <v>0</v>
      </c>
      <c r="P102" s="475">
        <f t="shared" si="27"/>
        <v>0</v>
      </c>
    </row>
    <row r="103" spans="1:16" ht="12.5">
      <c r="B103" s="160" t="str">
        <f t="shared" si="28"/>
        <v>IU</v>
      </c>
      <c r="C103" s="469">
        <f>IF(D93="","-",+C102+1)</f>
        <v>2022</v>
      </c>
      <c r="D103" s="581">
        <v>1233176.6200000001</v>
      </c>
      <c r="E103" s="582">
        <v>35405</v>
      </c>
      <c r="F103" s="583">
        <v>1197771.6200000001</v>
      </c>
      <c r="G103" s="583">
        <v>1215474.1200000001</v>
      </c>
      <c r="H103" s="602">
        <v>174245.02679277575</v>
      </c>
      <c r="I103" s="603">
        <v>174245.02679277575</v>
      </c>
      <c r="J103" s="475">
        <f t="shared" si="25"/>
        <v>0</v>
      </c>
      <c r="K103" s="475"/>
      <c r="L103" s="473">
        <f t="shared" ref="L103:L104" si="29">H103</f>
        <v>174245.02679277575</v>
      </c>
      <c r="M103" s="346">
        <f t="shared" ref="M103:M104" si="30">IF(L103&lt;&gt;0,+H103-L103,0)</f>
        <v>0</v>
      </c>
      <c r="N103" s="473">
        <f t="shared" ref="N103:N104" si="31">I103</f>
        <v>174245.02679277575</v>
      </c>
      <c r="O103" s="475">
        <f t="shared" ref="O103:O104" si="32">IF(N103&lt;&gt;0,+I103-N103,0)</f>
        <v>0</v>
      </c>
      <c r="P103" s="475">
        <f t="shared" ref="P103:P104" si="33">+O103-M103</f>
        <v>0</v>
      </c>
    </row>
    <row r="104" spans="1:16" ht="12.5">
      <c r="B104" s="160" t="str">
        <f t="shared" si="28"/>
        <v/>
      </c>
      <c r="C104" s="469">
        <f>IF(D93="","-",+C103+1)</f>
        <v>2023</v>
      </c>
      <c r="D104" s="581">
        <v>1197771.6200000001</v>
      </c>
      <c r="E104" s="582">
        <v>35405</v>
      </c>
      <c r="F104" s="583">
        <v>1162366.6200000001</v>
      </c>
      <c r="G104" s="583">
        <v>1180069.1200000001</v>
      </c>
      <c r="H104" s="602">
        <v>170200.81797934725</v>
      </c>
      <c r="I104" s="603">
        <v>170200.81797934725</v>
      </c>
      <c r="J104" s="475">
        <f t="shared" si="25"/>
        <v>0</v>
      </c>
      <c r="K104" s="475"/>
      <c r="L104" s="473">
        <f t="shared" si="29"/>
        <v>170200.81797934725</v>
      </c>
      <c r="M104" s="346">
        <f t="shared" si="30"/>
        <v>0</v>
      </c>
      <c r="N104" s="473">
        <f t="shared" si="31"/>
        <v>170200.81797934725</v>
      </c>
      <c r="O104" s="475">
        <f t="shared" si="32"/>
        <v>0</v>
      </c>
      <c r="P104" s="475">
        <f t="shared" si="33"/>
        <v>0</v>
      </c>
    </row>
    <row r="105" spans="1:16" ht="12.5">
      <c r="B105" s="160" t="str">
        <f t="shared" si="28"/>
        <v/>
      </c>
      <c r="C105" s="469">
        <f>IF(D93="","-",+C104+1)</f>
        <v>2024</v>
      </c>
      <c r="D105" s="344">
        <f>IF(F104+SUM(E$99:E104)=D$92,F104,D$92-SUM(E$99:E104))</f>
        <v>1162366.6200000001</v>
      </c>
      <c r="E105" s="481">
        <f t="shared" ref="E105:E154" si="34">IF(+J$96&lt;F104,J$96,D105)</f>
        <v>35405</v>
      </c>
      <c r="F105" s="482">
        <f t="shared" ref="F105:F154" si="35">+D105-E105</f>
        <v>1126961.6200000001</v>
      </c>
      <c r="G105" s="482">
        <f t="shared" ref="G105:G154" si="36">+(F105+D105)/2</f>
        <v>1144664.1200000001</v>
      </c>
      <c r="H105" s="483">
        <f t="shared" ref="H105:H153" si="37">(D105+F105)/2*J$94+E105</f>
        <v>189154.80770395402</v>
      </c>
      <c r="I105" s="539">
        <f t="shared" ref="I105:I153" si="38">+J$95*G105+E105</f>
        <v>189154.80770395402</v>
      </c>
      <c r="J105" s="475">
        <f t="shared" si="25"/>
        <v>0</v>
      </c>
      <c r="K105" s="475"/>
      <c r="L105" s="484"/>
      <c r="M105" s="475">
        <f t="shared" ref="M105:M130" si="39">IF(L105&lt;&gt;0,+H105-L105,0)</f>
        <v>0</v>
      </c>
      <c r="N105" s="484"/>
      <c r="O105" s="475">
        <f t="shared" si="26"/>
        <v>0</v>
      </c>
      <c r="P105" s="475">
        <f t="shared" si="27"/>
        <v>0</v>
      </c>
    </row>
    <row r="106" spans="1:16" ht="12.5">
      <c r="B106" s="160" t="str">
        <f t="shared" si="28"/>
        <v/>
      </c>
      <c r="C106" s="469">
        <f>IF(D93="","-",+C105+1)</f>
        <v>2025</v>
      </c>
      <c r="D106" s="344">
        <f>IF(F105+SUM(E$99:E105)=D$92,F105,D$92-SUM(E$99:E105))</f>
        <v>1126961.6200000001</v>
      </c>
      <c r="E106" s="481">
        <f t="shared" si="34"/>
        <v>35405</v>
      </c>
      <c r="F106" s="482">
        <f t="shared" si="35"/>
        <v>1091556.6200000001</v>
      </c>
      <c r="G106" s="482">
        <f t="shared" si="36"/>
        <v>1109259.1200000001</v>
      </c>
      <c r="H106" s="483">
        <f t="shared" si="37"/>
        <v>184399.25378499439</v>
      </c>
      <c r="I106" s="539">
        <f t="shared" si="38"/>
        <v>184399.25378499439</v>
      </c>
      <c r="J106" s="475">
        <f t="shared" si="25"/>
        <v>0</v>
      </c>
      <c r="K106" s="475"/>
      <c r="L106" s="484"/>
      <c r="M106" s="475">
        <f t="shared" si="39"/>
        <v>0</v>
      </c>
      <c r="N106" s="484"/>
      <c r="O106" s="475">
        <f t="shared" si="26"/>
        <v>0</v>
      </c>
      <c r="P106" s="475">
        <f t="shared" si="27"/>
        <v>0</v>
      </c>
    </row>
    <row r="107" spans="1:16" ht="12.5">
      <c r="B107" s="160" t="str">
        <f t="shared" si="28"/>
        <v/>
      </c>
      <c r="C107" s="469">
        <f>IF(D93="","-",+C106+1)</f>
        <v>2026</v>
      </c>
      <c r="D107" s="344">
        <f>IF(F106+SUM(E$99:E106)=D$92,F106,D$92-SUM(E$99:E106))</f>
        <v>1091556.6200000001</v>
      </c>
      <c r="E107" s="481">
        <f t="shared" si="34"/>
        <v>35405</v>
      </c>
      <c r="F107" s="482">
        <f t="shared" si="35"/>
        <v>1056151.6200000001</v>
      </c>
      <c r="G107" s="482">
        <f t="shared" si="36"/>
        <v>1073854.1200000001</v>
      </c>
      <c r="H107" s="483">
        <f t="shared" si="37"/>
        <v>179643.69986603476</v>
      </c>
      <c r="I107" s="539">
        <f t="shared" si="38"/>
        <v>179643.69986603476</v>
      </c>
      <c r="J107" s="475">
        <f t="shared" si="25"/>
        <v>0</v>
      </c>
      <c r="K107" s="475"/>
      <c r="L107" s="484"/>
      <c r="M107" s="475">
        <f t="shared" si="39"/>
        <v>0</v>
      </c>
      <c r="N107" s="484"/>
      <c r="O107" s="475">
        <f t="shared" si="26"/>
        <v>0</v>
      </c>
      <c r="P107" s="475">
        <f t="shared" si="27"/>
        <v>0</v>
      </c>
    </row>
    <row r="108" spans="1:16" ht="12.5">
      <c r="B108" s="160" t="str">
        <f t="shared" si="28"/>
        <v/>
      </c>
      <c r="C108" s="469">
        <f>IF(D93="","-",+C107+1)</f>
        <v>2027</v>
      </c>
      <c r="D108" s="344">
        <f>IF(F107+SUM(E$99:E107)=D$92,F107,D$92-SUM(E$99:E107))</f>
        <v>1056151.6200000001</v>
      </c>
      <c r="E108" s="481">
        <f t="shared" si="34"/>
        <v>35405</v>
      </c>
      <c r="F108" s="482">
        <f t="shared" si="35"/>
        <v>1020746.6200000001</v>
      </c>
      <c r="G108" s="482">
        <f t="shared" si="36"/>
        <v>1038449.1200000001</v>
      </c>
      <c r="H108" s="483">
        <f t="shared" si="37"/>
        <v>174888.1459470751</v>
      </c>
      <c r="I108" s="539">
        <f t="shared" si="38"/>
        <v>174888.1459470751</v>
      </c>
      <c r="J108" s="475">
        <f t="shared" si="25"/>
        <v>0</v>
      </c>
      <c r="K108" s="475"/>
      <c r="L108" s="484"/>
      <c r="M108" s="475">
        <f t="shared" si="39"/>
        <v>0</v>
      </c>
      <c r="N108" s="484"/>
      <c r="O108" s="475">
        <f t="shared" si="26"/>
        <v>0</v>
      </c>
      <c r="P108" s="475">
        <f t="shared" si="27"/>
        <v>0</v>
      </c>
    </row>
    <row r="109" spans="1:16" ht="12.5">
      <c r="B109" s="160" t="str">
        <f t="shared" si="28"/>
        <v/>
      </c>
      <c r="C109" s="469">
        <f>IF(D93="","-",+C108+1)</f>
        <v>2028</v>
      </c>
      <c r="D109" s="344">
        <f>IF(F108+SUM(E$99:E108)=D$92,F108,D$92-SUM(E$99:E108))</f>
        <v>1020746.6200000001</v>
      </c>
      <c r="E109" s="481">
        <f t="shared" si="34"/>
        <v>35405</v>
      </c>
      <c r="F109" s="482">
        <f t="shared" si="35"/>
        <v>985341.62000000011</v>
      </c>
      <c r="G109" s="482">
        <f t="shared" si="36"/>
        <v>1003044.1200000001</v>
      </c>
      <c r="H109" s="483">
        <f t="shared" si="37"/>
        <v>170132.59202811547</v>
      </c>
      <c r="I109" s="539">
        <f t="shared" si="38"/>
        <v>170132.59202811547</v>
      </c>
      <c r="J109" s="475">
        <f t="shared" si="25"/>
        <v>0</v>
      </c>
      <c r="K109" s="475"/>
      <c r="L109" s="484"/>
      <c r="M109" s="475">
        <f t="shared" si="39"/>
        <v>0</v>
      </c>
      <c r="N109" s="484"/>
      <c r="O109" s="475">
        <f t="shared" si="26"/>
        <v>0</v>
      </c>
      <c r="P109" s="475">
        <f t="shared" si="27"/>
        <v>0</v>
      </c>
    </row>
    <row r="110" spans="1:16" ht="12.5">
      <c r="B110" s="160" t="str">
        <f t="shared" si="28"/>
        <v/>
      </c>
      <c r="C110" s="469">
        <f>IF(D93="","-",+C109+1)</f>
        <v>2029</v>
      </c>
      <c r="D110" s="344">
        <f>IF(F109+SUM(E$99:E109)=D$92,F109,D$92-SUM(E$99:E109))</f>
        <v>985341.62000000011</v>
      </c>
      <c r="E110" s="481">
        <f t="shared" si="34"/>
        <v>35405</v>
      </c>
      <c r="F110" s="482">
        <f t="shared" si="35"/>
        <v>949936.62000000011</v>
      </c>
      <c r="G110" s="482">
        <f t="shared" si="36"/>
        <v>967639.12000000011</v>
      </c>
      <c r="H110" s="483">
        <f t="shared" si="37"/>
        <v>165377.03810915581</v>
      </c>
      <c r="I110" s="539">
        <f t="shared" si="38"/>
        <v>165377.03810915581</v>
      </c>
      <c r="J110" s="475">
        <f t="shared" si="25"/>
        <v>0</v>
      </c>
      <c r="K110" s="475"/>
      <c r="L110" s="484"/>
      <c r="M110" s="475">
        <f t="shared" si="39"/>
        <v>0</v>
      </c>
      <c r="N110" s="484"/>
      <c r="O110" s="475">
        <f t="shared" si="26"/>
        <v>0</v>
      </c>
      <c r="P110" s="475">
        <f t="shared" si="27"/>
        <v>0</v>
      </c>
    </row>
    <row r="111" spans="1:16" ht="12.5">
      <c r="B111" s="160" t="str">
        <f t="shared" si="28"/>
        <v/>
      </c>
      <c r="C111" s="469">
        <f>IF(D93="","-",+C110+1)</f>
        <v>2030</v>
      </c>
      <c r="D111" s="344">
        <f>IF(F110+SUM(E$99:E110)=D$92,F110,D$92-SUM(E$99:E110))</f>
        <v>949936.62000000011</v>
      </c>
      <c r="E111" s="481">
        <f t="shared" si="34"/>
        <v>35405</v>
      </c>
      <c r="F111" s="482">
        <f t="shared" si="35"/>
        <v>914531.62000000011</v>
      </c>
      <c r="G111" s="482">
        <f t="shared" si="36"/>
        <v>932234.12000000011</v>
      </c>
      <c r="H111" s="483">
        <f t="shared" si="37"/>
        <v>160621.48419019618</v>
      </c>
      <c r="I111" s="539">
        <f t="shared" si="38"/>
        <v>160621.48419019618</v>
      </c>
      <c r="J111" s="475">
        <f t="shared" si="25"/>
        <v>0</v>
      </c>
      <c r="K111" s="475"/>
      <c r="L111" s="484"/>
      <c r="M111" s="475">
        <f t="shared" si="39"/>
        <v>0</v>
      </c>
      <c r="N111" s="484"/>
      <c r="O111" s="475">
        <f t="shared" si="26"/>
        <v>0</v>
      </c>
      <c r="P111" s="475">
        <f t="shared" si="27"/>
        <v>0</v>
      </c>
    </row>
    <row r="112" spans="1:16" ht="12.5">
      <c r="B112" s="160" t="str">
        <f t="shared" si="28"/>
        <v/>
      </c>
      <c r="C112" s="469">
        <f>IF(D93="","-",+C111+1)</f>
        <v>2031</v>
      </c>
      <c r="D112" s="344">
        <f>IF(F111+SUM(E$99:E111)=D$92,F111,D$92-SUM(E$99:E111))</f>
        <v>914531.62000000011</v>
      </c>
      <c r="E112" s="481">
        <f t="shared" si="34"/>
        <v>35405</v>
      </c>
      <c r="F112" s="482">
        <f t="shared" si="35"/>
        <v>879126.62000000011</v>
      </c>
      <c r="G112" s="482">
        <f t="shared" si="36"/>
        <v>896829.12000000011</v>
      </c>
      <c r="H112" s="483">
        <f t="shared" si="37"/>
        <v>155865.93027123652</v>
      </c>
      <c r="I112" s="539">
        <f t="shared" si="38"/>
        <v>155865.93027123652</v>
      </c>
      <c r="J112" s="475">
        <f t="shared" si="25"/>
        <v>0</v>
      </c>
      <c r="K112" s="475"/>
      <c r="L112" s="484"/>
      <c r="M112" s="475">
        <f t="shared" si="39"/>
        <v>0</v>
      </c>
      <c r="N112" s="484"/>
      <c r="O112" s="475">
        <f t="shared" si="26"/>
        <v>0</v>
      </c>
      <c r="P112" s="475">
        <f t="shared" si="27"/>
        <v>0</v>
      </c>
    </row>
    <row r="113" spans="2:16" ht="12.5">
      <c r="B113" s="160" t="str">
        <f t="shared" si="28"/>
        <v/>
      </c>
      <c r="C113" s="469">
        <f>IF(D93="","-",+C112+1)</f>
        <v>2032</v>
      </c>
      <c r="D113" s="344">
        <f>IF(F112+SUM(E$99:E112)=D$92,F112,D$92-SUM(E$99:E112))</f>
        <v>879126.62000000011</v>
      </c>
      <c r="E113" s="481">
        <f t="shared" si="34"/>
        <v>35405</v>
      </c>
      <c r="F113" s="482">
        <f t="shared" si="35"/>
        <v>843721.62000000011</v>
      </c>
      <c r="G113" s="482">
        <f t="shared" si="36"/>
        <v>861424.12000000011</v>
      </c>
      <c r="H113" s="483">
        <f t="shared" si="37"/>
        <v>151110.37635227689</v>
      </c>
      <c r="I113" s="539">
        <f t="shared" si="38"/>
        <v>151110.37635227689</v>
      </c>
      <c r="J113" s="475">
        <f t="shared" si="25"/>
        <v>0</v>
      </c>
      <c r="K113" s="475"/>
      <c r="L113" s="484"/>
      <c r="M113" s="475">
        <f t="shared" si="39"/>
        <v>0</v>
      </c>
      <c r="N113" s="484"/>
      <c r="O113" s="475">
        <f t="shared" si="26"/>
        <v>0</v>
      </c>
      <c r="P113" s="475">
        <f t="shared" si="27"/>
        <v>0</v>
      </c>
    </row>
    <row r="114" spans="2:16" ht="12.5">
      <c r="B114" s="160" t="str">
        <f t="shared" si="28"/>
        <v/>
      </c>
      <c r="C114" s="469">
        <f>IF(D93="","-",+C113+1)</f>
        <v>2033</v>
      </c>
      <c r="D114" s="344">
        <f>IF(F113+SUM(E$99:E113)=D$92,F113,D$92-SUM(E$99:E113))</f>
        <v>843721.62000000011</v>
      </c>
      <c r="E114" s="481">
        <f t="shared" si="34"/>
        <v>35405</v>
      </c>
      <c r="F114" s="482">
        <f t="shared" si="35"/>
        <v>808316.62000000011</v>
      </c>
      <c r="G114" s="482">
        <f t="shared" si="36"/>
        <v>826019.12000000011</v>
      </c>
      <c r="H114" s="483">
        <f t="shared" si="37"/>
        <v>146354.82243331725</v>
      </c>
      <c r="I114" s="539">
        <f t="shared" si="38"/>
        <v>146354.82243331725</v>
      </c>
      <c r="J114" s="475">
        <f t="shared" si="25"/>
        <v>0</v>
      </c>
      <c r="K114" s="475"/>
      <c r="L114" s="484"/>
      <c r="M114" s="475">
        <f t="shared" si="39"/>
        <v>0</v>
      </c>
      <c r="N114" s="484"/>
      <c r="O114" s="475">
        <f t="shared" si="26"/>
        <v>0</v>
      </c>
      <c r="P114" s="475">
        <f t="shared" si="27"/>
        <v>0</v>
      </c>
    </row>
    <row r="115" spans="2:16" ht="12.5">
      <c r="B115" s="160" t="str">
        <f t="shared" si="28"/>
        <v/>
      </c>
      <c r="C115" s="469">
        <f>IF(D93="","-",+C114+1)</f>
        <v>2034</v>
      </c>
      <c r="D115" s="344">
        <f>IF(F114+SUM(E$99:E114)=D$92,F114,D$92-SUM(E$99:E114))</f>
        <v>808316.62000000011</v>
      </c>
      <c r="E115" s="481">
        <f t="shared" si="34"/>
        <v>35405</v>
      </c>
      <c r="F115" s="482">
        <f t="shared" si="35"/>
        <v>772911.62000000011</v>
      </c>
      <c r="G115" s="482">
        <f t="shared" si="36"/>
        <v>790614.12000000011</v>
      </c>
      <c r="H115" s="483">
        <f t="shared" si="37"/>
        <v>141599.26851435759</v>
      </c>
      <c r="I115" s="539">
        <f t="shared" si="38"/>
        <v>141599.26851435759</v>
      </c>
      <c r="J115" s="475">
        <f t="shared" si="25"/>
        <v>0</v>
      </c>
      <c r="K115" s="475"/>
      <c r="L115" s="484"/>
      <c r="M115" s="475">
        <f t="shared" si="39"/>
        <v>0</v>
      </c>
      <c r="N115" s="484"/>
      <c r="O115" s="475">
        <f t="shared" si="26"/>
        <v>0</v>
      </c>
      <c r="P115" s="475">
        <f t="shared" si="27"/>
        <v>0</v>
      </c>
    </row>
    <row r="116" spans="2:16" ht="12.5">
      <c r="B116" s="160" t="str">
        <f t="shared" si="28"/>
        <v/>
      </c>
      <c r="C116" s="469">
        <f>IF(D93="","-",+C115+1)</f>
        <v>2035</v>
      </c>
      <c r="D116" s="344">
        <f>IF(F115+SUM(E$99:E115)=D$92,F115,D$92-SUM(E$99:E115))</f>
        <v>772911.62000000011</v>
      </c>
      <c r="E116" s="481">
        <f t="shared" si="34"/>
        <v>35405</v>
      </c>
      <c r="F116" s="482">
        <f t="shared" si="35"/>
        <v>737506.62000000011</v>
      </c>
      <c r="G116" s="482">
        <f t="shared" si="36"/>
        <v>755209.12000000011</v>
      </c>
      <c r="H116" s="483">
        <f t="shared" si="37"/>
        <v>136843.71459539793</v>
      </c>
      <c r="I116" s="539">
        <f t="shared" si="38"/>
        <v>136843.71459539793</v>
      </c>
      <c r="J116" s="475">
        <f t="shared" si="25"/>
        <v>0</v>
      </c>
      <c r="K116" s="475"/>
      <c r="L116" s="484"/>
      <c r="M116" s="475">
        <f t="shared" si="39"/>
        <v>0</v>
      </c>
      <c r="N116" s="484"/>
      <c r="O116" s="475">
        <f t="shared" si="26"/>
        <v>0</v>
      </c>
      <c r="P116" s="475">
        <f t="shared" si="27"/>
        <v>0</v>
      </c>
    </row>
    <row r="117" spans="2:16" ht="12.5">
      <c r="B117" s="160" t="str">
        <f t="shared" si="28"/>
        <v/>
      </c>
      <c r="C117" s="469">
        <f>IF(D93="","-",+C116+1)</f>
        <v>2036</v>
      </c>
      <c r="D117" s="344">
        <f>IF(F116+SUM(E$99:E116)=D$92,F116,D$92-SUM(E$99:E116))</f>
        <v>737506.62000000011</v>
      </c>
      <c r="E117" s="481">
        <f t="shared" si="34"/>
        <v>35405</v>
      </c>
      <c r="F117" s="482">
        <f t="shared" si="35"/>
        <v>702101.62000000011</v>
      </c>
      <c r="G117" s="482">
        <f t="shared" si="36"/>
        <v>719804.12000000011</v>
      </c>
      <c r="H117" s="483">
        <f t="shared" si="37"/>
        <v>132088.1606764383</v>
      </c>
      <c r="I117" s="539">
        <f t="shared" si="38"/>
        <v>132088.1606764383</v>
      </c>
      <c r="J117" s="475">
        <f t="shared" si="25"/>
        <v>0</v>
      </c>
      <c r="K117" s="475"/>
      <c r="L117" s="484"/>
      <c r="M117" s="475">
        <f t="shared" si="39"/>
        <v>0</v>
      </c>
      <c r="N117" s="484"/>
      <c r="O117" s="475">
        <f t="shared" si="26"/>
        <v>0</v>
      </c>
      <c r="P117" s="475">
        <f t="shared" si="27"/>
        <v>0</v>
      </c>
    </row>
    <row r="118" spans="2:16" ht="12.5">
      <c r="B118" s="160" t="str">
        <f t="shared" si="28"/>
        <v/>
      </c>
      <c r="C118" s="469">
        <f>IF(D93="","-",+C117+1)</f>
        <v>2037</v>
      </c>
      <c r="D118" s="344">
        <f>IF(F117+SUM(E$99:E117)=D$92,F117,D$92-SUM(E$99:E117))</f>
        <v>702101.62000000011</v>
      </c>
      <c r="E118" s="481">
        <f t="shared" si="34"/>
        <v>35405</v>
      </c>
      <c r="F118" s="482">
        <f t="shared" si="35"/>
        <v>666696.62000000011</v>
      </c>
      <c r="G118" s="482">
        <f t="shared" si="36"/>
        <v>684399.12000000011</v>
      </c>
      <c r="H118" s="483">
        <f t="shared" si="37"/>
        <v>127332.60675747866</v>
      </c>
      <c r="I118" s="539">
        <f t="shared" si="38"/>
        <v>127332.60675747866</v>
      </c>
      <c r="J118" s="475">
        <f t="shared" si="25"/>
        <v>0</v>
      </c>
      <c r="K118" s="475"/>
      <c r="L118" s="484"/>
      <c r="M118" s="475">
        <f t="shared" si="39"/>
        <v>0</v>
      </c>
      <c r="N118" s="484"/>
      <c r="O118" s="475">
        <f t="shared" si="26"/>
        <v>0</v>
      </c>
      <c r="P118" s="475">
        <f t="shared" si="27"/>
        <v>0</v>
      </c>
    </row>
    <row r="119" spans="2:16" ht="12.5">
      <c r="B119" s="160" t="str">
        <f t="shared" si="28"/>
        <v/>
      </c>
      <c r="C119" s="469">
        <f>IF(D93="","-",+C118+1)</f>
        <v>2038</v>
      </c>
      <c r="D119" s="344">
        <f>IF(F118+SUM(E$99:E118)=D$92,F118,D$92-SUM(E$99:E118))</f>
        <v>666696.62000000011</v>
      </c>
      <c r="E119" s="481">
        <f t="shared" si="34"/>
        <v>35405</v>
      </c>
      <c r="F119" s="482">
        <f t="shared" si="35"/>
        <v>631291.62000000011</v>
      </c>
      <c r="G119" s="482">
        <f t="shared" si="36"/>
        <v>648994.12000000011</v>
      </c>
      <c r="H119" s="483">
        <f t="shared" si="37"/>
        <v>122577.05283851903</v>
      </c>
      <c r="I119" s="539">
        <f t="shared" si="38"/>
        <v>122577.05283851903</v>
      </c>
      <c r="J119" s="475">
        <f t="shared" si="25"/>
        <v>0</v>
      </c>
      <c r="K119" s="475"/>
      <c r="L119" s="484"/>
      <c r="M119" s="475">
        <f t="shared" si="39"/>
        <v>0</v>
      </c>
      <c r="N119" s="484"/>
      <c r="O119" s="475">
        <f t="shared" si="26"/>
        <v>0</v>
      </c>
      <c r="P119" s="475">
        <f t="shared" si="27"/>
        <v>0</v>
      </c>
    </row>
    <row r="120" spans="2:16" ht="12.5">
      <c r="B120" s="160" t="str">
        <f t="shared" si="28"/>
        <v/>
      </c>
      <c r="C120" s="469">
        <f>IF(D93="","-",+C119+1)</f>
        <v>2039</v>
      </c>
      <c r="D120" s="344">
        <f>IF(F119+SUM(E$99:E119)=D$92,F119,D$92-SUM(E$99:E119))</f>
        <v>631291.62000000011</v>
      </c>
      <c r="E120" s="481">
        <f t="shared" si="34"/>
        <v>35405</v>
      </c>
      <c r="F120" s="482">
        <f t="shared" si="35"/>
        <v>595886.62000000011</v>
      </c>
      <c r="G120" s="482">
        <f t="shared" si="36"/>
        <v>613589.12000000011</v>
      </c>
      <c r="H120" s="483">
        <f t="shared" si="37"/>
        <v>117821.49891955938</v>
      </c>
      <c r="I120" s="539">
        <f t="shared" si="38"/>
        <v>117821.49891955938</v>
      </c>
      <c r="J120" s="475">
        <f t="shared" si="25"/>
        <v>0</v>
      </c>
      <c r="K120" s="475"/>
      <c r="L120" s="484"/>
      <c r="M120" s="475">
        <f t="shared" si="39"/>
        <v>0</v>
      </c>
      <c r="N120" s="484"/>
      <c r="O120" s="475">
        <f t="shared" si="26"/>
        <v>0</v>
      </c>
      <c r="P120" s="475">
        <f t="shared" si="27"/>
        <v>0</v>
      </c>
    </row>
    <row r="121" spans="2:16" ht="12.5">
      <c r="B121" s="160" t="str">
        <f t="shared" si="28"/>
        <v/>
      </c>
      <c r="C121" s="469">
        <f>IF(D93="","-",+C120+1)</f>
        <v>2040</v>
      </c>
      <c r="D121" s="344">
        <f>IF(F120+SUM(E$99:E120)=D$92,F120,D$92-SUM(E$99:E120))</f>
        <v>595886.62000000011</v>
      </c>
      <c r="E121" s="481">
        <f t="shared" si="34"/>
        <v>35405</v>
      </c>
      <c r="F121" s="482">
        <f t="shared" si="35"/>
        <v>560481.62000000011</v>
      </c>
      <c r="G121" s="482">
        <f t="shared" si="36"/>
        <v>578184.12000000011</v>
      </c>
      <c r="H121" s="483">
        <f t="shared" si="37"/>
        <v>113065.94500059974</v>
      </c>
      <c r="I121" s="539">
        <f t="shared" si="38"/>
        <v>113065.94500059974</v>
      </c>
      <c r="J121" s="475">
        <f t="shared" si="25"/>
        <v>0</v>
      </c>
      <c r="K121" s="475"/>
      <c r="L121" s="484"/>
      <c r="M121" s="475">
        <f t="shared" si="39"/>
        <v>0</v>
      </c>
      <c r="N121" s="484"/>
      <c r="O121" s="475">
        <f t="shared" si="26"/>
        <v>0</v>
      </c>
      <c r="P121" s="475">
        <f t="shared" si="27"/>
        <v>0</v>
      </c>
    </row>
    <row r="122" spans="2:16" ht="12.5">
      <c r="B122" s="160" t="str">
        <f t="shared" si="28"/>
        <v/>
      </c>
      <c r="C122" s="469">
        <f>IF(D93="","-",+C121+1)</f>
        <v>2041</v>
      </c>
      <c r="D122" s="344">
        <f>IF(F121+SUM(E$99:E121)=D$92,F121,D$92-SUM(E$99:E121))</f>
        <v>560481.62000000011</v>
      </c>
      <c r="E122" s="481">
        <f t="shared" si="34"/>
        <v>35405</v>
      </c>
      <c r="F122" s="482">
        <f t="shared" si="35"/>
        <v>525076.62000000011</v>
      </c>
      <c r="G122" s="482">
        <f t="shared" si="36"/>
        <v>542779.12000000011</v>
      </c>
      <c r="H122" s="483">
        <f t="shared" si="37"/>
        <v>108310.39108164009</v>
      </c>
      <c r="I122" s="539">
        <f t="shared" si="38"/>
        <v>108310.39108164009</v>
      </c>
      <c r="J122" s="475">
        <f t="shared" si="25"/>
        <v>0</v>
      </c>
      <c r="K122" s="475"/>
      <c r="L122" s="484"/>
      <c r="M122" s="475">
        <f t="shared" si="39"/>
        <v>0</v>
      </c>
      <c r="N122" s="484"/>
      <c r="O122" s="475">
        <f t="shared" si="26"/>
        <v>0</v>
      </c>
      <c r="P122" s="475">
        <f t="shared" si="27"/>
        <v>0</v>
      </c>
    </row>
    <row r="123" spans="2:16" ht="12.5">
      <c r="B123" s="160" t="str">
        <f t="shared" si="28"/>
        <v/>
      </c>
      <c r="C123" s="469">
        <f>IF(D93="","-",+C122+1)</f>
        <v>2042</v>
      </c>
      <c r="D123" s="344">
        <f>IF(F122+SUM(E$99:E122)=D$92,F122,D$92-SUM(E$99:E122))</f>
        <v>525076.62000000011</v>
      </c>
      <c r="E123" s="481">
        <f t="shared" si="34"/>
        <v>35405</v>
      </c>
      <c r="F123" s="482">
        <f t="shared" si="35"/>
        <v>489671.62000000011</v>
      </c>
      <c r="G123" s="482">
        <f t="shared" si="36"/>
        <v>507374.12000000011</v>
      </c>
      <c r="H123" s="483">
        <f t="shared" si="37"/>
        <v>103554.83716268044</v>
      </c>
      <c r="I123" s="539">
        <f t="shared" si="38"/>
        <v>103554.83716268044</v>
      </c>
      <c r="J123" s="475">
        <f t="shared" si="25"/>
        <v>0</v>
      </c>
      <c r="K123" s="475"/>
      <c r="L123" s="484"/>
      <c r="M123" s="475">
        <f t="shared" si="39"/>
        <v>0</v>
      </c>
      <c r="N123" s="484"/>
      <c r="O123" s="475">
        <f t="shared" si="26"/>
        <v>0</v>
      </c>
      <c r="P123" s="475">
        <f t="shared" si="27"/>
        <v>0</v>
      </c>
    </row>
    <row r="124" spans="2:16" ht="12.5">
      <c r="B124" s="160" t="str">
        <f t="shared" si="28"/>
        <v/>
      </c>
      <c r="C124" s="469">
        <f>IF(D93="","-",+C123+1)</f>
        <v>2043</v>
      </c>
      <c r="D124" s="344">
        <f>IF(F123+SUM(E$99:E123)=D$92,F123,D$92-SUM(E$99:E123))</f>
        <v>489671.62000000011</v>
      </c>
      <c r="E124" s="481">
        <f t="shared" si="34"/>
        <v>35405</v>
      </c>
      <c r="F124" s="482">
        <f t="shared" si="35"/>
        <v>454266.62000000011</v>
      </c>
      <c r="G124" s="482">
        <f t="shared" si="36"/>
        <v>471969.12000000011</v>
      </c>
      <c r="H124" s="483">
        <f t="shared" si="37"/>
        <v>98799.283243720798</v>
      </c>
      <c r="I124" s="539">
        <f t="shared" si="38"/>
        <v>98799.283243720798</v>
      </c>
      <c r="J124" s="475">
        <f t="shared" si="25"/>
        <v>0</v>
      </c>
      <c r="K124" s="475"/>
      <c r="L124" s="484"/>
      <c r="M124" s="475">
        <f t="shared" si="39"/>
        <v>0</v>
      </c>
      <c r="N124" s="484"/>
      <c r="O124" s="475">
        <f t="shared" si="26"/>
        <v>0</v>
      </c>
      <c r="P124" s="475">
        <f t="shared" si="27"/>
        <v>0</v>
      </c>
    </row>
    <row r="125" spans="2:16" ht="12.5">
      <c r="B125" s="160" t="str">
        <f t="shared" si="28"/>
        <v/>
      </c>
      <c r="C125" s="469">
        <f>IF(D93="","-",+C124+1)</f>
        <v>2044</v>
      </c>
      <c r="D125" s="344">
        <f>IF(F124+SUM(E$99:E124)=D$92,F124,D$92-SUM(E$99:E124))</f>
        <v>454266.62000000011</v>
      </c>
      <c r="E125" s="481">
        <f t="shared" si="34"/>
        <v>35405</v>
      </c>
      <c r="F125" s="482">
        <f t="shared" si="35"/>
        <v>418861.62000000011</v>
      </c>
      <c r="G125" s="482">
        <f t="shared" si="36"/>
        <v>436564.12000000011</v>
      </c>
      <c r="H125" s="483">
        <f t="shared" si="37"/>
        <v>94043.729324761167</v>
      </c>
      <c r="I125" s="539">
        <f t="shared" si="38"/>
        <v>94043.729324761167</v>
      </c>
      <c r="J125" s="475">
        <f t="shared" si="25"/>
        <v>0</v>
      </c>
      <c r="K125" s="475"/>
      <c r="L125" s="484"/>
      <c r="M125" s="475">
        <f t="shared" si="39"/>
        <v>0</v>
      </c>
      <c r="N125" s="484"/>
      <c r="O125" s="475">
        <f t="shared" si="26"/>
        <v>0</v>
      </c>
      <c r="P125" s="475">
        <f t="shared" si="27"/>
        <v>0</v>
      </c>
    </row>
    <row r="126" spans="2:16" ht="12.5">
      <c r="B126" s="160" t="str">
        <f t="shared" si="28"/>
        <v/>
      </c>
      <c r="C126" s="469">
        <f>IF(D93="","-",+C125+1)</f>
        <v>2045</v>
      </c>
      <c r="D126" s="344">
        <f>IF(F125+SUM(E$99:E125)=D$92,F125,D$92-SUM(E$99:E125))</f>
        <v>418861.62000000011</v>
      </c>
      <c r="E126" s="481">
        <f t="shared" si="34"/>
        <v>35405</v>
      </c>
      <c r="F126" s="482">
        <f t="shared" si="35"/>
        <v>383456.62000000011</v>
      </c>
      <c r="G126" s="482">
        <f t="shared" si="36"/>
        <v>401159.12000000011</v>
      </c>
      <c r="H126" s="483">
        <f t="shared" si="37"/>
        <v>89288.175405801507</v>
      </c>
      <c r="I126" s="539">
        <f t="shared" si="38"/>
        <v>89288.175405801507</v>
      </c>
      <c r="J126" s="475">
        <f t="shared" si="25"/>
        <v>0</v>
      </c>
      <c r="K126" s="475"/>
      <c r="L126" s="484"/>
      <c r="M126" s="475">
        <f t="shared" si="39"/>
        <v>0</v>
      </c>
      <c r="N126" s="484"/>
      <c r="O126" s="475">
        <f t="shared" si="26"/>
        <v>0</v>
      </c>
      <c r="P126" s="475">
        <f t="shared" si="27"/>
        <v>0</v>
      </c>
    </row>
    <row r="127" spans="2:16" ht="12.5">
      <c r="B127" s="160" t="str">
        <f t="shared" si="28"/>
        <v/>
      </c>
      <c r="C127" s="469">
        <f>IF(D93="","-",+C126+1)</f>
        <v>2046</v>
      </c>
      <c r="D127" s="344">
        <f>IF(F126+SUM(E$99:E126)=D$92,F126,D$92-SUM(E$99:E126))</f>
        <v>383456.62000000011</v>
      </c>
      <c r="E127" s="481">
        <f t="shared" si="34"/>
        <v>35405</v>
      </c>
      <c r="F127" s="482">
        <f t="shared" si="35"/>
        <v>348051.62000000011</v>
      </c>
      <c r="G127" s="482">
        <f t="shared" si="36"/>
        <v>365754.12000000011</v>
      </c>
      <c r="H127" s="483">
        <f t="shared" si="37"/>
        <v>84532.621486841876</v>
      </c>
      <c r="I127" s="539">
        <f t="shared" si="38"/>
        <v>84532.621486841876</v>
      </c>
      <c r="J127" s="475">
        <f t="shared" si="25"/>
        <v>0</v>
      </c>
      <c r="K127" s="475"/>
      <c r="L127" s="484"/>
      <c r="M127" s="475">
        <f t="shared" si="39"/>
        <v>0</v>
      </c>
      <c r="N127" s="484"/>
      <c r="O127" s="475">
        <f t="shared" si="26"/>
        <v>0</v>
      </c>
      <c r="P127" s="475">
        <f t="shared" si="27"/>
        <v>0</v>
      </c>
    </row>
    <row r="128" spans="2:16" ht="12.5">
      <c r="B128" s="160" t="str">
        <f t="shared" si="28"/>
        <v/>
      </c>
      <c r="C128" s="469">
        <f>IF(D93="","-",+C127+1)</f>
        <v>2047</v>
      </c>
      <c r="D128" s="344">
        <f>IF(F127+SUM(E$99:E127)=D$92,F127,D$92-SUM(E$99:E127))</f>
        <v>348051.62000000011</v>
      </c>
      <c r="E128" s="481">
        <f t="shared" si="34"/>
        <v>35405</v>
      </c>
      <c r="F128" s="482">
        <f t="shared" si="35"/>
        <v>312646.62000000011</v>
      </c>
      <c r="G128" s="482">
        <f t="shared" si="36"/>
        <v>330349.12000000011</v>
      </c>
      <c r="H128" s="483">
        <f t="shared" si="37"/>
        <v>79777.067567882215</v>
      </c>
      <c r="I128" s="539">
        <f t="shared" si="38"/>
        <v>79777.067567882215</v>
      </c>
      <c r="J128" s="475">
        <f t="shared" si="25"/>
        <v>0</v>
      </c>
      <c r="K128" s="475"/>
      <c r="L128" s="484"/>
      <c r="M128" s="475">
        <f t="shared" si="39"/>
        <v>0</v>
      </c>
      <c r="N128" s="484"/>
      <c r="O128" s="475">
        <f t="shared" si="26"/>
        <v>0</v>
      </c>
      <c r="P128" s="475">
        <f t="shared" si="27"/>
        <v>0</v>
      </c>
    </row>
    <row r="129" spans="2:16" ht="12.5">
      <c r="B129" s="160" t="str">
        <f t="shared" si="28"/>
        <v/>
      </c>
      <c r="C129" s="469">
        <f>IF(D93="","-",+C128+1)</f>
        <v>2048</v>
      </c>
      <c r="D129" s="344">
        <f>IF(F128+SUM(E$99:E128)=D$92,F128,D$92-SUM(E$99:E128))</f>
        <v>312646.62000000011</v>
      </c>
      <c r="E129" s="481">
        <f t="shared" si="34"/>
        <v>35405</v>
      </c>
      <c r="F129" s="482">
        <f t="shared" si="35"/>
        <v>277241.62000000011</v>
      </c>
      <c r="G129" s="482">
        <f t="shared" si="36"/>
        <v>294944.12000000011</v>
      </c>
      <c r="H129" s="483">
        <f t="shared" si="37"/>
        <v>75021.513648922584</v>
      </c>
      <c r="I129" s="539">
        <f t="shared" si="38"/>
        <v>75021.513648922584</v>
      </c>
      <c r="J129" s="475">
        <f t="shared" si="25"/>
        <v>0</v>
      </c>
      <c r="K129" s="475"/>
      <c r="L129" s="484"/>
      <c r="M129" s="475">
        <f t="shared" si="39"/>
        <v>0</v>
      </c>
      <c r="N129" s="484"/>
      <c r="O129" s="475">
        <f t="shared" si="26"/>
        <v>0</v>
      </c>
      <c r="P129" s="475">
        <f t="shared" si="27"/>
        <v>0</v>
      </c>
    </row>
    <row r="130" spans="2:16" ht="12.5">
      <c r="B130" s="160" t="str">
        <f t="shared" si="28"/>
        <v/>
      </c>
      <c r="C130" s="469">
        <f>IF(D93="","-",+C129+1)</f>
        <v>2049</v>
      </c>
      <c r="D130" s="344">
        <f>IF(F129+SUM(E$99:E129)=D$92,F129,D$92-SUM(E$99:E129))</f>
        <v>277241.62000000011</v>
      </c>
      <c r="E130" s="481">
        <f t="shared" si="34"/>
        <v>35405</v>
      </c>
      <c r="F130" s="482">
        <f t="shared" si="35"/>
        <v>241836.62000000011</v>
      </c>
      <c r="G130" s="482">
        <f t="shared" si="36"/>
        <v>259539.12000000011</v>
      </c>
      <c r="H130" s="483">
        <f t="shared" si="37"/>
        <v>70265.959729962939</v>
      </c>
      <c r="I130" s="539">
        <f t="shared" si="38"/>
        <v>70265.959729962939</v>
      </c>
      <c r="J130" s="475">
        <f t="shared" si="25"/>
        <v>0</v>
      </c>
      <c r="K130" s="475"/>
      <c r="L130" s="484"/>
      <c r="M130" s="475">
        <f t="shared" si="39"/>
        <v>0</v>
      </c>
      <c r="N130" s="484"/>
      <c r="O130" s="475">
        <f t="shared" si="26"/>
        <v>0</v>
      </c>
      <c r="P130" s="475">
        <f t="shared" si="27"/>
        <v>0</v>
      </c>
    </row>
    <row r="131" spans="2:16" ht="12.5">
      <c r="B131" s="160" t="str">
        <f t="shared" si="28"/>
        <v/>
      </c>
      <c r="C131" s="469">
        <f>IF(D93="","-",+C130+1)</f>
        <v>2050</v>
      </c>
      <c r="D131" s="344">
        <f>IF(F130+SUM(E$99:E130)=D$92,F130,D$92-SUM(E$99:E130))</f>
        <v>241836.62000000011</v>
      </c>
      <c r="E131" s="481">
        <f t="shared" si="34"/>
        <v>35405</v>
      </c>
      <c r="F131" s="482">
        <f t="shared" si="35"/>
        <v>206431.62000000011</v>
      </c>
      <c r="G131" s="482">
        <f t="shared" si="36"/>
        <v>224134.12000000011</v>
      </c>
      <c r="H131" s="483">
        <f t="shared" si="37"/>
        <v>65510.405811003293</v>
      </c>
      <c r="I131" s="539">
        <f t="shared" si="38"/>
        <v>65510.405811003293</v>
      </c>
      <c r="J131" s="475">
        <f t="shared" ref="J131:J154" si="40">+I541-H541</f>
        <v>0</v>
      </c>
      <c r="K131" s="475"/>
      <c r="L131" s="484"/>
      <c r="M131" s="475">
        <f t="shared" ref="M131:M154" si="41">IF(L541&lt;&gt;0,+H541-L541,0)</f>
        <v>0</v>
      </c>
      <c r="N131" s="484"/>
      <c r="O131" s="475">
        <f t="shared" ref="O131:O154" si="42">IF(N541&lt;&gt;0,+I541-N541,0)</f>
        <v>0</v>
      </c>
      <c r="P131" s="475">
        <f t="shared" ref="P131:P154" si="43">+O541-M541</f>
        <v>0</v>
      </c>
    </row>
    <row r="132" spans="2:16" ht="12.5">
      <c r="B132" s="160" t="str">
        <f t="shared" si="28"/>
        <v/>
      </c>
      <c r="C132" s="469">
        <f>IF(D93="","-",+C131+1)</f>
        <v>2051</v>
      </c>
      <c r="D132" s="344">
        <f>IF(F131+SUM(E$99:E131)=D$92,F131,D$92-SUM(E$99:E131))</f>
        <v>206431.62000000011</v>
      </c>
      <c r="E132" s="481">
        <f t="shared" si="34"/>
        <v>35405</v>
      </c>
      <c r="F132" s="482">
        <f t="shared" si="35"/>
        <v>171026.62000000011</v>
      </c>
      <c r="G132" s="482">
        <f t="shared" si="36"/>
        <v>188729.12000000011</v>
      </c>
      <c r="H132" s="483">
        <f t="shared" si="37"/>
        <v>60754.851892043647</v>
      </c>
      <c r="I132" s="539">
        <f t="shared" si="38"/>
        <v>60754.851892043647</v>
      </c>
      <c r="J132" s="475">
        <f t="shared" si="40"/>
        <v>0</v>
      </c>
      <c r="K132" s="475"/>
      <c r="L132" s="484"/>
      <c r="M132" s="475">
        <f t="shared" si="41"/>
        <v>0</v>
      </c>
      <c r="N132" s="484"/>
      <c r="O132" s="475">
        <f t="shared" si="42"/>
        <v>0</v>
      </c>
      <c r="P132" s="475">
        <f t="shared" si="43"/>
        <v>0</v>
      </c>
    </row>
    <row r="133" spans="2:16" ht="12.5">
      <c r="B133" s="160" t="str">
        <f t="shared" si="28"/>
        <v/>
      </c>
      <c r="C133" s="469">
        <f>IF(D93="","-",+C132+1)</f>
        <v>2052</v>
      </c>
      <c r="D133" s="344">
        <f>IF(F132+SUM(E$99:E132)=D$92,F132,D$92-SUM(E$99:E132))</f>
        <v>171026.62000000011</v>
      </c>
      <c r="E133" s="481">
        <f t="shared" si="34"/>
        <v>35405</v>
      </c>
      <c r="F133" s="482">
        <f t="shared" si="35"/>
        <v>135621.62000000011</v>
      </c>
      <c r="G133" s="482">
        <f t="shared" si="36"/>
        <v>153324.12000000011</v>
      </c>
      <c r="H133" s="483">
        <f t="shared" si="37"/>
        <v>55999.297973084002</v>
      </c>
      <c r="I133" s="539">
        <f t="shared" si="38"/>
        <v>55999.297973084002</v>
      </c>
      <c r="J133" s="475">
        <f t="shared" si="40"/>
        <v>0</v>
      </c>
      <c r="K133" s="475"/>
      <c r="L133" s="484"/>
      <c r="M133" s="475">
        <f t="shared" si="41"/>
        <v>0</v>
      </c>
      <c r="N133" s="484"/>
      <c r="O133" s="475">
        <f t="shared" si="42"/>
        <v>0</v>
      </c>
      <c r="P133" s="475">
        <f t="shared" si="43"/>
        <v>0</v>
      </c>
    </row>
    <row r="134" spans="2:16" ht="12.5">
      <c r="B134" s="160" t="str">
        <f t="shared" si="28"/>
        <v/>
      </c>
      <c r="C134" s="469">
        <f>IF(D93="","-",+C133+1)</f>
        <v>2053</v>
      </c>
      <c r="D134" s="344">
        <f>IF(F133+SUM(E$99:E133)=D$92,F133,D$92-SUM(E$99:E133))</f>
        <v>135621.62000000011</v>
      </c>
      <c r="E134" s="481">
        <f t="shared" si="34"/>
        <v>35405</v>
      </c>
      <c r="F134" s="482">
        <f t="shared" si="35"/>
        <v>100216.62000000011</v>
      </c>
      <c r="G134" s="482">
        <f t="shared" si="36"/>
        <v>117919.12000000011</v>
      </c>
      <c r="H134" s="483">
        <f t="shared" si="37"/>
        <v>51243.744054124363</v>
      </c>
      <c r="I134" s="539">
        <f t="shared" si="38"/>
        <v>51243.744054124363</v>
      </c>
      <c r="J134" s="475">
        <f t="shared" si="40"/>
        <v>0</v>
      </c>
      <c r="K134" s="475"/>
      <c r="L134" s="484"/>
      <c r="M134" s="475">
        <f t="shared" si="41"/>
        <v>0</v>
      </c>
      <c r="N134" s="484"/>
      <c r="O134" s="475">
        <f t="shared" si="42"/>
        <v>0</v>
      </c>
      <c r="P134" s="475">
        <f t="shared" si="43"/>
        <v>0</v>
      </c>
    </row>
    <row r="135" spans="2:16" ht="12.5">
      <c r="B135" s="160" t="str">
        <f t="shared" si="28"/>
        <v/>
      </c>
      <c r="C135" s="469">
        <f>IF(D93="","-",+C134+1)</f>
        <v>2054</v>
      </c>
      <c r="D135" s="344">
        <f>IF(F134+SUM(E$99:E134)=D$92,F134,D$92-SUM(E$99:E134))</f>
        <v>100216.62000000011</v>
      </c>
      <c r="E135" s="481">
        <f t="shared" si="34"/>
        <v>35405</v>
      </c>
      <c r="F135" s="482">
        <f t="shared" si="35"/>
        <v>64811.620000000112</v>
      </c>
      <c r="G135" s="482">
        <f t="shared" si="36"/>
        <v>82514.120000000112</v>
      </c>
      <c r="H135" s="483">
        <f t="shared" si="37"/>
        <v>46488.190135164718</v>
      </c>
      <c r="I135" s="539">
        <f t="shared" si="38"/>
        <v>46488.190135164718</v>
      </c>
      <c r="J135" s="475">
        <f t="shared" si="40"/>
        <v>0</v>
      </c>
      <c r="K135" s="475"/>
      <c r="L135" s="484"/>
      <c r="M135" s="475">
        <f t="shared" si="41"/>
        <v>0</v>
      </c>
      <c r="N135" s="484"/>
      <c r="O135" s="475">
        <f t="shared" si="42"/>
        <v>0</v>
      </c>
      <c r="P135" s="475">
        <f t="shared" si="43"/>
        <v>0</v>
      </c>
    </row>
    <row r="136" spans="2:16" ht="12.5">
      <c r="B136" s="160" t="str">
        <f t="shared" si="28"/>
        <v/>
      </c>
      <c r="C136" s="469">
        <f>IF(D93="","-",+C135+1)</f>
        <v>2055</v>
      </c>
      <c r="D136" s="344">
        <f>IF(F135+SUM(E$99:E135)=D$92,F135,D$92-SUM(E$99:E135))</f>
        <v>64811.620000000112</v>
      </c>
      <c r="E136" s="481">
        <f t="shared" si="34"/>
        <v>35405</v>
      </c>
      <c r="F136" s="482">
        <f t="shared" si="35"/>
        <v>29406.620000000112</v>
      </c>
      <c r="G136" s="482">
        <f t="shared" si="36"/>
        <v>47109.120000000112</v>
      </c>
      <c r="H136" s="483">
        <f t="shared" si="37"/>
        <v>41732.636216205072</v>
      </c>
      <c r="I136" s="539">
        <f t="shared" si="38"/>
        <v>41732.636216205072</v>
      </c>
      <c r="J136" s="475">
        <f t="shared" si="40"/>
        <v>0</v>
      </c>
      <c r="K136" s="475"/>
      <c r="L136" s="484"/>
      <c r="M136" s="475">
        <f t="shared" si="41"/>
        <v>0</v>
      </c>
      <c r="N136" s="484"/>
      <c r="O136" s="475">
        <f t="shared" si="42"/>
        <v>0</v>
      </c>
      <c r="P136" s="475">
        <f t="shared" si="43"/>
        <v>0</v>
      </c>
    </row>
    <row r="137" spans="2:16" ht="12.5">
      <c r="B137" s="160" t="str">
        <f t="shared" si="28"/>
        <v/>
      </c>
      <c r="C137" s="469">
        <f>IF(D93="","-",+C136+1)</f>
        <v>2056</v>
      </c>
      <c r="D137" s="344">
        <f>IF(F136+SUM(E$99:E136)=D$92,F136,D$92-SUM(E$99:E136))</f>
        <v>29406.620000000112</v>
      </c>
      <c r="E137" s="481">
        <f t="shared" si="34"/>
        <v>29406.620000000112</v>
      </c>
      <c r="F137" s="482">
        <f t="shared" si="35"/>
        <v>0</v>
      </c>
      <c r="G137" s="482">
        <f t="shared" si="36"/>
        <v>14703.310000000056</v>
      </c>
      <c r="H137" s="483">
        <f t="shared" si="37"/>
        <v>31381.549628362736</v>
      </c>
      <c r="I137" s="539">
        <f t="shared" si="38"/>
        <v>31381.549628362736</v>
      </c>
      <c r="J137" s="475">
        <f t="shared" si="40"/>
        <v>0</v>
      </c>
      <c r="K137" s="475"/>
      <c r="L137" s="484"/>
      <c r="M137" s="475">
        <f t="shared" si="41"/>
        <v>0</v>
      </c>
      <c r="N137" s="484"/>
      <c r="O137" s="475">
        <f t="shared" si="42"/>
        <v>0</v>
      </c>
      <c r="P137" s="475">
        <f t="shared" si="43"/>
        <v>0</v>
      </c>
    </row>
    <row r="138" spans="2:16" ht="12.5">
      <c r="B138" s="160" t="str">
        <f t="shared" si="28"/>
        <v/>
      </c>
      <c r="C138" s="469">
        <f>IF(D93="","-",+C137+1)</f>
        <v>2057</v>
      </c>
      <c r="D138" s="344">
        <f>IF(F137+SUM(E$99:E137)=D$92,F137,D$92-SUM(E$99:E137))</f>
        <v>0</v>
      </c>
      <c r="E138" s="481">
        <f t="shared" si="34"/>
        <v>0</v>
      </c>
      <c r="F138" s="482">
        <f t="shared" si="35"/>
        <v>0</v>
      </c>
      <c r="G138" s="482">
        <f t="shared" si="36"/>
        <v>0</v>
      </c>
      <c r="H138" s="483">
        <f t="shared" si="37"/>
        <v>0</v>
      </c>
      <c r="I138" s="539">
        <f t="shared" si="38"/>
        <v>0</v>
      </c>
      <c r="J138" s="475">
        <f t="shared" si="40"/>
        <v>0</v>
      </c>
      <c r="K138" s="475"/>
      <c r="L138" s="484"/>
      <c r="M138" s="475">
        <f t="shared" si="41"/>
        <v>0</v>
      </c>
      <c r="N138" s="484"/>
      <c r="O138" s="475">
        <f t="shared" si="42"/>
        <v>0</v>
      </c>
      <c r="P138" s="475">
        <f t="shared" si="43"/>
        <v>0</v>
      </c>
    </row>
    <row r="139" spans="2:16" ht="12.5">
      <c r="B139" s="160" t="str">
        <f t="shared" si="28"/>
        <v/>
      </c>
      <c r="C139" s="469">
        <f>IF(D93="","-",+C138+1)</f>
        <v>2058</v>
      </c>
      <c r="D139" s="344">
        <f>IF(F138+SUM(E$99:E138)=D$92,F138,D$92-SUM(E$99:E138))</f>
        <v>0</v>
      </c>
      <c r="E139" s="481">
        <f t="shared" si="34"/>
        <v>0</v>
      </c>
      <c r="F139" s="482">
        <f t="shared" si="35"/>
        <v>0</v>
      </c>
      <c r="G139" s="482">
        <f t="shared" si="36"/>
        <v>0</v>
      </c>
      <c r="H139" s="483">
        <f t="shared" si="37"/>
        <v>0</v>
      </c>
      <c r="I139" s="539">
        <f t="shared" si="38"/>
        <v>0</v>
      </c>
      <c r="J139" s="475">
        <f t="shared" si="40"/>
        <v>0</v>
      </c>
      <c r="K139" s="475"/>
      <c r="L139" s="484"/>
      <c r="M139" s="475">
        <f t="shared" si="41"/>
        <v>0</v>
      </c>
      <c r="N139" s="484"/>
      <c r="O139" s="475">
        <f t="shared" si="42"/>
        <v>0</v>
      </c>
      <c r="P139" s="475">
        <f t="shared" si="43"/>
        <v>0</v>
      </c>
    </row>
    <row r="140" spans="2:16" ht="12.5">
      <c r="B140" s="160" t="str">
        <f t="shared" si="28"/>
        <v/>
      </c>
      <c r="C140" s="469">
        <f>IF(D93="","-",+C139+1)</f>
        <v>2059</v>
      </c>
      <c r="D140" s="344">
        <f>IF(F139+SUM(E$99:E139)=D$92,F139,D$92-SUM(E$99:E139))</f>
        <v>0</v>
      </c>
      <c r="E140" s="481">
        <f t="shared" si="34"/>
        <v>0</v>
      </c>
      <c r="F140" s="482">
        <f t="shared" si="35"/>
        <v>0</v>
      </c>
      <c r="G140" s="482">
        <f t="shared" si="36"/>
        <v>0</v>
      </c>
      <c r="H140" s="483">
        <f t="shared" si="37"/>
        <v>0</v>
      </c>
      <c r="I140" s="539">
        <f t="shared" si="38"/>
        <v>0</v>
      </c>
      <c r="J140" s="475">
        <f t="shared" si="40"/>
        <v>0</v>
      </c>
      <c r="K140" s="475"/>
      <c r="L140" s="484"/>
      <c r="M140" s="475">
        <f t="shared" si="41"/>
        <v>0</v>
      </c>
      <c r="N140" s="484"/>
      <c r="O140" s="475">
        <f t="shared" si="42"/>
        <v>0</v>
      </c>
      <c r="P140" s="475">
        <f t="shared" si="43"/>
        <v>0</v>
      </c>
    </row>
    <row r="141" spans="2:16" ht="12.5">
      <c r="B141" s="160" t="str">
        <f t="shared" si="28"/>
        <v/>
      </c>
      <c r="C141" s="469">
        <f>IF(D93="","-",+C140+1)</f>
        <v>2060</v>
      </c>
      <c r="D141" s="344">
        <f>IF(F140+SUM(E$99:E140)=D$92,F140,D$92-SUM(E$99:E140))</f>
        <v>0</v>
      </c>
      <c r="E141" s="481">
        <f t="shared" si="34"/>
        <v>0</v>
      </c>
      <c r="F141" s="482">
        <f t="shared" si="35"/>
        <v>0</v>
      </c>
      <c r="G141" s="482">
        <f t="shared" si="36"/>
        <v>0</v>
      </c>
      <c r="H141" s="483">
        <f t="shared" si="37"/>
        <v>0</v>
      </c>
      <c r="I141" s="539">
        <f t="shared" si="38"/>
        <v>0</v>
      </c>
      <c r="J141" s="475">
        <f t="shared" si="40"/>
        <v>0</v>
      </c>
      <c r="K141" s="475"/>
      <c r="L141" s="484"/>
      <c r="M141" s="475">
        <f t="shared" si="41"/>
        <v>0</v>
      </c>
      <c r="N141" s="484"/>
      <c r="O141" s="475">
        <f t="shared" si="42"/>
        <v>0</v>
      </c>
      <c r="P141" s="475">
        <f t="shared" si="43"/>
        <v>0</v>
      </c>
    </row>
    <row r="142" spans="2:16" ht="12.5">
      <c r="B142" s="160" t="str">
        <f t="shared" si="28"/>
        <v/>
      </c>
      <c r="C142" s="469">
        <f>IF(D93="","-",+C141+1)</f>
        <v>2061</v>
      </c>
      <c r="D142" s="344">
        <f>IF(F141+SUM(E$99:E141)=D$92,F141,D$92-SUM(E$99:E141))</f>
        <v>0</v>
      </c>
      <c r="E142" s="481">
        <f t="shared" si="34"/>
        <v>0</v>
      </c>
      <c r="F142" s="482">
        <f t="shared" si="35"/>
        <v>0</v>
      </c>
      <c r="G142" s="482">
        <f t="shared" si="36"/>
        <v>0</v>
      </c>
      <c r="H142" s="483">
        <f t="shared" si="37"/>
        <v>0</v>
      </c>
      <c r="I142" s="539">
        <f t="shared" si="38"/>
        <v>0</v>
      </c>
      <c r="J142" s="475">
        <f t="shared" si="40"/>
        <v>0</v>
      </c>
      <c r="K142" s="475"/>
      <c r="L142" s="484"/>
      <c r="M142" s="475">
        <f t="shared" si="41"/>
        <v>0</v>
      </c>
      <c r="N142" s="484"/>
      <c r="O142" s="475">
        <f t="shared" si="42"/>
        <v>0</v>
      </c>
      <c r="P142" s="475">
        <f t="shared" si="43"/>
        <v>0</v>
      </c>
    </row>
    <row r="143" spans="2:16" ht="12.5">
      <c r="B143" s="160" t="str">
        <f t="shared" si="28"/>
        <v/>
      </c>
      <c r="C143" s="469">
        <f>IF(D93="","-",+C142+1)</f>
        <v>2062</v>
      </c>
      <c r="D143" s="344">
        <f>IF(F142+SUM(E$99:E142)=D$92,F142,D$92-SUM(E$99:E142))</f>
        <v>0</v>
      </c>
      <c r="E143" s="481">
        <f t="shared" si="34"/>
        <v>0</v>
      </c>
      <c r="F143" s="482">
        <f t="shared" si="35"/>
        <v>0</v>
      </c>
      <c r="G143" s="482">
        <f t="shared" si="36"/>
        <v>0</v>
      </c>
      <c r="H143" s="483">
        <f t="shared" si="37"/>
        <v>0</v>
      </c>
      <c r="I143" s="539">
        <f t="shared" si="38"/>
        <v>0</v>
      </c>
      <c r="J143" s="475">
        <f t="shared" si="40"/>
        <v>0</v>
      </c>
      <c r="K143" s="475"/>
      <c r="L143" s="484"/>
      <c r="M143" s="475">
        <f t="shared" si="41"/>
        <v>0</v>
      </c>
      <c r="N143" s="484"/>
      <c r="O143" s="475">
        <f t="shared" si="42"/>
        <v>0</v>
      </c>
      <c r="P143" s="475">
        <f t="shared" si="43"/>
        <v>0</v>
      </c>
    </row>
    <row r="144" spans="2:16" ht="12.5">
      <c r="B144" s="160" t="str">
        <f t="shared" si="28"/>
        <v/>
      </c>
      <c r="C144" s="469">
        <f>IF(D93="","-",+C143+1)</f>
        <v>2063</v>
      </c>
      <c r="D144" s="344">
        <f>IF(F143+SUM(E$99:E143)=D$92,F143,D$92-SUM(E$99:E143))</f>
        <v>0</v>
      </c>
      <c r="E144" s="481">
        <f t="shared" si="34"/>
        <v>0</v>
      </c>
      <c r="F144" s="482">
        <f t="shared" si="35"/>
        <v>0</v>
      </c>
      <c r="G144" s="482">
        <f t="shared" si="36"/>
        <v>0</v>
      </c>
      <c r="H144" s="483">
        <f t="shared" si="37"/>
        <v>0</v>
      </c>
      <c r="I144" s="539">
        <f t="shared" si="38"/>
        <v>0</v>
      </c>
      <c r="J144" s="475">
        <f t="shared" si="40"/>
        <v>0</v>
      </c>
      <c r="K144" s="475"/>
      <c r="L144" s="484"/>
      <c r="M144" s="475">
        <f t="shared" si="41"/>
        <v>0</v>
      </c>
      <c r="N144" s="484"/>
      <c r="O144" s="475">
        <f t="shared" si="42"/>
        <v>0</v>
      </c>
      <c r="P144" s="475">
        <f t="shared" si="43"/>
        <v>0</v>
      </c>
    </row>
    <row r="145" spans="2:16" ht="12.5">
      <c r="B145" s="160" t="str">
        <f t="shared" si="28"/>
        <v/>
      </c>
      <c r="C145" s="469">
        <f>IF(D93="","-",+C144+1)</f>
        <v>2064</v>
      </c>
      <c r="D145" s="344">
        <f>IF(F144+SUM(E$99:E144)=D$92,F144,D$92-SUM(E$99:E144))</f>
        <v>0</v>
      </c>
      <c r="E145" s="481">
        <f t="shared" si="34"/>
        <v>0</v>
      </c>
      <c r="F145" s="482">
        <f t="shared" si="35"/>
        <v>0</v>
      </c>
      <c r="G145" s="482">
        <f t="shared" si="36"/>
        <v>0</v>
      </c>
      <c r="H145" s="483">
        <f t="shared" si="37"/>
        <v>0</v>
      </c>
      <c r="I145" s="539">
        <f t="shared" si="38"/>
        <v>0</v>
      </c>
      <c r="J145" s="475">
        <f t="shared" si="40"/>
        <v>0</v>
      </c>
      <c r="K145" s="475"/>
      <c r="L145" s="484"/>
      <c r="M145" s="475">
        <f t="shared" si="41"/>
        <v>0</v>
      </c>
      <c r="N145" s="484"/>
      <c r="O145" s="475">
        <f t="shared" si="42"/>
        <v>0</v>
      </c>
      <c r="P145" s="475">
        <f t="shared" si="43"/>
        <v>0</v>
      </c>
    </row>
    <row r="146" spans="2:16" ht="12.5">
      <c r="B146" s="160" t="str">
        <f t="shared" si="28"/>
        <v/>
      </c>
      <c r="C146" s="469">
        <f>IF(D93="","-",+C145+1)</f>
        <v>2065</v>
      </c>
      <c r="D146" s="344">
        <f>IF(F145+SUM(E$99:E145)=D$92,F145,D$92-SUM(E$99:E145))</f>
        <v>0</v>
      </c>
      <c r="E146" s="481">
        <f t="shared" si="34"/>
        <v>0</v>
      </c>
      <c r="F146" s="482">
        <f t="shared" si="35"/>
        <v>0</v>
      </c>
      <c r="G146" s="482">
        <f t="shared" si="36"/>
        <v>0</v>
      </c>
      <c r="H146" s="483">
        <f t="shared" si="37"/>
        <v>0</v>
      </c>
      <c r="I146" s="539">
        <f t="shared" si="38"/>
        <v>0</v>
      </c>
      <c r="J146" s="475">
        <f t="shared" si="40"/>
        <v>0</v>
      </c>
      <c r="K146" s="475"/>
      <c r="L146" s="484"/>
      <c r="M146" s="475">
        <f t="shared" si="41"/>
        <v>0</v>
      </c>
      <c r="N146" s="484"/>
      <c r="O146" s="475">
        <f t="shared" si="42"/>
        <v>0</v>
      </c>
      <c r="P146" s="475">
        <f t="shared" si="43"/>
        <v>0</v>
      </c>
    </row>
    <row r="147" spans="2:16" ht="12.5">
      <c r="B147" s="160" t="str">
        <f t="shared" si="28"/>
        <v/>
      </c>
      <c r="C147" s="469">
        <f>IF(D93="","-",+C146+1)</f>
        <v>2066</v>
      </c>
      <c r="D147" s="344">
        <f>IF(F146+SUM(E$99:E146)=D$92,F146,D$92-SUM(E$99:E146))</f>
        <v>0</v>
      </c>
      <c r="E147" s="481">
        <f t="shared" si="34"/>
        <v>0</v>
      </c>
      <c r="F147" s="482">
        <f t="shared" si="35"/>
        <v>0</v>
      </c>
      <c r="G147" s="482">
        <f t="shared" si="36"/>
        <v>0</v>
      </c>
      <c r="H147" s="483">
        <f t="shared" si="37"/>
        <v>0</v>
      </c>
      <c r="I147" s="539">
        <f t="shared" si="38"/>
        <v>0</v>
      </c>
      <c r="J147" s="475">
        <f t="shared" si="40"/>
        <v>0</v>
      </c>
      <c r="K147" s="475"/>
      <c r="L147" s="484"/>
      <c r="M147" s="475">
        <f t="shared" si="41"/>
        <v>0</v>
      </c>
      <c r="N147" s="484"/>
      <c r="O147" s="475">
        <f t="shared" si="42"/>
        <v>0</v>
      </c>
      <c r="P147" s="475">
        <f t="shared" si="43"/>
        <v>0</v>
      </c>
    </row>
    <row r="148" spans="2:16" ht="12.5">
      <c r="B148" s="160" t="str">
        <f t="shared" si="28"/>
        <v/>
      </c>
      <c r="C148" s="469">
        <f>IF(D93="","-",+C147+1)</f>
        <v>2067</v>
      </c>
      <c r="D148" s="344">
        <f>IF(F147+SUM(E$99:E147)=D$92,F147,D$92-SUM(E$99:E147))</f>
        <v>0</v>
      </c>
      <c r="E148" s="481">
        <f t="shared" si="34"/>
        <v>0</v>
      </c>
      <c r="F148" s="482">
        <f t="shared" si="35"/>
        <v>0</v>
      </c>
      <c r="G148" s="482">
        <f t="shared" si="36"/>
        <v>0</v>
      </c>
      <c r="H148" s="483">
        <f t="shared" si="37"/>
        <v>0</v>
      </c>
      <c r="I148" s="539">
        <f t="shared" si="38"/>
        <v>0</v>
      </c>
      <c r="J148" s="475">
        <f t="shared" si="40"/>
        <v>0</v>
      </c>
      <c r="K148" s="475"/>
      <c r="L148" s="484"/>
      <c r="M148" s="475">
        <f t="shared" si="41"/>
        <v>0</v>
      </c>
      <c r="N148" s="484"/>
      <c r="O148" s="475">
        <f t="shared" si="42"/>
        <v>0</v>
      </c>
      <c r="P148" s="475">
        <f t="shared" si="43"/>
        <v>0</v>
      </c>
    </row>
    <row r="149" spans="2:16" ht="12.5">
      <c r="B149" s="160" t="str">
        <f t="shared" si="28"/>
        <v/>
      </c>
      <c r="C149" s="469">
        <f>IF(D93="","-",+C148+1)</f>
        <v>2068</v>
      </c>
      <c r="D149" s="344">
        <f>IF(F148+SUM(E$99:E148)=D$92,F148,D$92-SUM(E$99:E148))</f>
        <v>0</v>
      </c>
      <c r="E149" s="481">
        <f t="shared" si="34"/>
        <v>0</v>
      </c>
      <c r="F149" s="482">
        <f t="shared" si="35"/>
        <v>0</v>
      </c>
      <c r="G149" s="482">
        <f t="shared" si="36"/>
        <v>0</v>
      </c>
      <c r="H149" s="483">
        <f t="shared" si="37"/>
        <v>0</v>
      </c>
      <c r="I149" s="539">
        <f t="shared" si="38"/>
        <v>0</v>
      </c>
      <c r="J149" s="475">
        <f t="shared" si="40"/>
        <v>0</v>
      </c>
      <c r="K149" s="475"/>
      <c r="L149" s="484"/>
      <c r="M149" s="475">
        <f t="shared" si="41"/>
        <v>0</v>
      </c>
      <c r="N149" s="484"/>
      <c r="O149" s="475">
        <f t="shared" si="42"/>
        <v>0</v>
      </c>
      <c r="P149" s="475">
        <f t="shared" si="43"/>
        <v>0</v>
      </c>
    </row>
    <row r="150" spans="2:16" ht="12.5">
      <c r="B150" s="160" t="str">
        <f t="shared" si="28"/>
        <v/>
      </c>
      <c r="C150" s="469">
        <f>IF(D93="","-",+C149+1)</f>
        <v>2069</v>
      </c>
      <c r="D150" s="344">
        <f>IF(F149+SUM(E$99:E149)=D$92,F149,D$92-SUM(E$99:E149))</f>
        <v>0</v>
      </c>
      <c r="E150" s="481">
        <f t="shared" si="34"/>
        <v>0</v>
      </c>
      <c r="F150" s="482">
        <f t="shared" si="35"/>
        <v>0</v>
      </c>
      <c r="G150" s="482">
        <f t="shared" si="36"/>
        <v>0</v>
      </c>
      <c r="H150" s="483">
        <f t="shared" si="37"/>
        <v>0</v>
      </c>
      <c r="I150" s="539">
        <f t="shared" si="38"/>
        <v>0</v>
      </c>
      <c r="J150" s="475">
        <f t="shared" si="40"/>
        <v>0</v>
      </c>
      <c r="K150" s="475"/>
      <c r="L150" s="484"/>
      <c r="M150" s="475">
        <f t="shared" si="41"/>
        <v>0</v>
      </c>
      <c r="N150" s="484"/>
      <c r="O150" s="475">
        <f t="shared" si="42"/>
        <v>0</v>
      </c>
      <c r="P150" s="475">
        <f t="shared" si="43"/>
        <v>0</v>
      </c>
    </row>
    <row r="151" spans="2:16" ht="12.5">
      <c r="B151" s="160" t="str">
        <f t="shared" si="28"/>
        <v/>
      </c>
      <c r="C151" s="469">
        <f>IF(D93="","-",+C150+1)</f>
        <v>2070</v>
      </c>
      <c r="D151" s="344">
        <f>IF(F150+SUM(E$99:E150)=D$92,F150,D$92-SUM(E$99:E150))</f>
        <v>0</v>
      </c>
      <c r="E151" s="481">
        <f t="shared" si="34"/>
        <v>0</v>
      </c>
      <c r="F151" s="482">
        <f t="shared" si="35"/>
        <v>0</v>
      </c>
      <c r="G151" s="482">
        <f t="shared" si="36"/>
        <v>0</v>
      </c>
      <c r="H151" s="483">
        <f t="shared" si="37"/>
        <v>0</v>
      </c>
      <c r="I151" s="539">
        <f t="shared" si="38"/>
        <v>0</v>
      </c>
      <c r="J151" s="475">
        <f t="shared" si="40"/>
        <v>0</v>
      </c>
      <c r="K151" s="475"/>
      <c r="L151" s="484"/>
      <c r="M151" s="475">
        <f t="shared" si="41"/>
        <v>0</v>
      </c>
      <c r="N151" s="484"/>
      <c r="O151" s="475">
        <f t="shared" si="42"/>
        <v>0</v>
      </c>
      <c r="P151" s="475">
        <f t="shared" si="43"/>
        <v>0</v>
      </c>
    </row>
    <row r="152" spans="2:16" ht="12.5">
      <c r="B152" s="160" t="str">
        <f t="shared" si="28"/>
        <v/>
      </c>
      <c r="C152" s="469">
        <f>IF(D93="","-",+C151+1)</f>
        <v>2071</v>
      </c>
      <c r="D152" s="344">
        <f>IF(F151+SUM(E$99:E151)=D$92,F151,D$92-SUM(E$99:E151))</f>
        <v>0</v>
      </c>
      <c r="E152" s="481">
        <f t="shared" si="34"/>
        <v>0</v>
      </c>
      <c r="F152" s="482">
        <f t="shared" si="35"/>
        <v>0</v>
      </c>
      <c r="G152" s="482">
        <f t="shared" si="36"/>
        <v>0</v>
      </c>
      <c r="H152" s="483">
        <f t="shared" si="37"/>
        <v>0</v>
      </c>
      <c r="I152" s="539">
        <f t="shared" si="38"/>
        <v>0</v>
      </c>
      <c r="J152" s="475">
        <f t="shared" si="40"/>
        <v>0</v>
      </c>
      <c r="K152" s="475"/>
      <c r="L152" s="484"/>
      <c r="M152" s="475">
        <f t="shared" si="41"/>
        <v>0</v>
      </c>
      <c r="N152" s="484"/>
      <c r="O152" s="475">
        <f t="shared" si="42"/>
        <v>0</v>
      </c>
      <c r="P152" s="475">
        <f t="shared" si="43"/>
        <v>0</v>
      </c>
    </row>
    <row r="153" spans="2:16" ht="12.5">
      <c r="B153" s="160" t="str">
        <f t="shared" si="28"/>
        <v/>
      </c>
      <c r="C153" s="469">
        <f>IF(D93="","-",+C152+1)</f>
        <v>2072</v>
      </c>
      <c r="D153" s="344">
        <f>IF(F152+SUM(E$99:E152)=D$92,F152,D$92-SUM(E$99:E152))</f>
        <v>0</v>
      </c>
      <c r="E153" s="481">
        <f t="shared" si="34"/>
        <v>0</v>
      </c>
      <c r="F153" s="482">
        <f t="shared" si="35"/>
        <v>0</v>
      </c>
      <c r="G153" s="482">
        <f t="shared" si="36"/>
        <v>0</v>
      </c>
      <c r="H153" s="483">
        <f t="shared" si="37"/>
        <v>0</v>
      </c>
      <c r="I153" s="539">
        <f t="shared" si="38"/>
        <v>0</v>
      </c>
      <c r="J153" s="475">
        <f t="shared" si="40"/>
        <v>0</v>
      </c>
      <c r="K153" s="475"/>
      <c r="L153" s="484"/>
      <c r="M153" s="475">
        <f t="shared" si="41"/>
        <v>0</v>
      </c>
      <c r="N153" s="484"/>
      <c r="O153" s="475">
        <f t="shared" si="42"/>
        <v>0</v>
      </c>
      <c r="P153" s="475">
        <f t="shared" si="43"/>
        <v>0</v>
      </c>
    </row>
    <row r="154" spans="2:16" ht="13" thickBot="1">
      <c r="B154" s="160" t="str">
        <f t="shared" si="28"/>
        <v/>
      </c>
      <c r="C154" s="486">
        <f>IF(D93="","-",+C153+1)</f>
        <v>2073</v>
      </c>
      <c r="D154" s="540">
        <f>IF(F153+SUM(E$99:E153)=D$92,F153,D$92-SUM(E$99:E153))</f>
        <v>0</v>
      </c>
      <c r="E154" s="488">
        <f t="shared" si="34"/>
        <v>0</v>
      </c>
      <c r="F154" s="487">
        <f t="shared" si="35"/>
        <v>0</v>
      </c>
      <c r="G154" s="487">
        <f t="shared" si="36"/>
        <v>0</v>
      </c>
      <c r="H154" s="609">
        <f t="shared" ref="H154" si="44">+J$94*G154+E154</f>
        <v>0</v>
      </c>
      <c r="I154" s="610">
        <f t="shared" ref="I154" si="45">+J$95*G154+E154</f>
        <v>0</v>
      </c>
      <c r="J154" s="492">
        <f t="shared" si="40"/>
        <v>0</v>
      </c>
      <c r="K154" s="475"/>
      <c r="L154" s="491"/>
      <c r="M154" s="492">
        <f t="shared" si="41"/>
        <v>0</v>
      </c>
      <c r="N154" s="491"/>
      <c r="O154" s="492">
        <f t="shared" si="42"/>
        <v>0</v>
      </c>
      <c r="P154" s="492">
        <f t="shared" si="43"/>
        <v>0</v>
      </c>
    </row>
    <row r="155" spans="2:16" ht="12.5">
      <c r="C155" s="344" t="s">
        <v>77</v>
      </c>
      <c r="D155" s="345"/>
      <c r="E155" s="345">
        <f>SUM(E99:E154)</f>
        <v>1345382.62</v>
      </c>
      <c r="F155" s="345"/>
      <c r="G155" s="345"/>
      <c r="H155" s="345">
        <f>SUM(H99:H154)</f>
        <v>4674414.6833568411</v>
      </c>
      <c r="I155" s="345">
        <f>SUM(I99:I154)</f>
        <v>4674414.6833568411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25" priority="1" stopIfTrue="1" operator="equal">
      <formula>$I$10</formula>
    </cfRule>
  </conditionalFormatting>
  <conditionalFormatting sqref="C99:C154">
    <cfRule type="cellIs" dxfId="24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P162"/>
  <sheetViews>
    <sheetView topLeftCell="C5" zoomScale="85" zoomScaleNormal="8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25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35308.23638745537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35308.23638745537</v>
      </c>
      <c r="O6" s="231"/>
      <c r="P6" s="231"/>
    </row>
    <row r="7" spans="1:16" ht="13.5" thickBot="1">
      <c r="C7" s="428" t="s">
        <v>46</v>
      </c>
      <c r="D7" s="596" t="s">
        <v>309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310</v>
      </c>
      <c r="E9" s="574" t="s">
        <v>379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288859.60000000003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2018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12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7601.5684210526324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2018</v>
      </c>
      <c r="D17" s="581">
        <v>0</v>
      </c>
      <c r="E17" s="604">
        <v>11600</v>
      </c>
      <c r="F17" s="581">
        <v>1032400</v>
      </c>
      <c r="G17" s="604">
        <v>81460.13871045578</v>
      </c>
      <c r="H17" s="584">
        <v>81460.13871045578</v>
      </c>
      <c r="I17" s="472">
        <f>H17-G17</f>
        <v>0</v>
      </c>
      <c r="J17" s="472"/>
      <c r="K17" s="551">
        <f t="shared" ref="K17:K22" si="0">+G17</f>
        <v>81460.13871045578</v>
      </c>
      <c r="L17" s="474">
        <f t="shared" ref="L17:L72" si="1">IF(K17&lt;&gt;0,+G17-K17,0)</f>
        <v>0</v>
      </c>
      <c r="M17" s="551">
        <f t="shared" ref="M17:M22" si="2">+H17</f>
        <v>81460.13871045578</v>
      </c>
      <c r="N17" s="474">
        <f t="shared" ref="N17:N72" si="3">IF(M17&lt;&gt;0,+H17-M17,0)</f>
        <v>0</v>
      </c>
      <c r="O17" s="475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2019</v>
      </c>
      <c r="D18" s="581">
        <v>0</v>
      </c>
      <c r="E18" s="582">
        <v>11600</v>
      </c>
      <c r="F18" s="581">
        <v>1032400</v>
      </c>
      <c r="G18" s="582">
        <v>73419.565193351213</v>
      </c>
      <c r="H18" s="584">
        <v>73419.565193351213</v>
      </c>
      <c r="I18" s="472">
        <f>H18-G18</f>
        <v>0</v>
      </c>
      <c r="J18" s="472"/>
      <c r="K18" s="475">
        <f t="shared" si="0"/>
        <v>73419.565193351213</v>
      </c>
      <c r="L18" s="475">
        <f t="shared" si="1"/>
        <v>0</v>
      </c>
      <c r="M18" s="475">
        <f t="shared" si="2"/>
        <v>73419.565193351213</v>
      </c>
      <c r="N18" s="475">
        <f t="shared" si="3"/>
        <v>0</v>
      </c>
      <c r="O18" s="475">
        <f t="shared" si="4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2020</v>
      </c>
      <c r="D19" s="581">
        <v>267280</v>
      </c>
      <c r="E19" s="582">
        <v>7192.3809523809523</v>
      </c>
      <c r="F19" s="581">
        <v>260087.61904761905</v>
      </c>
      <c r="G19" s="582">
        <v>35671.491974766584</v>
      </c>
      <c r="H19" s="584">
        <v>35671.491974766584</v>
      </c>
      <c r="I19" s="472">
        <f t="shared" ref="I19:I71" si="5">H19-G19</f>
        <v>0</v>
      </c>
      <c r="J19" s="472"/>
      <c r="K19" s="475">
        <f t="shared" si="0"/>
        <v>35671.491974766584</v>
      </c>
      <c r="L19" s="475">
        <f t="shared" ref="L19" si="6">IF(K19&lt;&gt;0,+G19-K19,0)</f>
        <v>0</v>
      </c>
      <c r="M19" s="475">
        <f t="shared" si="2"/>
        <v>35671.491974766584</v>
      </c>
      <c r="N19" s="475">
        <f t="shared" si="3"/>
        <v>0</v>
      </c>
      <c r="O19" s="475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2021</v>
      </c>
      <c r="D20" s="581">
        <v>258467.61904761905</v>
      </c>
      <c r="E20" s="582">
        <v>6717.6744186046508</v>
      </c>
      <c r="F20" s="581">
        <v>251749.94462901441</v>
      </c>
      <c r="G20" s="582">
        <v>34223.924690152948</v>
      </c>
      <c r="H20" s="584">
        <v>34223.924690152948</v>
      </c>
      <c r="I20" s="472">
        <f t="shared" si="5"/>
        <v>0</v>
      </c>
      <c r="J20" s="472"/>
      <c r="K20" s="475">
        <f t="shared" si="0"/>
        <v>34223.924690152948</v>
      </c>
      <c r="L20" s="475">
        <f t="shared" ref="L20" si="8">IF(K20&lt;&gt;0,+G20-K20,0)</f>
        <v>0</v>
      </c>
      <c r="M20" s="475">
        <f t="shared" si="2"/>
        <v>34223.924690152948</v>
      </c>
      <c r="N20" s="475">
        <f t="shared" si="3"/>
        <v>0</v>
      </c>
      <c r="O20" s="475">
        <f t="shared" si="4"/>
        <v>0</v>
      </c>
      <c r="P20" s="241"/>
    </row>
    <row r="21" spans="2:16" ht="12.5">
      <c r="B21" s="160" t="str">
        <f t="shared" si="7"/>
        <v/>
      </c>
      <c r="C21" s="469">
        <f>IF(D11="","-",+C20+1)</f>
        <v>2022</v>
      </c>
      <c r="D21" s="581">
        <v>251749.94462901441</v>
      </c>
      <c r="E21" s="582">
        <v>6877.6190476190477</v>
      </c>
      <c r="F21" s="581">
        <v>244872.32558139536</v>
      </c>
      <c r="G21" s="582">
        <v>33648.35187112401</v>
      </c>
      <c r="H21" s="584">
        <v>33648.35187112401</v>
      </c>
      <c r="I21" s="472">
        <f t="shared" si="5"/>
        <v>0</v>
      </c>
      <c r="J21" s="472"/>
      <c r="K21" s="475">
        <f t="shared" si="0"/>
        <v>33648.35187112401</v>
      </c>
      <c r="L21" s="475">
        <f t="shared" ref="L21" si="9">IF(K21&lt;&gt;0,+G21-K21,0)</f>
        <v>0</v>
      </c>
      <c r="M21" s="475">
        <f t="shared" si="2"/>
        <v>33648.35187112401</v>
      </c>
      <c r="N21" s="475">
        <f t="shared" si="3"/>
        <v>0</v>
      </c>
      <c r="O21" s="475">
        <f t="shared" si="4"/>
        <v>0</v>
      </c>
      <c r="P21" s="241"/>
    </row>
    <row r="22" spans="2:16" ht="12.5">
      <c r="B22" s="160" t="str">
        <f t="shared" si="7"/>
        <v>IU</v>
      </c>
      <c r="C22" s="469">
        <f>IF(D11="","-",+C21+1)</f>
        <v>2023</v>
      </c>
      <c r="D22" s="581">
        <v>244871.92558139539</v>
      </c>
      <c r="E22" s="582">
        <v>7406.6564102564107</v>
      </c>
      <c r="F22" s="581">
        <v>237465.26917113899</v>
      </c>
      <c r="G22" s="582">
        <v>36192.287124459006</v>
      </c>
      <c r="H22" s="584">
        <v>36192.287124459006</v>
      </c>
      <c r="I22" s="472">
        <f t="shared" si="5"/>
        <v>0</v>
      </c>
      <c r="J22" s="472"/>
      <c r="K22" s="475">
        <f t="shared" si="0"/>
        <v>36192.287124459006</v>
      </c>
      <c r="L22" s="475">
        <f t="shared" ref="L22" si="10">IF(K22&lt;&gt;0,+G22-K22,0)</f>
        <v>0</v>
      </c>
      <c r="M22" s="475">
        <f t="shared" si="2"/>
        <v>36192.287124459006</v>
      </c>
      <c r="N22" s="475">
        <f t="shared" ref="N22" si="11">IF(M22&lt;&gt;0,+H22-M22,0)</f>
        <v>0</v>
      </c>
      <c r="O22" s="475">
        <f t="shared" ref="O22" si="12">+N22-L22</f>
        <v>0</v>
      </c>
      <c r="P22" s="241"/>
    </row>
    <row r="23" spans="2:16" ht="12.5">
      <c r="B23" s="160" t="str">
        <f t="shared" si="7"/>
        <v/>
      </c>
      <c r="C23" s="469">
        <f>IF(D11="","-",+C22+1)</f>
        <v>2024</v>
      </c>
      <c r="D23" s="581">
        <v>237465.26917113899</v>
      </c>
      <c r="E23" s="582">
        <v>7406.6564102564107</v>
      </c>
      <c r="F23" s="581">
        <v>230058.61276088259</v>
      </c>
      <c r="G23" s="582">
        <v>35308.23638745537</v>
      </c>
      <c r="H23" s="584">
        <v>35308.23638745537</v>
      </c>
      <c r="I23" s="472">
        <f t="shared" si="5"/>
        <v>0</v>
      </c>
      <c r="J23" s="472"/>
      <c r="K23" s="475">
        <f t="shared" ref="K23" si="13">+G23</f>
        <v>35308.23638745537</v>
      </c>
      <c r="L23" s="475">
        <f t="shared" ref="L23" si="14">IF(K23&lt;&gt;0,+G23-K23,0)</f>
        <v>0</v>
      </c>
      <c r="M23" s="475">
        <f t="shared" ref="M23" si="15">+H23</f>
        <v>35308.23638745537</v>
      </c>
      <c r="N23" s="475">
        <f t="shared" ref="N23" si="16">IF(M23&lt;&gt;0,+H23-M23,0)</f>
        <v>0</v>
      </c>
      <c r="O23" s="475">
        <f t="shared" ref="O23" si="17">+N23-L23</f>
        <v>0</v>
      </c>
      <c r="P23" s="241"/>
    </row>
    <row r="24" spans="2:16" ht="12.5">
      <c r="B24" s="160" t="str">
        <f t="shared" si="7"/>
        <v/>
      </c>
      <c r="C24" s="469">
        <f>IF(D11="","-",+C23+1)</f>
        <v>2025</v>
      </c>
      <c r="D24" s="480">
        <f>IF(F23+SUM(E$17:E23)=D$10,F23,D$10-SUM(E$17:E23))</f>
        <v>230058.61276088259</v>
      </c>
      <c r="E24" s="481">
        <f t="shared" ref="E24:E71" si="18">IF(+I$14&lt;F23,I$14,D24)</f>
        <v>7601.5684210526324</v>
      </c>
      <c r="F24" s="482">
        <f t="shared" ref="F24:F71" si="19">+D24-E24</f>
        <v>222457.04433982997</v>
      </c>
      <c r="G24" s="483">
        <f t="shared" ref="G24:G71" si="20">(D24+F24)/2*I$12+E24</f>
        <v>33336.17628172064</v>
      </c>
      <c r="H24" s="452">
        <f t="shared" ref="H24:H71" si="21">+(D24+F24)/2*I$13+E24</f>
        <v>33336.17628172064</v>
      </c>
      <c r="I24" s="472">
        <f t="shared" si="5"/>
        <v>0</v>
      </c>
      <c r="J24" s="472"/>
      <c r="K24" s="484"/>
      <c r="L24" s="475">
        <f t="shared" si="1"/>
        <v>0</v>
      </c>
      <c r="M24" s="484"/>
      <c r="N24" s="475">
        <f t="shared" si="3"/>
        <v>0</v>
      </c>
      <c r="O24" s="475">
        <f t="shared" si="4"/>
        <v>0</v>
      </c>
      <c r="P24" s="241"/>
    </row>
    <row r="25" spans="2:16" ht="12.5">
      <c r="B25" s="160" t="str">
        <f t="shared" si="7"/>
        <v/>
      </c>
      <c r="C25" s="469">
        <f>IF(D11="","-",+C24+1)</f>
        <v>2026</v>
      </c>
      <c r="D25" s="480">
        <f>IF(F24+SUM(E$17:E24)=D$10,F24,D$10-SUM(E$17:E24))</f>
        <v>222457.04433982997</v>
      </c>
      <c r="E25" s="481">
        <f t="shared" si="18"/>
        <v>7601.5684210526324</v>
      </c>
      <c r="F25" s="482">
        <f t="shared" si="19"/>
        <v>214855.47591877735</v>
      </c>
      <c r="G25" s="483">
        <f t="shared" si="20"/>
        <v>32471.572463611039</v>
      </c>
      <c r="H25" s="452">
        <f t="shared" si="21"/>
        <v>32471.572463611039</v>
      </c>
      <c r="I25" s="472">
        <f t="shared" si="5"/>
        <v>0</v>
      </c>
      <c r="J25" s="472"/>
      <c r="K25" s="484"/>
      <c r="L25" s="475">
        <f t="shared" si="1"/>
        <v>0</v>
      </c>
      <c r="M25" s="484"/>
      <c r="N25" s="475">
        <f t="shared" si="3"/>
        <v>0</v>
      </c>
      <c r="O25" s="475">
        <f t="shared" si="4"/>
        <v>0</v>
      </c>
      <c r="P25" s="241"/>
    </row>
    <row r="26" spans="2:16" ht="12.5">
      <c r="B26" s="160" t="str">
        <f t="shared" si="7"/>
        <v/>
      </c>
      <c r="C26" s="469">
        <f>IF(D11="","-",+C25+1)</f>
        <v>2027</v>
      </c>
      <c r="D26" s="480">
        <f>IF(F25+SUM(E$17:E25)=D$10,F25,D$10-SUM(E$17:E25))</f>
        <v>214855.47591877735</v>
      </c>
      <c r="E26" s="481">
        <f t="shared" si="18"/>
        <v>7601.5684210526324</v>
      </c>
      <c r="F26" s="482">
        <f t="shared" si="19"/>
        <v>207253.90749772472</v>
      </c>
      <c r="G26" s="483">
        <f t="shared" si="20"/>
        <v>31606.968645501431</v>
      </c>
      <c r="H26" s="452">
        <f t="shared" si="21"/>
        <v>31606.968645501431</v>
      </c>
      <c r="I26" s="472">
        <f t="shared" si="5"/>
        <v>0</v>
      </c>
      <c r="J26" s="472"/>
      <c r="K26" s="484"/>
      <c r="L26" s="475">
        <f t="shared" si="1"/>
        <v>0</v>
      </c>
      <c r="M26" s="484"/>
      <c r="N26" s="475">
        <f t="shared" si="3"/>
        <v>0</v>
      </c>
      <c r="O26" s="475">
        <f t="shared" si="4"/>
        <v>0</v>
      </c>
      <c r="P26" s="241"/>
    </row>
    <row r="27" spans="2:16" ht="12.5">
      <c r="B27" s="160" t="str">
        <f t="shared" si="7"/>
        <v/>
      </c>
      <c r="C27" s="469">
        <f>IF(D11="","-",+C26+1)</f>
        <v>2028</v>
      </c>
      <c r="D27" s="480">
        <f>IF(F26+SUM(E$17:E26)=D$10,F26,D$10-SUM(E$17:E26))</f>
        <v>207253.90749772472</v>
      </c>
      <c r="E27" s="481">
        <f t="shared" si="18"/>
        <v>7601.5684210526324</v>
      </c>
      <c r="F27" s="482">
        <f t="shared" si="19"/>
        <v>199652.3390766721</v>
      </c>
      <c r="G27" s="483">
        <f t="shared" si="20"/>
        <v>30742.36482739183</v>
      </c>
      <c r="H27" s="452">
        <f t="shared" si="21"/>
        <v>30742.36482739183</v>
      </c>
      <c r="I27" s="472">
        <f t="shared" si="5"/>
        <v>0</v>
      </c>
      <c r="J27" s="472"/>
      <c r="K27" s="484"/>
      <c r="L27" s="475">
        <f t="shared" si="1"/>
        <v>0</v>
      </c>
      <c r="M27" s="484"/>
      <c r="N27" s="475">
        <f t="shared" si="3"/>
        <v>0</v>
      </c>
      <c r="O27" s="475">
        <f t="shared" si="4"/>
        <v>0</v>
      </c>
      <c r="P27" s="241"/>
    </row>
    <row r="28" spans="2:16" ht="12.5">
      <c r="B28" s="160" t="str">
        <f t="shared" si="7"/>
        <v/>
      </c>
      <c r="C28" s="469">
        <f>IF(D11="","-",+C27+1)</f>
        <v>2029</v>
      </c>
      <c r="D28" s="480">
        <f>IF(F27+SUM(E$17:E27)=D$10,F27,D$10-SUM(E$17:E27))</f>
        <v>199652.3390766721</v>
      </c>
      <c r="E28" s="481">
        <f t="shared" si="18"/>
        <v>7601.5684210526324</v>
      </c>
      <c r="F28" s="482">
        <f t="shared" si="19"/>
        <v>192050.77065561948</v>
      </c>
      <c r="G28" s="483">
        <f t="shared" si="20"/>
        <v>29877.761009282221</v>
      </c>
      <c r="H28" s="452">
        <f t="shared" si="21"/>
        <v>29877.761009282221</v>
      </c>
      <c r="I28" s="472">
        <f t="shared" si="5"/>
        <v>0</v>
      </c>
      <c r="J28" s="472"/>
      <c r="K28" s="484"/>
      <c r="L28" s="475">
        <f t="shared" si="1"/>
        <v>0</v>
      </c>
      <c r="M28" s="484"/>
      <c r="N28" s="475">
        <f t="shared" si="3"/>
        <v>0</v>
      </c>
      <c r="O28" s="475">
        <f t="shared" si="4"/>
        <v>0</v>
      </c>
      <c r="P28" s="241"/>
    </row>
    <row r="29" spans="2:16" ht="12.5">
      <c r="B29" s="160" t="str">
        <f t="shared" si="7"/>
        <v/>
      </c>
      <c r="C29" s="469">
        <f>IF(D11="","-",+C28+1)</f>
        <v>2030</v>
      </c>
      <c r="D29" s="480">
        <f>IF(F28+SUM(E$17:E28)=D$10,F28,D$10-SUM(E$17:E28))</f>
        <v>192050.77065561948</v>
      </c>
      <c r="E29" s="481">
        <f t="shared" si="18"/>
        <v>7601.5684210526324</v>
      </c>
      <c r="F29" s="482">
        <f t="shared" si="19"/>
        <v>184449.20223456685</v>
      </c>
      <c r="G29" s="483">
        <f t="shared" si="20"/>
        <v>29013.157191172621</v>
      </c>
      <c r="H29" s="452">
        <f t="shared" si="21"/>
        <v>29013.157191172621</v>
      </c>
      <c r="I29" s="472">
        <f t="shared" si="5"/>
        <v>0</v>
      </c>
      <c r="J29" s="472"/>
      <c r="K29" s="484"/>
      <c r="L29" s="475">
        <f t="shared" si="1"/>
        <v>0</v>
      </c>
      <c r="M29" s="484"/>
      <c r="N29" s="475">
        <f t="shared" si="3"/>
        <v>0</v>
      </c>
      <c r="O29" s="475">
        <f t="shared" si="4"/>
        <v>0</v>
      </c>
      <c r="P29" s="241"/>
    </row>
    <row r="30" spans="2:16" ht="12.5">
      <c r="B30" s="160" t="str">
        <f t="shared" si="7"/>
        <v/>
      </c>
      <c r="C30" s="469">
        <f>IF(D11="","-",+C29+1)</f>
        <v>2031</v>
      </c>
      <c r="D30" s="480">
        <f>IF(F29+SUM(E$17:E29)=D$10,F29,D$10-SUM(E$17:E29))</f>
        <v>184449.20223456685</v>
      </c>
      <c r="E30" s="481">
        <f t="shared" si="18"/>
        <v>7601.5684210526324</v>
      </c>
      <c r="F30" s="482">
        <f t="shared" si="19"/>
        <v>176847.63381351423</v>
      </c>
      <c r="G30" s="483">
        <f t="shared" si="20"/>
        <v>28148.553373063012</v>
      </c>
      <c r="H30" s="452">
        <f t="shared" si="21"/>
        <v>28148.553373063012</v>
      </c>
      <c r="I30" s="472">
        <f t="shared" si="5"/>
        <v>0</v>
      </c>
      <c r="J30" s="472"/>
      <c r="K30" s="484"/>
      <c r="L30" s="475">
        <f t="shared" si="1"/>
        <v>0</v>
      </c>
      <c r="M30" s="484"/>
      <c r="N30" s="475">
        <f t="shared" si="3"/>
        <v>0</v>
      </c>
      <c r="O30" s="475">
        <f t="shared" si="4"/>
        <v>0</v>
      </c>
      <c r="P30" s="241"/>
    </row>
    <row r="31" spans="2:16" ht="12.5">
      <c r="B31" s="160" t="str">
        <f t="shared" si="7"/>
        <v/>
      </c>
      <c r="C31" s="469">
        <f>IF(D11="","-",+C30+1)</f>
        <v>2032</v>
      </c>
      <c r="D31" s="480">
        <f>IF(F30+SUM(E$17:E30)=D$10,F30,D$10-SUM(E$17:E30))</f>
        <v>176847.63381351423</v>
      </c>
      <c r="E31" s="481">
        <f t="shared" si="18"/>
        <v>7601.5684210526324</v>
      </c>
      <c r="F31" s="482">
        <f t="shared" si="19"/>
        <v>169246.06539246161</v>
      </c>
      <c r="G31" s="483">
        <f t="shared" si="20"/>
        <v>27283.949554953404</v>
      </c>
      <c r="H31" s="452">
        <f t="shared" si="21"/>
        <v>27283.949554953404</v>
      </c>
      <c r="I31" s="472">
        <f t="shared" si="5"/>
        <v>0</v>
      </c>
      <c r="J31" s="472"/>
      <c r="K31" s="484"/>
      <c r="L31" s="475">
        <f t="shared" si="1"/>
        <v>0</v>
      </c>
      <c r="M31" s="484"/>
      <c r="N31" s="475">
        <f t="shared" si="3"/>
        <v>0</v>
      </c>
      <c r="O31" s="475">
        <f t="shared" si="4"/>
        <v>0</v>
      </c>
      <c r="P31" s="241"/>
    </row>
    <row r="32" spans="2:16" ht="12.5">
      <c r="B32" s="160" t="str">
        <f t="shared" si="7"/>
        <v/>
      </c>
      <c r="C32" s="469">
        <f>IF(D11="","-",+C31+1)</f>
        <v>2033</v>
      </c>
      <c r="D32" s="480">
        <f>IF(F31+SUM(E$17:E31)=D$10,F31,D$10-SUM(E$17:E31))</f>
        <v>169246.06539246161</v>
      </c>
      <c r="E32" s="481">
        <f t="shared" si="18"/>
        <v>7601.5684210526324</v>
      </c>
      <c r="F32" s="482">
        <f t="shared" si="19"/>
        <v>161644.49697140898</v>
      </c>
      <c r="G32" s="483">
        <f t="shared" si="20"/>
        <v>26419.345736843796</v>
      </c>
      <c r="H32" s="452">
        <f t="shared" si="21"/>
        <v>26419.345736843796</v>
      </c>
      <c r="I32" s="472">
        <f t="shared" si="5"/>
        <v>0</v>
      </c>
      <c r="J32" s="472"/>
      <c r="K32" s="484"/>
      <c r="L32" s="475">
        <f t="shared" si="1"/>
        <v>0</v>
      </c>
      <c r="M32" s="484"/>
      <c r="N32" s="475">
        <f t="shared" si="3"/>
        <v>0</v>
      </c>
      <c r="O32" s="475">
        <f t="shared" si="4"/>
        <v>0</v>
      </c>
      <c r="P32" s="241"/>
    </row>
    <row r="33" spans="2:16" ht="12.5">
      <c r="B33" s="160" t="str">
        <f t="shared" si="7"/>
        <v/>
      </c>
      <c r="C33" s="469">
        <f>IF(D11="","-",+C32+1)</f>
        <v>2034</v>
      </c>
      <c r="D33" s="480">
        <f>IF(F32+SUM(E$17:E32)=D$10,F32,D$10-SUM(E$17:E32))</f>
        <v>161644.49697140898</v>
      </c>
      <c r="E33" s="481">
        <f t="shared" si="18"/>
        <v>7601.5684210526324</v>
      </c>
      <c r="F33" s="482">
        <f t="shared" si="19"/>
        <v>154042.92855035636</v>
      </c>
      <c r="G33" s="483">
        <f t="shared" si="20"/>
        <v>25554.741918734195</v>
      </c>
      <c r="H33" s="452">
        <f t="shared" si="21"/>
        <v>25554.741918734195</v>
      </c>
      <c r="I33" s="472">
        <f t="shared" si="5"/>
        <v>0</v>
      </c>
      <c r="J33" s="472"/>
      <c r="K33" s="484"/>
      <c r="L33" s="475">
        <f t="shared" si="1"/>
        <v>0</v>
      </c>
      <c r="M33" s="484"/>
      <c r="N33" s="475">
        <f t="shared" si="3"/>
        <v>0</v>
      </c>
      <c r="O33" s="475">
        <f t="shared" si="4"/>
        <v>0</v>
      </c>
      <c r="P33" s="241"/>
    </row>
    <row r="34" spans="2:16" ht="12.5">
      <c r="B34" s="160" t="str">
        <f t="shared" si="7"/>
        <v/>
      </c>
      <c r="C34" s="469">
        <f>IF(D11="","-",+C33+1)</f>
        <v>2035</v>
      </c>
      <c r="D34" s="480">
        <f>IF(F33+SUM(E$17:E33)=D$10,F33,D$10-SUM(E$17:E33))</f>
        <v>154042.92855035636</v>
      </c>
      <c r="E34" s="481">
        <f t="shared" si="18"/>
        <v>7601.5684210526324</v>
      </c>
      <c r="F34" s="482">
        <f t="shared" si="19"/>
        <v>146441.36012930374</v>
      </c>
      <c r="G34" s="483">
        <f t="shared" si="20"/>
        <v>24690.138100624587</v>
      </c>
      <c r="H34" s="452">
        <f t="shared" si="21"/>
        <v>24690.138100624587</v>
      </c>
      <c r="I34" s="472">
        <f t="shared" si="5"/>
        <v>0</v>
      </c>
      <c r="J34" s="472"/>
      <c r="K34" s="484"/>
      <c r="L34" s="475">
        <f t="shared" si="1"/>
        <v>0</v>
      </c>
      <c r="M34" s="484"/>
      <c r="N34" s="475">
        <f t="shared" si="3"/>
        <v>0</v>
      </c>
      <c r="O34" s="475">
        <f t="shared" si="4"/>
        <v>0</v>
      </c>
      <c r="P34" s="241"/>
    </row>
    <row r="35" spans="2:16" ht="12.5">
      <c r="B35" s="160" t="str">
        <f t="shared" si="7"/>
        <v/>
      </c>
      <c r="C35" s="469">
        <f>IF(D11="","-",+C34+1)</f>
        <v>2036</v>
      </c>
      <c r="D35" s="480">
        <f>IF(F34+SUM(E$17:E34)=D$10,F34,D$10-SUM(E$17:E34))</f>
        <v>146441.36012930374</v>
      </c>
      <c r="E35" s="481">
        <f t="shared" si="18"/>
        <v>7601.5684210526324</v>
      </c>
      <c r="F35" s="482">
        <f t="shared" si="19"/>
        <v>138839.79170825111</v>
      </c>
      <c r="G35" s="483">
        <f t="shared" si="20"/>
        <v>23825.534282514986</v>
      </c>
      <c r="H35" s="452">
        <f t="shared" si="21"/>
        <v>23825.534282514986</v>
      </c>
      <c r="I35" s="472">
        <f t="shared" si="5"/>
        <v>0</v>
      </c>
      <c r="J35" s="472"/>
      <c r="K35" s="484"/>
      <c r="L35" s="475">
        <f t="shared" si="1"/>
        <v>0</v>
      </c>
      <c r="M35" s="484"/>
      <c r="N35" s="475">
        <f t="shared" si="3"/>
        <v>0</v>
      </c>
      <c r="O35" s="475">
        <f t="shared" si="4"/>
        <v>0</v>
      </c>
      <c r="P35" s="241"/>
    </row>
    <row r="36" spans="2:16" ht="12.5">
      <c r="B36" s="160" t="str">
        <f t="shared" si="7"/>
        <v/>
      </c>
      <c r="C36" s="469">
        <f>IF(D11="","-",+C35+1)</f>
        <v>2037</v>
      </c>
      <c r="D36" s="480">
        <f>IF(F35+SUM(E$17:E35)=D$10,F35,D$10-SUM(E$17:E35))</f>
        <v>138839.79170825111</v>
      </c>
      <c r="E36" s="481">
        <f t="shared" si="18"/>
        <v>7601.5684210526324</v>
      </c>
      <c r="F36" s="482">
        <f t="shared" si="19"/>
        <v>131238.22328719849</v>
      </c>
      <c r="G36" s="483">
        <f t="shared" si="20"/>
        <v>22960.930464405377</v>
      </c>
      <c r="H36" s="452">
        <f t="shared" si="21"/>
        <v>22960.930464405377</v>
      </c>
      <c r="I36" s="472">
        <f t="shared" si="5"/>
        <v>0</v>
      </c>
      <c r="J36" s="472"/>
      <c r="K36" s="484"/>
      <c r="L36" s="475">
        <f t="shared" si="1"/>
        <v>0</v>
      </c>
      <c r="M36" s="484"/>
      <c r="N36" s="475">
        <f t="shared" si="3"/>
        <v>0</v>
      </c>
      <c r="O36" s="475">
        <f t="shared" si="4"/>
        <v>0</v>
      </c>
      <c r="P36" s="241"/>
    </row>
    <row r="37" spans="2:16" ht="12.5">
      <c r="B37" s="160" t="str">
        <f t="shared" si="7"/>
        <v/>
      </c>
      <c r="C37" s="469">
        <f>IF(D11="","-",+C36+1)</f>
        <v>2038</v>
      </c>
      <c r="D37" s="480">
        <f>IF(F36+SUM(E$17:E36)=D$10,F36,D$10-SUM(E$17:E36))</f>
        <v>131238.22328719849</v>
      </c>
      <c r="E37" s="481">
        <f t="shared" si="18"/>
        <v>7601.5684210526324</v>
      </c>
      <c r="F37" s="482">
        <f t="shared" si="19"/>
        <v>123636.65486614585</v>
      </c>
      <c r="G37" s="483">
        <f t="shared" si="20"/>
        <v>22096.326646295769</v>
      </c>
      <c r="H37" s="452">
        <f t="shared" si="21"/>
        <v>22096.326646295769</v>
      </c>
      <c r="I37" s="472">
        <f t="shared" si="5"/>
        <v>0</v>
      </c>
      <c r="J37" s="472"/>
      <c r="K37" s="484"/>
      <c r="L37" s="475">
        <f t="shared" si="1"/>
        <v>0</v>
      </c>
      <c r="M37" s="484"/>
      <c r="N37" s="475">
        <f t="shared" si="3"/>
        <v>0</v>
      </c>
      <c r="O37" s="475">
        <f t="shared" si="4"/>
        <v>0</v>
      </c>
      <c r="P37" s="241"/>
    </row>
    <row r="38" spans="2:16" ht="12.5">
      <c r="B38" s="160" t="str">
        <f t="shared" si="7"/>
        <v/>
      </c>
      <c r="C38" s="469">
        <f>IF(D11="","-",+C37+1)</f>
        <v>2039</v>
      </c>
      <c r="D38" s="480">
        <f>IF(F37+SUM(E$17:E37)=D$10,F37,D$10-SUM(E$17:E37))</f>
        <v>123636.65486614585</v>
      </c>
      <c r="E38" s="481">
        <f t="shared" si="18"/>
        <v>7601.5684210526324</v>
      </c>
      <c r="F38" s="482">
        <f t="shared" si="19"/>
        <v>116035.08644509321</v>
      </c>
      <c r="G38" s="483">
        <f t="shared" si="20"/>
        <v>21231.722828186164</v>
      </c>
      <c r="H38" s="452">
        <f t="shared" si="21"/>
        <v>21231.722828186164</v>
      </c>
      <c r="I38" s="472">
        <f t="shared" si="5"/>
        <v>0</v>
      </c>
      <c r="J38" s="472"/>
      <c r="K38" s="484"/>
      <c r="L38" s="475">
        <f t="shared" si="1"/>
        <v>0</v>
      </c>
      <c r="M38" s="484"/>
      <c r="N38" s="475">
        <f t="shared" si="3"/>
        <v>0</v>
      </c>
      <c r="O38" s="475">
        <f t="shared" si="4"/>
        <v>0</v>
      </c>
      <c r="P38" s="241"/>
    </row>
    <row r="39" spans="2:16" ht="12.5">
      <c r="B39" s="160" t="str">
        <f t="shared" si="7"/>
        <v/>
      </c>
      <c r="C39" s="469">
        <f>IF(D11="","-",+C38+1)</f>
        <v>2040</v>
      </c>
      <c r="D39" s="480">
        <f>IF(F38+SUM(E$17:E38)=D$10,F38,D$10-SUM(E$17:E38))</f>
        <v>116035.08644509321</v>
      </c>
      <c r="E39" s="481">
        <f t="shared" si="18"/>
        <v>7601.5684210526324</v>
      </c>
      <c r="F39" s="482">
        <f t="shared" si="19"/>
        <v>108433.51802404058</v>
      </c>
      <c r="G39" s="483">
        <f t="shared" si="20"/>
        <v>20367.119010076556</v>
      </c>
      <c r="H39" s="452">
        <f t="shared" si="21"/>
        <v>20367.119010076556</v>
      </c>
      <c r="I39" s="472">
        <f t="shared" si="5"/>
        <v>0</v>
      </c>
      <c r="J39" s="472"/>
      <c r="K39" s="484"/>
      <c r="L39" s="475">
        <f t="shared" si="1"/>
        <v>0</v>
      </c>
      <c r="M39" s="484"/>
      <c r="N39" s="475">
        <f t="shared" si="3"/>
        <v>0</v>
      </c>
      <c r="O39" s="475">
        <f t="shared" si="4"/>
        <v>0</v>
      </c>
      <c r="P39" s="241"/>
    </row>
    <row r="40" spans="2:16" ht="12.5">
      <c r="B40" s="160" t="str">
        <f t="shared" si="7"/>
        <v/>
      </c>
      <c r="C40" s="469">
        <f>IF(D11="","-",+C39+1)</f>
        <v>2041</v>
      </c>
      <c r="D40" s="480">
        <f>IF(F39+SUM(E$17:E39)=D$10,F39,D$10-SUM(E$17:E39))</f>
        <v>108433.51802404058</v>
      </c>
      <c r="E40" s="481">
        <f t="shared" si="18"/>
        <v>7601.5684210526324</v>
      </c>
      <c r="F40" s="482">
        <f t="shared" si="19"/>
        <v>100831.94960298794</v>
      </c>
      <c r="G40" s="483">
        <f t="shared" si="20"/>
        <v>19502.515191966952</v>
      </c>
      <c r="H40" s="452">
        <f t="shared" si="21"/>
        <v>19502.515191966952</v>
      </c>
      <c r="I40" s="472">
        <f t="shared" si="5"/>
        <v>0</v>
      </c>
      <c r="J40" s="472"/>
      <c r="K40" s="484"/>
      <c r="L40" s="475">
        <f t="shared" si="1"/>
        <v>0</v>
      </c>
      <c r="M40" s="484"/>
      <c r="N40" s="475">
        <f t="shared" si="3"/>
        <v>0</v>
      </c>
      <c r="O40" s="475">
        <f t="shared" si="4"/>
        <v>0</v>
      </c>
      <c r="P40" s="241"/>
    </row>
    <row r="41" spans="2:16" ht="12.5">
      <c r="B41" s="160" t="str">
        <f t="shared" si="7"/>
        <v/>
      </c>
      <c r="C41" s="469">
        <f>IF(D11="","-",+C40+1)</f>
        <v>2042</v>
      </c>
      <c r="D41" s="480">
        <f>IF(F40+SUM(E$17:E40)=D$10,F40,D$10-SUM(E$17:E40))</f>
        <v>100831.94960298794</v>
      </c>
      <c r="E41" s="481">
        <f t="shared" si="18"/>
        <v>7601.5684210526324</v>
      </c>
      <c r="F41" s="482">
        <f t="shared" si="19"/>
        <v>93230.3811819353</v>
      </c>
      <c r="G41" s="483">
        <f t="shared" si="20"/>
        <v>18637.911373857343</v>
      </c>
      <c r="H41" s="452">
        <f t="shared" si="21"/>
        <v>18637.911373857343</v>
      </c>
      <c r="I41" s="472">
        <f t="shared" si="5"/>
        <v>0</v>
      </c>
      <c r="J41" s="472"/>
      <c r="K41" s="484"/>
      <c r="L41" s="475">
        <f t="shared" si="1"/>
        <v>0</v>
      </c>
      <c r="M41" s="484"/>
      <c r="N41" s="475">
        <f t="shared" si="3"/>
        <v>0</v>
      </c>
      <c r="O41" s="475">
        <f t="shared" si="4"/>
        <v>0</v>
      </c>
      <c r="P41" s="241"/>
    </row>
    <row r="42" spans="2:16" ht="12.5">
      <c r="B42" s="160" t="str">
        <f t="shared" si="7"/>
        <v/>
      </c>
      <c r="C42" s="469">
        <f>IF(D11="","-",+C41+1)</f>
        <v>2043</v>
      </c>
      <c r="D42" s="480">
        <f>IF(F41+SUM(E$17:E41)=D$10,F41,D$10-SUM(E$17:E41))</f>
        <v>93230.3811819353</v>
      </c>
      <c r="E42" s="481">
        <f t="shared" si="18"/>
        <v>7601.5684210526324</v>
      </c>
      <c r="F42" s="482">
        <f t="shared" si="19"/>
        <v>85628.812760882662</v>
      </c>
      <c r="G42" s="483">
        <f t="shared" si="20"/>
        <v>17773.307555747735</v>
      </c>
      <c r="H42" s="452">
        <f t="shared" si="21"/>
        <v>17773.307555747735</v>
      </c>
      <c r="I42" s="472">
        <f t="shared" si="5"/>
        <v>0</v>
      </c>
      <c r="J42" s="472"/>
      <c r="K42" s="484"/>
      <c r="L42" s="475">
        <f t="shared" si="1"/>
        <v>0</v>
      </c>
      <c r="M42" s="484"/>
      <c r="N42" s="475">
        <f t="shared" si="3"/>
        <v>0</v>
      </c>
      <c r="O42" s="475">
        <f t="shared" si="4"/>
        <v>0</v>
      </c>
      <c r="P42" s="241"/>
    </row>
    <row r="43" spans="2:16" ht="12.5">
      <c r="B43" s="160" t="str">
        <f t="shared" si="7"/>
        <v/>
      </c>
      <c r="C43" s="469">
        <f>IF(D11="","-",+C42+1)</f>
        <v>2044</v>
      </c>
      <c r="D43" s="480">
        <f>IF(F42+SUM(E$17:E42)=D$10,F42,D$10-SUM(E$17:E42))</f>
        <v>85628.812760882662</v>
      </c>
      <c r="E43" s="481">
        <f t="shared" si="18"/>
        <v>7601.5684210526324</v>
      </c>
      <c r="F43" s="482">
        <f t="shared" si="19"/>
        <v>78027.244339830024</v>
      </c>
      <c r="G43" s="483">
        <f t="shared" si="20"/>
        <v>16908.703737638127</v>
      </c>
      <c r="H43" s="452">
        <f t="shared" si="21"/>
        <v>16908.703737638127</v>
      </c>
      <c r="I43" s="472">
        <f t="shared" si="5"/>
        <v>0</v>
      </c>
      <c r="J43" s="472"/>
      <c r="K43" s="484"/>
      <c r="L43" s="475">
        <f t="shared" si="1"/>
        <v>0</v>
      </c>
      <c r="M43" s="484"/>
      <c r="N43" s="475">
        <f t="shared" si="3"/>
        <v>0</v>
      </c>
      <c r="O43" s="475">
        <f t="shared" si="4"/>
        <v>0</v>
      </c>
      <c r="P43" s="241"/>
    </row>
    <row r="44" spans="2:16" ht="12.5">
      <c r="B44" s="160" t="str">
        <f t="shared" si="7"/>
        <v/>
      </c>
      <c r="C44" s="469">
        <f>IF(D11="","-",+C43+1)</f>
        <v>2045</v>
      </c>
      <c r="D44" s="480">
        <f>IF(F43+SUM(E$17:E43)=D$10,F43,D$10-SUM(E$17:E43))</f>
        <v>78027.244339830024</v>
      </c>
      <c r="E44" s="481">
        <f t="shared" si="18"/>
        <v>7601.5684210526324</v>
      </c>
      <c r="F44" s="482">
        <f t="shared" si="19"/>
        <v>70425.675918777386</v>
      </c>
      <c r="G44" s="483">
        <f t="shared" si="20"/>
        <v>16044.09991952852</v>
      </c>
      <c r="H44" s="452">
        <f t="shared" si="21"/>
        <v>16044.09991952852</v>
      </c>
      <c r="I44" s="472">
        <f t="shared" si="5"/>
        <v>0</v>
      </c>
      <c r="J44" s="472"/>
      <c r="K44" s="484"/>
      <c r="L44" s="475">
        <f t="shared" si="1"/>
        <v>0</v>
      </c>
      <c r="M44" s="484"/>
      <c r="N44" s="475">
        <f t="shared" si="3"/>
        <v>0</v>
      </c>
      <c r="O44" s="475">
        <f t="shared" si="4"/>
        <v>0</v>
      </c>
      <c r="P44" s="241"/>
    </row>
    <row r="45" spans="2:16" ht="12.5">
      <c r="B45" s="160" t="str">
        <f t="shared" si="7"/>
        <v/>
      </c>
      <c r="C45" s="469">
        <f>IF(D11="","-",+C44+1)</f>
        <v>2046</v>
      </c>
      <c r="D45" s="480">
        <f>IF(F44+SUM(E$17:E44)=D$10,F44,D$10-SUM(E$17:E44))</f>
        <v>70425.675918777386</v>
      </c>
      <c r="E45" s="481">
        <f t="shared" si="18"/>
        <v>7601.5684210526324</v>
      </c>
      <c r="F45" s="482">
        <f t="shared" si="19"/>
        <v>62824.107497724755</v>
      </c>
      <c r="G45" s="483">
        <f t="shared" si="20"/>
        <v>15179.496101418914</v>
      </c>
      <c r="H45" s="452">
        <f t="shared" si="21"/>
        <v>15179.496101418914</v>
      </c>
      <c r="I45" s="472">
        <f t="shared" si="5"/>
        <v>0</v>
      </c>
      <c r="J45" s="472"/>
      <c r="K45" s="484"/>
      <c r="L45" s="475">
        <f t="shared" si="1"/>
        <v>0</v>
      </c>
      <c r="M45" s="484"/>
      <c r="N45" s="475">
        <f t="shared" si="3"/>
        <v>0</v>
      </c>
      <c r="O45" s="475">
        <f t="shared" si="4"/>
        <v>0</v>
      </c>
      <c r="P45" s="241"/>
    </row>
    <row r="46" spans="2:16" ht="12.5">
      <c r="B46" s="160" t="str">
        <f t="shared" si="7"/>
        <v/>
      </c>
      <c r="C46" s="469">
        <f>IF(D11="","-",+C45+1)</f>
        <v>2047</v>
      </c>
      <c r="D46" s="480">
        <f>IF(F45+SUM(E$17:E45)=D$10,F45,D$10-SUM(E$17:E45))</f>
        <v>62824.107497724755</v>
      </c>
      <c r="E46" s="481">
        <f t="shared" si="18"/>
        <v>7601.5684210526324</v>
      </c>
      <c r="F46" s="482">
        <f t="shared" si="19"/>
        <v>55222.539076672125</v>
      </c>
      <c r="G46" s="483">
        <f t="shared" si="20"/>
        <v>14314.892283309306</v>
      </c>
      <c r="H46" s="452">
        <f t="shared" si="21"/>
        <v>14314.892283309306</v>
      </c>
      <c r="I46" s="472">
        <f t="shared" si="5"/>
        <v>0</v>
      </c>
      <c r="J46" s="472"/>
      <c r="K46" s="484"/>
      <c r="L46" s="475">
        <f t="shared" si="1"/>
        <v>0</v>
      </c>
      <c r="M46" s="484"/>
      <c r="N46" s="475">
        <f t="shared" si="3"/>
        <v>0</v>
      </c>
      <c r="O46" s="475">
        <f t="shared" si="4"/>
        <v>0</v>
      </c>
      <c r="P46" s="241"/>
    </row>
    <row r="47" spans="2:16" ht="12.5">
      <c r="B47" s="160" t="str">
        <f t="shared" si="7"/>
        <v/>
      </c>
      <c r="C47" s="469">
        <f>IF(D11="","-",+C46+1)</f>
        <v>2048</v>
      </c>
      <c r="D47" s="480">
        <f>IF(F46+SUM(E$17:E46)=D$10,F46,D$10-SUM(E$17:E46))</f>
        <v>55222.539076672125</v>
      </c>
      <c r="E47" s="481">
        <f t="shared" si="18"/>
        <v>7601.5684210526324</v>
      </c>
      <c r="F47" s="482">
        <f t="shared" si="19"/>
        <v>47620.970655619494</v>
      </c>
      <c r="G47" s="483">
        <f t="shared" si="20"/>
        <v>13450.288465199701</v>
      </c>
      <c r="H47" s="452">
        <f t="shared" si="21"/>
        <v>13450.288465199701</v>
      </c>
      <c r="I47" s="472">
        <f t="shared" si="5"/>
        <v>0</v>
      </c>
      <c r="J47" s="472"/>
      <c r="K47" s="484"/>
      <c r="L47" s="475">
        <f t="shared" si="1"/>
        <v>0</v>
      </c>
      <c r="M47" s="484"/>
      <c r="N47" s="475">
        <f t="shared" si="3"/>
        <v>0</v>
      </c>
      <c r="O47" s="475">
        <f t="shared" si="4"/>
        <v>0</v>
      </c>
      <c r="P47" s="241"/>
    </row>
    <row r="48" spans="2:16" ht="12.5">
      <c r="B48" s="160" t="str">
        <f t="shared" si="7"/>
        <v/>
      </c>
      <c r="C48" s="469">
        <f>IF(D11="","-",+C47+1)</f>
        <v>2049</v>
      </c>
      <c r="D48" s="480">
        <f>IF(F47+SUM(E$17:E47)=D$10,F47,D$10-SUM(E$17:E47))</f>
        <v>47620.970655619494</v>
      </c>
      <c r="E48" s="481">
        <f t="shared" si="18"/>
        <v>7601.5684210526324</v>
      </c>
      <c r="F48" s="482">
        <f t="shared" si="19"/>
        <v>40019.402234566864</v>
      </c>
      <c r="G48" s="483">
        <f t="shared" si="20"/>
        <v>12585.684647090093</v>
      </c>
      <c r="H48" s="452">
        <f t="shared" si="21"/>
        <v>12585.684647090093</v>
      </c>
      <c r="I48" s="472">
        <f t="shared" si="5"/>
        <v>0</v>
      </c>
      <c r="J48" s="472"/>
      <c r="K48" s="484"/>
      <c r="L48" s="475">
        <f t="shared" si="1"/>
        <v>0</v>
      </c>
      <c r="M48" s="484"/>
      <c r="N48" s="475">
        <f t="shared" si="3"/>
        <v>0</v>
      </c>
      <c r="O48" s="475">
        <f t="shared" si="4"/>
        <v>0</v>
      </c>
      <c r="P48" s="241"/>
    </row>
    <row r="49" spans="2:16" ht="12.5">
      <c r="B49" s="160" t="str">
        <f t="shared" si="7"/>
        <v/>
      </c>
      <c r="C49" s="469">
        <f>IF(D11="","-",+C48+1)</f>
        <v>2050</v>
      </c>
      <c r="D49" s="480">
        <f>IF(F48+SUM(E$17:E48)=D$10,F48,D$10-SUM(E$17:E48))</f>
        <v>40019.402234566864</v>
      </c>
      <c r="E49" s="481">
        <f t="shared" si="18"/>
        <v>7601.5684210526324</v>
      </c>
      <c r="F49" s="482">
        <f t="shared" si="19"/>
        <v>32417.833813514233</v>
      </c>
      <c r="G49" s="483">
        <f t="shared" si="20"/>
        <v>11721.080828980488</v>
      </c>
      <c r="H49" s="452">
        <f t="shared" si="21"/>
        <v>11721.080828980488</v>
      </c>
      <c r="I49" s="472">
        <f t="shared" si="5"/>
        <v>0</v>
      </c>
      <c r="J49" s="472"/>
      <c r="K49" s="484"/>
      <c r="L49" s="475">
        <f t="shared" si="1"/>
        <v>0</v>
      </c>
      <c r="M49" s="484"/>
      <c r="N49" s="475">
        <f t="shared" si="3"/>
        <v>0</v>
      </c>
      <c r="O49" s="475">
        <f t="shared" si="4"/>
        <v>0</v>
      </c>
      <c r="P49" s="241"/>
    </row>
    <row r="50" spans="2:16" ht="12.5">
      <c r="B50" s="160" t="str">
        <f t="shared" si="7"/>
        <v/>
      </c>
      <c r="C50" s="469">
        <f>IF(D11="","-",+C49+1)</f>
        <v>2051</v>
      </c>
      <c r="D50" s="480">
        <f>IF(F49+SUM(E$17:E49)=D$10,F49,D$10-SUM(E$17:E49))</f>
        <v>32417.833813514233</v>
      </c>
      <c r="E50" s="481">
        <f t="shared" si="18"/>
        <v>7601.5684210526324</v>
      </c>
      <c r="F50" s="482">
        <f t="shared" si="19"/>
        <v>24816.265392461602</v>
      </c>
      <c r="G50" s="483">
        <f t="shared" si="20"/>
        <v>10856.477010870882</v>
      </c>
      <c r="H50" s="452">
        <f t="shared" si="21"/>
        <v>10856.477010870882</v>
      </c>
      <c r="I50" s="472">
        <f t="shared" si="5"/>
        <v>0</v>
      </c>
      <c r="J50" s="472"/>
      <c r="K50" s="484"/>
      <c r="L50" s="475">
        <f t="shared" si="1"/>
        <v>0</v>
      </c>
      <c r="M50" s="484"/>
      <c r="N50" s="475">
        <f t="shared" si="3"/>
        <v>0</v>
      </c>
      <c r="O50" s="475">
        <f t="shared" si="4"/>
        <v>0</v>
      </c>
      <c r="P50" s="241"/>
    </row>
    <row r="51" spans="2:16" ht="12.5">
      <c r="B51" s="160" t="str">
        <f t="shared" si="7"/>
        <v/>
      </c>
      <c r="C51" s="469">
        <f>IF(D11="","-",+C50+1)</f>
        <v>2052</v>
      </c>
      <c r="D51" s="480">
        <f>IF(F50+SUM(E$17:E50)=D$10,F50,D$10-SUM(E$17:E50))</f>
        <v>24816.265392461602</v>
      </c>
      <c r="E51" s="481">
        <f t="shared" si="18"/>
        <v>7601.5684210526324</v>
      </c>
      <c r="F51" s="482">
        <f t="shared" si="19"/>
        <v>17214.696971408972</v>
      </c>
      <c r="G51" s="483">
        <f t="shared" si="20"/>
        <v>9991.8731927612753</v>
      </c>
      <c r="H51" s="452">
        <f t="shared" si="21"/>
        <v>9991.8731927612753</v>
      </c>
      <c r="I51" s="472">
        <f t="shared" si="5"/>
        <v>0</v>
      </c>
      <c r="J51" s="472"/>
      <c r="K51" s="484"/>
      <c r="L51" s="475">
        <f t="shared" si="1"/>
        <v>0</v>
      </c>
      <c r="M51" s="484"/>
      <c r="N51" s="475">
        <f t="shared" si="3"/>
        <v>0</v>
      </c>
      <c r="O51" s="475">
        <f t="shared" si="4"/>
        <v>0</v>
      </c>
      <c r="P51" s="241"/>
    </row>
    <row r="52" spans="2:16" ht="12.5">
      <c r="B52" s="160" t="str">
        <f t="shared" si="7"/>
        <v/>
      </c>
      <c r="C52" s="469">
        <f>IF(D11="","-",+C51+1)</f>
        <v>2053</v>
      </c>
      <c r="D52" s="480">
        <f>IF(F51+SUM(E$17:E51)=D$10,F51,D$10-SUM(E$17:E51))</f>
        <v>17214.696971408972</v>
      </c>
      <c r="E52" s="481">
        <f t="shared" si="18"/>
        <v>7601.5684210526324</v>
      </c>
      <c r="F52" s="482">
        <f t="shared" si="19"/>
        <v>9613.1285503563395</v>
      </c>
      <c r="G52" s="483">
        <f t="shared" si="20"/>
        <v>9127.2693746516688</v>
      </c>
      <c r="H52" s="452">
        <f t="shared" si="21"/>
        <v>9127.2693746516688</v>
      </c>
      <c r="I52" s="472">
        <f t="shared" si="5"/>
        <v>0</v>
      </c>
      <c r="J52" s="472"/>
      <c r="K52" s="484"/>
      <c r="L52" s="475">
        <f t="shared" si="1"/>
        <v>0</v>
      </c>
      <c r="M52" s="484"/>
      <c r="N52" s="475">
        <f t="shared" si="3"/>
        <v>0</v>
      </c>
      <c r="O52" s="475">
        <f t="shared" si="4"/>
        <v>0</v>
      </c>
      <c r="P52" s="241"/>
    </row>
    <row r="53" spans="2:16" ht="12.5">
      <c r="B53" s="160" t="str">
        <f t="shared" si="7"/>
        <v/>
      </c>
      <c r="C53" s="469">
        <f>IF(D11="","-",+C52+1)</f>
        <v>2054</v>
      </c>
      <c r="D53" s="480">
        <f>IF(F52+SUM(E$17:E52)=D$10,F52,D$10-SUM(E$17:E52))</f>
        <v>9613.1285503563395</v>
      </c>
      <c r="E53" s="481">
        <f t="shared" si="18"/>
        <v>7601.5684210526324</v>
      </c>
      <c r="F53" s="482">
        <f t="shared" si="19"/>
        <v>2011.5601293037071</v>
      </c>
      <c r="G53" s="483">
        <f t="shared" si="20"/>
        <v>8262.6655565420624</v>
      </c>
      <c r="H53" s="452">
        <f t="shared" si="21"/>
        <v>8262.6655565420624</v>
      </c>
      <c r="I53" s="472">
        <f t="shared" si="5"/>
        <v>0</v>
      </c>
      <c r="J53" s="472"/>
      <c r="K53" s="484"/>
      <c r="L53" s="475">
        <f t="shared" si="1"/>
        <v>0</v>
      </c>
      <c r="M53" s="484"/>
      <c r="N53" s="475">
        <f t="shared" si="3"/>
        <v>0</v>
      </c>
      <c r="O53" s="475">
        <f t="shared" si="4"/>
        <v>0</v>
      </c>
      <c r="P53" s="241"/>
    </row>
    <row r="54" spans="2:16" ht="12.5">
      <c r="B54" s="160" t="str">
        <f t="shared" si="7"/>
        <v/>
      </c>
      <c r="C54" s="469">
        <f>IF(D11="","-",+C53+1)</f>
        <v>2055</v>
      </c>
      <c r="D54" s="480">
        <f>IF(F53+SUM(E$17:E53)=D$10,F53,D$10-SUM(E$17:E53))</f>
        <v>2011.5601293037071</v>
      </c>
      <c r="E54" s="481">
        <f t="shared" si="18"/>
        <v>2011.5601293037071</v>
      </c>
      <c r="F54" s="482">
        <f t="shared" si="19"/>
        <v>0</v>
      </c>
      <c r="G54" s="483">
        <f t="shared" si="20"/>
        <v>2125.95774252102</v>
      </c>
      <c r="H54" s="452">
        <f t="shared" si="21"/>
        <v>2125.95774252102</v>
      </c>
      <c r="I54" s="472">
        <f t="shared" si="5"/>
        <v>0</v>
      </c>
      <c r="J54" s="472"/>
      <c r="K54" s="484"/>
      <c r="L54" s="475">
        <f t="shared" si="1"/>
        <v>0</v>
      </c>
      <c r="M54" s="484"/>
      <c r="N54" s="475">
        <f t="shared" si="3"/>
        <v>0</v>
      </c>
      <c r="O54" s="475">
        <f t="shared" si="4"/>
        <v>0</v>
      </c>
      <c r="P54" s="241"/>
    </row>
    <row r="55" spans="2:16" ht="12.5">
      <c r="B55" s="160" t="str">
        <f t="shared" si="7"/>
        <v/>
      </c>
      <c r="C55" s="469">
        <f>IF(D11="","-",+C54+1)</f>
        <v>2056</v>
      </c>
      <c r="D55" s="480">
        <f>IF(F54+SUM(E$17:E54)=D$10,F54,D$10-SUM(E$17:E54))</f>
        <v>0</v>
      </c>
      <c r="E55" s="481">
        <f t="shared" si="18"/>
        <v>0</v>
      </c>
      <c r="F55" s="482">
        <f t="shared" si="19"/>
        <v>0</v>
      </c>
      <c r="G55" s="483">
        <f t="shared" si="20"/>
        <v>0</v>
      </c>
      <c r="H55" s="452">
        <f t="shared" si="21"/>
        <v>0</v>
      </c>
      <c r="I55" s="472">
        <f t="shared" si="5"/>
        <v>0</v>
      </c>
      <c r="J55" s="472"/>
      <c r="K55" s="484"/>
      <c r="L55" s="475">
        <f t="shared" si="1"/>
        <v>0</v>
      </c>
      <c r="M55" s="484"/>
      <c r="N55" s="475">
        <f t="shared" si="3"/>
        <v>0</v>
      </c>
      <c r="O55" s="475">
        <f t="shared" si="4"/>
        <v>0</v>
      </c>
      <c r="P55" s="241"/>
    </row>
    <row r="56" spans="2:16" ht="12.5">
      <c r="B56" s="160" t="str">
        <f t="shared" si="7"/>
        <v/>
      </c>
      <c r="C56" s="469">
        <f>IF(D11="","-",+C55+1)</f>
        <v>2057</v>
      </c>
      <c r="D56" s="480">
        <f>IF(F55+SUM(E$17:E55)=D$10,F55,D$10-SUM(E$17:E55))</f>
        <v>0</v>
      </c>
      <c r="E56" s="481">
        <f t="shared" si="18"/>
        <v>0</v>
      </c>
      <c r="F56" s="482">
        <f t="shared" si="19"/>
        <v>0</v>
      </c>
      <c r="G56" s="483">
        <f t="shared" si="20"/>
        <v>0</v>
      </c>
      <c r="H56" s="452">
        <f t="shared" si="21"/>
        <v>0</v>
      </c>
      <c r="I56" s="472">
        <f t="shared" si="5"/>
        <v>0</v>
      </c>
      <c r="J56" s="472"/>
      <c r="K56" s="484"/>
      <c r="L56" s="475">
        <f t="shared" si="1"/>
        <v>0</v>
      </c>
      <c r="M56" s="484"/>
      <c r="N56" s="475">
        <f t="shared" si="3"/>
        <v>0</v>
      </c>
      <c r="O56" s="475">
        <f t="shared" si="4"/>
        <v>0</v>
      </c>
      <c r="P56" s="241"/>
    </row>
    <row r="57" spans="2:16" ht="12.5">
      <c r="B57" s="160" t="str">
        <f t="shared" si="7"/>
        <v/>
      </c>
      <c r="C57" s="469">
        <f>IF(D11="","-",+C56+1)</f>
        <v>2058</v>
      </c>
      <c r="D57" s="480">
        <f>IF(F56+SUM(E$17:E56)=D$10,F56,D$10-SUM(E$17:E56))</f>
        <v>0</v>
      </c>
      <c r="E57" s="481">
        <f t="shared" si="18"/>
        <v>0</v>
      </c>
      <c r="F57" s="482">
        <f t="shared" si="19"/>
        <v>0</v>
      </c>
      <c r="G57" s="483">
        <f t="shared" si="20"/>
        <v>0</v>
      </c>
      <c r="H57" s="452">
        <f t="shared" si="21"/>
        <v>0</v>
      </c>
      <c r="I57" s="472">
        <f t="shared" si="5"/>
        <v>0</v>
      </c>
      <c r="J57" s="472"/>
      <c r="K57" s="484"/>
      <c r="L57" s="475">
        <f t="shared" si="1"/>
        <v>0</v>
      </c>
      <c r="M57" s="484"/>
      <c r="N57" s="475">
        <f t="shared" si="3"/>
        <v>0</v>
      </c>
      <c r="O57" s="475">
        <f t="shared" si="4"/>
        <v>0</v>
      </c>
      <c r="P57" s="241"/>
    </row>
    <row r="58" spans="2:16" ht="12.5">
      <c r="B58" s="160" t="str">
        <f t="shared" si="7"/>
        <v/>
      </c>
      <c r="C58" s="469">
        <f>IF(D11="","-",+C57+1)</f>
        <v>2059</v>
      </c>
      <c r="D58" s="480">
        <f>IF(F57+SUM(E$17:E57)=D$10,F57,D$10-SUM(E$17:E57))</f>
        <v>0</v>
      </c>
      <c r="E58" s="481">
        <f t="shared" si="18"/>
        <v>0</v>
      </c>
      <c r="F58" s="482">
        <f t="shared" si="19"/>
        <v>0</v>
      </c>
      <c r="G58" s="483">
        <f t="shared" si="20"/>
        <v>0</v>
      </c>
      <c r="H58" s="452">
        <f t="shared" si="21"/>
        <v>0</v>
      </c>
      <c r="I58" s="472">
        <f t="shared" si="5"/>
        <v>0</v>
      </c>
      <c r="J58" s="472"/>
      <c r="K58" s="484"/>
      <c r="L58" s="475">
        <f t="shared" si="1"/>
        <v>0</v>
      </c>
      <c r="M58" s="484"/>
      <c r="N58" s="475">
        <f t="shared" si="3"/>
        <v>0</v>
      </c>
      <c r="O58" s="475">
        <f t="shared" si="4"/>
        <v>0</v>
      </c>
      <c r="P58" s="241"/>
    </row>
    <row r="59" spans="2:16" ht="12.5">
      <c r="B59" s="160" t="str">
        <f t="shared" si="7"/>
        <v/>
      </c>
      <c r="C59" s="469">
        <f>IF(D11="","-",+C58+1)</f>
        <v>2060</v>
      </c>
      <c r="D59" s="480">
        <f>IF(F58+SUM(E$17:E58)=D$10,F58,D$10-SUM(E$17:E58))</f>
        <v>0</v>
      </c>
      <c r="E59" s="481">
        <f t="shared" si="18"/>
        <v>0</v>
      </c>
      <c r="F59" s="482">
        <f t="shared" si="19"/>
        <v>0</v>
      </c>
      <c r="G59" s="483">
        <f t="shared" si="20"/>
        <v>0</v>
      </c>
      <c r="H59" s="452">
        <f t="shared" si="21"/>
        <v>0</v>
      </c>
      <c r="I59" s="472">
        <f t="shared" si="5"/>
        <v>0</v>
      </c>
      <c r="J59" s="472"/>
      <c r="K59" s="484"/>
      <c r="L59" s="475">
        <f t="shared" si="1"/>
        <v>0</v>
      </c>
      <c r="M59" s="484"/>
      <c r="N59" s="475">
        <f t="shared" si="3"/>
        <v>0</v>
      </c>
      <c r="O59" s="475">
        <f t="shared" si="4"/>
        <v>0</v>
      </c>
      <c r="P59" s="241"/>
    </row>
    <row r="60" spans="2:16" ht="12.5">
      <c r="B60" s="160" t="str">
        <f t="shared" si="7"/>
        <v/>
      </c>
      <c r="C60" s="469">
        <f>IF(D11="","-",+C59+1)</f>
        <v>2061</v>
      </c>
      <c r="D60" s="480">
        <f>IF(F59+SUM(E$17:E59)=D$10,F59,D$10-SUM(E$17:E59))</f>
        <v>0</v>
      </c>
      <c r="E60" s="481">
        <f t="shared" si="18"/>
        <v>0</v>
      </c>
      <c r="F60" s="482">
        <f t="shared" si="19"/>
        <v>0</v>
      </c>
      <c r="G60" s="483">
        <f t="shared" si="20"/>
        <v>0</v>
      </c>
      <c r="H60" s="452">
        <f t="shared" si="21"/>
        <v>0</v>
      </c>
      <c r="I60" s="472">
        <f t="shared" si="5"/>
        <v>0</v>
      </c>
      <c r="J60" s="472"/>
      <c r="K60" s="484"/>
      <c r="L60" s="475">
        <f t="shared" si="1"/>
        <v>0</v>
      </c>
      <c r="M60" s="484"/>
      <c r="N60" s="475">
        <f t="shared" si="3"/>
        <v>0</v>
      </c>
      <c r="O60" s="475">
        <f t="shared" si="4"/>
        <v>0</v>
      </c>
      <c r="P60" s="241"/>
    </row>
    <row r="61" spans="2:16" ht="12.5">
      <c r="B61" s="160" t="str">
        <f t="shared" si="7"/>
        <v/>
      </c>
      <c r="C61" s="469">
        <f>IF(D11="","-",+C60+1)</f>
        <v>2062</v>
      </c>
      <c r="D61" s="480">
        <f>IF(F60+SUM(E$17:E60)=D$10,F60,D$10-SUM(E$17:E60))</f>
        <v>0</v>
      </c>
      <c r="E61" s="481">
        <f t="shared" si="18"/>
        <v>0</v>
      </c>
      <c r="F61" s="482">
        <f t="shared" si="19"/>
        <v>0</v>
      </c>
      <c r="G61" s="483">
        <f t="shared" si="20"/>
        <v>0</v>
      </c>
      <c r="H61" s="452">
        <f t="shared" si="21"/>
        <v>0</v>
      </c>
      <c r="I61" s="472">
        <f t="shared" si="5"/>
        <v>0</v>
      </c>
      <c r="J61" s="472"/>
      <c r="K61" s="484"/>
      <c r="L61" s="475">
        <f t="shared" si="1"/>
        <v>0</v>
      </c>
      <c r="M61" s="484"/>
      <c r="N61" s="475">
        <f t="shared" si="3"/>
        <v>0</v>
      </c>
      <c r="O61" s="475">
        <f t="shared" si="4"/>
        <v>0</v>
      </c>
      <c r="P61" s="241"/>
    </row>
    <row r="62" spans="2:16" ht="12.5">
      <c r="B62" s="160" t="str">
        <f t="shared" si="7"/>
        <v/>
      </c>
      <c r="C62" s="469">
        <f>IF(D11="","-",+C61+1)</f>
        <v>2063</v>
      </c>
      <c r="D62" s="480">
        <f>IF(F61+SUM(E$17:E61)=D$10,F61,D$10-SUM(E$17:E61))</f>
        <v>0</v>
      </c>
      <c r="E62" s="481">
        <f t="shared" si="18"/>
        <v>0</v>
      </c>
      <c r="F62" s="482">
        <f t="shared" si="19"/>
        <v>0</v>
      </c>
      <c r="G62" s="483">
        <f t="shared" si="20"/>
        <v>0</v>
      </c>
      <c r="H62" s="452">
        <f t="shared" si="21"/>
        <v>0</v>
      </c>
      <c r="I62" s="472">
        <f t="shared" si="5"/>
        <v>0</v>
      </c>
      <c r="J62" s="472"/>
      <c r="K62" s="484"/>
      <c r="L62" s="475">
        <f t="shared" si="1"/>
        <v>0</v>
      </c>
      <c r="M62" s="484"/>
      <c r="N62" s="475">
        <f t="shared" si="3"/>
        <v>0</v>
      </c>
      <c r="O62" s="475">
        <f t="shared" si="4"/>
        <v>0</v>
      </c>
      <c r="P62" s="241"/>
    </row>
    <row r="63" spans="2:16" ht="12.5">
      <c r="B63" s="160" t="str">
        <f t="shared" si="7"/>
        <v/>
      </c>
      <c r="C63" s="469">
        <f>IF(D11="","-",+C62+1)</f>
        <v>2064</v>
      </c>
      <c r="D63" s="480">
        <f>IF(F62+SUM(E$17:E62)=D$10,F62,D$10-SUM(E$17:E62))</f>
        <v>0</v>
      </c>
      <c r="E63" s="481">
        <f t="shared" si="18"/>
        <v>0</v>
      </c>
      <c r="F63" s="482">
        <f t="shared" si="19"/>
        <v>0</v>
      </c>
      <c r="G63" s="483">
        <f t="shared" si="20"/>
        <v>0</v>
      </c>
      <c r="H63" s="452">
        <f t="shared" si="21"/>
        <v>0</v>
      </c>
      <c r="I63" s="472">
        <f t="shared" si="5"/>
        <v>0</v>
      </c>
      <c r="J63" s="472"/>
      <c r="K63" s="484"/>
      <c r="L63" s="475">
        <f t="shared" si="1"/>
        <v>0</v>
      </c>
      <c r="M63" s="484"/>
      <c r="N63" s="475">
        <f t="shared" si="3"/>
        <v>0</v>
      </c>
      <c r="O63" s="475">
        <f t="shared" si="4"/>
        <v>0</v>
      </c>
      <c r="P63" s="241"/>
    </row>
    <row r="64" spans="2:16" ht="12.5">
      <c r="B64" s="160" t="str">
        <f t="shared" si="7"/>
        <v/>
      </c>
      <c r="C64" s="469">
        <f>IF(D11="","-",+C63+1)</f>
        <v>2065</v>
      </c>
      <c r="D64" s="480">
        <f>IF(F63+SUM(E$17:E63)=D$10,F63,D$10-SUM(E$17:E63))</f>
        <v>0</v>
      </c>
      <c r="E64" s="481">
        <f t="shared" si="18"/>
        <v>0</v>
      </c>
      <c r="F64" s="482">
        <f t="shared" si="19"/>
        <v>0</v>
      </c>
      <c r="G64" s="483">
        <f t="shared" si="20"/>
        <v>0</v>
      </c>
      <c r="H64" s="452">
        <f t="shared" si="21"/>
        <v>0</v>
      </c>
      <c r="I64" s="472">
        <f t="shared" si="5"/>
        <v>0</v>
      </c>
      <c r="J64" s="472"/>
      <c r="K64" s="484"/>
      <c r="L64" s="475">
        <f t="shared" si="1"/>
        <v>0</v>
      </c>
      <c r="M64" s="484"/>
      <c r="N64" s="475">
        <f t="shared" si="3"/>
        <v>0</v>
      </c>
      <c r="O64" s="475">
        <f t="shared" si="4"/>
        <v>0</v>
      </c>
      <c r="P64" s="241"/>
    </row>
    <row r="65" spans="2:16" ht="12.5">
      <c r="B65" s="160" t="str">
        <f t="shared" si="7"/>
        <v/>
      </c>
      <c r="C65" s="469">
        <f>IF(D11="","-",+C64+1)</f>
        <v>2066</v>
      </c>
      <c r="D65" s="480">
        <f>IF(F64+SUM(E$17:E64)=D$10,F64,D$10-SUM(E$17:E64))</f>
        <v>0</v>
      </c>
      <c r="E65" s="481">
        <f t="shared" si="18"/>
        <v>0</v>
      </c>
      <c r="F65" s="482">
        <f t="shared" si="19"/>
        <v>0</v>
      </c>
      <c r="G65" s="483">
        <f t="shared" si="20"/>
        <v>0</v>
      </c>
      <c r="H65" s="452">
        <f t="shared" si="21"/>
        <v>0</v>
      </c>
      <c r="I65" s="472">
        <f t="shared" si="5"/>
        <v>0</v>
      </c>
      <c r="J65" s="472"/>
      <c r="K65" s="484"/>
      <c r="L65" s="475">
        <f t="shared" si="1"/>
        <v>0</v>
      </c>
      <c r="M65" s="484"/>
      <c r="N65" s="475">
        <f t="shared" si="3"/>
        <v>0</v>
      </c>
      <c r="O65" s="475">
        <f t="shared" si="4"/>
        <v>0</v>
      </c>
      <c r="P65" s="241"/>
    </row>
    <row r="66" spans="2:16" ht="12.5">
      <c r="B66" s="160" t="str">
        <f t="shared" si="7"/>
        <v/>
      </c>
      <c r="C66" s="469">
        <f>IF(D11="","-",+C65+1)</f>
        <v>2067</v>
      </c>
      <c r="D66" s="480">
        <f>IF(F65+SUM(E$17:E65)=D$10,F65,D$10-SUM(E$17:E65))</f>
        <v>0</v>
      </c>
      <c r="E66" s="481">
        <f t="shared" si="18"/>
        <v>0</v>
      </c>
      <c r="F66" s="482">
        <f t="shared" si="19"/>
        <v>0</v>
      </c>
      <c r="G66" s="483">
        <f t="shared" si="20"/>
        <v>0</v>
      </c>
      <c r="H66" s="452">
        <f t="shared" si="21"/>
        <v>0</v>
      </c>
      <c r="I66" s="472">
        <f t="shared" si="5"/>
        <v>0</v>
      </c>
      <c r="J66" s="472"/>
      <c r="K66" s="484"/>
      <c r="L66" s="475">
        <f t="shared" si="1"/>
        <v>0</v>
      </c>
      <c r="M66" s="484"/>
      <c r="N66" s="475">
        <f t="shared" si="3"/>
        <v>0</v>
      </c>
      <c r="O66" s="475">
        <f t="shared" si="4"/>
        <v>0</v>
      </c>
      <c r="P66" s="241"/>
    </row>
    <row r="67" spans="2:16" ht="12.5">
      <c r="B67" s="160" t="str">
        <f t="shared" si="7"/>
        <v/>
      </c>
      <c r="C67" s="469">
        <f>IF(D11="","-",+C66+1)</f>
        <v>2068</v>
      </c>
      <c r="D67" s="480">
        <f>IF(F66+SUM(E$17:E66)=D$10,F66,D$10-SUM(E$17:E66))</f>
        <v>0</v>
      </c>
      <c r="E67" s="481">
        <f t="shared" si="18"/>
        <v>0</v>
      </c>
      <c r="F67" s="482">
        <f t="shared" si="19"/>
        <v>0</v>
      </c>
      <c r="G67" s="483">
        <f t="shared" si="20"/>
        <v>0</v>
      </c>
      <c r="H67" s="452">
        <f t="shared" si="21"/>
        <v>0</v>
      </c>
      <c r="I67" s="472">
        <f t="shared" si="5"/>
        <v>0</v>
      </c>
      <c r="J67" s="472"/>
      <c r="K67" s="484"/>
      <c r="L67" s="475">
        <f t="shared" si="1"/>
        <v>0</v>
      </c>
      <c r="M67" s="484"/>
      <c r="N67" s="475">
        <f t="shared" si="3"/>
        <v>0</v>
      </c>
      <c r="O67" s="475">
        <f t="shared" si="4"/>
        <v>0</v>
      </c>
      <c r="P67" s="241"/>
    </row>
    <row r="68" spans="2:16" ht="12.5">
      <c r="B68" s="160" t="str">
        <f t="shared" si="7"/>
        <v/>
      </c>
      <c r="C68" s="469">
        <f>IF(D11="","-",+C67+1)</f>
        <v>2069</v>
      </c>
      <c r="D68" s="480">
        <f>IF(F67+SUM(E$17:E67)=D$10,F67,D$10-SUM(E$17:E67))</f>
        <v>0</v>
      </c>
      <c r="E68" s="481">
        <f t="shared" si="18"/>
        <v>0</v>
      </c>
      <c r="F68" s="482">
        <f t="shared" si="19"/>
        <v>0</v>
      </c>
      <c r="G68" s="483">
        <f t="shared" si="20"/>
        <v>0</v>
      </c>
      <c r="H68" s="452">
        <f t="shared" si="21"/>
        <v>0</v>
      </c>
      <c r="I68" s="472">
        <f t="shared" si="5"/>
        <v>0</v>
      </c>
      <c r="J68" s="472"/>
      <c r="K68" s="484"/>
      <c r="L68" s="475">
        <f t="shared" si="1"/>
        <v>0</v>
      </c>
      <c r="M68" s="484"/>
      <c r="N68" s="475">
        <f t="shared" si="3"/>
        <v>0</v>
      </c>
      <c r="O68" s="475">
        <f t="shared" si="4"/>
        <v>0</v>
      </c>
      <c r="P68" s="241"/>
    </row>
    <row r="69" spans="2:16" ht="12.5">
      <c r="B69" s="160" t="str">
        <f t="shared" si="7"/>
        <v/>
      </c>
      <c r="C69" s="469">
        <f>IF(D11="","-",+C68+1)</f>
        <v>2070</v>
      </c>
      <c r="D69" s="480">
        <f>IF(F68+SUM(E$17:E68)=D$10,F68,D$10-SUM(E$17:E68))</f>
        <v>0</v>
      </c>
      <c r="E69" s="481">
        <f t="shared" si="18"/>
        <v>0</v>
      </c>
      <c r="F69" s="482">
        <f t="shared" si="19"/>
        <v>0</v>
      </c>
      <c r="G69" s="483">
        <f t="shared" si="20"/>
        <v>0</v>
      </c>
      <c r="H69" s="452">
        <f t="shared" si="21"/>
        <v>0</v>
      </c>
      <c r="I69" s="472">
        <f t="shared" si="5"/>
        <v>0</v>
      </c>
      <c r="J69" s="472"/>
      <c r="K69" s="484"/>
      <c r="L69" s="475">
        <f t="shared" si="1"/>
        <v>0</v>
      </c>
      <c r="M69" s="484"/>
      <c r="N69" s="475">
        <f t="shared" si="3"/>
        <v>0</v>
      </c>
      <c r="O69" s="475">
        <f t="shared" si="4"/>
        <v>0</v>
      </c>
      <c r="P69" s="241"/>
    </row>
    <row r="70" spans="2:16" ht="12.5">
      <c r="B70" s="160" t="str">
        <f t="shared" si="7"/>
        <v/>
      </c>
      <c r="C70" s="469">
        <f>IF(D11="","-",+C69+1)</f>
        <v>2071</v>
      </c>
      <c r="D70" s="480">
        <f>IF(F69+SUM(E$17:E69)=D$10,F69,D$10-SUM(E$17:E69))</f>
        <v>0</v>
      </c>
      <c r="E70" s="481">
        <f t="shared" si="18"/>
        <v>0</v>
      </c>
      <c r="F70" s="482">
        <f t="shared" si="19"/>
        <v>0</v>
      </c>
      <c r="G70" s="483">
        <f t="shared" si="20"/>
        <v>0</v>
      </c>
      <c r="H70" s="452">
        <f t="shared" si="21"/>
        <v>0</v>
      </c>
      <c r="I70" s="472">
        <f t="shared" si="5"/>
        <v>0</v>
      </c>
      <c r="J70" s="472"/>
      <c r="K70" s="484"/>
      <c r="L70" s="475">
        <f t="shared" si="1"/>
        <v>0</v>
      </c>
      <c r="M70" s="484"/>
      <c r="N70" s="475">
        <f t="shared" si="3"/>
        <v>0</v>
      </c>
      <c r="O70" s="475">
        <f t="shared" si="4"/>
        <v>0</v>
      </c>
      <c r="P70" s="241"/>
    </row>
    <row r="71" spans="2:16" ht="12.5">
      <c r="B71" s="160" t="str">
        <f t="shared" si="7"/>
        <v/>
      </c>
      <c r="C71" s="469">
        <f>IF(D11="","-",+C70+1)</f>
        <v>2072</v>
      </c>
      <c r="D71" s="480">
        <f>IF(F70+SUM(E$17:E70)=D$10,F70,D$10-SUM(E$17:E70))</f>
        <v>0</v>
      </c>
      <c r="E71" s="481">
        <f t="shared" si="18"/>
        <v>0</v>
      </c>
      <c r="F71" s="482">
        <f t="shared" si="19"/>
        <v>0</v>
      </c>
      <c r="G71" s="483">
        <f t="shared" si="20"/>
        <v>0</v>
      </c>
      <c r="H71" s="452">
        <f t="shared" si="21"/>
        <v>0</v>
      </c>
      <c r="I71" s="472">
        <f t="shared" si="5"/>
        <v>0</v>
      </c>
      <c r="J71" s="472"/>
      <c r="K71" s="484"/>
      <c r="L71" s="475">
        <f t="shared" si="1"/>
        <v>0</v>
      </c>
      <c r="M71" s="484"/>
      <c r="N71" s="475">
        <f t="shared" si="3"/>
        <v>0</v>
      </c>
      <c r="O71" s="475">
        <f t="shared" si="4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2073</v>
      </c>
      <c r="D72" s="608">
        <f>IF(F71+SUM(E$17:E71)=D$10,F71,D$10-SUM(E$17:E71))</f>
        <v>0</v>
      </c>
      <c r="E72" s="488">
        <f>IF(+I$14&lt;F71,I$14,D72)</f>
        <v>0</v>
      </c>
      <c r="F72" s="487">
        <f>+D72-E72</f>
        <v>0</v>
      </c>
      <c r="G72" s="541">
        <f>(D72+F72)/2*I$12+E72</f>
        <v>0</v>
      </c>
      <c r="H72" s="432">
        <f>+(D72+F72)/2*I$13+E72</f>
        <v>0</v>
      </c>
      <c r="I72" s="490">
        <f>H72-G72</f>
        <v>0</v>
      </c>
      <c r="J72" s="472"/>
      <c r="K72" s="491"/>
      <c r="L72" s="492">
        <f t="shared" si="1"/>
        <v>0</v>
      </c>
      <c r="M72" s="491"/>
      <c r="N72" s="492">
        <f t="shared" si="3"/>
        <v>0</v>
      </c>
      <c r="O72" s="492">
        <f t="shared" si="4"/>
        <v>0</v>
      </c>
      <c r="P72" s="241"/>
    </row>
    <row r="73" spans="2:16" ht="12.5">
      <c r="C73" s="344" t="s">
        <v>77</v>
      </c>
      <c r="D73" s="345"/>
      <c r="E73" s="345">
        <f>SUM(E17:E72)</f>
        <v>288859.60000000009</v>
      </c>
      <c r="F73" s="345"/>
      <c r="G73" s="345">
        <f>SUM(G17:G72)</f>
        <v>956032.58126822603</v>
      </c>
      <c r="H73" s="345">
        <f>SUM(H17:H72)</f>
        <v>956032.58126822603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25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35308.23638745537</v>
      </c>
      <c r="N87" s="505">
        <f>IF(J92&lt;D11,0,VLOOKUP(J92,C17:O72,11))</f>
        <v>35308.23638745537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40581.823513436779</v>
      </c>
      <c r="N88" s="509">
        <f>IF(J92&lt;D11,0,VLOOKUP(J92,C99:P154,7))</f>
        <v>40581.823513436779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Fort Towson-Valliant Line Rebuild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5273.5871259814085</v>
      </c>
      <c r="N89" s="514">
        <f>+N88-N87</f>
        <v>5273.5871259814085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TP2015204</v>
      </c>
      <c r="E91" s="519" t="str">
        <f>E9</f>
        <v xml:space="preserve">  SPP Project ID = 31058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288859.60000000003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2018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12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7602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2018</v>
      </c>
      <c r="D99" s="581">
        <v>0</v>
      </c>
      <c r="E99" s="604">
        <v>3512.5</v>
      </c>
      <c r="F99" s="581">
        <v>298567.5</v>
      </c>
      <c r="G99" s="604">
        <v>149283.75</v>
      </c>
      <c r="H99" s="584">
        <v>18849.250674297917</v>
      </c>
      <c r="I99" s="603">
        <v>18849.250674297917</v>
      </c>
      <c r="J99" s="475">
        <f>+I99-H99</f>
        <v>0</v>
      </c>
      <c r="K99" s="475"/>
      <c r="L99" s="474">
        <f>+H99</f>
        <v>18849.250674297917</v>
      </c>
      <c r="M99" s="474">
        <f t="shared" ref="M99" si="22">IF(L99&lt;&gt;0,+H99-L99,0)</f>
        <v>0</v>
      </c>
      <c r="N99" s="474">
        <f>+I99</f>
        <v>18849.250674297917</v>
      </c>
      <c r="O99" s="474">
        <f t="shared" ref="O99" si="23">IF(N99&lt;&gt;0,+I99-N99,0)</f>
        <v>0</v>
      </c>
      <c r="P99" s="474">
        <f t="shared" ref="P99" si="24">+O99-M99</f>
        <v>0</v>
      </c>
    </row>
    <row r="100" spans="1:16" ht="12.5">
      <c r="B100" s="160" t="str">
        <f>IF(D100=F99,"","IU")</f>
        <v>IU</v>
      </c>
      <c r="C100" s="469">
        <f>IF(D93="","-",+C99+1)</f>
        <v>2019</v>
      </c>
      <c r="D100" s="581">
        <v>285347.5</v>
      </c>
      <c r="E100" s="582">
        <v>7045</v>
      </c>
      <c r="F100" s="583">
        <v>278302.5</v>
      </c>
      <c r="G100" s="583">
        <v>281825</v>
      </c>
      <c r="H100" s="602">
        <v>36105.110400173638</v>
      </c>
      <c r="I100" s="603">
        <v>36105.110400173638</v>
      </c>
      <c r="J100" s="475">
        <f t="shared" ref="J100:J130" si="25">+I100-H100</f>
        <v>0</v>
      </c>
      <c r="K100" s="475"/>
      <c r="L100" s="473">
        <f>H100</f>
        <v>36105.110400173638</v>
      </c>
      <c r="M100" s="346">
        <f>IF(L100&lt;&gt;0,+H100-L100,0)</f>
        <v>0</v>
      </c>
      <c r="N100" s="473">
        <f>I100</f>
        <v>36105.110400173638</v>
      </c>
      <c r="O100" s="475">
        <f t="shared" ref="O100:O130" si="26">IF(N100&lt;&gt;0,+I100-N100,0)</f>
        <v>0</v>
      </c>
      <c r="P100" s="475">
        <f t="shared" ref="P100:P130" si="27">+O100-M100</f>
        <v>0</v>
      </c>
    </row>
    <row r="101" spans="1:16" ht="12.5">
      <c r="B101" s="160" t="str">
        <f t="shared" ref="B101:B154" si="28">IF(D101=F100,"","IU")</f>
        <v/>
      </c>
      <c r="C101" s="469">
        <f>IF(D93="","-",+C100+1)</f>
        <v>2020</v>
      </c>
      <c r="D101" s="581">
        <v>278302.5</v>
      </c>
      <c r="E101" s="582">
        <v>6718</v>
      </c>
      <c r="F101" s="583">
        <v>271584.5</v>
      </c>
      <c r="G101" s="583">
        <v>274943.5</v>
      </c>
      <c r="H101" s="602">
        <v>38418.229655174066</v>
      </c>
      <c r="I101" s="603">
        <v>38418.229655174066</v>
      </c>
      <c r="J101" s="475">
        <f t="shared" si="25"/>
        <v>0</v>
      </c>
      <c r="K101" s="475"/>
      <c r="L101" s="473">
        <f>H101</f>
        <v>38418.229655174066</v>
      </c>
      <c r="M101" s="346">
        <f>IF(L101&lt;&gt;0,+H101-L101,0)</f>
        <v>0</v>
      </c>
      <c r="N101" s="473">
        <f>I101</f>
        <v>38418.229655174066</v>
      </c>
      <c r="O101" s="475">
        <f t="shared" si="26"/>
        <v>0</v>
      </c>
      <c r="P101" s="475">
        <f t="shared" si="27"/>
        <v>0</v>
      </c>
    </row>
    <row r="102" spans="1:16" ht="12.5">
      <c r="B102" s="160" t="str">
        <f t="shared" si="28"/>
        <v/>
      </c>
      <c r="C102" s="469">
        <f>IF(D93="","-",+C101+1)</f>
        <v>2021</v>
      </c>
      <c r="D102" s="581">
        <v>271584.5</v>
      </c>
      <c r="E102" s="582">
        <v>7045</v>
      </c>
      <c r="F102" s="583">
        <v>264539.5</v>
      </c>
      <c r="G102" s="583">
        <v>268062</v>
      </c>
      <c r="H102" s="602">
        <v>37548.523685600252</v>
      </c>
      <c r="I102" s="603">
        <v>37548.523685600252</v>
      </c>
      <c r="J102" s="475">
        <f t="shared" si="25"/>
        <v>0</v>
      </c>
      <c r="K102" s="475"/>
      <c r="L102" s="473">
        <f>H102</f>
        <v>37548.523685600252</v>
      </c>
      <c r="M102" s="346">
        <f>IF(L102&lt;&gt;0,+H102-L102,0)</f>
        <v>0</v>
      </c>
      <c r="N102" s="473">
        <f>I102</f>
        <v>37548.523685600252</v>
      </c>
      <c r="O102" s="475">
        <f t="shared" si="26"/>
        <v>0</v>
      </c>
      <c r="P102" s="475">
        <f t="shared" si="27"/>
        <v>0</v>
      </c>
    </row>
    <row r="103" spans="1:16" ht="12.5">
      <c r="B103" s="160" t="str">
        <f t="shared" si="28"/>
        <v>IU</v>
      </c>
      <c r="C103" s="469">
        <f>IF(D93="","-",+C102+1)</f>
        <v>2022</v>
      </c>
      <c r="D103" s="581">
        <v>264539.10000000003</v>
      </c>
      <c r="E103" s="582">
        <v>7602</v>
      </c>
      <c r="F103" s="583">
        <v>256937.10000000003</v>
      </c>
      <c r="G103" s="583">
        <v>260738.10000000003</v>
      </c>
      <c r="H103" s="602">
        <v>37385.344782279237</v>
      </c>
      <c r="I103" s="603">
        <v>37385.344782279237</v>
      </c>
      <c r="J103" s="475">
        <f t="shared" si="25"/>
        <v>0</v>
      </c>
      <c r="K103" s="475"/>
      <c r="L103" s="473">
        <f t="shared" ref="L103:L104" si="29">H103</f>
        <v>37385.344782279237</v>
      </c>
      <c r="M103" s="346">
        <f t="shared" ref="M103:M104" si="30">IF(L103&lt;&gt;0,+H103-L103,0)</f>
        <v>0</v>
      </c>
      <c r="N103" s="473">
        <f t="shared" ref="N103:N104" si="31">I103</f>
        <v>37385.344782279237</v>
      </c>
      <c r="O103" s="475">
        <f t="shared" ref="O103:O104" si="32">IF(N103&lt;&gt;0,+I103-N103,0)</f>
        <v>0</v>
      </c>
      <c r="P103" s="475">
        <f t="shared" ref="P103:P104" si="33">+O103-M103</f>
        <v>0</v>
      </c>
    </row>
    <row r="104" spans="1:16" ht="12.5">
      <c r="B104" s="160" t="str">
        <f t="shared" si="28"/>
        <v/>
      </c>
      <c r="C104" s="469">
        <f>IF(D93="","-",+C103+1)</f>
        <v>2023</v>
      </c>
      <c r="D104" s="581">
        <v>256937.10000000003</v>
      </c>
      <c r="E104" s="582">
        <v>7602</v>
      </c>
      <c r="F104" s="583">
        <v>249335.10000000003</v>
      </c>
      <c r="G104" s="583">
        <v>253136.10000000003</v>
      </c>
      <c r="H104" s="602">
        <v>36516.99072495164</v>
      </c>
      <c r="I104" s="603">
        <v>36516.99072495164</v>
      </c>
      <c r="J104" s="475">
        <f t="shared" si="25"/>
        <v>0</v>
      </c>
      <c r="K104" s="475"/>
      <c r="L104" s="473">
        <f t="shared" si="29"/>
        <v>36516.99072495164</v>
      </c>
      <c r="M104" s="346">
        <f t="shared" si="30"/>
        <v>0</v>
      </c>
      <c r="N104" s="473">
        <f t="shared" si="31"/>
        <v>36516.99072495164</v>
      </c>
      <c r="O104" s="475">
        <f t="shared" si="32"/>
        <v>0</v>
      </c>
      <c r="P104" s="475">
        <f t="shared" si="33"/>
        <v>0</v>
      </c>
    </row>
    <row r="105" spans="1:16" ht="12.5">
      <c r="B105" s="160" t="str">
        <f t="shared" si="28"/>
        <v/>
      </c>
      <c r="C105" s="469">
        <f>IF(D93="","-",+C104+1)</f>
        <v>2024</v>
      </c>
      <c r="D105" s="344">
        <f>IF(F104+SUM(E$99:E104)=D$92,F104,D$92-SUM(E$99:E104))</f>
        <v>249335.10000000003</v>
      </c>
      <c r="E105" s="481">
        <f t="shared" ref="E105:E154" si="34">IF(+J$96&lt;F104,J$96,D105)</f>
        <v>7602</v>
      </c>
      <c r="F105" s="482">
        <f t="shared" ref="F105:F154" si="35">+D105-E105</f>
        <v>241733.10000000003</v>
      </c>
      <c r="G105" s="482">
        <f t="shared" ref="G105:G154" si="36">+(F105+D105)/2</f>
        <v>245534.10000000003</v>
      </c>
      <c r="H105" s="483">
        <f t="shared" ref="H105:H153" si="37">(D105+F105)/2*J$94+E105</f>
        <v>40581.823513436779</v>
      </c>
      <c r="I105" s="539">
        <f t="shared" ref="I105:I153" si="38">+J$95*G105+E105</f>
        <v>40581.823513436779</v>
      </c>
      <c r="J105" s="475">
        <f t="shared" si="25"/>
        <v>0</v>
      </c>
      <c r="K105" s="475"/>
      <c r="L105" s="484"/>
      <c r="M105" s="475">
        <f t="shared" ref="M105:M130" si="39">IF(L105&lt;&gt;0,+H105-L105,0)</f>
        <v>0</v>
      </c>
      <c r="N105" s="484"/>
      <c r="O105" s="475">
        <f t="shared" si="26"/>
        <v>0</v>
      </c>
      <c r="P105" s="475">
        <f t="shared" si="27"/>
        <v>0</v>
      </c>
    </row>
    <row r="106" spans="1:16" ht="12.5">
      <c r="B106" s="160" t="str">
        <f t="shared" si="28"/>
        <v/>
      </c>
      <c r="C106" s="469">
        <f>IF(D93="","-",+C105+1)</f>
        <v>2025</v>
      </c>
      <c r="D106" s="344">
        <f>IF(F105+SUM(E$99:E105)=D$92,F105,D$92-SUM(E$99:E105))</f>
        <v>241733.10000000003</v>
      </c>
      <c r="E106" s="481">
        <f t="shared" si="34"/>
        <v>7602</v>
      </c>
      <c r="F106" s="482">
        <f t="shared" si="35"/>
        <v>234131.10000000003</v>
      </c>
      <c r="G106" s="482">
        <f t="shared" si="36"/>
        <v>237932.10000000003</v>
      </c>
      <c r="H106" s="483">
        <f t="shared" si="37"/>
        <v>39560.732681861264</v>
      </c>
      <c r="I106" s="539">
        <f t="shared" si="38"/>
        <v>39560.732681861264</v>
      </c>
      <c r="J106" s="475">
        <f t="shared" si="25"/>
        <v>0</v>
      </c>
      <c r="K106" s="475"/>
      <c r="L106" s="484"/>
      <c r="M106" s="475">
        <f t="shared" si="39"/>
        <v>0</v>
      </c>
      <c r="N106" s="484"/>
      <c r="O106" s="475">
        <f t="shared" si="26"/>
        <v>0</v>
      </c>
      <c r="P106" s="475">
        <f t="shared" si="27"/>
        <v>0</v>
      </c>
    </row>
    <row r="107" spans="1:16" ht="12.5">
      <c r="B107" s="160" t="str">
        <f t="shared" si="28"/>
        <v/>
      </c>
      <c r="C107" s="469">
        <f>IF(D93="","-",+C106+1)</f>
        <v>2026</v>
      </c>
      <c r="D107" s="344">
        <f>IF(F106+SUM(E$99:E106)=D$92,F106,D$92-SUM(E$99:E106))</f>
        <v>234131.10000000003</v>
      </c>
      <c r="E107" s="481">
        <f t="shared" si="34"/>
        <v>7602</v>
      </c>
      <c r="F107" s="482">
        <f t="shared" si="35"/>
        <v>226529.10000000003</v>
      </c>
      <c r="G107" s="482">
        <f t="shared" si="36"/>
        <v>230330.10000000003</v>
      </c>
      <c r="H107" s="483">
        <f t="shared" si="37"/>
        <v>38539.641850285741</v>
      </c>
      <c r="I107" s="539">
        <f t="shared" si="38"/>
        <v>38539.641850285741</v>
      </c>
      <c r="J107" s="475">
        <f t="shared" si="25"/>
        <v>0</v>
      </c>
      <c r="K107" s="475"/>
      <c r="L107" s="484"/>
      <c r="M107" s="475">
        <f t="shared" si="39"/>
        <v>0</v>
      </c>
      <c r="N107" s="484"/>
      <c r="O107" s="475">
        <f t="shared" si="26"/>
        <v>0</v>
      </c>
      <c r="P107" s="475">
        <f t="shared" si="27"/>
        <v>0</v>
      </c>
    </row>
    <row r="108" spans="1:16" ht="12.5">
      <c r="B108" s="160" t="str">
        <f t="shared" si="28"/>
        <v/>
      </c>
      <c r="C108" s="469">
        <f>IF(D93="","-",+C107+1)</f>
        <v>2027</v>
      </c>
      <c r="D108" s="344">
        <f>IF(F107+SUM(E$99:E107)=D$92,F107,D$92-SUM(E$99:E107))</f>
        <v>226529.10000000003</v>
      </c>
      <c r="E108" s="481">
        <f t="shared" si="34"/>
        <v>7602</v>
      </c>
      <c r="F108" s="482">
        <f t="shared" si="35"/>
        <v>218927.10000000003</v>
      </c>
      <c r="G108" s="482">
        <f t="shared" si="36"/>
        <v>222728.10000000003</v>
      </c>
      <c r="H108" s="483">
        <f t="shared" si="37"/>
        <v>37518.551018710226</v>
      </c>
      <c r="I108" s="539">
        <f t="shared" si="38"/>
        <v>37518.551018710226</v>
      </c>
      <c r="J108" s="475">
        <f t="shared" si="25"/>
        <v>0</v>
      </c>
      <c r="K108" s="475"/>
      <c r="L108" s="484"/>
      <c r="M108" s="475">
        <f t="shared" si="39"/>
        <v>0</v>
      </c>
      <c r="N108" s="484"/>
      <c r="O108" s="475">
        <f t="shared" si="26"/>
        <v>0</v>
      </c>
      <c r="P108" s="475">
        <f t="shared" si="27"/>
        <v>0</v>
      </c>
    </row>
    <row r="109" spans="1:16" ht="12.5">
      <c r="B109" s="160" t="str">
        <f t="shared" si="28"/>
        <v/>
      </c>
      <c r="C109" s="469">
        <f>IF(D93="","-",+C108+1)</f>
        <v>2028</v>
      </c>
      <c r="D109" s="344">
        <f>IF(F108+SUM(E$99:E108)=D$92,F108,D$92-SUM(E$99:E108))</f>
        <v>218927.10000000003</v>
      </c>
      <c r="E109" s="481">
        <f t="shared" si="34"/>
        <v>7602</v>
      </c>
      <c r="F109" s="482">
        <f t="shared" si="35"/>
        <v>211325.10000000003</v>
      </c>
      <c r="G109" s="482">
        <f t="shared" si="36"/>
        <v>215126.10000000003</v>
      </c>
      <c r="H109" s="483">
        <f t="shared" si="37"/>
        <v>36497.460187134711</v>
      </c>
      <c r="I109" s="539">
        <f t="shared" si="38"/>
        <v>36497.460187134711</v>
      </c>
      <c r="J109" s="475">
        <f t="shared" si="25"/>
        <v>0</v>
      </c>
      <c r="K109" s="475"/>
      <c r="L109" s="484"/>
      <c r="M109" s="475">
        <f t="shared" si="39"/>
        <v>0</v>
      </c>
      <c r="N109" s="484"/>
      <c r="O109" s="475">
        <f t="shared" si="26"/>
        <v>0</v>
      </c>
      <c r="P109" s="475">
        <f t="shared" si="27"/>
        <v>0</v>
      </c>
    </row>
    <row r="110" spans="1:16" ht="12.5">
      <c r="B110" s="160" t="str">
        <f t="shared" si="28"/>
        <v/>
      </c>
      <c r="C110" s="469">
        <f>IF(D93="","-",+C109+1)</f>
        <v>2029</v>
      </c>
      <c r="D110" s="344">
        <f>IF(F109+SUM(E$99:E109)=D$92,F109,D$92-SUM(E$99:E109))</f>
        <v>211325.10000000003</v>
      </c>
      <c r="E110" s="481">
        <f t="shared" si="34"/>
        <v>7602</v>
      </c>
      <c r="F110" s="482">
        <f t="shared" si="35"/>
        <v>203723.10000000003</v>
      </c>
      <c r="G110" s="482">
        <f t="shared" si="36"/>
        <v>207524.10000000003</v>
      </c>
      <c r="H110" s="483">
        <f t="shared" si="37"/>
        <v>35476.369355559189</v>
      </c>
      <c r="I110" s="539">
        <f t="shared" si="38"/>
        <v>35476.369355559189</v>
      </c>
      <c r="J110" s="475">
        <f t="shared" si="25"/>
        <v>0</v>
      </c>
      <c r="K110" s="475"/>
      <c r="L110" s="484"/>
      <c r="M110" s="475">
        <f t="shared" si="39"/>
        <v>0</v>
      </c>
      <c r="N110" s="484"/>
      <c r="O110" s="475">
        <f t="shared" si="26"/>
        <v>0</v>
      </c>
      <c r="P110" s="475">
        <f t="shared" si="27"/>
        <v>0</v>
      </c>
    </row>
    <row r="111" spans="1:16" ht="12.5">
      <c r="B111" s="160" t="str">
        <f t="shared" si="28"/>
        <v/>
      </c>
      <c r="C111" s="469">
        <f>IF(D93="","-",+C110+1)</f>
        <v>2030</v>
      </c>
      <c r="D111" s="344">
        <f>IF(F110+SUM(E$99:E110)=D$92,F110,D$92-SUM(E$99:E110))</f>
        <v>203723.10000000003</v>
      </c>
      <c r="E111" s="481">
        <f t="shared" si="34"/>
        <v>7602</v>
      </c>
      <c r="F111" s="482">
        <f t="shared" si="35"/>
        <v>196121.10000000003</v>
      </c>
      <c r="G111" s="482">
        <f t="shared" si="36"/>
        <v>199922.10000000003</v>
      </c>
      <c r="H111" s="483">
        <f t="shared" si="37"/>
        <v>34455.278523983674</v>
      </c>
      <c r="I111" s="539">
        <f t="shared" si="38"/>
        <v>34455.278523983674</v>
      </c>
      <c r="J111" s="475">
        <f t="shared" si="25"/>
        <v>0</v>
      </c>
      <c r="K111" s="475"/>
      <c r="L111" s="484"/>
      <c r="M111" s="475">
        <f t="shared" si="39"/>
        <v>0</v>
      </c>
      <c r="N111" s="484"/>
      <c r="O111" s="475">
        <f t="shared" si="26"/>
        <v>0</v>
      </c>
      <c r="P111" s="475">
        <f t="shared" si="27"/>
        <v>0</v>
      </c>
    </row>
    <row r="112" spans="1:16" ht="12.5">
      <c r="B112" s="160" t="str">
        <f t="shared" si="28"/>
        <v/>
      </c>
      <c r="C112" s="469">
        <f>IF(D93="","-",+C111+1)</f>
        <v>2031</v>
      </c>
      <c r="D112" s="344">
        <f>IF(F111+SUM(E$99:E111)=D$92,F111,D$92-SUM(E$99:E111))</f>
        <v>196121.10000000003</v>
      </c>
      <c r="E112" s="481">
        <f t="shared" si="34"/>
        <v>7602</v>
      </c>
      <c r="F112" s="482">
        <f t="shared" si="35"/>
        <v>188519.10000000003</v>
      </c>
      <c r="G112" s="482">
        <f t="shared" si="36"/>
        <v>192320.10000000003</v>
      </c>
      <c r="H112" s="483">
        <f t="shared" si="37"/>
        <v>33434.187692408159</v>
      </c>
      <c r="I112" s="539">
        <f t="shared" si="38"/>
        <v>33434.187692408159</v>
      </c>
      <c r="J112" s="475">
        <f t="shared" si="25"/>
        <v>0</v>
      </c>
      <c r="K112" s="475"/>
      <c r="L112" s="484"/>
      <c r="M112" s="475">
        <f t="shared" si="39"/>
        <v>0</v>
      </c>
      <c r="N112" s="484"/>
      <c r="O112" s="475">
        <f t="shared" si="26"/>
        <v>0</v>
      </c>
      <c r="P112" s="475">
        <f t="shared" si="27"/>
        <v>0</v>
      </c>
    </row>
    <row r="113" spans="2:16" ht="12.5">
      <c r="B113" s="160" t="str">
        <f t="shared" si="28"/>
        <v/>
      </c>
      <c r="C113" s="469">
        <f>IF(D93="","-",+C112+1)</f>
        <v>2032</v>
      </c>
      <c r="D113" s="344">
        <f>IF(F112+SUM(E$99:E112)=D$92,F112,D$92-SUM(E$99:E112))</f>
        <v>188519.10000000003</v>
      </c>
      <c r="E113" s="481">
        <f t="shared" si="34"/>
        <v>7602</v>
      </c>
      <c r="F113" s="482">
        <f t="shared" si="35"/>
        <v>180917.10000000003</v>
      </c>
      <c r="G113" s="482">
        <f t="shared" si="36"/>
        <v>184718.10000000003</v>
      </c>
      <c r="H113" s="483">
        <f t="shared" si="37"/>
        <v>32413.096860832637</v>
      </c>
      <c r="I113" s="539">
        <f t="shared" si="38"/>
        <v>32413.096860832637</v>
      </c>
      <c r="J113" s="475">
        <f t="shared" si="25"/>
        <v>0</v>
      </c>
      <c r="K113" s="475"/>
      <c r="L113" s="484"/>
      <c r="M113" s="475">
        <f t="shared" si="39"/>
        <v>0</v>
      </c>
      <c r="N113" s="484"/>
      <c r="O113" s="475">
        <f t="shared" si="26"/>
        <v>0</v>
      </c>
      <c r="P113" s="475">
        <f t="shared" si="27"/>
        <v>0</v>
      </c>
    </row>
    <row r="114" spans="2:16" ht="12.5">
      <c r="B114" s="160" t="str">
        <f t="shared" si="28"/>
        <v/>
      </c>
      <c r="C114" s="469">
        <f>IF(D93="","-",+C113+1)</f>
        <v>2033</v>
      </c>
      <c r="D114" s="344">
        <f>IF(F113+SUM(E$99:E113)=D$92,F113,D$92-SUM(E$99:E113))</f>
        <v>180917.10000000003</v>
      </c>
      <c r="E114" s="481">
        <f t="shared" si="34"/>
        <v>7602</v>
      </c>
      <c r="F114" s="482">
        <f t="shared" si="35"/>
        <v>173315.10000000003</v>
      </c>
      <c r="G114" s="482">
        <f t="shared" si="36"/>
        <v>177116.10000000003</v>
      </c>
      <c r="H114" s="483">
        <f t="shared" si="37"/>
        <v>31392.006029257122</v>
      </c>
      <c r="I114" s="539">
        <f t="shared" si="38"/>
        <v>31392.006029257122</v>
      </c>
      <c r="J114" s="475">
        <f t="shared" si="25"/>
        <v>0</v>
      </c>
      <c r="K114" s="475"/>
      <c r="L114" s="484"/>
      <c r="M114" s="475">
        <f t="shared" si="39"/>
        <v>0</v>
      </c>
      <c r="N114" s="484"/>
      <c r="O114" s="475">
        <f t="shared" si="26"/>
        <v>0</v>
      </c>
      <c r="P114" s="475">
        <f t="shared" si="27"/>
        <v>0</v>
      </c>
    </row>
    <row r="115" spans="2:16" ht="12.5">
      <c r="B115" s="160" t="str">
        <f t="shared" si="28"/>
        <v/>
      </c>
      <c r="C115" s="469">
        <f>IF(D93="","-",+C114+1)</f>
        <v>2034</v>
      </c>
      <c r="D115" s="344">
        <f>IF(F114+SUM(E$99:E114)=D$92,F114,D$92-SUM(E$99:E114))</f>
        <v>173315.10000000003</v>
      </c>
      <c r="E115" s="481">
        <f t="shared" si="34"/>
        <v>7602</v>
      </c>
      <c r="F115" s="482">
        <f t="shared" si="35"/>
        <v>165713.10000000003</v>
      </c>
      <c r="G115" s="482">
        <f t="shared" si="36"/>
        <v>169514.10000000003</v>
      </c>
      <c r="H115" s="483">
        <f t="shared" si="37"/>
        <v>30370.915197681603</v>
      </c>
      <c r="I115" s="539">
        <f t="shared" si="38"/>
        <v>30370.915197681603</v>
      </c>
      <c r="J115" s="475">
        <f t="shared" si="25"/>
        <v>0</v>
      </c>
      <c r="K115" s="475"/>
      <c r="L115" s="484"/>
      <c r="M115" s="475">
        <f t="shared" si="39"/>
        <v>0</v>
      </c>
      <c r="N115" s="484"/>
      <c r="O115" s="475">
        <f t="shared" si="26"/>
        <v>0</v>
      </c>
      <c r="P115" s="475">
        <f t="shared" si="27"/>
        <v>0</v>
      </c>
    </row>
    <row r="116" spans="2:16" ht="12.5">
      <c r="B116" s="160" t="str">
        <f t="shared" si="28"/>
        <v/>
      </c>
      <c r="C116" s="469">
        <f>IF(D93="","-",+C115+1)</f>
        <v>2035</v>
      </c>
      <c r="D116" s="344">
        <f>IF(F115+SUM(E$99:E115)=D$92,F115,D$92-SUM(E$99:E115))</f>
        <v>165713.10000000003</v>
      </c>
      <c r="E116" s="481">
        <f t="shared" si="34"/>
        <v>7602</v>
      </c>
      <c r="F116" s="482">
        <f t="shared" si="35"/>
        <v>158111.10000000003</v>
      </c>
      <c r="G116" s="482">
        <f t="shared" si="36"/>
        <v>161912.10000000003</v>
      </c>
      <c r="H116" s="483">
        <f t="shared" si="37"/>
        <v>29349.824366106084</v>
      </c>
      <c r="I116" s="539">
        <f t="shared" si="38"/>
        <v>29349.824366106084</v>
      </c>
      <c r="J116" s="475">
        <f t="shared" si="25"/>
        <v>0</v>
      </c>
      <c r="K116" s="475"/>
      <c r="L116" s="484"/>
      <c r="M116" s="475">
        <f t="shared" si="39"/>
        <v>0</v>
      </c>
      <c r="N116" s="484"/>
      <c r="O116" s="475">
        <f t="shared" si="26"/>
        <v>0</v>
      </c>
      <c r="P116" s="475">
        <f t="shared" si="27"/>
        <v>0</v>
      </c>
    </row>
    <row r="117" spans="2:16" ht="12.5">
      <c r="B117" s="160" t="str">
        <f t="shared" si="28"/>
        <v/>
      </c>
      <c r="C117" s="469">
        <f>IF(D93="","-",+C116+1)</f>
        <v>2036</v>
      </c>
      <c r="D117" s="344">
        <f>IF(F116+SUM(E$99:E116)=D$92,F116,D$92-SUM(E$99:E116))</f>
        <v>158111.10000000003</v>
      </c>
      <c r="E117" s="481">
        <f t="shared" si="34"/>
        <v>7602</v>
      </c>
      <c r="F117" s="482">
        <f t="shared" si="35"/>
        <v>150509.10000000003</v>
      </c>
      <c r="G117" s="482">
        <f t="shared" si="36"/>
        <v>154310.10000000003</v>
      </c>
      <c r="H117" s="483">
        <f t="shared" si="37"/>
        <v>28328.733534530566</v>
      </c>
      <c r="I117" s="539">
        <f t="shared" si="38"/>
        <v>28328.733534530566</v>
      </c>
      <c r="J117" s="475">
        <f t="shared" si="25"/>
        <v>0</v>
      </c>
      <c r="K117" s="475"/>
      <c r="L117" s="484"/>
      <c r="M117" s="475">
        <f t="shared" si="39"/>
        <v>0</v>
      </c>
      <c r="N117" s="484"/>
      <c r="O117" s="475">
        <f t="shared" si="26"/>
        <v>0</v>
      </c>
      <c r="P117" s="475">
        <f t="shared" si="27"/>
        <v>0</v>
      </c>
    </row>
    <row r="118" spans="2:16" ht="12.5">
      <c r="B118" s="160" t="str">
        <f t="shared" si="28"/>
        <v/>
      </c>
      <c r="C118" s="469">
        <f>IF(D93="","-",+C117+1)</f>
        <v>2037</v>
      </c>
      <c r="D118" s="344">
        <f>IF(F117+SUM(E$99:E117)=D$92,F117,D$92-SUM(E$99:E117))</f>
        <v>150509.10000000003</v>
      </c>
      <c r="E118" s="481">
        <f t="shared" si="34"/>
        <v>7602</v>
      </c>
      <c r="F118" s="482">
        <f t="shared" si="35"/>
        <v>142907.10000000003</v>
      </c>
      <c r="G118" s="482">
        <f t="shared" si="36"/>
        <v>146708.10000000003</v>
      </c>
      <c r="H118" s="483">
        <f t="shared" si="37"/>
        <v>27307.642702955047</v>
      </c>
      <c r="I118" s="539">
        <f t="shared" si="38"/>
        <v>27307.642702955047</v>
      </c>
      <c r="J118" s="475">
        <f t="shared" si="25"/>
        <v>0</v>
      </c>
      <c r="K118" s="475"/>
      <c r="L118" s="484"/>
      <c r="M118" s="475">
        <f t="shared" si="39"/>
        <v>0</v>
      </c>
      <c r="N118" s="484"/>
      <c r="O118" s="475">
        <f t="shared" si="26"/>
        <v>0</v>
      </c>
      <c r="P118" s="475">
        <f t="shared" si="27"/>
        <v>0</v>
      </c>
    </row>
    <row r="119" spans="2:16" ht="12.5">
      <c r="B119" s="160" t="str">
        <f t="shared" si="28"/>
        <v/>
      </c>
      <c r="C119" s="469">
        <f>IF(D93="","-",+C118+1)</f>
        <v>2038</v>
      </c>
      <c r="D119" s="344">
        <f>IF(F118+SUM(E$99:E118)=D$92,F118,D$92-SUM(E$99:E118))</f>
        <v>142907.10000000003</v>
      </c>
      <c r="E119" s="481">
        <f t="shared" si="34"/>
        <v>7602</v>
      </c>
      <c r="F119" s="482">
        <f t="shared" si="35"/>
        <v>135305.10000000003</v>
      </c>
      <c r="G119" s="482">
        <f t="shared" si="36"/>
        <v>139106.10000000003</v>
      </c>
      <c r="H119" s="483">
        <f t="shared" si="37"/>
        <v>26286.551871379532</v>
      </c>
      <c r="I119" s="539">
        <f t="shared" si="38"/>
        <v>26286.551871379532</v>
      </c>
      <c r="J119" s="475">
        <f t="shared" si="25"/>
        <v>0</v>
      </c>
      <c r="K119" s="475"/>
      <c r="L119" s="484"/>
      <c r="M119" s="475">
        <f t="shared" si="39"/>
        <v>0</v>
      </c>
      <c r="N119" s="484"/>
      <c r="O119" s="475">
        <f t="shared" si="26"/>
        <v>0</v>
      </c>
      <c r="P119" s="475">
        <f t="shared" si="27"/>
        <v>0</v>
      </c>
    </row>
    <row r="120" spans="2:16" ht="12.5">
      <c r="B120" s="160" t="str">
        <f t="shared" si="28"/>
        <v/>
      </c>
      <c r="C120" s="469">
        <f>IF(D93="","-",+C119+1)</f>
        <v>2039</v>
      </c>
      <c r="D120" s="344">
        <f>IF(F119+SUM(E$99:E119)=D$92,F119,D$92-SUM(E$99:E119))</f>
        <v>135305.10000000003</v>
      </c>
      <c r="E120" s="481">
        <f t="shared" si="34"/>
        <v>7602</v>
      </c>
      <c r="F120" s="482">
        <f t="shared" si="35"/>
        <v>127703.10000000003</v>
      </c>
      <c r="G120" s="482">
        <f t="shared" si="36"/>
        <v>131504.10000000003</v>
      </c>
      <c r="H120" s="483">
        <f t="shared" si="37"/>
        <v>25265.461039804013</v>
      </c>
      <c r="I120" s="539">
        <f t="shared" si="38"/>
        <v>25265.461039804013</v>
      </c>
      <c r="J120" s="475">
        <f t="shared" si="25"/>
        <v>0</v>
      </c>
      <c r="K120" s="475"/>
      <c r="L120" s="484"/>
      <c r="M120" s="475">
        <f t="shared" si="39"/>
        <v>0</v>
      </c>
      <c r="N120" s="484"/>
      <c r="O120" s="475">
        <f t="shared" si="26"/>
        <v>0</v>
      </c>
      <c r="P120" s="475">
        <f t="shared" si="27"/>
        <v>0</v>
      </c>
    </row>
    <row r="121" spans="2:16" ht="12.5">
      <c r="B121" s="160" t="str">
        <f t="shared" si="28"/>
        <v/>
      </c>
      <c r="C121" s="469">
        <f>IF(D93="","-",+C120+1)</f>
        <v>2040</v>
      </c>
      <c r="D121" s="344">
        <f>IF(F120+SUM(E$99:E120)=D$92,F120,D$92-SUM(E$99:E120))</f>
        <v>127703.10000000003</v>
      </c>
      <c r="E121" s="481">
        <f t="shared" si="34"/>
        <v>7602</v>
      </c>
      <c r="F121" s="482">
        <f t="shared" si="35"/>
        <v>120101.10000000003</v>
      </c>
      <c r="G121" s="482">
        <f t="shared" si="36"/>
        <v>123902.10000000003</v>
      </c>
      <c r="H121" s="483">
        <f t="shared" si="37"/>
        <v>24244.370208228494</v>
      </c>
      <c r="I121" s="539">
        <f t="shared" si="38"/>
        <v>24244.370208228494</v>
      </c>
      <c r="J121" s="475">
        <f t="shared" si="25"/>
        <v>0</v>
      </c>
      <c r="K121" s="475"/>
      <c r="L121" s="484"/>
      <c r="M121" s="475">
        <f t="shared" si="39"/>
        <v>0</v>
      </c>
      <c r="N121" s="484"/>
      <c r="O121" s="475">
        <f t="shared" si="26"/>
        <v>0</v>
      </c>
      <c r="P121" s="475">
        <f t="shared" si="27"/>
        <v>0</v>
      </c>
    </row>
    <row r="122" spans="2:16" ht="12.5">
      <c r="B122" s="160" t="str">
        <f t="shared" si="28"/>
        <v/>
      </c>
      <c r="C122" s="469">
        <f>IF(D93="","-",+C121+1)</f>
        <v>2041</v>
      </c>
      <c r="D122" s="344">
        <f>IF(F121+SUM(E$99:E121)=D$92,F121,D$92-SUM(E$99:E121))</f>
        <v>120101.10000000003</v>
      </c>
      <c r="E122" s="481">
        <f t="shared" si="34"/>
        <v>7602</v>
      </c>
      <c r="F122" s="482">
        <f t="shared" si="35"/>
        <v>112499.10000000003</v>
      </c>
      <c r="G122" s="482">
        <f t="shared" si="36"/>
        <v>116300.10000000003</v>
      </c>
      <c r="H122" s="483">
        <f t="shared" si="37"/>
        <v>23223.279376652979</v>
      </c>
      <c r="I122" s="539">
        <f t="shared" si="38"/>
        <v>23223.279376652979</v>
      </c>
      <c r="J122" s="475">
        <f t="shared" si="25"/>
        <v>0</v>
      </c>
      <c r="K122" s="475"/>
      <c r="L122" s="484"/>
      <c r="M122" s="475">
        <f t="shared" si="39"/>
        <v>0</v>
      </c>
      <c r="N122" s="484"/>
      <c r="O122" s="475">
        <f t="shared" si="26"/>
        <v>0</v>
      </c>
      <c r="P122" s="475">
        <f t="shared" si="27"/>
        <v>0</v>
      </c>
    </row>
    <row r="123" spans="2:16" ht="12.5">
      <c r="B123" s="160" t="str">
        <f t="shared" si="28"/>
        <v/>
      </c>
      <c r="C123" s="469">
        <f>IF(D93="","-",+C122+1)</f>
        <v>2042</v>
      </c>
      <c r="D123" s="344">
        <f>IF(F122+SUM(E$99:E122)=D$92,F122,D$92-SUM(E$99:E122))</f>
        <v>112499.10000000003</v>
      </c>
      <c r="E123" s="481">
        <f t="shared" si="34"/>
        <v>7602</v>
      </c>
      <c r="F123" s="482">
        <f t="shared" si="35"/>
        <v>104897.10000000003</v>
      </c>
      <c r="G123" s="482">
        <f t="shared" si="36"/>
        <v>108698.10000000003</v>
      </c>
      <c r="H123" s="483">
        <f t="shared" si="37"/>
        <v>22202.188545077457</v>
      </c>
      <c r="I123" s="539">
        <f t="shared" si="38"/>
        <v>22202.188545077457</v>
      </c>
      <c r="J123" s="475">
        <f t="shared" si="25"/>
        <v>0</v>
      </c>
      <c r="K123" s="475"/>
      <c r="L123" s="484"/>
      <c r="M123" s="475">
        <f t="shared" si="39"/>
        <v>0</v>
      </c>
      <c r="N123" s="484"/>
      <c r="O123" s="475">
        <f t="shared" si="26"/>
        <v>0</v>
      </c>
      <c r="P123" s="475">
        <f t="shared" si="27"/>
        <v>0</v>
      </c>
    </row>
    <row r="124" spans="2:16" ht="12.5">
      <c r="B124" s="160" t="str">
        <f t="shared" si="28"/>
        <v/>
      </c>
      <c r="C124" s="469">
        <f>IF(D93="","-",+C123+1)</f>
        <v>2043</v>
      </c>
      <c r="D124" s="344">
        <f>IF(F123+SUM(E$99:E123)=D$92,F123,D$92-SUM(E$99:E123))</f>
        <v>104897.10000000003</v>
      </c>
      <c r="E124" s="481">
        <f t="shared" si="34"/>
        <v>7602</v>
      </c>
      <c r="F124" s="482">
        <f t="shared" si="35"/>
        <v>97295.100000000035</v>
      </c>
      <c r="G124" s="482">
        <f t="shared" si="36"/>
        <v>101096.10000000003</v>
      </c>
      <c r="H124" s="483">
        <f t="shared" si="37"/>
        <v>21181.097713501942</v>
      </c>
      <c r="I124" s="539">
        <f t="shared" si="38"/>
        <v>21181.097713501942</v>
      </c>
      <c r="J124" s="475">
        <f t="shared" si="25"/>
        <v>0</v>
      </c>
      <c r="K124" s="475"/>
      <c r="L124" s="484"/>
      <c r="M124" s="475">
        <f t="shared" si="39"/>
        <v>0</v>
      </c>
      <c r="N124" s="484"/>
      <c r="O124" s="475">
        <f t="shared" si="26"/>
        <v>0</v>
      </c>
      <c r="P124" s="475">
        <f t="shared" si="27"/>
        <v>0</v>
      </c>
    </row>
    <row r="125" spans="2:16" ht="12.5">
      <c r="B125" s="160" t="str">
        <f t="shared" si="28"/>
        <v/>
      </c>
      <c r="C125" s="469">
        <f>IF(D93="","-",+C124+1)</f>
        <v>2044</v>
      </c>
      <c r="D125" s="344">
        <f>IF(F124+SUM(E$99:E124)=D$92,F124,D$92-SUM(E$99:E124))</f>
        <v>97295.100000000035</v>
      </c>
      <c r="E125" s="481">
        <f t="shared" si="34"/>
        <v>7602</v>
      </c>
      <c r="F125" s="482">
        <f t="shared" si="35"/>
        <v>89693.100000000035</v>
      </c>
      <c r="G125" s="482">
        <f t="shared" si="36"/>
        <v>93494.100000000035</v>
      </c>
      <c r="H125" s="483">
        <f t="shared" si="37"/>
        <v>20160.006881926423</v>
      </c>
      <c r="I125" s="539">
        <f t="shared" si="38"/>
        <v>20160.006881926423</v>
      </c>
      <c r="J125" s="475">
        <f t="shared" si="25"/>
        <v>0</v>
      </c>
      <c r="K125" s="475"/>
      <c r="L125" s="484"/>
      <c r="M125" s="475">
        <f t="shared" si="39"/>
        <v>0</v>
      </c>
      <c r="N125" s="484"/>
      <c r="O125" s="475">
        <f t="shared" si="26"/>
        <v>0</v>
      </c>
      <c r="P125" s="475">
        <f t="shared" si="27"/>
        <v>0</v>
      </c>
    </row>
    <row r="126" spans="2:16" ht="12.5">
      <c r="B126" s="160" t="str">
        <f t="shared" si="28"/>
        <v/>
      </c>
      <c r="C126" s="469">
        <f>IF(D93="","-",+C125+1)</f>
        <v>2045</v>
      </c>
      <c r="D126" s="344">
        <f>IF(F125+SUM(E$99:E125)=D$92,F125,D$92-SUM(E$99:E125))</f>
        <v>89693.100000000035</v>
      </c>
      <c r="E126" s="481">
        <f t="shared" si="34"/>
        <v>7602</v>
      </c>
      <c r="F126" s="482">
        <f t="shared" si="35"/>
        <v>82091.100000000035</v>
      </c>
      <c r="G126" s="482">
        <f t="shared" si="36"/>
        <v>85892.100000000035</v>
      </c>
      <c r="H126" s="483">
        <f t="shared" si="37"/>
        <v>19138.916050350905</v>
      </c>
      <c r="I126" s="539">
        <f t="shared" si="38"/>
        <v>19138.916050350905</v>
      </c>
      <c r="J126" s="475">
        <f t="shared" si="25"/>
        <v>0</v>
      </c>
      <c r="K126" s="475"/>
      <c r="L126" s="484"/>
      <c r="M126" s="475">
        <f t="shared" si="39"/>
        <v>0</v>
      </c>
      <c r="N126" s="484"/>
      <c r="O126" s="475">
        <f t="shared" si="26"/>
        <v>0</v>
      </c>
      <c r="P126" s="475">
        <f t="shared" si="27"/>
        <v>0</v>
      </c>
    </row>
    <row r="127" spans="2:16" ht="12.5">
      <c r="B127" s="160" t="str">
        <f t="shared" si="28"/>
        <v/>
      </c>
      <c r="C127" s="469">
        <f>IF(D93="","-",+C126+1)</f>
        <v>2046</v>
      </c>
      <c r="D127" s="344">
        <f>IF(F126+SUM(E$99:E126)=D$92,F126,D$92-SUM(E$99:E126))</f>
        <v>82091.100000000035</v>
      </c>
      <c r="E127" s="481">
        <f t="shared" si="34"/>
        <v>7602</v>
      </c>
      <c r="F127" s="482">
        <f t="shared" si="35"/>
        <v>74489.100000000035</v>
      </c>
      <c r="G127" s="482">
        <f t="shared" si="36"/>
        <v>78290.100000000035</v>
      </c>
      <c r="H127" s="483">
        <f t="shared" si="37"/>
        <v>18117.82521877539</v>
      </c>
      <c r="I127" s="539">
        <f t="shared" si="38"/>
        <v>18117.82521877539</v>
      </c>
      <c r="J127" s="475">
        <f t="shared" si="25"/>
        <v>0</v>
      </c>
      <c r="K127" s="475"/>
      <c r="L127" s="484"/>
      <c r="M127" s="475">
        <f t="shared" si="39"/>
        <v>0</v>
      </c>
      <c r="N127" s="484"/>
      <c r="O127" s="475">
        <f t="shared" si="26"/>
        <v>0</v>
      </c>
      <c r="P127" s="475">
        <f t="shared" si="27"/>
        <v>0</v>
      </c>
    </row>
    <row r="128" spans="2:16" ht="12.5">
      <c r="B128" s="160" t="str">
        <f t="shared" si="28"/>
        <v/>
      </c>
      <c r="C128" s="469">
        <f>IF(D93="","-",+C127+1)</f>
        <v>2047</v>
      </c>
      <c r="D128" s="344">
        <f>IF(F127+SUM(E$99:E127)=D$92,F127,D$92-SUM(E$99:E127))</f>
        <v>74489.100000000035</v>
      </c>
      <c r="E128" s="481">
        <f t="shared" si="34"/>
        <v>7602</v>
      </c>
      <c r="F128" s="482">
        <f t="shared" si="35"/>
        <v>66887.100000000035</v>
      </c>
      <c r="G128" s="482">
        <f t="shared" si="36"/>
        <v>70688.100000000035</v>
      </c>
      <c r="H128" s="483">
        <f t="shared" si="37"/>
        <v>17096.734387199867</v>
      </c>
      <c r="I128" s="539">
        <f t="shared" si="38"/>
        <v>17096.734387199867</v>
      </c>
      <c r="J128" s="475">
        <f t="shared" si="25"/>
        <v>0</v>
      </c>
      <c r="K128" s="475"/>
      <c r="L128" s="484"/>
      <c r="M128" s="475">
        <f t="shared" si="39"/>
        <v>0</v>
      </c>
      <c r="N128" s="484"/>
      <c r="O128" s="475">
        <f t="shared" si="26"/>
        <v>0</v>
      </c>
      <c r="P128" s="475">
        <f t="shared" si="27"/>
        <v>0</v>
      </c>
    </row>
    <row r="129" spans="2:16" ht="12.5">
      <c r="B129" s="160" t="str">
        <f t="shared" si="28"/>
        <v/>
      </c>
      <c r="C129" s="469">
        <f>IF(D93="","-",+C128+1)</f>
        <v>2048</v>
      </c>
      <c r="D129" s="344">
        <f>IF(F128+SUM(E$99:E128)=D$92,F128,D$92-SUM(E$99:E128))</f>
        <v>66887.100000000035</v>
      </c>
      <c r="E129" s="481">
        <f t="shared" si="34"/>
        <v>7602</v>
      </c>
      <c r="F129" s="482">
        <f t="shared" si="35"/>
        <v>59285.100000000035</v>
      </c>
      <c r="G129" s="482">
        <f t="shared" si="36"/>
        <v>63086.100000000035</v>
      </c>
      <c r="H129" s="483">
        <f t="shared" si="37"/>
        <v>16075.64355562435</v>
      </c>
      <c r="I129" s="539">
        <f t="shared" si="38"/>
        <v>16075.64355562435</v>
      </c>
      <c r="J129" s="475">
        <f t="shared" si="25"/>
        <v>0</v>
      </c>
      <c r="K129" s="475"/>
      <c r="L129" s="484"/>
      <c r="M129" s="475">
        <f t="shared" si="39"/>
        <v>0</v>
      </c>
      <c r="N129" s="484"/>
      <c r="O129" s="475">
        <f t="shared" si="26"/>
        <v>0</v>
      </c>
      <c r="P129" s="475">
        <f t="shared" si="27"/>
        <v>0</v>
      </c>
    </row>
    <row r="130" spans="2:16" ht="12.5">
      <c r="B130" s="160" t="str">
        <f t="shared" si="28"/>
        <v/>
      </c>
      <c r="C130" s="469">
        <f>IF(D93="","-",+C129+1)</f>
        <v>2049</v>
      </c>
      <c r="D130" s="344">
        <f>IF(F129+SUM(E$99:E129)=D$92,F129,D$92-SUM(E$99:E129))</f>
        <v>59285.100000000035</v>
      </c>
      <c r="E130" s="481">
        <f t="shared" si="34"/>
        <v>7602</v>
      </c>
      <c r="F130" s="482">
        <f t="shared" si="35"/>
        <v>51683.100000000035</v>
      </c>
      <c r="G130" s="482">
        <f t="shared" si="36"/>
        <v>55484.100000000035</v>
      </c>
      <c r="H130" s="483">
        <f t="shared" si="37"/>
        <v>15054.552724048834</v>
      </c>
      <c r="I130" s="539">
        <f t="shared" si="38"/>
        <v>15054.552724048834</v>
      </c>
      <c r="J130" s="475">
        <f t="shared" si="25"/>
        <v>0</v>
      </c>
      <c r="K130" s="475"/>
      <c r="L130" s="484"/>
      <c r="M130" s="475">
        <f t="shared" si="39"/>
        <v>0</v>
      </c>
      <c r="N130" s="484"/>
      <c r="O130" s="475">
        <f t="shared" si="26"/>
        <v>0</v>
      </c>
      <c r="P130" s="475">
        <f t="shared" si="27"/>
        <v>0</v>
      </c>
    </row>
    <row r="131" spans="2:16" ht="12.5">
      <c r="B131" s="160" t="str">
        <f t="shared" si="28"/>
        <v/>
      </c>
      <c r="C131" s="469">
        <f>IF(D93="","-",+C130+1)</f>
        <v>2050</v>
      </c>
      <c r="D131" s="344">
        <f>IF(F130+SUM(E$99:E130)=D$92,F130,D$92-SUM(E$99:E130))</f>
        <v>51683.100000000035</v>
      </c>
      <c r="E131" s="481">
        <f t="shared" si="34"/>
        <v>7602</v>
      </c>
      <c r="F131" s="482">
        <f t="shared" si="35"/>
        <v>44081.100000000035</v>
      </c>
      <c r="G131" s="482">
        <f t="shared" si="36"/>
        <v>47882.100000000035</v>
      </c>
      <c r="H131" s="483">
        <f t="shared" si="37"/>
        <v>14033.461892473315</v>
      </c>
      <c r="I131" s="539">
        <f t="shared" si="38"/>
        <v>14033.461892473315</v>
      </c>
      <c r="J131" s="475">
        <f t="shared" ref="J131:J154" si="40">+I541-H541</f>
        <v>0</v>
      </c>
      <c r="K131" s="475"/>
      <c r="L131" s="484"/>
      <c r="M131" s="475">
        <f t="shared" ref="M131:M154" si="41">IF(L541&lt;&gt;0,+H541-L541,0)</f>
        <v>0</v>
      </c>
      <c r="N131" s="484"/>
      <c r="O131" s="475">
        <f t="shared" ref="O131:O154" si="42">IF(N541&lt;&gt;0,+I541-N541,0)</f>
        <v>0</v>
      </c>
      <c r="P131" s="475">
        <f t="shared" ref="P131:P154" si="43">+O541-M541</f>
        <v>0</v>
      </c>
    </row>
    <row r="132" spans="2:16" ht="12.5">
      <c r="B132" s="160" t="str">
        <f t="shared" si="28"/>
        <v/>
      </c>
      <c r="C132" s="469">
        <f>IF(D93="","-",+C131+1)</f>
        <v>2051</v>
      </c>
      <c r="D132" s="344">
        <f>IF(F131+SUM(E$99:E131)=D$92,F131,D$92-SUM(E$99:E131))</f>
        <v>44081.100000000035</v>
      </c>
      <c r="E132" s="481">
        <f t="shared" si="34"/>
        <v>7602</v>
      </c>
      <c r="F132" s="482">
        <f t="shared" si="35"/>
        <v>36479.100000000035</v>
      </c>
      <c r="G132" s="482">
        <f t="shared" si="36"/>
        <v>40280.100000000035</v>
      </c>
      <c r="H132" s="483">
        <f t="shared" si="37"/>
        <v>13012.371060897796</v>
      </c>
      <c r="I132" s="539">
        <f t="shared" si="38"/>
        <v>13012.371060897796</v>
      </c>
      <c r="J132" s="475">
        <f t="shared" si="40"/>
        <v>0</v>
      </c>
      <c r="K132" s="475"/>
      <c r="L132" s="484"/>
      <c r="M132" s="475">
        <f t="shared" si="41"/>
        <v>0</v>
      </c>
      <c r="N132" s="484"/>
      <c r="O132" s="475">
        <f t="shared" si="42"/>
        <v>0</v>
      </c>
      <c r="P132" s="475">
        <f t="shared" si="43"/>
        <v>0</v>
      </c>
    </row>
    <row r="133" spans="2:16" ht="12.5">
      <c r="B133" s="160" t="str">
        <f t="shared" si="28"/>
        <v/>
      </c>
      <c r="C133" s="469">
        <f>IF(D93="","-",+C132+1)</f>
        <v>2052</v>
      </c>
      <c r="D133" s="344">
        <f>IF(F132+SUM(E$99:E132)=D$92,F132,D$92-SUM(E$99:E132))</f>
        <v>36479.100000000035</v>
      </c>
      <c r="E133" s="481">
        <f t="shared" si="34"/>
        <v>7602</v>
      </c>
      <c r="F133" s="482">
        <f t="shared" si="35"/>
        <v>28877.100000000035</v>
      </c>
      <c r="G133" s="482">
        <f t="shared" si="36"/>
        <v>32678.100000000035</v>
      </c>
      <c r="H133" s="483">
        <f t="shared" si="37"/>
        <v>11991.280229322279</v>
      </c>
      <c r="I133" s="539">
        <f t="shared" si="38"/>
        <v>11991.280229322279</v>
      </c>
      <c r="J133" s="475">
        <f t="shared" si="40"/>
        <v>0</v>
      </c>
      <c r="K133" s="475"/>
      <c r="L133" s="484"/>
      <c r="M133" s="475">
        <f t="shared" si="41"/>
        <v>0</v>
      </c>
      <c r="N133" s="484"/>
      <c r="O133" s="475">
        <f t="shared" si="42"/>
        <v>0</v>
      </c>
      <c r="P133" s="475">
        <f t="shared" si="43"/>
        <v>0</v>
      </c>
    </row>
    <row r="134" spans="2:16" ht="12.5">
      <c r="B134" s="160" t="str">
        <f t="shared" si="28"/>
        <v/>
      </c>
      <c r="C134" s="469">
        <f>IF(D93="","-",+C133+1)</f>
        <v>2053</v>
      </c>
      <c r="D134" s="344">
        <f>IF(F133+SUM(E$99:E133)=D$92,F133,D$92-SUM(E$99:E133))</f>
        <v>28877.100000000035</v>
      </c>
      <c r="E134" s="481">
        <f t="shared" si="34"/>
        <v>7602</v>
      </c>
      <c r="F134" s="482">
        <f t="shared" si="35"/>
        <v>21275.100000000035</v>
      </c>
      <c r="G134" s="482">
        <f t="shared" si="36"/>
        <v>25076.100000000035</v>
      </c>
      <c r="H134" s="483">
        <f t="shared" si="37"/>
        <v>10970.189397746763</v>
      </c>
      <c r="I134" s="539">
        <f t="shared" si="38"/>
        <v>10970.189397746763</v>
      </c>
      <c r="J134" s="475">
        <f t="shared" si="40"/>
        <v>0</v>
      </c>
      <c r="K134" s="475"/>
      <c r="L134" s="484"/>
      <c r="M134" s="475">
        <f t="shared" si="41"/>
        <v>0</v>
      </c>
      <c r="N134" s="484"/>
      <c r="O134" s="475">
        <f t="shared" si="42"/>
        <v>0</v>
      </c>
      <c r="P134" s="475">
        <f t="shared" si="43"/>
        <v>0</v>
      </c>
    </row>
    <row r="135" spans="2:16" ht="12.5">
      <c r="B135" s="160" t="str">
        <f t="shared" si="28"/>
        <v/>
      </c>
      <c r="C135" s="469">
        <f>IF(D93="","-",+C134+1)</f>
        <v>2054</v>
      </c>
      <c r="D135" s="344">
        <f>IF(F134+SUM(E$99:E134)=D$92,F134,D$92-SUM(E$99:E134))</f>
        <v>21275.100000000035</v>
      </c>
      <c r="E135" s="481">
        <f t="shared" si="34"/>
        <v>7602</v>
      </c>
      <c r="F135" s="482">
        <f t="shared" si="35"/>
        <v>13673.100000000035</v>
      </c>
      <c r="G135" s="482">
        <f t="shared" si="36"/>
        <v>17474.100000000035</v>
      </c>
      <c r="H135" s="483">
        <f t="shared" si="37"/>
        <v>9949.0985661712439</v>
      </c>
      <c r="I135" s="539">
        <f t="shared" si="38"/>
        <v>9949.0985661712439</v>
      </c>
      <c r="J135" s="475">
        <f t="shared" si="40"/>
        <v>0</v>
      </c>
      <c r="K135" s="475"/>
      <c r="L135" s="484"/>
      <c r="M135" s="475">
        <f t="shared" si="41"/>
        <v>0</v>
      </c>
      <c r="N135" s="484"/>
      <c r="O135" s="475">
        <f t="shared" si="42"/>
        <v>0</v>
      </c>
      <c r="P135" s="475">
        <f t="shared" si="43"/>
        <v>0</v>
      </c>
    </row>
    <row r="136" spans="2:16" ht="12.5">
      <c r="B136" s="160" t="str">
        <f t="shared" si="28"/>
        <v/>
      </c>
      <c r="C136" s="469">
        <f>IF(D93="","-",+C135+1)</f>
        <v>2055</v>
      </c>
      <c r="D136" s="344">
        <f>IF(F135+SUM(E$99:E135)=D$92,F135,D$92-SUM(E$99:E135))</f>
        <v>13673.100000000035</v>
      </c>
      <c r="E136" s="481">
        <f t="shared" si="34"/>
        <v>7602</v>
      </c>
      <c r="F136" s="482">
        <f t="shared" si="35"/>
        <v>6071.1000000000349</v>
      </c>
      <c r="G136" s="482">
        <f t="shared" si="36"/>
        <v>9872.1000000000349</v>
      </c>
      <c r="H136" s="483">
        <f t="shared" si="37"/>
        <v>8928.0077345957252</v>
      </c>
      <c r="I136" s="539">
        <f t="shared" si="38"/>
        <v>8928.0077345957252</v>
      </c>
      <c r="J136" s="475">
        <f t="shared" si="40"/>
        <v>0</v>
      </c>
      <c r="K136" s="475"/>
      <c r="L136" s="484"/>
      <c r="M136" s="475">
        <f t="shared" si="41"/>
        <v>0</v>
      </c>
      <c r="N136" s="484"/>
      <c r="O136" s="475">
        <f t="shared" si="42"/>
        <v>0</v>
      </c>
      <c r="P136" s="475">
        <f t="shared" si="43"/>
        <v>0</v>
      </c>
    </row>
    <row r="137" spans="2:16" ht="12.5">
      <c r="B137" s="160" t="str">
        <f t="shared" si="28"/>
        <v/>
      </c>
      <c r="C137" s="469">
        <f>IF(D93="","-",+C136+1)</f>
        <v>2056</v>
      </c>
      <c r="D137" s="344">
        <f>IF(F136+SUM(E$99:E136)=D$92,F136,D$92-SUM(E$99:E136))</f>
        <v>6071.1000000000349</v>
      </c>
      <c r="E137" s="481">
        <f t="shared" si="34"/>
        <v>6071.1000000000349</v>
      </c>
      <c r="F137" s="482">
        <f t="shared" si="35"/>
        <v>0</v>
      </c>
      <c r="G137" s="482">
        <f t="shared" si="36"/>
        <v>3035.5500000000175</v>
      </c>
      <c r="H137" s="483">
        <f t="shared" si="37"/>
        <v>6478.8311594040179</v>
      </c>
      <c r="I137" s="539">
        <f t="shared" si="38"/>
        <v>6478.8311594040179</v>
      </c>
      <c r="J137" s="475">
        <f t="shared" si="40"/>
        <v>0</v>
      </c>
      <c r="K137" s="475"/>
      <c r="L137" s="484"/>
      <c r="M137" s="475">
        <f t="shared" si="41"/>
        <v>0</v>
      </c>
      <c r="N137" s="484"/>
      <c r="O137" s="475">
        <f t="shared" si="42"/>
        <v>0</v>
      </c>
      <c r="P137" s="475">
        <f t="shared" si="43"/>
        <v>0</v>
      </c>
    </row>
    <row r="138" spans="2:16" ht="12.5">
      <c r="B138" s="160" t="str">
        <f t="shared" si="28"/>
        <v/>
      </c>
      <c r="C138" s="469">
        <f>IF(D93="","-",+C137+1)</f>
        <v>2057</v>
      </c>
      <c r="D138" s="344">
        <f>IF(F137+SUM(E$99:E137)=D$92,F137,D$92-SUM(E$99:E137))</f>
        <v>0</v>
      </c>
      <c r="E138" s="481">
        <f t="shared" si="34"/>
        <v>0</v>
      </c>
      <c r="F138" s="482">
        <f t="shared" si="35"/>
        <v>0</v>
      </c>
      <c r="G138" s="482">
        <f t="shared" si="36"/>
        <v>0</v>
      </c>
      <c r="H138" s="483">
        <f t="shared" si="37"/>
        <v>0</v>
      </c>
      <c r="I138" s="539">
        <f t="shared" si="38"/>
        <v>0</v>
      </c>
      <c r="J138" s="475">
        <f t="shared" si="40"/>
        <v>0</v>
      </c>
      <c r="K138" s="475"/>
      <c r="L138" s="484"/>
      <c r="M138" s="475">
        <f t="shared" si="41"/>
        <v>0</v>
      </c>
      <c r="N138" s="484"/>
      <c r="O138" s="475">
        <f t="shared" si="42"/>
        <v>0</v>
      </c>
      <c r="P138" s="475">
        <f t="shared" si="43"/>
        <v>0</v>
      </c>
    </row>
    <row r="139" spans="2:16" ht="12.5">
      <c r="B139" s="160" t="str">
        <f t="shared" si="28"/>
        <v/>
      </c>
      <c r="C139" s="469">
        <f>IF(D93="","-",+C138+1)</f>
        <v>2058</v>
      </c>
      <c r="D139" s="344">
        <f>IF(F138+SUM(E$99:E138)=D$92,F138,D$92-SUM(E$99:E138))</f>
        <v>0</v>
      </c>
      <c r="E139" s="481">
        <f t="shared" si="34"/>
        <v>0</v>
      </c>
      <c r="F139" s="482">
        <f t="shared" si="35"/>
        <v>0</v>
      </c>
      <c r="G139" s="482">
        <f t="shared" si="36"/>
        <v>0</v>
      </c>
      <c r="H139" s="483">
        <f t="shared" si="37"/>
        <v>0</v>
      </c>
      <c r="I139" s="539">
        <f t="shared" si="38"/>
        <v>0</v>
      </c>
      <c r="J139" s="475">
        <f t="shared" si="40"/>
        <v>0</v>
      </c>
      <c r="K139" s="475"/>
      <c r="L139" s="484"/>
      <c r="M139" s="475">
        <f t="shared" si="41"/>
        <v>0</v>
      </c>
      <c r="N139" s="484"/>
      <c r="O139" s="475">
        <f t="shared" si="42"/>
        <v>0</v>
      </c>
      <c r="P139" s="475">
        <f t="shared" si="43"/>
        <v>0</v>
      </c>
    </row>
    <row r="140" spans="2:16" ht="12.5">
      <c r="B140" s="160" t="str">
        <f t="shared" si="28"/>
        <v/>
      </c>
      <c r="C140" s="469">
        <f>IF(D93="","-",+C139+1)</f>
        <v>2059</v>
      </c>
      <c r="D140" s="344">
        <f>IF(F139+SUM(E$99:E139)=D$92,F139,D$92-SUM(E$99:E139))</f>
        <v>0</v>
      </c>
      <c r="E140" s="481">
        <f t="shared" si="34"/>
        <v>0</v>
      </c>
      <c r="F140" s="482">
        <f t="shared" si="35"/>
        <v>0</v>
      </c>
      <c r="G140" s="482">
        <f t="shared" si="36"/>
        <v>0</v>
      </c>
      <c r="H140" s="483">
        <f t="shared" si="37"/>
        <v>0</v>
      </c>
      <c r="I140" s="539">
        <f t="shared" si="38"/>
        <v>0</v>
      </c>
      <c r="J140" s="475">
        <f t="shared" si="40"/>
        <v>0</v>
      </c>
      <c r="K140" s="475"/>
      <c r="L140" s="484"/>
      <c r="M140" s="475">
        <f t="shared" si="41"/>
        <v>0</v>
      </c>
      <c r="N140" s="484"/>
      <c r="O140" s="475">
        <f t="shared" si="42"/>
        <v>0</v>
      </c>
      <c r="P140" s="475">
        <f t="shared" si="43"/>
        <v>0</v>
      </c>
    </row>
    <row r="141" spans="2:16" ht="12.5">
      <c r="B141" s="160" t="str">
        <f t="shared" si="28"/>
        <v/>
      </c>
      <c r="C141" s="469">
        <f>IF(D93="","-",+C140+1)</f>
        <v>2060</v>
      </c>
      <c r="D141" s="344">
        <f>IF(F140+SUM(E$99:E140)=D$92,F140,D$92-SUM(E$99:E140))</f>
        <v>0</v>
      </c>
      <c r="E141" s="481">
        <f t="shared" si="34"/>
        <v>0</v>
      </c>
      <c r="F141" s="482">
        <f t="shared" si="35"/>
        <v>0</v>
      </c>
      <c r="G141" s="482">
        <f t="shared" si="36"/>
        <v>0</v>
      </c>
      <c r="H141" s="483">
        <f t="shared" si="37"/>
        <v>0</v>
      </c>
      <c r="I141" s="539">
        <f t="shared" si="38"/>
        <v>0</v>
      </c>
      <c r="J141" s="475">
        <f t="shared" si="40"/>
        <v>0</v>
      </c>
      <c r="K141" s="475"/>
      <c r="L141" s="484"/>
      <c r="M141" s="475">
        <f t="shared" si="41"/>
        <v>0</v>
      </c>
      <c r="N141" s="484"/>
      <c r="O141" s="475">
        <f t="shared" si="42"/>
        <v>0</v>
      </c>
      <c r="P141" s="475">
        <f t="shared" si="43"/>
        <v>0</v>
      </c>
    </row>
    <row r="142" spans="2:16" ht="12.5">
      <c r="B142" s="160" t="str">
        <f t="shared" si="28"/>
        <v/>
      </c>
      <c r="C142" s="469">
        <f>IF(D93="","-",+C141+1)</f>
        <v>2061</v>
      </c>
      <c r="D142" s="344">
        <f>IF(F141+SUM(E$99:E141)=D$92,F141,D$92-SUM(E$99:E141))</f>
        <v>0</v>
      </c>
      <c r="E142" s="481">
        <f t="shared" si="34"/>
        <v>0</v>
      </c>
      <c r="F142" s="482">
        <f t="shared" si="35"/>
        <v>0</v>
      </c>
      <c r="G142" s="482">
        <f t="shared" si="36"/>
        <v>0</v>
      </c>
      <c r="H142" s="483">
        <f t="shared" si="37"/>
        <v>0</v>
      </c>
      <c r="I142" s="539">
        <f t="shared" si="38"/>
        <v>0</v>
      </c>
      <c r="J142" s="475">
        <f t="shared" si="40"/>
        <v>0</v>
      </c>
      <c r="K142" s="475"/>
      <c r="L142" s="484"/>
      <c r="M142" s="475">
        <f t="shared" si="41"/>
        <v>0</v>
      </c>
      <c r="N142" s="484"/>
      <c r="O142" s="475">
        <f t="shared" si="42"/>
        <v>0</v>
      </c>
      <c r="P142" s="475">
        <f t="shared" si="43"/>
        <v>0</v>
      </c>
    </row>
    <row r="143" spans="2:16" ht="12.5">
      <c r="B143" s="160" t="str">
        <f t="shared" si="28"/>
        <v/>
      </c>
      <c r="C143" s="469">
        <f>IF(D93="","-",+C142+1)</f>
        <v>2062</v>
      </c>
      <c r="D143" s="344">
        <f>IF(F142+SUM(E$99:E142)=D$92,F142,D$92-SUM(E$99:E142))</f>
        <v>0</v>
      </c>
      <c r="E143" s="481">
        <f t="shared" si="34"/>
        <v>0</v>
      </c>
      <c r="F143" s="482">
        <f t="shared" si="35"/>
        <v>0</v>
      </c>
      <c r="G143" s="482">
        <f t="shared" si="36"/>
        <v>0</v>
      </c>
      <c r="H143" s="483">
        <f t="shared" si="37"/>
        <v>0</v>
      </c>
      <c r="I143" s="539">
        <f t="shared" si="38"/>
        <v>0</v>
      </c>
      <c r="J143" s="475">
        <f t="shared" si="40"/>
        <v>0</v>
      </c>
      <c r="K143" s="475"/>
      <c r="L143" s="484"/>
      <c r="M143" s="475">
        <f t="shared" si="41"/>
        <v>0</v>
      </c>
      <c r="N143" s="484"/>
      <c r="O143" s="475">
        <f t="shared" si="42"/>
        <v>0</v>
      </c>
      <c r="P143" s="475">
        <f t="shared" si="43"/>
        <v>0</v>
      </c>
    </row>
    <row r="144" spans="2:16" ht="12.5">
      <c r="B144" s="160" t="str">
        <f t="shared" si="28"/>
        <v/>
      </c>
      <c r="C144" s="469">
        <f>IF(D93="","-",+C143+1)</f>
        <v>2063</v>
      </c>
      <c r="D144" s="344">
        <f>IF(F143+SUM(E$99:E143)=D$92,F143,D$92-SUM(E$99:E143))</f>
        <v>0</v>
      </c>
      <c r="E144" s="481">
        <f t="shared" si="34"/>
        <v>0</v>
      </c>
      <c r="F144" s="482">
        <f t="shared" si="35"/>
        <v>0</v>
      </c>
      <c r="G144" s="482">
        <f t="shared" si="36"/>
        <v>0</v>
      </c>
      <c r="H144" s="483">
        <f t="shared" si="37"/>
        <v>0</v>
      </c>
      <c r="I144" s="539">
        <f t="shared" si="38"/>
        <v>0</v>
      </c>
      <c r="J144" s="475">
        <f t="shared" si="40"/>
        <v>0</v>
      </c>
      <c r="K144" s="475"/>
      <c r="L144" s="484"/>
      <c r="M144" s="475">
        <f t="shared" si="41"/>
        <v>0</v>
      </c>
      <c r="N144" s="484"/>
      <c r="O144" s="475">
        <f t="shared" si="42"/>
        <v>0</v>
      </c>
      <c r="P144" s="475">
        <f t="shared" si="43"/>
        <v>0</v>
      </c>
    </row>
    <row r="145" spans="2:16" ht="12.5">
      <c r="B145" s="160" t="str">
        <f t="shared" si="28"/>
        <v/>
      </c>
      <c r="C145" s="469">
        <f>IF(D93="","-",+C144+1)</f>
        <v>2064</v>
      </c>
      <c r="D145" s="344">
        <f>IF(F144+SUM(E$99:E144)=D$92,F144,D$92-SUM(E$99:E144))</f>
        <v>0</v>
      </c>
      <c r="E145" s="481">
        <f t="shared" si="34"/>
        <v>0</v>
      </c>
      <c r="F145" s="482">
        <f t="shared" si="35"/>
        <v>0</v>
      </c>
      <c r="G145" s="482">
        <f t="shared" si="36"/>
        <v>0</v>
      </c>
      <c r="H145" s="483">
        <f t="shared" si="37"/>
        <v>0</v>
      </c>
      <c r="I145" s="539">
        <f t="shared" si="38"/>
        <v>0</v>
      </c>
      <c r="J145" s="475">
        <f t="shared" si="40"/>
        <v>0</v>
      </c>
      <c r="K145" s="475"/>
      <c r="L145" s="484"/>
      <c r="M145" s="475">
        <f t="shared" si="41"/>
        <v>0</v>
      </c>
      <c r="N145" s="484"/>
      <c r="O145" s="475">
        <f t="shared" si="42"/>
        <v>0</v>
      </c>
      <c r="P145" s="475">
        <f t="shared" si="43"/>
        <v>0</v>
      </c>
    </row>
    <row r="146" spans="2:16" ht="12.5">
      <c r="B146" s="160" t="str">
        <f t="shared" si="28"/>
        <v/>
      </c>
      <c r="C146" s="469">
        <f>IF(D93="","-",+C145+1)</f>
        <v>2065</v>
      </c>
      <c r="D146" s="344">
        <f>IF(F145+SUM(E$99:E145)=D$92,F145,D$92-SUM(E$99:E145))</f>
        <v>0</v>
      </c>
      <c r="E146" s="481">
        <f t="shared" si="34"/>
        <v>0</v>
      </c>
      <c r="F146" s="482">
        <f t="shared" si="35"/>
        <v>0</v>
      </c>
      <c r="G146" s="482">
        <f t="shared" si="36"/>
        <v>0</v>
      </c>
      <c r="H146" s="483">
        <f t="shared" si="37"/>
        <v>0</v>
      </c>
      <c r="I146" s="539">
        <f t="shared" si="38"/>
        <v>0</v>
      </c>
      <c r="J146" s="475">
        <f t="shared" si="40"/>
        <v>0</v>
      </c>
      <c r="K146" s="475"/>
      <c r="L146" s="484"/>
      <c r="M146" s="475">
        <f t="shared" si="41"/>
        <v>0</v>
      </c>
      <c r="N146" s="484"/>
      <c r="O146" s="475">
        <f t="shared" si="42"/>
        <v>0</v>
      </c>
      <c r="P146" s="475">
        <f t="shared" si="43"/>
        <v>0</v>
      </c>
    </row>
    <row r="147" spans="2:16" ht="12.5">
      <c r="B147" s="160" t="str">
        <f t="shared" si="28"/>
        <v/>
      </c>
      <c r="C147" s="469">
        <f>IF(D93="","-",+C146+1)</f>
        <v>2066</v>
      </c>
      <c r="D147" s="344">
        <f>IF(F146+SUM(E$99:E146)=D$92,F146,D$92-SUM(E$99:E146))</f>
        <v>0</v>
      </c>
      <c r="E147" s="481">
        <f t="shared" si="34"/>
        <v>0</v>
      </c>
      <c r="F147" s="482">
        <f t="shared" si="35"/>
        <v>0</v>
      </c>
      <c r="G147" s="482">
        <f t="shared" si="36"/>
        <v>0</v>
      </c>
      <c r="H147" s="483">
        <f t="shared" si="37"/>
        <v>0</v>
      </c>
      <c r="I147" s="539">
        <f t="shared" si="38"/>
        <v>0</v>
      </c>
      <c r="J147" s="475">
        <f t="shared" si="40"/>
        <v>0</v>
      </c>
      <c r="K147" s="475"/>
      <c r="L147" s="484"/>
      <c r="M147" s="475">
        <f t="shared" si="41"/>
        <v>0</v>
      </c>
      <c r="N147" s="484"/>
      <c r="O147" s="475">
        <f t="shared" si="42"/>
        <v>0</v>
      </c>
      <c r="P147" s="475">
        <f t="shared" si="43"/>
        <v>0</v>
      </c>
    </row>
    <row r="148" spans="2:16" ht="12.5">
      <c r="B148" s="160" t="str">
        <f t="shared" si="28"/>
        <v/>
      </c>
      <c r="C148" s="469">
        <f>IF(D93="","-",+C147+1)</f>
        <v>2067</v>
      </c>
      <c r="D148" s="344">
        <f>IF(F147+SUM(E$99:E147)=D$92,F147,D$92-SUM(E$99:E147))</f>
        <v>0</v>
      </c>
      <c r="E148" s="481">
        <f t="shared" si="34"/>
        <v>0</v>
      </c>
      <c r="F148" s="482">
        <f t="shared" si="35"/>
        <v>0</v>
      </c>
      <c r="G148" s="482">
        <f t="shared" si="36"/>
        <v>0</v>
      </c>
      <c r="H148" s="483">
        <f t="shared" si="37"/>
        <v>0</v>
      </c>
      <c r="I148" s="539">
        <f t="shared" si="38"/>
        <v>0</v>
      </c>
      <c r="J148" s="475">
        <f t="shared" si="40"/>
        <v>0</v>
      </c>
      <c r="K148" s="475"/>
      <c r="L148" s="484"/>
      <c r="M148" s="475">
        <f t="shared" si="41"/>
        <v>0</v>
      </c>
      <c r="N148" s="484"/>
      <c r="O148" s="475">
        <f t="shared" si="42"/>
        <v>0</v>
      </c>
      <c r="P148" s="475">
        <f t="shared" si="43"/>
        <v>0</v>
      </c>
    </row>
    <row r="149" spans="2:16" ht="12.5">
      <c r="B149" s="160" t="str">
        <f t="shared" si="28"/>
        <v/>
      </c>
      <c r="C149" s="469">
        <f>IF(D93="","-",+C148+1)</f>
        <v>2068</v>
      </c>
      <c r="D149" s="344">
        <f>IF(F148+SUM(E$99:E148)=D$92,F148,D$92-SUM(E$99:E148))</f>
        <v>0</v>
      </c>
      <c r="E149" s="481">
        <f t="shared" si="34"/>
        <v>0</v>
      </c>
      <c r="F149" s="482">
        <f t="shared" si="35"/>
        <v>0</v>
      </c>
      <c r="G149" s="482">
        <f t="shared" si="36"/>
        <v>0</v>
      </c>
      <c r="H149" s="483">
        <f t="shared" si="37"/>
        <v>0</v>
      </c>
      <c r="I149" s="539">
        <f t="shared" si="38"/>
        <v>0</v>
      </c>
      <c r="J149" s="475">
        <f t="shared" si="40"/>
        <v>0</v>
      </c>
      <c r="K149" s="475"/>
      <c r="L149" s="484"/>
      <c r="M149" s="475">
        <f t="shared" si="41"/>
        <v>0</v>
      </c>
      <c r="N149" s="484"/>
      <c r="O149" s="475">
        <f t="shared" si="42"/>
        <v>0</v>
      </c>
      <c r="P149" s="475">
        <f t="shared" si="43"/>
        <v>0</v>
      </c>
    </row>
    <row r="150" spans="2:16" ht="12.5">
      <c r="B150" s="160" t="str">
        <f t="shared" si="28"/>
        <v/>
      </c>
      <c r="C150" s="469">
        <f>IF(D93="","-",+C149+1)</f>
        <v>2069</v>
      </c>
      <c r="D150" s="344">
        <f>IF(F149+SUM(E$99:E149)=D$92,F149,D$92-SUM(E$99:E149))</f>
        <v>0</v>
      </c>
      <c r="E150" s="481">
        <f t="shared" si="34"/>
        <v>0</v>
      </c>
      <c r="F150" s="482">
        <f t="shared" si="35"/>
        <v>0</v>
      </c>
      <c r="G150" s="482">
        <f t="shared" si="36"/>
        <v>0</v>
      </c>
      <c r="H150" s="483">
        <f t="shared" si="37"/>
        <v>0</v>
      </c>
      <c r="I150" s="539">
        <f t="shared" si="38"/>
        <v>0</v>
      </c>
      <c r="J150" s="475">
        <f t="shared" si="40"/>
        <v>0</v>
      </c>
      <c r="K150" s="475"/>
      <c r="L150" s="484"/>
      <c r="M150" s="475">
        <f t="shared" si="41"/>
        <v>0</v>
      </c>
      <c r="N150" s="484"/>
      <c r="O150" s="475">
        <f t="shared" si="42"/>
        <v>0</v>
      </c>
      <c r="P150" s="475">
        <f t="shared" si="43"/>
        <v>0</v>
      </c>
    </row>
    <row r="151" spans="2:16" ht="12.5">
      <c r="B151" s="160" t="str">
        <f t="shared" si="28"/>
        <v/>
      </c>
      <c r="C151" s="469">
        <f>IF(D93="","-",+C150+1)</f>
        <v>2070</v>
      </c>
      <c r="D151" s="344">
        <f>IF(F150+SUM(E$99:E150)=D$92,F150,D$92-SUM(E$99:E150))</f>
        <v>0</v>
      </c>
      <c r="E151" s="481">
        <f t="shared" si="34"/>
        <v>0</v>
      </c>
      <c r="F151" s="482">
        <f t="shared" si="35"/>
        <v>0</v>
      </c>
      <c r="G151" s="482">
        <f t="shared" si="36"/>
        <v>0</v>
      </c>
      <c r="H151" s="483">
        <f t="shared" si="37"/>
        <v>0</v>
      </c>
      <c r="I151" s="539">
        <f t="shared" si="38"/>
        <v>0</v>
      </c>
      <c r="J151" s="475">
        <f t="shared" si="40"/>
        <v>0</v>
      </c>
      <c r="K151" s="475"/>
      <c r="L151" s="484"/>
      <c r="M151" s="475">
        <f t="shared" si="41"/>
        <v>0</v>
      </c>
      <c r="N151" s="484"/>
      <c r="O151" s="475">
        <f t="shared" si="42"/>
        <v>0</v>
      </c>
      <c r="P151" s="475">
        <f t="shared" si="43"/>
        <v>0</v>
      </c>
    </row>
    <row r="152" spans="2:16" ht="12.5">
      <c r="B152" s="160" t="str">
        <f t="shared" si="28"/>
        <v/>
      </c>
      <c r="C152" s="469">
        <f>IF(D93="","-",+C151+1)</f>
        <v>2071</v>
      </c>
      <c r="D152" s="344">
        <f>IF(F151+SUM(E$99:E151)=D$92,F151,D$92-SUM(E$99:E151))</f>
        <v>0</v>
      </c>
      <c r="E152" s="481">
        <f t="shared" si="34"/>
        <v>0</v>
      </c>
      <c r="F152" s="482">
        <f t="shared" si="35"/>
        <v>0</v>
      </c>
      <c r="G152" s="482">
        <f t="shared" si="36"/>
        <v>0</v>
      </c>
      <c r="H152" s="483">
        <f t="shared" si="37"/>
        <v>0</v>
      </c>
      <c r="I152" s="539">
        <f t="shared" si="38"/>
        <v>0</v>
      </c>
      <c r="J152" s="475">
        <f t="shared" si="40"/>
        <v>0</v>
      </c>
      <c r="K152" s="475"/>
      <c r="L152" s="484"/>
      <c r="M152" s="475">
        <f t="shared" si="41"/>
        <v>0</v>
      </c>
      <c r="N152" s="484"/>
      <c r="O152" s="475">
        <f t="shared" si="42"/>
        <v>0</v>
      </c>
      <c r="P152" s="475">
        <f t="shared" si="43"/>
        <v>0</v>
      </c>
    </row>
    <row r="153" spans="2:16" ht="12.5">
      <c r="B153" s="160" t="str">
        <f t="shared" si="28"/>
        <v/>
      </c>
      <c r="C153" s="469">
        <f>IF(D93="","-",+C152+1)</f>
        <v>2072</v>
      </c>
      <c r="D153" s="344">
        <f>IF(F152+SUM(E$99:E152)=D$92,F152,D$92-SUM(E$99:E152))</f>
        <v>0</v>
      </c>
      <c r="E153" s="481">
        <f t="shared" si="34"/>
        <v>0</v>
      </c>
      <c r="F153" s="482">
        <f t="shared" si="35"/>
        <v>0</v>
      </c>
      <c r="G153" s="482">
        <f t="shared" si="36"/>
        <v>0</v>
      </c>
      <c r="H153" s="483">
        <f t="shared" si="37"/>
        <v>0</v>
      </c>
      <c r="I153" s="539">
        <f t="shared" si="38"/>
        <v>0</v>
      </c>
      <c r="J153" s="475">
        <f t="shared" si="40"/>
        <v>0</v>
      </c>
      <c r="K153" s="475"/>
      <c r="L153" s="484"/>
      <c r="M153" s="475">
        <f t="shared" si="41"/>
        <v>0</v>
      </c>
      <c r="N153" s="484"/>
      <c r="O153" s="475">
        <f t="shared" si="42"/>
        <v>0</v>
      </c>
      <c r="P153" s="475">
        <f t="shared" si="43"/>
        <v>0</v>
      </c>
    </row>
    <row r="154" spans="2:16" ht="13" thickBot="1">
      <c r="B154" s="160" t="str">
        <f t="shared" si="28"/>
        <v/>
      </c>
      <c r="C154" s="486">
        <f>IF(D93="","-",+C153+1)</f>
        <v>2073</v>
      </c>
      <c r="D154" s="540">
        <f>IF(F153+SUM(E$99:E153)=D$92,F153,D$92-SUM(E$99:E153))</f>
        <v>0</v>
      </c>
      <c r="E154" s="488">
        <f t="shared" si="34"/>
        <v>0</v>
      </c>
      <c r="F154" s="487">
        <f t="shared" si="35"/>
        <v>0</v>
      </c>
      <c r="G154" s="487">
        <f t="shared" si="36"/>
        <v>0</v>
      </c>
      <c r="H154" s="609">
        <f t="shared" ref="H154" si="44">+J$94*G154+E154</f>
        <v>0</v>
      </c>
      <c r="I154" s="610">
        <f t="shared" ref="I154" si="45">+J$95*G154+E154</f>
        <v>0</v>
      </c>
      <c r="J154" s="492">
        <f t="shared" si="40"/>
        <v>0</v>
      </c>
      <c r="K154" s="475"/>
      <c r="L154" s="491"/>
      <c r="M154" s="492">
        <f t="shared" si="41"/>
        <v>0</v>
      </c>
      <c r="N154" s="491"/>
      <c r="O154" s="492">
        <f t="shared" si="42"/>
        <v>0</v>
      </c>
      <c r="P154" s="492">
        <f t="shared" si="43"/>
        <v>0</v>
      </c>
    </row>
    <row r="155" spans="2:16" ht="12.5">
      <c r="C155" s="344" t="s">
        <v>77</v>
      </c>
      <c r="D155" s="345"/>
      <c r="E155" s="345">
        <f>SUM(E99:E154)</f>
        <v>288859.60000000003</v>
      </c>
      <c r="F155" s="345"/>
      <c r="G155" s="345"/>
      <c r="H155" s="345">
        <f>SUM(H99:H154)</f>
        <v>1003459.5810504009</v>
      </c>
      <c r="I155" s="345">
        <f>SUM(I99:I154)</f>
        <v>1003459.5810504009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23" priority="1" stopIfTrue="1" operator="equal">
      <formula>$I$10</formula>
    </cfRule>
  </conditionalFormatting>
  <conditionalFormatting sqref="C99:C154">
    <cfRule type="cellIs" dxfId="22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162"/>
  <sheetViews>
    <sheetView topLeftCell="C1" zoomScale="86" zoomScaleNormal="86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26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1074342.5412361107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1074342.5412361107</v>
      </c>
      <c r="O6" s="231"/>
      <c r="P6" s="231"/>
    </row>
    <row r="7" spans="1:16" ht="13.5" thickBot="1">
      <c r="C7" s="428" t="s">
        <v>46</v>
      </c>
      <c r="D7" s="104" t="s">
        <v>327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329</v>
      </c>
      <c r="E9" s="574" t="s">
        <v>380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8147276.8700000001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2019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12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214402.02289473685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2019</v>
      </c>
      <c r="D17" s="581">
        <v>0</v>
      </c>
      <c r="E17" s="604">
        <v>0</v>
      </c>
      <c r="F17" s="581">
        <v>5024000</v>
      </c>
      <c r="G17" s="604">
        <v>280481.45781944925</v>
      </c>
      <c r="H17" s="584">
        <v>280481.45781944925</v>
      </c>
      <c r="I17" s="472">
        <f>H17-G17</f>
        <v>0</v>
      </c>
      <c r="J17" s="472"/>
      <c r="K17" s="551">
        <f t="shared" ref="K17:K22" si="0">+G17</f>
        <v>280481.45781944925</v>
      </c>
      <c r="L17" s="474">
        <f t="shared" ref="L17:L18" si="1">IF(K17&lt;&gt;0,+G17-K17,0)</f>
        <v>0</v>
      </c>
      <c r="M17" s="551">
        <f t="shared" ref="M17:M22" si="2">+H17</f>
        <v>280481.45781944925</v>
      </c>
      <c r="N17" s="474">
        <f t="shared" ref="N17:N72" si="3">IF(M17&lt;&gt;0,+H17-M17,0)</f>
        <v>0</v>
      </c>
      <c r="O17" s="475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2020</v>
      </c>
      <c r="D18" s="581">
        <v>7156000</v>
      </c>
      <c r="E18" s="582">
        <v>170380.95238095237</v>
      </c>
      <c r="F18" s="581">
        <v>6985619.0476190476</v>
      </c>
      <c r="G18" s="582">
        <v>934062.15757277235</v>
      </c>
      <c r="H18" s="584">
        <v>934062.15757277235</v>
      </c>
      <c r="I18" s="472">
        <f>H18-G18</f>
        <v>0</v>
      </c>
      <c r="J18" s="472"/>
      <c r="K18" s="475">
        <f t="shared" si="0"/>
        <v>934062.15757277235</v>
      </c>
      <c r="L18" s="475">
        <f t="shared" si="1"/>
        <v>0</v>
      </c>
      <c r="M18" s="475">
        <f t="shared" si="2"/>
        <v>934062.15757277235</v>
      </c>
      <c r="N18" s="475">
        <f t="shared" si="3"/>
        <v>0</v>
      </c>
      <c r="O18" s="475">
        <f t="shared" si="4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2021</v>
      </c>
      <c r="D19" s="581">
        <v>9239264.0476190485</v>
      </c>
      <c r="E19" s="582">
        <v>218828.95348837209</v>
      </c>
      <c r="F19" s="581">
        <v>9020435.0941306762</v>
      </c>
      <c r="G19" s="582">
        <v>1203224.4158022963</v>
      </c>
      <c r="H19" s="584">
        <v>1203224.4158022963</v>
      </c>
      <c r="I19" s="472">
        <f t="shared" ref="I19:I71" si="5">H19-G19</f>
        <v>0</v>
      </c>
      <c r="J19" s="472"/>
      <c r="K19" s="475">
        <f t="shared" si="0"/>
        <v>1203224.4158022963</v>
      </c>
      <c r="L19" s="475">
        <f t="shared" ref="L19" si="6">IF(K19&lt;&gt;0,+G19-K19,0)</f>
        <v>0</v>
      </c>
      <c r="M19" s="475">
        <f t="shared" si="2"/>
        <v>1203224.4158022963</v>
      </c>
      <c r="N19" s="475">
        <f t="shared" si="3"/>
        <v>0</v>
      </c>
      <c r="O19" s="475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2022</v>
      </c>
      <c r="D20" s="581">
        <v>7758491.0941306753</v>
      </c>
      <c r="E20" s="582">
        <v>193992.88095238095</v>
      </c>
      <c r="F20" s="581">
        <v>7564498.2131782947</v>
      </c>
      <c r="G20" s="582">
        <v>1019988.1643084703</v>
      </c>
      <c r="H20" s="584">
        <v>1019988.1643084703</v>
      </c>
      <c r="I20" s="472">
        <f t="shared" si="5"/>
        <v>0</v>
      </c>
      <c r="J20" s="472"/>
      <c r="K20" s="475">
        <f t="shared" si="0"/>
        <v>1019988.1643084703</v>
      </c>
      <c r="L20" s="475">
        <f t="shared" ref="L20" si="8">IF(K20&lt;&gt;0,+G20-K20,0)</f>
        <v>0</v>
      </c>
      <c r="M20" s="475">
        <f t="shared" si="2"/>
        <v>1019988.1643084703</v>
      </c>
      <c r="N20" s="475">
        <f t="shared" si="3"/>
        <v>0</v>
      </c>
      <c r="O20" s="475">
        <f t="shared" si="4"/>
        <v>0</v>
      </c>
      <c r="P20" s="241"/>
    </row>
    <row r="21" spans="2:16" ht="12.5">
      <c r="B21" s="160" t="str">
        <f t="shared" si="7"/>
        <v>IU</v>
      </c>
      <c r="C21" s="469">
        <f>IF(D11="","-",+C20+1)</f>
        <v>2023</v>
      </c>
      <c r="D21" s="581">
        <v>7564074.0831782948</v>
      </c>
      <c r="E21" s="582">
        <v>208904.53512820514</v>
      </c>
      <c r="F21" s="581">
        <v>7355169.5480500897</v>
      </c>
      <c r="G21" s="582">
        <v>1099277.167336459</v>
      </c>
      <c r="H21" s="584">
        <v>1099277.167336459</v>
      </c>
      <c r="I21" s="472">
        <f t="shared" si="5"/>
        <v>0</v>
      </c>
      <c r="J21" s="472"/>
      <c r="K21" s="475">
        <f t="shared" si="0"/>
        <v>1099277.167336459</v>
      </c>
      <c r="L21" s="475">
        <f t="shared" ref="L21" si="9">IF(K21&lt;&gt;0,+G21-K21,0)</f>
        <v>0</v>
      </c>
      <c r="M21" s="475">
        <f t="shared" si="2"/>
        <v>1099277.167336459</v>
      </c>
      <c r="N21" s="475">
        <f t="shared" si="3"/>
        <v>0</v>
      </c>
      <c r="O21" s="475">
        <f t="shared" si="4"/>
        <v>0</v>
      </c>
      <c r="P21" s="241"/>
    </row>
    <row r="22" spans="2:16" ht="12.5">
      <c r="B22" s="160" t="str">
        <f t="shared" si="7"/>
        <v/>
      </c>
      <c r="C22" s="469">
        <f>IF(D11="","-",+C21+1)</f>
        <v>2024</v>
      </c>
      <c r="D22" s="581">
        <v>7355169.5480500897</v>
      </c>
      <c r="E22" s="582">
        <v>208904.53512820514</v>
      </c>
      <c r="F22" s="581">
        <v>7146265.0129218847</v>
      </c>
      <c r="G22" s="582">
        <v>1074342.5412361107</v>
      </c>
      <c r="H22" s="584">
        <v>1074342.5412361107</v>
      </c>
      <c r="I22" s="472">
        <f t="shared" si="5"/>
        <v>0</v>
      </c>
      <c r="J22" s="472"/>
      <c r="K22" s="475">
        <f t="shared" si="0"/>
        <v>1074342.5412361107</v>
      </c>
      <c r="L22" s="475">
        <f t="shared" ref="L22" si="10">IF(K22&lt;&gt;0,+G22-K22,0)</f>
        <v>0</v>
      </c>
      <c r="M22" s="475">
        <f t="shared" si="2"/>
        <v>1074342.5412361107</v>
      </c>
      <c r="N22" s="475">
        <f t="shared" ref="N22" si="11">IF(M22&lt;&gt;0,+H22-M22,0)</f>
        <v>0</v>
      </c>
      <c r="O22" s="475">
        <f t="shared" ref="O22" si="12">+N22-L22</f>
        <v>0</v>
      </c>
      <c r="P22" s="241"/>
    </row>
    <row r="23" spans="2:16" ht="12.5">
      <c r="B23" s="160" t="str">
        <f t="shared" si="7"/>
        <v/>
      </c>
      <c r="C23" s="469">
        <f>IF(D11="","-",+C22+1)</f>
        <v>2025</v>
      </c>
      <c r="D23" s="480">
        <f>IF(F22+SUM(E$17:E22)=D$10,F22,D$10-SUM(E$17:E22))</f>
        <v>7146265.0129218847</v>
      </c>
      <c r="E23" s="481">
        <f t="shared" ref="E23:E71" si="13">IF(+I$14&lt;F22,I$14,D23)</f>
        <v>214402.02289473685</v>
      </c>
      <c r="F23" s="482">
        <f t="shared" ref="F23:F71" si="14">+D23-E23</f>
        <v>6931862.9900271483</v>
      </c>
      <c r="G23" s="483">
        <f t="shared" ref="G23:G71" si="15">(D23+F23)/2*I$12+E23</f>
        <v>1015026.4828071807</v>
      </c>
      <c r="H23" s="452">
        <f t="shared" ref="H23:H71" si="16">+(D23+F23)/2*I$13+E23</f>
        <v>1015026.4828071807</v>
      </c>
      <c r="I23" s="472">
        <f t="shared" si="5"/>
        <v>0</v>
      </c>
      <c r="J23" s="472"/>
      <c r="K23" s="484"/>
      <c r="L23" s="475">
        <f t="shared" ref="L23:L72" si="17">IF(K23&lt;&gt;0,+G23-K23,0)</f>
        <v>0</v>
      </c>
      <c r="M23" s="484"/>
      <c r="N23" s="475">
        <f t="shared" si="3"/>
        <v>0</v>
      </c>
      <c r="O23" s="475">
        <f t="shared" si="4"/>
        <v>0</v>
      </c>
      <c r="P23" s="241"/>
    </row>
    <row r="24" spans="2:16" ht="12.5">
      <c r="B24" s="160" t="str">
        <f t="shared" si="7"/>
        <v/>
      </c>
      <c r="C24" s="469">
        <f>IF(D11="","-",+C23+1)</f>
        <v>2026</v>
      </c>
      <c r="D24" s="480">
        <f>IF(F23+SUM(E$17:E23)=D$10,F23,D$10-SUM(E$17:E23))</f>
        <v>6931862.9900271483</v>
      </c>
      <c r="E24" s="481">
        <f t="shared" si="13"/>
        <v>214402.02289473685</v>
      </c>
      <c r="F24" s="482">
        <f t="shared" si="14"/>
        <v>6717460.9671324119</v>
      </c>
      <c r="G24" s="483">
        <f t="shared" si="15"/>
        <v>990640.35650569014</v>
      </c>
      <c r="H24" s="452">
        <f t="shared" si="16"/>
        <v>990640.35650569014</v>
      </c>
      <c r="I24" s="472">
        <f t="shared" si="5"/>
        <v>0</v>
      </c>
      <c r="J24" s="472"/>
      <c r="K24" s="484"/>
      <c r="L24" s="475">
        <f t="shared" si="17"/>
        <v>0</v>
      </c>
      <c r="M24" s="484"/>
      <c r="N24" s="475">
        <f t="shared" si="3"/>
        <v>0</v>
      </c>
      <c r="O24" s="475">
        <f t="shared" si="4"/>
        <v>0</v>
      </c>
      <c r="P24" s="241"/>
    </row>
    <row r="25" spans="2:16" ht="12.5">
      <c r="B25" s="160" t="str">
        <f t="shared" si="7"/>
        <v/>
      </c>
      <c r="C25" s="469">
        <f>IF(D11="","-",+C24+1)</f>
        <v>2027</v>
      </c>
      <c r="D25" s="480">
        <f>IF(F24+SUM(E$17:E24)=D$10,F24,D$10-SUM(E$17:E24))</f>
        <v>6717460.9671324119</v>
      </c>
      <c r="E25" s="481">
        <f t="shared" si="13"/>
        <v>214402.02289473685</v>
      </c>
      <c r="F25" s="482">
        <f t="shared" si="14"/>
        <v>6503058.9442376755</v>
      </c>
      <c r="G25" s="483">
        <f t="shared" si="15"/>
        <v>966254.23020419944</v>
      </c>
      <c r="H25" s="452">
        <f t="shared" si="16"/>
        <v>966254.23020419944</v>
      </c>
      <c r="I25" s="472">
        <f t="shared" si="5"/>
        <v>0</v>
      </c>
      <c r="J25" s="472"/>
      <c r="K25" s="484"/>
      <c r="L25" s="475">
        <f t="shared" si="17"/>
        <v>0</v>
      </c>
      <c r="M25" s="484"/>
      <c r="N25" s="475">
        <f t="shared" si="3"/>
        <v>0</v>
      </c>
      <c r="O25" s="475">
        <f t="shared" si="4"/>
        <v>0</v>
      </c>
      <c r="P25" s="241"/>
    </row>
    <row r="26" spans="2:16" ht="12.5">
      <c r="B26" s="160" t="str">
        <f t="shared" si="7"/>
        <v/>
      </c>
      <c r="C26" s="469">
        <f>IF(D11="","-",+C25+1)</f>
        <v>2028</v>
      </c>
      <c r="D26" s="480">
        <f>IF(F25+SUM(E$17:E25)=D$10,F25,D$10-SUM(E$17:E25))</f>
        <v>6503058.9442376755</v>
      </c>
      <c r="E26" s="481">
        <f t="shared" si="13"/>
        <v>214402.02289473685</v>
      </c>
      <c r="F26" s="482">
        <f t="shared" si="14"/>
        <v>6288656.9213429391</v>
      </c>
      <c r="G26" s="483">
        <f t="shared" si="15"/>
        <v>941868.10390270874</v>
      </c>
      <c r="H26" s="452">
        <f t="shared" si="16"/>
        <v>941868.10390270874</v>
      </c>
      <c r="I26" s="472">
        <f t="shared" si="5"/>
        <v>0</v>
      </c>
      <c r="J26" s="472"/>
      <c r="K26" s="484"/>
      <c r="L26" s="475">
        <f t="shared" si="17"/>
        <v>0</v>
      </c>
      <c r="M26" s="484"/>
      <c r="N26" s="475">
        <f t="shared" si="3"/>
        <v>0</v>
      </c>
      <c r="O26" s="475">
        <f t="shared" si="4"/>
        <v>0</v>
      </c>
      <c r="P26" s="241"/>
    </row>
    <row r="27" spans="2:16" ht="12.5">
      <c r="B27" s="160" t="str">
        <f t="shared" si="7"/>
        <v/>
      </c>
      <c r="C27" s="469">
        <f>IF(D11="","-",+C26+1)</f>
        <v>2029</v>
      </c>
      <c r="D27" s="480">
        <f>IF(F26+SUM(E$17:E26)=D$10,F26,D$10-SUM(E$17:E26))</f>
        <v>6288656.9213429391</v>
      </c>
      <c r="E27" s="481">
        <f t="shared" si="13"/>
        <v>214402.02289473685</v>
      </c>
      <c r="F27" s="482">
        <f t="shared" si="14"/>
        <v>6074254.8984482028</v>
      </c>
      <c r="G27" s="483">
        <f t="shared" si="15"/>
        <v>917481.97760121815</v>
      </c>
      <c r="H27" s="452">
        <f t="shared" si="16"/>
        <v>917481.97760121815</v>
      </c>
      <c r="I27" s="472">
        <f t="shared" si="5"/>
        <v>0</v>
      </c>
      <c r="J27" s="472"/>
      <c r="K27" s="484"/>
      <c r="L27" s="475">
        <f t="shared" si="17"/>
        <v>0</v>
      </c>
      <c r="M27" s="484"/>
      <c r="N27" s="475">
        <f t="shared" si="3"/>
        <v>0</v>
      </c>
      <c r="O27" s="475">
        <f t="shared" si="4"/>
        <v>0</v>
      </c>
      <c r="P27" s="241"/>
    </row>
    <row r="28" spans="2:16" ht="12.5">
      <c r="B28" s="160" t="str">
        <f t="shared" si="7"/>
        <v/>
      </c>
      <c r="C28" s="469">
        <f>IF(D11="","-",+C27+1)</f>
        <v>2030</v>
      </c>
      <c r="D28" s="480">
        <f>IF(F27+SUM(E$17:E27)=D$10,F27,D$10-SUM(E$17:E27))</f>
        <v>6074254.8984482028</v>
      </c>
      <c r="E28" s="481">
        <f t="shared" si="13"/>
        <v>214402.02289473685</v>
      </c>
      <c r="F28" s="482">
        <f t="shared" si="14"/>
        <v>5859852.8755534664</v>
      </c>
      <c r="G28" s="483">
        <f t="shared" si="15"/>
        <v>893095.85129972745</v>
      </c>
      <c r="H28" s="452">
        <f t="shared" si="16"/>
        <v>893095.85129972745</v>
      </c>
      <c r="I28" s="472">
        <f t="shared" si="5"/>
        <v>0</v>
      </c>
      <c r="J28" s="472"/>
      <c r="K28" s="484"/>
      <c r="L28" s="475">
        <f t="shared" si="17"/>
        <v>0</v>
      </c>
      <c r="M28" s="484"/>
      <c r="N28" s="475">
        <f t="shared" si="3"/>
        <v>0</v>
      </c>
      <c r="O28" s="475">
        <f t="shared" si="4"/>
        <v>0</v>
      </c>
      <c r="P28" s="241"/>
    </row>
    <row r="29" spans="2:16" ht="12.5">
      <c r="B29" s="160" t="str">
        <f t="shared" si="7"/>
        <v/>
      </c>
      <c r="C29" s="469">
        <f>IF(D11="","-",+C28+1)</f>
        <v>2031</v>
      </c>
      <c r="D29" s="480">
        <f>IF(F28+SUM(E$17:E28)=D$10,F28,D$10-SUM(E$17:E28))</f>
        <v>5859852.8755534664</v>
      </c>
      <c r="E29" s="481">
        <f t="shared" si="13"/>
        <v>214402.02289473685</v>
      </c>
      <c r="F29" s="482">
        <f t="shared" si="14"/>
        <v>5645450.85265873</v>
      </c>
      <c r="G29" s="483">
        <f t="shared" si="15"/>
        <v>868709.72499823687</v>
      </c>
      <c r="H29" s="452">
        <f t="shared" si="16"/>
        <v>868709.72499823687</v>
      </c>
      <c r="I29" s="472">
        <f t="shared" si="5"/>
        <v>0</v>
      </c>
      <c r="J29" s="472"/>
      <c r="K29" s="484"/>
      <c r="L29" s="475">
        <f t="shared" si="17"/>
        <v>0</v>
      </c>
      <c r="M29" s="484"/>
      <c r="N29" s="475">
        <f t="shared" si="3"/>
        <v>0</v>
      </c>
      <c r="O29" s="475">
        <f t="shared" si="4"/>
        <v>0</v>
      </c>
      <c r="P29" s="241"/>
    </row>
    <row r="30" spans="2:16" ht="12.5">
      <c r="B30" s="160" t="str">
        <f t="shared" si="7"/>
        <v/>
      </c>
      <c r="C30" s="469">
        <f>IF(D11="","-",+C29+1)</f>
        <v>2032</v>
      </c>
      <c r="D30" s="480">
        <f>IF(F29+SUM(E$17:E29)=D$10,F29,D$10-SUM(E$17:E29))</f>
        <v>5645450.85265873</v>
      </c>
      <c r="E30" s="481">
        <f t="shared" si="13"/>
        <v>214402.02289473685</v>
      </c>
      <c r="F30" s="482">
        <f t="shared" si="14"/>
        <v>5431048.8297639936</v>
      </c>
      <c r="G30" s="483">
        <f t="shared" si="15"/>
        <v>844323.59869674616</v>
      </c>
      <c r="H30" s="452">
        <f t="shared" si="16"/>
        <v>844323.59869674616</v>
      </c>
      <c r="I30" s="472">
        <f t="shared" si="5"/>
        <v>0</v>
      </c>
      <c r="J30" s="472"/>
      <c r="K30" s="484"/>
      <c r="L30" s="475">
        <f t="shared" si="17"/>
        <v>0</v>
      </c>
      <c r="M30" s="484"/>
      <c r="N30" s="475">
        <f t="shared" si="3"/>
        <v>0</v>
      </c>
      <c r="O30" s="475">
        <f t="shared" si="4"/>
        <v>0</v>
      </c>
      <c r="P30" s="241"/>
    </row>
    <row r="31" spans="2:16" ht="12.5">
      <c r="B31" s="160" t="str">
        <f t="shared" si="7"/>
        <v/>
      </c>
      <c r="C31" s="469">
        <f>IF(D11="","-",+C30+1)</f>
        <v>2033</v>
      </c>
      <c r="D31" s="480">
        <f>IF(F30+SUM(E$17:E30)=D$10,F30,D$10-SUM(E$17:E30))</f>
        <v>5431048.8297639936</v>
      </c>
      <c r="E31" s="481">
        <f t="shared" si="13"/>
        <v>214402.02289473685</v>
      </c>
      <c r="F31" s="482">
        <f t="shared" si="14"/>
        <v>5216646.8068692572</v>
      </c>
      <c r="G31" s="483">
        <f t="shared" si="15"/>
        <v>819937.47239525558</v>
      </c>
      <c r="H31" s="452">
        <f t="shared" si="16"/>
        <v>819937.47239525558</v>
      </c>
      <c r="I31" s="472">
        <f t="shared" si="5"/>
        <v>0</v>
      </c>
      <c r="J31" s="472"/>
      <c r="K31" s="484"/>
      <c r="L31" s="475">
        <f t="shared" si="17"/>
        <v>0</v>
      </c>
      <c r="M31" s="484"/>
      <c r="N31" s="475">
        <f t="shared" si="3"/>
        <v>0</v>
      </c>
      <c r="O31" s="475">
        <f t="shared" si="4"/>
        <v>0</v>
      </c>
      <c r="P31" s="241"/>
    </row>
    <row r="32" spans="2:16" ht="12.5">
      <c r="B32" s="160" t="str">
        <f t="shared" si="7"/>
        <v/>
      </c>
      <c r="C32" s="469">
        <f>IF(D11="","-",+C31+1)</f>
        <v>2034</v>
      </c>
      <c r="D32" s="480">
        <f>IF(F31+SUM(E$17:E31)=D$10,F31,D$10-SUM(E$17:E31))</f>
        <v>5216646.8068692572</v>
      </c>
      <c r="E32" s="481">
        <f t="shared" si="13"/>
        <v>214402.02289473685</v>
      </c>
      <c r="F32" s="482">
        <f t="shared" si="14"/>
        <v>5002244.7839745209</v>
      </c>
      <c r="G32" s="483">
        <f t="shared" si="15"/>
        <v>795551.34609376488</v>
      </c>
      <c r="H32" s="452">
        <f t="shared" si="16"/>
        <v>795551.34609376488</v>
      </c>
      <c r="I32" s="472">
        <f t="shared" si="5"/>
        <v>0</v>
      </c>
      <c r="J32" s="472"/>
      <c r="K32" s="484"/>
      <c r="L32" s="475">
        <f t="shared" si="17"/>
        <v>0</v>
      </c>
      <c r="M32" s="484"/>
      <c r="N32" s="475">
        <f t="shared" si="3"/>
        <v>0</v>
      </c>
      <c r="O32" s="475">
        <f t="shared" si="4"/>
        <v>0</v>
      </c>
      <c r="P32" s="241"/>
    </row>
    <row r="33" spans="2:16" ht="12.5">
      <c r="B33" s="160" t="str">
        <f t="shared" si="7"/>
        <v/>
      </c>
      <c r="C33" s="469">
        <f>IF(D11="","-",+C32+1)</f>
        <v>2035</v>
      </c>
      <c r="D33" s="480">
        <f>IF(F32+SUM(E$17:E32)=D$10,F32,D$10-SUM(E$17:E32))</f>
        <v>5002244.7839745209</v>
      </c>
      <c r="E33" s="481">
        <f t="shared" si="13"/>
        <v>214402.02289473685</v>
      </c>
      <c r="F33" s="482">
        <f t="shared" si="14"/>
        <v>4787842.7610797845</v>
      </c>
      <c r="G33" s="483">
        <f t="shared" si="15"/>
        <v>771165.21979227418</v>
      </c>
      <c r="H33" s="452">
        <f t="shared" si="16"/>
        <v>771165.21979227418</v>
      </c>
      <c r="I33" s="472">
        <f t="shared" si="5"/>
        <v>0</v>
      </c>
      <c r="J33" s="472"/>
      <c r="K33" s="484"/>
      <c r="L33" s="475">
        <f t="shared" si="17"/>
        <v>0</v>
      </c>
      <c r="M33" s="484"/>
      <c r="N33" s="475">
        <f t="shared" si="3"/>
        <v>0</v>
      </c>
      <c r="O33" s="475">
        <f t="shared" si="4"/>
        <v>0</v>
      </c>
      <c r="P33" s="241"/>
    </row>
    <row r="34" spans="2:16" ht="12.5">
      <c r="B34" s="160" t="str">
        <f t="shared" si="7"/>
        <v/>
      </c>
      <c r="C34" s="469">
        <f>IF(D11="","-",+C33+1)</f>
        <v>2036</v>
      </c>
      <c r="D34" s="480">
        <f>IF(F33+SUM(E$17:E33)=D$10,F33,D$10-SUM(E$17:E33))</f>
        <v>4787842.7610797845</v>
      </c>
      <c r="E34" s="481">
        <f t="shared" si="13"/>
        <v>214402.02289473685</v>
      </c>
      <c r="F34" s="482">
        <f t="shared" si="14"/>
        <v>4573440.7381850481</v>
      </c>
      <c r="G34" s="483">
        <f t="shared" si="15"/>
        <v>746779.09349078359</v>
      </c>
      <c r="H34" s="452">
        <f t="shared" si="16"/>
        <v>746779.09349078359</v>
      </c>
      <c r="I34" s="472">
        <f t="shared" si="5"/>
        <v>0</v>
      </c>
      <c r="J34" s="472"/>
      <c r="K34" s="484"/>
      <c r="L34" s="475">
        <f t="shared" si="17"/>
        <v>0</v>
      </c>
      <c r="M34" s="484"/>
      <c r="N34" s="475">
        <f t="shared" si="3"/>
        <v>0</v>
      </c>
      <c r="O34" s="475">
        <f t="shared" si="4"/>
        <v>0</v>
      </c>
      <c r="P34" s="241"/>
    </row>
    <row r="35" spans="2:16" ht="12.5">
      <c r="B35" s="160" t="str">
        <f t="shared" si="7"/>
        <v>IU</v>
      </c>
      <c r="C35" s="469">
        <f>IF(D11="","-",+C34+1)</f>
        <v>2037</v>
      </c>
      <c r="D35" s="480">
        <f>IF(F34+SUM(E$17:E34)=D$10,F34,D$10-SUM(E$17:E34))</f>
        <v>4573440.7381850425</v>
      </c>
      <c r="E35" s="481">
        <f t="shared" si="13"/>
        <v>214402.02289473685</v>
      </c>
      <c r="F35" s="482">
        <f t="shared" si="14"/>
        <v>4359038.7152903061</v>
      </c>
      <c r="G35" s="483">
        <f t="shared" si="15"/>
        <v>722392.96718929219</v>
      </c>
      <c r="H35" s="452">
        <f t="shared" si="16"/>
        <v>722392.96718929219</v>
      </c>
      <c r="I35" s="472">
        <f t="shared" si="5"/>
        <v>0</v>
      </c>
      <c r="J35" s="472"/>
      <c r="K35" s="484"/>
      <c r="L35" s="475">
        <f t="shared" si="17"/>
        <v>0</v>
      </c>
      <c r="M35" s="484"/>
      <c r="N35" s="475">
        <f t="shared" si="3"/>
        <v>0</v>
      </c>
      <c r="O35" s="475">
        <f t="shared" si="4"/>
        <v>0</v>
      </c>
      <c r="P35" s="241"/>
    </row>
    <row r="36" spans="2:16" ht="12.5">
      <c r="B36" s="160" t="str">
        <f t="shared" si="7"/>
        <v/>
      </c>
      <c r="C36" s="469">
        <f>IF(D11="","-",+C35+1)</f>
        <v>2038</v>
      </c>
      <c r="D36" s="480">
        <f>IF(F35+SUM(E$17:E35)=D$10,F35,D$10-SUM(E$17:E35))</f>
        <v>4359038.7152903061</v>
      </c>
      <c r="E36" s="481">
        <f t="shared" si="13"/>
        <v>214402.02289473685</v>
      </c>
      <c r="F36" s="482">
        <f t="shared" si="14"/>
        <v>4144636.6923955693</v>
      </c>
      <c r="G36" s="483">
        <f t="shared" si="15"/>
        <v>698006.84088780161</v>
      </c>
      <c r="H36" s="452">
        <f t="shared" si="16"/>
        <v>698006.84088780161</v>
      </c>
      <c r="I36" s="472">
        <f t="shared" si="5"/>
        <v>0</v>
      </c>
      <c r="J36" s="472"/>
      <c r="K36" s="484"/>
      <c r="L36" s="475">
        <f t="shared" si="17"/>
        <v>0</v>
      </c>
      <c r="M36" s="484"/>
      <c r="N36" s="475">
        <f t="shared" si="3"/>
        <v>0</v>
      </c>
      <c r="O36" s="475">
        <f t="shared" si="4"/>
        <v>0</v>
      </c>
      <c r="P36" s="241"/>
    </row>
    <row r="37" spans="2:16" ht="12.5">
      <c r="B37" s="160" t="str">
        <f t="shared" si="7"/>
        <v/>
      </c>
      <c r="C37" s="469">
        <f>IF(D11="","-",+C36+1)</f>
        <v>2039</v>
      </c>
      <c r="D37" s="480">
        <f>IF(F36+SUM(E$17:E36)=D$10,F36,D$10-SUM(E$17:E36))</f>
        <v>4144636.6923955693</v>
      </c>
      <c r="E37" s="481">
        <f t="shared" si="13"/>
        <v>214402.02289473685</v>
      </c>
      <c r="F37" s="482">
        <f t="shared" si="14"/>
        <v>3930234.6695008324</v>
      </c>
      <c r="G37" s="483">
        <f t="shared" si="15"/>
        <v>673620.71458631079</v>
      </c>
      <c r="H37" s="452">
        <f t="shared" si="16"/>
        <v>673620.71458631079</v>
      </c>
      <c r="I37" s="472">
        <f t="shared" si="5"/>
        <v>0</v>
      </c>
      <c r="J37" s="472"/>
      <c r="K37" s="484"/>
      <c r="L37" s="475">
        <f t="shared" si="17"/>
        <v>0</v>
      </c>
      <c r="M37" s="484"/>
      <c r="N37" s="475">
        <f t="shared" si="3"/>
        <v>0</v>
      </c>
      <c r="O37" s="475">
        <f t="shared" si="4"/>
        <v>0</v>
      </c>
      <c r="P37" s="241"/>
    </row>
    <row r="38" spans="2:16" ht="12.5">
      <c r="B38" s="160" t="str">
        <f t="shared" si="7"/>
        <v/>
      </c>
      <c r="C38" s="469">
        <f>IF(D11="","-",+C37+1)</f>
        <v>2040</v>
      </c>
      <c r="D38" s="480">
        <f>IF(F37+SUM(E$17:E37)=D$10,F37,D$10-SUM(E$17:E37))</f>
        <v>3930234.6695008324</v>
      </c>
      <c r="E38" s="481">
        <f t="shared" si="13"/>
        <v>214402.02289473685</v>
      </c>
      <c r="F38" s="482">
        <f t="shared" si="14"/>
        <v>3715832.6466060956</v>
      </c>
      <c r="G38" s="483">
        <f t="shared" si="15"/>
        <v>649234.5882848202</v>
      </c>
      <c r="H38" s="452">
        <f t="shared" si="16"/>
        <v>649234.5882848202</v>
      </c>
      <c r="I38" s="472">
        <f t="shared" si="5"/>
        <v>0</v>
      </c>
      <c r="J38" s="472"/>
      <c r="K38" s="484"/>
      <c r="L38" s="475">
        <f t="shared" si="17"/>
        <v>0</v>
      </c>
      <c r="M38" s="484"/>
      <c r="N38" s="475">
        <f t="shared" si="3"/>
        <v>0</v>
      </c>
      <c r="O38" s="475">
        <f t="shared" si="4"/>
        <v>0</v>
      </c>
      <c r="P38" s="241"/>
    </row>
    <row r="39" spans="2:16" ht="12.5">
      <c r="B39" s="160" t="str">
        <f t="shared" si="7"/>
        <v/>
      </c>
      <c r="C39" s="469">
        <f>IF(D11="","-",+C38+1)</f>
        <v>2041</v>
      </c>
      <c r="D39" s="480">
        <f>IF(F38+SUM(E$17:E38)=D$10,F38,D$10-SUM(E$17:E38))</f>
        <v>3715832.6466060956</v>
      </c>
      <c r="E39" s="481">
        <f t="shared" si="13"/>
        <v>214402.02289473685</v>
      </c>
      <c r="F39" s="482">
        <f t="shared" si="14"/>
        <v>3501430.6237113588</v>
      </c>
      <c r="G39" s="483">
        <f t="shared" si="15"/>
        <v>624848.46198332938</v>
      </c>
      <c r="H39" s="452">
        <f t="shared" si="16"/>
        <v>624848.46198332938</v>
      </c>
      <c r="I39" s="472">
        <f t="shared" si="5"/>
        <v>0</v>
      </c>
      <c r="J39" s="472"/>
      <c r="K39" s="484"/>
      <c r="L39" s="475">
        <f t="shared" si="17"/>
        <v>0</v>
      </c>
      <c r="M39" s="484"/>
      <c r="N39" s="475">
        <f t="shared" si="3"/>
        <v>0</v>
      </c>
      <c r="O39" s="475">
        <f t="shared" si="4"/>
        <v>0</v>
      </c>
      <c r="P39" s="241"/>
    </row>
    <row r="40" spans="2:16" ht="12.5">
      <c r="B40" s="160" t="str">
        <f t="shared" si="7"/>
        <v/>
      </c>
      <c r="C40" s="469">
        <f>IF(D11="","-",+C39+1)</f>
        <v>2042</v>
      </c>
      <c r="D40" s="480">
        <f>IF(F39+SUM(E$17:E39)=D$10,F39,D$10-SUM(E$17:E39))</f>
        <v>3501430.6237113588</v>
      </c>
      <c r="E40" s="481">
        <f t="shared" si="13"/>
        <v>214402.02289473685</v>
      </c>
      <c r="F40" s="482">
        <f t="shared" si="14"/>
        <v>3287028.6008166219</v>
      </c>
      <c r="G40" s="483">
        <f t="shared" si="15"/>
        <v>600462.3356818388</v>
      </c>
      <c r="H40" s="452">
        <f t="shared" si="16"/>
        <v>600462.3356818388</v>
      </c>
      <c r="I40" s="472">
        <f t="shared" si="5"/>
        <v>0</v>
      </c>
      <c r="J40" s="472"/>
      <c r="K40" s="484"/>
      <c r="L40" s="475">
        <f t="shared" si="17"/>
        <v>0</v>
      </c>
      <c r="M40" s="484"/>
      <c r="N40" s="475">
        <f t="shared" si="3"/>
        <v>0</v>
      </c>
      <c r="O40" s="475">
        <f t="shared" si="4"/>
        <v>0</v>
      </c>
      <c r="P40" s="241"/>
    </row>
    <row r="41" spans="2:16" ht="12.5">
      <c r="B41" s="160" t="str">
        <f t="shared" si="7"/>
        <v/>
      </c>
      <c r="C41" s="469">
        <f>IF(D11="","-",+C40+1)</f>
        <v>2043</v>
      </c>
      <c r="D41" s="480">
        <f>IF(F40+SUM(E$17:E40)=D$10,F40,D$10-SUM(E$17:E40))</f>
        <v>3287028.6008166219</v>
      </c>
      <c r="E41" s="481">
        <f t="shared" si="13"/>
        <v>214402.02289473685</v>
      </c>
      <c r="F41" s="482">
        <f t="shared" si="14"/>
        <v>3072626.5779218851</v>
      </c>
      <c r="G41" s="483">
        <f t="shared" si="15"/>
        <v>576076.20938034798</v>
      </c>
      <c r="H41" s="452">
        <f t="shared" si="16"/>
        <v>576076.20938034798</v>
      </c>
      <c r="I41" s="472">
        <f t="shared" si="5"/>
        <v>0</v>
      </c>
      <c r="J41" s="472"/>
      <c r="K41" s="484"/>
      <c r="L41" s="475">
        <f t="shared" si="17"/>
        <v>0</v>
      </c>
      <c r="M41" s="484"/>
      <c r="N41" s="475">
        <f t="shared" si="3"/>
        <v>0</v>
      </c>
      <c r="O41" s="475">
        <f t="shared" si="4"/>
        <v>0</v>
      </c>
      <c r="P41" s="241"/>
    </row>
    <row r="42" spans="2:16" ht="12.5">
      <c r="B42" s="160" t="str">
        <f t="shared" si="7"/>
        <v/>
      </c>
      <c r="C42" s="469">
        <f>IF(D11="","-",+C41+1)</f>
        <v>2044</v>
      </c>
      <c r="D42" s="480">
        <f>IF(F41+SUM(E$17:E41)=D$10,F41,D$10-SUM(E$17:E41))</f>
        <v>3072626.5779218851</v>
      </c>
      <c r="E42" s="481">
        <f t="shared" si="13"/>
        <v>214402.02289473685</v>
      </c>
      <c r="F42" s="482">
        <f t="shared" si="14"/>
        <v>2858224.5550271482</v>
      </c>
      <c r="G42" s="483">
        <f t="shared" si="15"/>
        <v>551690.08307885739</v>
      </c>
      <c r="H42" s="452">
        <f t="shared" si="16"/>
        <v>551690.08307885739</v>
      </c>
      <c r="I42" s="472">
        <f t="shared" si="5"/>
        <v>0</v>
      </c>
      <c r="J42" s="472"/>
      <c r="K42" s="484"/>
      <c r="L42" s="475">
        <f t="shared" si="17"/>
        <v>0</v>
      </c>
      <c r="M42" s="484"/>
      <c r="N42" s="475">
        <f t="shared" si="3"/>
        <v>0</v>
      </c>
      <c r="O42" s="475">
        <f t="shared" si="4"/>
        <v>0</v>
      </c>
      <c r="P42" s="241"/>
    </row>
    <row r="43" spans="2:16" ht="12.5">
      <c r="B43" s="160" t="str">
        <f t="shared" si="7"/>
        <v/>
      </c>
      <c r="C43" s="469">
        <f>IF(D11="","-",+C42+1)</f>
        <v>2045</v>
      </c>
      <c r="D43" s="480">
        <f>IF(F42+SUM(E$17:E42)=D$10,F42,D$10-SUM(E$17:E42))</f>
        <v>2858224.5550271482</v>
      </c>
      <c r="E43" s="481">
        <f t="shared" si="13"/>
        <v>214402.02289473685</v>
      </c>
      <c r="F43" s="482">
        <f t="shared" si="14"/>
        <v>2643822.5321324114</v>
      </c>
      <c r="G43" s="483">
        <f t="shared" si="15"/>
        <v>527303.95677736658</v>
      </c>
      <c r="H43" s="452">
        <f t="shared" si="16"/>
        <v>527303.95677736658</v>
      </c>
      <c r="I43" s="472">
        <f t="shared" si="5"/>
        <v>0</v>
      </c>
      <c r="J43" s="472"/>
      <c r="K43" s="484"/>
      <c r="L43" s="475">
        <f t="shared" si="17"/>
        <v>0</v>
      </c>
      <c r="M43" s="484"/>
      <c r="N43" s="475">
        <f t="shared" si="3"/>
        <v>0</v>
      </c>
      <c r="O43" s="475">
        <f t="shared" si="4"/>
        <v>0</v>
      </c>
      <c r="P43" s="241"/>
    </row>
    <row r="44" spans="2:16" ht="12.5">
      <c r="B44" s="160" t="str">
        <f t="shared" si="7"/>
        <v/>
      </c>
      <c r="C44" s="469">
        <f>IF(D11="","-",+C43+1)</f>
        <v>2046</v>
      </c>
      <c r="D44" s="480">
        <f>IF(F43+SUM(E$17:E43)=D$10,F43,D$10-SUM(E$17:E43))</f>
        <v>2643822.5321324114</v>
      </c>
      <c r="E44" s="481">
        <f t="shared" si="13"/>
        <v>214402.02289473685</v>
      </c>
      <c r="F44" s="482">
        <f t="shared" si="14"/>
        <v>2429420.5092376745</v>
      </c>
      <c r="G44" s="483">
        <f t="shared" si="15"/>
        <v>502917.83047587599</v>
      </c>
      <c r="H44" s="452">
        <f t="shared" si="16"/>
        <v>502917.83047587599</v>
      </c>
      <c r="I44" s="472">
        <f t="shared" si="5"/>
        <v>0</v>
      </c>
      <c r="J44" s="472"/>
      <c r="K44" s="484"/>
      <c r="L44" s="475">
        <f t="shared" si="17"/>
        <v>0</v>
      </c>
      <c r="M44" s="484"/>
      <c r="N44" s="475">
        <f t="shared" si="3"/>
        <v>0</v>
      </c>
      <c r="O44" s="475">
        <f t="shared" si="4"/>
        <v>0</v>
      </c>
      <c r="P44" s="241"/>
    </row>
    <row r="45" spans="2:16" ht="12.5">
      <c r="B45" s="160" t="str">
        <f t="shared" si="7"/>
        <v/>
      </c>
      <c r="C45" s="469">
        <f>IF(D11="","-",+C44+1)</f>
        <v>2047</v>
      </c>
      <c r="D45" s="480">
        <f>IF(F44+SUM(E$17:E44)=D$10,F44,D$10-SUM(E$17:E44))</f>
        <v>2429420.5092376745</v>
      </c>
      <c r="E45" s="481">
        <f t="shared" si="13"/>
        <v>214402.02289473685</v>
      </c>
      <c r="F45" s="482">
        <f t="shared" si="14"/>
        <v>2215018.4863429377</v>
      </c>
      <c r="G45" s="483">
        <f t="shared" si="15"/>
        <v>478531.70417438523</v>
      </c>
      <c r="H45" s="452">
        <f t="shared" si="16"/>
        <v>478531.70417438523</v>
      </c>
      <c r="I45" s="472">
        <f t="shared" si="5"/>
        <v>0</v>
      </c>
      <c r="J45" s="472"/>
      <c r="K45" s="484"/>
      <c r="L45" s="475">
        <f t="shared" si="17"/>
        <v>0</v>
      </c>
      <c r="M45" s="484"/>
      <c r="N45" s="475">
        <f t="shared" si="3"/>
        <v>0</v>
      </c>
      <c r="O45" s="475">
        <f t="shared" si="4"/>
        <v>0</v>
      </c>
      <c r="P45" s="241"/>
    </row>
    <row r="46" spans="2:16" ht="12.5">
      <c r="B46" s="160" t="str">
        <f t="shared" si="7"/>
        <v/>
      </c>
      <c r="C46" s="469">
        <f>IF(D11="","-",+C45+1)</f>
        <v>2048</v>
      </c>
      <c r="D46" s="480">
        <f>IF(F45+SUM(E$17:E45)=D$10,F45,D$10-SUM(E$17:E45))</f>
        <v>2215018.4863429377</v>
      </c>
      <c r="E46" s="481">
        <f t="shared" si="13"/>
        <v>214402.02289473685</v>
      </c>
      <c r="F46" s="482">
        <f t="shared" si="14"/>
        <v>2000616.4634482008</v>
      </c>
      <c r="G46" s="483">
        <f t="shared" si="15"/>
        <v>454145.57787289459</v>
      </c>
      <c r="H46" s="452">
        <f t="shared" si="16"/>
        <v>454145.57787289459</v>
      </c>
      <c r="I46" s="472">
        <f t="shared" si="5"/>
        <v>0</v>
      </c>
      <c r="J46" s="472"/>
      <c r="K46" s="484"/>
      <c r="L46" s="475">
        <f t="shared" si="17"/>
        <v>0</v>
      </c>
      <c r="M46" s="484"/>
      <c r="N46" s="475">
        <f t="shared" si="3"/>
        <v>0</v>
      </c>
      <c r="O46" s="475">
        <f t="shared" si="4"/>
        <v>0</v>
      </c>
      <c r="P46" s="241"/>
    </row>
    <row r="47" spans="2:16" ht="12.5">
      <c r="B47" s="160" t="str">
        <f t="shared" si="7"/>
        <v/>
      </c>
      <c r="C47" s="469">
        <f>IF(D11="","-",+C46+1)</f>
        <v>2049</v>
      </c>
      <c r="D47" s="480">
        <f>IF(F46+SUM(E$17:E46)=D$10,F46,D$10-SUM(E$17:E46))</f>
        <v>2000616.4634482008</v>
      </c>
      <c r="E47" s="481">
        <f t="shared" si="13"/>
        <v>214402.02289473685</v>
      </c>
      <c r="F47" s="482">
        <f t="shared" si="14"/>
        <v>1786214.440553464</v>
      </c>
      <c r="G47" s="483">
        <f t="shared" si="15"/>
        <v>429759.45157140383</v>
      </c>
      <c r="H47" s="452">
        <f t="shared" si="16"/>
        <v>429759.45157140383</v>
      </c>
      <c r="I47" s="472">
        <f t="shared" si="5"/>
        <v>0</v>
      </c>
      <c r="J47" s="472"/>
      <c r="K47" s="484"/>
      <c r="L47" s="475">
        <f t="shared" si="17"/>
        <v>0</v>
      </c>
      <c r="M47" s="484"/>
      <c r="N47" s="475">
        <f t="shared" si="3"/>
        <v>0</v>
      </c>
      <c r="O47" s="475">
        <f t="shared" si="4"/>
        <v>0</v>
      </c>
      <c r="P47" s="241"/>
    </row>
    <row r="48" spans="2:16" ht="12.5">
      <c r="B48" s="160" t="str">
        <f t="shared" si="7"/>
        <v/>
      </c>
      <c r="C48" s="469">
        <f>IF(D11="","-",+C47+1)</f>
        <v>2050</v>
      </c>
      <c r="D48" s="480">
        <f>IF(F47+SUM(E$17:E47)=D$10,F47,D$10-SUM(E$17:E47))</f>
        <v>1786214.440553464</v>
      </c>
      <c r="E48" s="481">
        <f t="shared" si="13"/>
        <v>214402.02289473685</v>
      </c>
      <c r="F48" s="482">
        <f t="shared" si="14"/>
        <v>1571812.4176587272</v>
      </c>
      <c r="G48" s="483">
        <f t="shared" si="15"/>
        <v>405373.32526991313</v>
      </c>
      <c r="H48" s="452">
        <f t="shared" si="16"/>
        <v>405373.32526991313</v>
      </c>
      <c r="I48" s="472">
        <f t="shared" si="5"/>
        <v>0</v>
      </c>
      <c r="J48" s="472"/>
      <c r="K48" s="484"/>
      <c r="L48" s="475">
        <f t="shared" si="17"/>
        <v>0</v>
      </c>
      <c r="M48" s="484"/>
      <c r="N48" s="475">
        <f t="shared" si="3"/>
        <v>0</v>
      </c>
      <c r="O48" s="475">
        <f t="shared" si="4"/>
        <v>0</v>
      </c>
      <c r="P48" s="241"/>
    </row>
    <row r="49" spans="2:16" ht="12.5">
      <c r="B49" s="160" t="str">
        <f t="shared" si="7"/>
        <v/>
      </c>
      <c r="C49" s="469">
        <f>IF(D11="","-",+C48+1)</f>
        <v>2051</v>
      </c>
      <c r="D49" s="480">
        <f>IF(F48+SUM(E$17:E48)=D$10,F48,D$10-SUM(E$17:E48))</f>
        <v>1571812.4176587272</v>
      </c>
      <c r="E49" s="481">
        <f t="shared" si="13"/>
        <v>214402.02289473685</v>
      </c>
      <c r="F49" s="482">
        <f t="shared" si="14"/>
        <v>1357410.3947639903</v>
      </c>
      <c r="G49" s="483">
        <f t="shared" si="15"/>
        <v>380987.19896842242</v>
      </c>
      <c r="H49" s="452">
        <f t="shared" si="16"/>
        <v>380987.19896842242</v>
      </c>
      <c r="I49" s="472">
        <f t="shared" si="5"/>
        <v>0</v>
      </c>
      <c r="J49" s="472"/>
      <c r="K49" s="484"/>
      <c r="L49" s="475">
        <f t="shared" si="17"/>
        <v>0</v>
      </c>
      <c r="M49" s="484"/>
      <c r="N49" s="475">
        <f t="shared" si="3"/>
        <v>0</v>
      </c>
      <c r="O49" s="475">
        <f t="shared" si="4"/>
        <v>0</v>
      </c>
      <c r="P49" s="241"/>
    </row>
    <row r="50" spans="2:16" ht="12.5">
      <c r="B50" s="160" t="str">
        <f t="shared" si="7"/>
        <v>IU</v>
      </c>
      <c r="C50" s="469">
        <f>IF(D11="","-",+C49+1)</f>
        <v>2052</v>
      </c>
      <c r="D50" s="480">
        <f>IF(F49+SUM(E$17:E49)=D$10,F49,D$10-SUM(E$17:E49))</f>
        <v>1357410.3947639959</v>
      </c>
      <c r="E50" s="481">
        <f t="shared" si="13"/>
        <v>214402.02289473685</v>
      </c>
      <c r="F50" s="482">
        <f t="shared" si="14"/>
        <v>1143008.371869259</v>
      </c>
      <c r="G50" s="483">
        <f t="shared" si="15"/>
        <v>356601.07266693236</v>
      </c>
      <c r="H50" s="452">
        <f t="shared" si="16"/>
        <v>356601.07266693236</v>
      </c>
      <c r="I50" s="472">
        <f t="shared" si="5"/>
        <v>0</v>
      </c>
      <c r="J50" s="472"/>
      <c r="K50" s="484"/>
      <c r="L50" s="475">
        <f t="shared" si="17"/>
        <v>0</v>
      </c>
      <c r="M50" s="484"/>
      <c r="N50" s="475">
        <f t="shared" si="3"/>
        <v>0</v>
      </c>
      <c r="O50" s="475">
        <f t="shared" si="4"/>
        <v>0</v>
      </c>
      <c r="P50" s="241"/>
    </row>
    <row r="51" spans="2:16" ht="12.5">
      <c r="B51" s="160" t="str">
        <f t="shared" si="7"/>
        <v/>
      </c>
      <c r="C51" s="469">
        <f>IF(D11="","-",+C50+1)</f>
        <v>2053</v>
      </c>
      <c r="D51" s="480">
        <f>IF(F50+SUM(E$17:E50)=D$10,F50,D$10-SUM(E$17:E50))</f>
        <v>1143008.371869259</v>
      </c>
      <c r="E51" s="481">
        <f t="shared" si="13"/>
        <v>214402.02289473685</v>
      </c>
      <c r="F51" s="482">
        <f t="shared" si="14"/>
        <v>928606.3489745222</v>
      </c>
      <c r="G51" s="483">
        <f t="shared" si="15"/>
        <v>332214.94636544166</v>
      </c>
      <c r="H51" s="452">
        <f t="shared" si="16"/>
        <v>332214.94636544166</v>
      </c>
      <c r="I51" s="472">
        <f t="shared" si="5"/>
        <v>0</v>
      </c>
      <c r="J51" s="472"/>
      <c r="K51" s="484"/>
      <c r="L51" s="475">
        <f t="shared" si="17"/>
        <v>0</v>
      </c>
      <c r="M51" s="484"/>
      <c r="N51" s="475">
        <f t="shared" si="3"/>
        <v>0</v>
      </c>
      <c r="O51" s="475">
        <f t="shared" si="4"/>
        <v>0</v>
      </c>
      <c r="P51" s="241"/>
    </row>
    <row r="52" spans="2:16" ht="12.5">
      <c r="B52" s="160" t="str">
        <f t="shared" si="7"/>
        <v/>
      </c>
      <c r="C52" s="469">
        <f>IF(D11="","-",+C51+1)</f>
        <v>2054</v>
      </c>
      <c r="D52" s="480">
        <f>IF(F51+SUM(E$17:E51)=D$10,F51,D$10-SUM(E$17:E51))</f>
        <v>928606.3489745222</v>
      </c>
      <c r="E52" s="481">
        <f t="shared" si="13"/>
        <v>214402.02289473685</v>
      </c>
      <c r="F52" s="482">
        <f t="shared" si="14"/>
        <v>714204.32607978536</v>
      </c>
      <c r="G52" s="483">
        <f t="shared" si="15"/>
        <v>307828.82006395096</v>
      </c>
      <c r="H52" s="452">
        <f t="shared" si="16"/>
        <v>307828.82006395096</v>
      </c>
      <c r="I52" s="472">
        <f t="shared" si="5"/>
        <v>0</v>
      </c>
      <c r="J52" s="472"/>
      <c r="K52" s="484"/>
      <c r="L52" s="475">
        <f t="shared" si="17"/>
        <v>0</v>
      </c>
      <c r="M52" s="484"/>
      <c r="N52" s="475">
        <f t="shared" si="3"/>
        <v>0</v>
      </c>
      <c r="O52" s="475">
        <f t="shared" si="4"/>
        <v>0</v>
      </c>
      <c r="P52" s="241"/>
    </row>
    <row r="53" spans="2:16" ht="12.5">
      <c r="B53" s="160" t="str">
        <f t="shared" si="7"/>
        <v/>
      </c>
      <c r="C53" s="469">
        <f>IF(D11="","-",+C52+1)</f>
        <v>2055</v>
      </c>
      <c r="D53" s="480">
        <f>IF(F52+SUM(E$17:E52)=D$10,F52,D$10-SUM(E$17:E52))</f>
        <v>714204.32607978536</v>
      </c>
      <c r="E53" s="481">
        <f t="shared" si="13"/>
        <v>214402.02289473685</v>
      </c>
      <c r="F53" s="482">
        <f t="shared" si="14"/>
        <v>499802.30318504851</v>
      </c>
      <c r="G53" s="483">
        <f t="shared" si="15"/>
        <v>283442.69376246026</v>
      </c>
      <c r="H53" s="452">
        <f t="shared" si="16"/>
        <v>283442.69376246026</v>
      </c>
      <c r="I53" s="472">
        <f t="shared" si="5"/>
        <v>0</v>
      </c>
      <c r="J53" s="472"/>
      <c r="K53" s="484"/>
      <c r="L53" s="475">
        <f t="shared" si="17"/>
        <v>0</v>
      </c>
      <c r="M53" s="484"/>
      <c r="N53" s="475">
        <f t="shared" si="3"/>
        <v>0</v>
      </c>
      <c r="O53" s="475">
        <f t="shared" si="4"/>
        <v>0</v>
      </c>
      <c r="P53" s="241"/>
    </row>
    <row r="54" spans="2:16" ht="12.5">
      <c r="B54" s="160" t="str">
        <f t="shared" si="7"/>
        <v/>
      </c>
      <c r="C54" s="469">
        <f>IF(D11="","-",+C53+1)</f>
        <v>2056</v>
      </c>
      <c r="D54" s="480">
        <f>IF(F53+SUM(E$17:E53)=D$10,F53,D$10-SUM(E$17:E53))</f>
        <v>499802.30318504851</v>
      </c>
      <c r="E54" s="481">
        <f t="shared" si="13"/>
        <v>214402.02289473685</v>
      </c>
      <c r="F54" s="482">
        <f t="shared" si="14"/>
        <v>285400.28029031167</v>
      </c>
      <c r="G54" s="483">
        <f t="shared" si="15"/>
        <v>259056.56746096953</v>
      </c>
      <c r="H54" s="452">
        <f t="shared" si="16"/>
        <v>259056.56746096953</v>
      </c>
      <c r="I54" s="472">
        <f t="shared" si="5"/>
        <v>0</v>
      </c>
      <c r="J54" s="472"/>
      <c r="K54" s="484"/>
      <c r="L54" s="475">
        <f t="shared" si="17"/>
        <v>0</v>
      </c>
      <c r="M54" s="484"/>
      <c r="N54" s="475">
        <f t="shared" si="3"/>
        <v>0</v>
      </c>
      <c r="O54" s="475">
        <f t="shared" si="4"/>
        <v>0</v>
      </c>
      <c r="P54" s="241"/>
    </row>
    <row r="55" spans="2:16" ht="12.5">
      <c r="B55" s="160" t="str">
        <f t="shared" si="7"/>
        <v/>
      </c>
      <c r="C55" s="469">
        <f>IF(D11="","-",+C54+1)</f>
        <v>2057</v>
      </c>
      <c r="D55" s="480">
        <f>IF(F54+SUM(E$17:E54)=D$10,F54,D$10-SUM(E$17:E54))</f>
        <v>285400.28029031167</v>
      </c>
      <c r="E55" s="481">
        <f t="shared" si="13"/>
        <v>214402.02289473685</v>
      </c>
      <c r="F55" s="482">
        <f t="shared" si="14"/>
        <v>70998.257395574823</v>
      </c>
      <c r="G55" s="483">
        <f t="shared" si="15"/>
        <v>234670.44115947883</v>
      </c>
      <c r="H55" s="452">
        <f t="shared" si="16"/>
        <v>234670.44115947883</v>
      </c>
      <c r="I55" s="472">
        <f t="shared" si="5"/>
        <v>0</v>
      </c>
      <c r="J55" s="472"/>
      <c r="K55" s="484"/>
      <c r="L55" s="475">
        <f t="shared" si="17"/>
        <v>0</v>
      </c>
      <c r="M55" s="484"/>
      <c r="N55" s="475">
        <f t="shared" si="3"/>
        <v>0</v>
      </c>
      <c r="O55" s="475">
        <f t="shared" si="4"/>
        <v>0</v>
      </c>
      <c r="P55" s="241"/>
    </row>
    <row r="56" spans="2:16" ht="12.5">
      <c r="B56" s="160" t="str">
        <f t="shared" si="7"/>
        <v/>
      </c>
      <c r="C56" s="469">
        <f>IF(D11="","-",+C55+1)</f>
        <v>2058</v>
      </c>
      <c r="D56" s="480">
        <f>IF(F55+SUM(E$17:E55)=D$10,F55,D$10-SUM(E$17:E55))</f>
        <v>70998.257395574823</v>
      </c>
      <c r="E56" s="481">
        <f t="shared" si="13"/>
        <v>70998.257395574823</v>
      </c>
      <c r="F56" s="482">
        <f t="shared" si="14"/>
        <v>0</v>
      </c>
      <c r="G56" s="483">
        <f t="shared" si="15"/>
        <v>75035.934952573138</v>
      </c>
      <c r="H56" s="452">
        <f t="shared" si="16"/>
        <v>75035.934952573138</v>
      </c>
      <c r="I56" s="472">
        <f t="shared" si="5"/>
        <v>0</v>
      </c>
      <c r="J56" s="472"/>
      <c r="K56" s="484"/>
      <c r="L56" s="475">
        <f t="shared" si="17"/>
        <v>0</v>
      </c>
      <c r="M56" s="484"/>
      <c r="N56" s="475">
        <f t="shared" si="3"/>
        <v>0</v>
      </c>
      <c r="O56" s="475">
        <f t="shared" si="4"/>
        <v>0</v>
      </c>
      <c r="P56" s="241"/>
    </row>
    <row r="57" spans="2:16" ht="12.5">
      <c r="B57" s="160" t="str">
        <f t="shared" si="7"/>
        <v/>
      </c>
      <c r="C57" s="469">
        <f>IF(D11="","-",+C56+1)</f>
        <v>2059</v>
      </c>
      <c r="D57" s="480">
        <f>IF(F56+SUM(E$17:E56)=D$10,F56,D$10-SUM(E$17:E56))</f>
        <v>0</v>
      </c>
      <c r="E57" s="481">
        <f t="shared" si="13"/>
        <v>0</v>
      </c>
      <c r="F57" s="482">
        <f t="shared" si="14"/>
        <v>0</v>
      </c>
      <c r="G57" s="483">
        <f t="shared" si="15"/>
        <v>0</v>
      </c>
      <c r="H57" s="452">
        <f t="shared" si="16"/>
        <v>0</v>
      </c>
      <c r="I57" s="472">
        <f t="shared" si="5"/>
        <v>0</v>
      </c>
      <c r="J57" s="472"/>
      <c r="K57" s="484"/>
      <c r="L57" s="475">
        <f t="shared" si="17"/>
        <v>0</v>
      </c>
      <c r="M57" s="484"/>
      <c r="N57" s="475">
        <f t="shared" si="3"/>
        <v>0</v>
      </c>
      <c r="O57" s="475">
        <f t="shared" si="4"/>
        <v>0</v>
      </c>
      <c r="P57" s="241"/>
    </row>
    <row r="58" spans="2:16" ht="12.5">
      <c r="B58" s="160" t="str">
        <f t="shared" si="7"/>
        <v/>
      </c>
      <c r="C58" s="469">
        <f>IF(D11="","-",+C57+1)</f>
        <v>2060</v>
      </c>
      <c r="D58" s="480">
        <f>IF(F57+SUM(E$17:E57)=D$10,F57,D$10-SUM(E$17:E57))</f>
        <v>0</v>
      </c>
      <c r="E58" s="481">
        <f t="shared" si="13"/>
        <v>0</v>
      </c>
      <c r="F58" s="482">
        <f t="shared" si="14"/>
        <v>0</v>
      </c>
      <c r="G58" s="483">
        <f t="shared" si="15"/>
        <v>0</v>
      </c>
      <c r="H58" s="452">
        <f t="shared" si="16"/>
        <v>0</v>
      </c>
      <c r="I58" s="472">
        <f t="shared" si="5"/>
        <v>0</v>
      </c>
      <c r="J58" s="472"/>
      <c r="K58" s="484"/>
      <c r="L58" s="475">
        <f t="shared" si="17"/>
        <v>0</v>
      </c>
      <c r="M58" s="484"/>
      <c r="N58" s="475">
        <f t="shared" si="3"/>
        <v>0</v>
      </c>
      <c r="O58" s="475">
        <f t="shared" si="4"/>
        <v>0</v>
      </c>
      <c r="P58" s="241"/>
    </row>
    <row r="59" spans="2:16" ht="12.5">
      <c r="B59" s="160" t="str">
        <f t="shared" si="7"/>
        <v/>
      </c>
      <c r="C59" s="469">
        <f>IF(D11="","-",+C58+1)</f>
        <v>2061</v>
      </c>
      <c r="D59" s="480">
        <f>IF(F58+SUM(E$17:E58)=D$10,F58,D$10-SUM(E$17:E58))</f>
        <v>0</v>
      </c>
      <c r="E59" s="481">
        <f t="shared" si="13"/>
        <v>0</v>
      </c>
      <c r="F59" s="482">
        <f t="shared" si="14"/>
        <v>0</v>
      </c>
      <c r="G59" s="483">
        <f t="shared" si="15"/>
        <v>0</v>
      </c>
      <c r="H59" s="452">
        <f t="shared" si="16"/>
        <v>0</v>
      </c>
      <c r="I59" s="472">
        <f t="shared" si="5"/>
        <v>0</v>
      </c>
      <c r="J59" s="472"/>
      <c r="K59" s="484"/>
      <c r="L59" s="475">
        <f t="shared" si="17"/>
        <v>0</v>
      </c>
      <c r="M59" s="484"/>
      <c r="N59" s="475">
        <f t="shared" si="3"/>
        <v>0</v>
      </c>
      <c r="O59" s="475">
        <f t="shared" si="4"/>
        <v>0</v>
      </c>
      <c r="P59" s="241"/>
    </row>
    <row r="60" spans="2:16" ht="12.5">
      <c r="B60" s="160" t="str">
        <f t="shared" si="7"/>
        <v/>
      </c>
      <c r="C60" s="469">
        <f>IF(D11="","-",+C59+1)</f>
        <v>2062</v>
      </c>
      <c r="D60" s="480">
        <f>IF(F59+SUM(E$17:E59)=D$10,F59,D$10-SUM(E$17:E59))</f>
        <v>0</v>
      </c>
      <c r="E60" s="481">
        <f t="shared" si="13"/>
        <v>0</v>
      </c>
      <c r="F60" s="482">
        <f t="shared" si="14"/>
        <v>0</v>
      </c>
      <c r="G60" s="483">
        <f t="shared" si="15"/>
        <v>0</v>
      </c>
      <c r="H60" s="452">
        <f t="shared" si="16"/>
        <v>0</v>
      </c>
      <c r="I60" s="472">
        <f t="shared" si="5"/>
        <v>0</v>
      </c>
      <c r="J60" s="472"/>
      <c r="K60" s="484"/>
      <c r="L60" s="475">
        <f t="shared" si="17"/>
        <v>0</v>
      </c>
      <c r="M60" s="484"/>
      <c r="N60" s="475">
        <f t="shared" si="3"/>
        <v>0</v>
      </c>
      <c r="O60" s="475">
        <f t="shared" si="4"/>
        <v>0</v>
      </c>
      <c r="P60" s="241"/>
    </row>
    <row r="61" spans="2:16" ht="12.5">
      <c r="B61" s="160" t="str">
        <f t="shared" si="7"/>
        <v/>
      </c>
      <c r="C61" s="469">
        <f>IF(D11="","-",+C60+1)</f>
        <v>2063</v>
      </c>
      <c r="D61" s="480">
        <f>IF(F60+SUM(E$17:E60)=D$10,F60,D$10-SUM(E$17:E60))</f>
        <v>0</v>
      </c>
      <c r="E61" s="481">
        <f t="shared" si="13"/>
        <v>0</v>
      </c>
      <c r="F61" s="482">
        <f t="shared" si="14"/>
        <v>0</v>
      </c>
      <c r="G61" s="483">
        <f t="shared" si="15"/>
        <v>0</v>
      </c>
      <c r="H61" s="452">
        <f t="shared" si="16"/>
        <v>0</v>
      </c>
      <c r="I61" s="472">
        <f t="shared" si="5"/>
        <v>0</v>
      </c>
      <c r="J61" s="472"/>
      <c r="K61" s="484"/>
      <c r="L61" s="475">
        <f t="shared" si="17"/>
        <v>0</v>
      </c>
      <c r="M61" s="484"/>
      <c r="N61" s="475">
        <f t="shared" si="3"/>
        <v>0</v>
      </c>
      <c r="O61" s="475">
        <f t="shared" si="4"/>
        <v>0</v>
      </c>
      <c r="P61" s="241"/>
    </row>
    <row r="62" spans="2:16" ht="12.5">
      <c r="B62" s="160" t="str">
        <f t="shared" si="7"/>
        <v/>
      </c>
      <c r="C62" s="469">
        <f>IF(D11="","-",+C61+1)</f>
        <v>2064</v>
      </c>
      <c r="D62" s="480">
        <f>IF(F61+SUM(E$17:E61)=D$10,F61,D$10-SUM(E$17:E61))</f>
        <v>0</v>
      </c>
      <c r="E62" s="481">
        <f t="shared" si="13"/>
        <v>0</v>
      </c>
      <c r="F62" s="482">
        <f t="shared" si="14"/>
        <v>0</v>
      </c>
      <c r="G62" s="483">
        <f t="shared" si="15"/>
        <v>0</v>
      </c>
      <c r="H62" s="452">
        <f t="shared" si="16"/>
        <v>0</v>
      </c>
      <c r="I62" s="472">
        <f t="shared" si="5"/>
        <v>0</v>
      </c>
      <c r="J62" s="472"/>
      <c r="K62" s="484"/>
      <c r="L62" s="475">
        <f t="shared" si="17"/>
        <v>0</v>
      </c>
      <c r="M62" s="484"/>
      <c r="N62" s="475">
        <f t="shared" si="3"/>
        <v>0</v>
      </c>
      <c r="O62" s="475">
        <f t="shared" si="4"/>
        <v>0</v>
      </c>
      <c r="P62" s="241"/>
    </row>
    <row r="63" spans="2:16" ht="12.5">
      <c r="B63" s="160" t="str">
        <f t="shared" si="7"/>
        <v/>
      </c>
      <c r="C63" s="469">
        <f>IF(D11="","-",+C62+1)</f>
        <v>2065</v>
      </c>
      <c r="D63" s="480">
        <f>IF(F62+SUM(E$17:E62)=D$10,F62,D$10-SUM(E$17:E62))</f>
        <v>0</v>
      </c>
      <c r="E63" s="481">
        <f t="shared" si="13"/>
        <v>0</v>
      </c>
      <c r="F63" s="482">
        <f t="shared" si="14"/>
        <v>0</v>
      </c>
      <c r="G63" s="483">
        <f t="shared" si="15"/>
        <v>0</v>
      </c>
      <c r="H63" s="452">
        <f t="shared" si="16"/>
        <v>0</v>
      </c>
      <c r="I63" s="472">
        <f t="shared" si="5"/>
        <v>0</v>
      </c>
      <c r="J63" s="472"/>
      <c r="K63" s="484"/>
      <c r="L63" s="475">
        <f t="shared" si="17"/>
        <v>0</v>
      </c>
      <c r="M63" s="484"/>
      <c r="N63" s="475">
        <f t="shared" si="3"/>
        <v>0</v>
      </c>
      <c r="O63" s="475">
        <f t="shared" si="4"/>
        <v>0</v>
      </c>
      <c r="P63" s="241"/>
    </row>
    <row r="64" spans="2:16" ht="12.5">
      <c r="B64" s="160" t="str">
        <f t="shared" si="7"/>
        <v/>
      </c>
      <c r="C64" s="469">
        <f>IF(D11="","-",+C63+1)</f>
        <v>2066</v>
      </c>
      <c r="D64" s="480">
        <f>IF(F63+SUM(E$17:E63)=D$10,F63,D$10-SUM(E$17:E63))</f>
        <v>0</v>
      </c>
      <c r="E64" s="481">
        <f t="shared" si="13"/>
        <v>0</v>
      </c>
      <c r="F64" s="482">
        <f t="shared" si="14"/>
        <v>0</v>
      </c>
      <c r="G64" s="483">
        <f t="shared" si="15"/>
        <v>0</v>
      </c>
      <c r="H64" s="452">
        <f t="shared" si="16"/>
        <v>0</v>
      </c>
      <c r="I64" s="472">
        <f t="shared" si="5"/>
        <v>0</v>
      </c>
      <c r="J64" s="472"/>
      <c r="K64" s="484"/>
      <c r="L64" s="475">
        <f t="shared" si="17"/>
        <v>0</v>
      </c>
      <c r="M64" s="484"/>
      <c r="N64" s="475">
        <f t="shared" si="3"/>
        <v>0</v>
      </c>
      <c r="O64" s="475">
        <f t="shared" si="4"/>
        <v>0</v>
      </c>
      <c r="P64" s="241"/>
    </row>
    <row r="65" spans="2:16" ht="12.5">
      <c r="B65" s="160" t="str">
        <f t="shared" si="7"/>
        <v/>
      </c>
      <c r="C65" s="469">
        <f>IF(D11="","-",+C64+1)</f>
        <v>2067</v>
      </c>
      <c r="D65" s="480">
        <f>IF(F64+SUM(E$17:E64)=D$10,F64,D$10-SUM(E$17:E64))</f>
        <v>0</v>
      </c>
      <c r="E65" s="481">
        <f t="shared" si="13"/>
        <v>0</v>
      </c>
      <c r="F65" s="482">
        <f t="shared" si="14"/>
        <v>0</v>
      </c>
      <c r="G65" s="483">
        <f t="shared" si="15"/>
        <v>0</v>
      </c>
      <c r="H65" s="452">
        <f t="shared" si="16"/>
        <v>0</v>
      </c>
      <c r="I65" s="472">
        <f t="shared" si="5"/>
        <v>0</v>
      </c>
      <c r="J65" s="472"/>
      <c r="K65" s="484"/>
      <c r="L65" s="475">
        <f t="shared" si="17"/>
        <v>0</v>
      </c>
      <c r="M65" s="484"/>
      <c r="N65" s="475">
        <f t="shared" si="3"/>
        <v>0</v>
      </c>
      <c r="O65" s="475">
        <f t="shared" si="4"/>
        <v>0</v>
      </c>
      <c r="P65" s="241"/>
    </row>
    <row r="66" spans="2:16" ht="12.5">
      <c r="B66" s="160" t="str">
        <f t="shared" si="7"/>
        <v/>
      </c>
      <c r="C66" s="469">
        <f>IF(D11="","-",+C65+1)</f>
        <v>2068</v>
      </c>
      <c r="D66" s="480">
        <f>IF(F65+SUM(E$17:E65)=D$10,F65,D$10-SUM(E$17:E65))</f>
        <v>0</v>
      </c>
      <c r="E66" s="481">
        <f t="shared" si="13"/>
        <v>0</v>
      </c>
      <c r="F66" s="482">
        <f t="shared" si="14"/>
        <v>0</v>
      </c>
      <c r="G66" s="483">
        <f t="shared" si="15"/>
        <v>0</v>
      </c>
      <c r="H66" s="452">
        <f t="shared" si="16"/>
        <v>0</v>
      </c>
      <c r="I66" s="472">
        <f t="shared" si="5"/>
        <v>0</v>
      </c>
      <c r="J66" s="472"/>
      <c r="K66" s="484"/>
      <c r="L66" s="475">
        <f t="shared" si="17"/>
        <v>0</v>
      </c>
      <c r="M66" s="484"/>
      <c r="N66" s="475">
        <f t="shared" si="3"/>
        <v>0</v>
      </c>
      <c r="O66" s="475">
        <f t="shared" si="4"/>
        <v>0</v>
      </c>
      <c r="P66" s="241"/>
    </row>
    <row r="67" spans="2:16" ht="12.5">
      <c r="B67" s="160" t="str">
        <f t="shared" si="7"/>
        <v/>
      </c>
      <c r="C67" s="469">
        <f>IF(D11="","-",+C66+1)</f>
        <v>2069</v>
      </c>
      <c r="D67" s="480">
        <f>IF(F66+SUM(E$17:E66)=D$10,F66,D$10-SUM(E$17:E66))</f>
        <v>0</v>
      </c>
      <c r="E67" s="481">
        <f t="shared" si="13"/>
        <v>0</v>
      </c>
      <c r="F67" s="482">
        <f t="shared" si="14"/>
        <v>0</v>
      </c>
      <c r="G67" s="483">
        <f t="shared" si="15"/>
        <v>0</v>
      </c>
      <c r="H67" s="452">
        <f t="shared" si="16"/>
        <v>0</v>
      </c>
      <c r="I67" s="472">
        <f t="shared" si="5"/>
        <v>0</v>
      </c>
      <c r="J67" s="472"/>
      <c r="K67" s="484"/>
      <c r="L67" s="475">
        <f t="shared" si="17"/>
        <v>0</v>
      </c>
      <c r="M67" s="484"/>
      <c r="N67" s="475">
        <f t="shared" si="3"/>
        <v>0</v>
      </c>
      <c r="O67" s="475">
        <f t="shared" si="4"/>
        <v>0</v>
      </c>
      <c r="P67" s="241"/>
    </row>
    <row r="68" spans="2:16" ht="12.5">
      <c r="B68" s="160" t="str">
        <f t="shared" si="7"/>
        <v/>
      </c>
      <c r="C68" s="469">
        <f>IF(D11="","-",+C67+1)</f>
        <v>2070</v>
      </c>
      <c r="D68" s="480">
        <f>IF(F67+SUM(E$17:E67)=D$10,F67,D$10-SUM(E$17:E67))</f>
        <v>0</v>
      </c>
      <c r="E68" s="481">
        <f t="shared" si="13"/>
        <v>0</v>
      </c>
      <c r="F68" s="482">
        <f t="shared" si="14"/>
        <v>0</v>
      </c>
      <c r="G68" s="483">
        <f t="shared" si="15"/>
        <v>0</v>
      </c>
      <c r="H68" s="452">
        <f t="shared" si="16"/>
        <v>0</v>
      </c>
      <c r="I68" s="472">
        <f t="shared" si="5"/>
        <v>0</v>
      </c>
      <c r="J68" s="472"/>
      <c r="K68" s="484"/>
      <c r="L68" s="475">
        <f t="shared" si="17"/>
        <v>0</v>
      </c>
      <c r="M68" s="484"/>
      <c r="N68" s="475">
        <f t="shared" si="3"/>
        <v>0</v>
      </c>
      <c r="O68" s="475">
        <f t="shared" si="4"/>
        <v>0</v>
      </c>
      <c r="P68" s="241"/>
    </row>
    <row r="69" spans="2:16" ht="12.5">
      <c r="B69" s="160" t="str">
        <f t="shared" si="7"/>
        <v/>
      </c>
      <c r="C69" s="469">
        <f>IF(D11="","-",+C68+1)</f>
        <v>2071</v>
      </c>
      <c r="D69" s="480">
        <f>IF(F68+SUM(E$17:E68)=D$10,F68,D$10-SUM(E$17:E68))</f>
        <v>0</v>
      </c>
      <c r="E69" s="481">
        <f t="shared" si="13"/>
        <v>0</v>
      </c>
      <c r="F69" s="482">
        <f t="shared" si="14"/>
        <v>0</v>
      </c>
      <c r="G69" s="483">
        <f t="shared" si="15"/>
        <v>0</v>
      </c>
      <c r="H69" s="452">
        <f t="shared" si="16"/>
        <v>0</v>
      </c>
      <c r="I69" s="472">
        <f t="shared" si="5"/>
        <v>0</v>
      </c>
      <c r="J69" s="472"/>
      <c r="K69" s="484"/>
      <c r="L69" s="475">
        <f t="shared" si="17"/>
        <v>0</v>
      </c>
      <c r="M69" s="484"/>
      <c r="N69" s="475">
        <f t="shared" si="3"/>
        <v>0</v>
      </c>
      <c r="O69" s="475">
        <f t="shared" si="4"/>
        <v>0</v>
      </c>
      <c r="P69" s="241"/>
    </row>
    <row r="70" spans="2:16" ht="12.5">
      <c r="B70" s="160" t="str">
        <f t="shared" si="7"/>
        <v/>
      </c>
      <c r="C70" s="469">
        <f>IF(D11="","-",+C69+1)</f>
        <v>2072</v>
      </c>
      <c r="D70" s="480">
        <f>IF(F69+SUM(E$17:E69)=D$10,F69,D$10-SUM(E$17:E69))</f>
        <v>0</v>
      </c>
      <c r="E70" s="481">
        <f t="shared" si="13"/>
        <v>0</v>
      </c>
      <c r="F70" s="482">
        <f t="shared" si="14"/>
        <v>0</v>
      </c>
      <c r="G70" s="483">
        <f t="shared" si="15"/>
        <v>0</v>
      </c>
      <c r="H70" s="452">
        <f t="shared" si="16"/>
        <v>0</v>
      </c>
      <c r="I70" s="472">
        <f t="shared" si="5"/>
        <v>0</v>
      </c>
      <c r="J70" s="472"/>
      <c r="K70" s="484"/>
      <c r="L70" s="475">
        <f t="shared" si="17"/>
        <v>0</v>
      </c>
      <c r="M70" s="484"/>
      <c r="N70" s="475">
        <f t="shared" si="3"/>
        <v>0</v>
      </c>
      <c r="O70" s="475">
        <f t="shared" si="4"/>
        <v>0</v>
      </c>
      <c r="P70" s="241"/>
    </row>
    <row r="71" spans="2:16" ht="12.5">
      <c r="B71" s="160" t="str">
        <f t="shared" si="7"/>
        <v/>
      </c>
      <c r="C71" s="469">
        <f>IF(D11="","-",+C70+1)</f>
        <v>2073</v>
      </c>
      <c r="D71" s="480">
        <f>IF(F70+SUM(E$17:E70)=D$10,F70,D$10-SUM(E$17:E70))</f>
        <v>0</v>
      </c>
      <c r="E71" s="481">
        <f t="shared" si="13"/>
        <v>0</v>
      </c>
      <c r="F71" s="482">
        <f t="shared" si="14"/>
        <v>0</v>
      </c>
      <c r="G71" s="483">
        <f t="shared" si="15"/>
        <v>0</v>
      </c>
      <c r="H71" s="452">
        <f t="shared" si="16"/>
        <v>0</v>
      </c>
      <c r="I71" s="472">
        <f t="shared" si="5"/>
        <v>0</v>
      </c>
      <c r="J71" s="472"/>
      <c r="K71" s="484"/>
      <c r="L71" s="475">
        <f t="shared" si="17"/>
        <v>0</v>
      </c>
      <c r="M71" s="484"/>
      <c r="N71" s="475">
        <f t="shared" si="3"/>
        <v>0</v>
      </c>
      <c r="O71" s="475">
        <f t="shared" si="4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2074</v>
      </c>
      <c r="D72" s="608">
        <f>IF(F71+SUM(E$17:E71)=D$10,F71,D$10-SUM(E$17:E71))</f>
        <v>0</v>
      </c>
      <c r="E72" s="488">
        <f>IF(+I$14&lt;F71,I$14,D72)</f>
        <v>0</v>
      </c>
      <c r="F72" s="487">
        <f>+D72-E72</f>
        <v>0</v>
      </c>
      <c r="G72" s="541">
        <f>(D72+F72)/2*I$12+E72</f>
        <v>0</v>
      </c>
      <c r="H72" s="432">
        <f>+(D72+F72)/2*I$13+E72</f>
        <v>0</v>
      </c>
      <c r="I72" s="490">
        <f>H72-G72</f>
        <v>0</v>
      </c>
      <c r="J72" s="472"/>
      <c r="K72" s="491"/>
      <c r="L72" s="492">
        <f t="shared" si="17"/>
        <v>0</v>
      </c>
      <c r="M72" s="491"/>
      <c r="N72" s="492">
        <f t="shared" si="3"/>
        <v>0</v>
      </c>
      <c r="O72" s="492">
        <f t="shared" si="4"/>
        <v>0</v>
      </c>
      <c r="P72" s="241"/>
    </row>
    <row r="73" spans="2:16" ht="12.5">
      <c r="C73" s="344" t="s">
        <v>77</v>
      </c>
      <c r="D73" s="345"/>
      <c r="E73" s="345">
        <f>SUM(E17:E72)</f>
        <v>8147276.8699999973</v>
      </c>
      <c r="F73" s="345"/>
      <c r="G73" s="345">
        <f>SUM(G17:G72)</f>
        <v>26306411.084478006</v>
      </c>
      <c r="H73" s="345">
        <f>SUM(H17:H72)</f>
        <v>26306411.084478006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26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1074342.5412361107</v>
      </c>
      <c r="N87" s="505">
        <f>IF(J92&lt;D11,0,VLOOKUP(J92,C17:O72,11))</f>
        <v>1074342.5412361107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1185342.9090455258</v>
      </c>
      <c r="N88" s="509">
        <f>IF(J92&lt;D11,0,VLOOKUP(J92,C99:P154,7))</f>
        <v>1185342.9090455258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Tulsa Southeast - E. 61st St 138 kV Rebuild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111000.3678094151</v>
      </c>
      <c r="N89" s="514">
        <f>+N88-N87</f>
        <v>111000.3678094151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TP2017011</v>
      </c>
      <c r="E91" s="519" t="str">
        <f>E9</f>
        <v xml:space="preserve">  SPP Project ID = 41202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8147276.8700000001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2019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12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214402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2019</v>
      </c>
      <c r="D99" s="581">
        <v>0</v>
      </c>
      <c r="E99" s="604">
        <v>0</v>
      </c>
      <c r="F99" s="581">
        <v>6388896</v>
      </c>
      <c r="G99" s="604">
        <v>3194448</v>
      </c>
      <c r="H99" s="584">
        <v>329392.39438521734</v>
      </c>
      <c r="I99" s="603">
        <v>329392.39438521734</v>
      </c>
      <c r="J99" s="475">
        <f>+I99-H99</f>
        <v>0</v>
      </c>
      <c r="K99" s="475"/>
      <c r="L99" s="474">
        <f>+H99</f>
        <v>329392.39438521734</v>
      </c>
      <c r="M99" s="474">
        <f t="shared" ref="M99" si="18">IF(L99&lt;&gt;0,+H99-L99,0)</f>
        <v>0</v>
      </c>
      <c r="N99" s="474">
        <f>+I99</f>
        <v>329392.39438521734</v>
      </c>
      <c r="O99" s="474">
        <f t="shared" ref="O99:O130" si="19">IF(N99&lt;&gt;0,+I99-N99,0)</f>
        <v>0</v>
      </c>
      <c r="P99" s="474">
        <f t="shared" ref="P99:P130" si="20">+O99-M99</f>
        <v>0</v>
      </c>
    </row>
    <row r="100" spans="1:16" ht="12.5">
      <c r="B100" s="160" t="str">
        <f>IF(D100=F99,"","IU")</f>
        <v>IU</v>
      </c>
      <c r="C100" s="469">
        <f>IF(D93="","-",+C99+1)</f>
        <v>2020</v>
      </c>
      <c r="D100" s="581">
        <v>8144614</v>
      </c>
      <c r="E100" s="582">
        <v>189410</v>
      </c>
      <c r="F100" s="583">
        <v>7955204</v>
      </c>
      <c r="G100" s="583">
        <v>8049909</v>
      </c>
      <c r="H100" s="602">
        <v>1117542.3763000495</v>
      </c>
      <c r="I100" s="603">
        <v>1117542.3763000495</v>
      </c>
      <c r="J100" s="475">
        <f t="shared" ref="J100:J130" si="21">+I100-H100</f>
        <v>0</v>
      </c>
      <c r="K100" s="475"/>
      <c r="L100" s="473">
        <f>H100</f>
        <v>1117542.3763000495</v>
      </c>
      <c r="M100" s="346">
        <f>IF(L100&lt;&gt;0,+H100-L100,0)</f>
        <v>0</v>
      </c>
      <c r="N100" s="473">
        <f>I100</f>
        <v>1117542.3763000495</v>
      </c>
      <c r="O100" s="475">
        <f t="shared" si="19"/>
        <v>0</v>
      </c>
      <c r="P100" s="475">
        <f t="shared" si="20"/>
        <v>0</v>
      </c>
    </row>
    <row r="101" spans="1:16" ht="12.5">
      <c r="B101" s="160" t="str">
        <f t="shared" ref="B101:B154" si="22">IF(D101=F100,"","IU")</f>
        <v>IU</v>
      </c>
      <c r="C101" s="469">
        <f>IF(D93="","-",+C100+1)</f>
        <v>2021</v>
      </c>
      <c r="D101" s="581">
        <v>7958291</v>
      </c>
      <c r="E101" s="582">
        <v>198724</v>
      </c>
      <c r="F101" s="583">
        <v>7759567</v>
      </c>
      <c r="G101" s="583">
        <v>7858929</v>
      </c>
      <c r="H101" s="602">
        <v>1093013.4811459687</v>
      </c>
      <c r="I101" s="603">
        <v>1093013.4811459687</v>
      </c>
      <c r="J101" s="475">
        <f t="shared" si="21"/>
        <v>0</v>
      </c>
      <c r="K101" s="475"/>
      <c r="L101" s="473">
        <f>H101</f>
        <v>1093013.4811459687</v>
      </c>
      <c r="M101" s="346">
        <f>IF(L101&lt;&gt;0,+H101-L101,0)</f>
        <v>0</v>
      </c>
      <c r="N101" s="473">
        <f>I101</f>
        <v>1093013.4811459687</v>
      </c>
      <c r="O101" s="475">
        <f t="shared" si="19"/>
        <v>0</v>
      </c>
      <c r="P101" s="475">
        <f t="shared" si="20"/>
        <v>0</v>
      </c>
    </row>
    <row r="102" spans="1:16" ht="12.5">
      <c r="B102" s="160" t="str">
        <f t="shared" si="22"/>
        <v>IU</v>
      </c>
      <c r="C102" s="469">
        <f>IF(D93="","-",+C101+1)</f>
        <v>2022</v>
      </c>
      <c r="D102" s="581">
        <v>7759143</v>
      </c>
      <c r="E102" s="582">
        <v>208905</v>
      </c>
      <c r="F102" s="583">
        <v>7550238</v>
      </c>
      <c r="G102" s="583">
        <v>7654690.5</v>
      </c>
      <c r="H102" s="602">
        <v>1052319.106232034</v>
      </c>
      <c r="I102" s="603">
        <v>1052319.106232034</v>
      </c>
      <c r="J102" s="475">
        <f t="shared" si="21"/>
        <v>0</v>
      </c>
      <c r="K102" s="475"/>
      <c r="L102" s="473">
        <f>H102</f>
        <v>1052319.106232034</v>
      </c>
      <c r="M102" s="346">
        <f>IF(L102&lt;&gt;0,+H102-L102,0)</f>
        <v>0</v>
      </c>
      <c r="N102" s="473">
        <f>I102</f>
        <v>1052319.106232034</v>
      </c>
      <c r="O102" s="475">
        <f t="shared" ref="O102" si="23">IF(N102&lt;&gt;0,+I102-N102,0)</f>
        <v>0</v>
      </c>
      <c r="P102" s="475">
        <f t="shared" ref="P102" si="24">+O102-M102</f>
        <v>0</v>
      </c>
    </row>
    <row r="103" spans="1:16" ht="12.5">
      <c r="B103" s="160" t="str">
        <f t="shared" si="22"/>
        <v>IU</v>
      </c>
      <c r="C103" s="469">
        <f>IF(D93="","-",+C102+1)</f>
        <v>2023</v>
      </c>
      <c r="D103" s="581">
        <v>7550237.8700000001</v>
      </c>
      <c r="E103" s="582">
        <v>214402</v>
      </c>
      <c r="F103" s="583">
        <v>7335835.8700000001</v>
      </c>
      <c r="G103" s="583">
        <v>7443036.8700000001</v>
      </c>
      <c r="H103" s="602">
        <v>1064598.1674432177</v>
      </c>
      <c r="I103" s="603">
        <v>1064598.1674432177</v>
      </c>
      <c r="J103" s="475">
        <f t="shared" si="21"/>
        <v>0</v>
      </c>
      <c r="K103" s="475"/>
      <c r="L103" s="473">
        <f>H103</f>
        <v>1064598.1674432177</v>
      </c>
      <c r="M103" s="346">
        <f>IF(L103&lt;&gt;0,+H103-L103,0)</f>
        <v>0</v>
      </c>
      <c r="N103" s="473">
        <f>I103</f>
        <v>1064598.1674432177</v>
      </c>
      <c r="O103" s="475">
        <f t="shared" ref="O103" si="25">IF(N103&lt;&gt;0,+I103-N103,0)</f>
        <v>0</v>
      </c>
      <c r="P103" s="475">
        <f t="shared" ref="P103" si="26">+O103-M103</f>
        <v>0</v>
      </c>
    </row>
    <row r="104" spans="1:16" ht="12.5">
      <c r="B104" s="160" t="str">
        <f t="shared" si="22"/>
        <v/>
      </c>
      <c r="C104" s="469">
        <f>IF(D93="","-",+C103+1)</f>
        <v>2024</v>
      </c>
      <c r="D104" s="344">
        <f>IF(F103+SUM(E$99:E103)=D$92,F103,D$92-SUM(E$99:E103))</f>
        <v>7335835.8700000001</v>
      </c>
      <c r="E104" s="481">
        <f t="shared" ref="E104:E154" si="27">IF(+J$96&lt;F103,J$96,D104)</f>
        <v>214402</v>
      </c>
      <c r="F104" s="482">
        <f t="shared" ref="F104:F154" si="28">+D104-E104</f>
        <v>7121433.8700000001</v>
      </c>
      <c r="G104" s="482">
        <f t="shared" ref="G104:G154" si="29">+(F104+D104)/2</f>
        <v>7228634.8700000001</v>
      </c>
      <c r="H104" s="483">
        <f t="shared" ref="H104:H153" si="30">(D104+F104)/2*J$94+E104</f>
        <v>1185342.9090455258</v>
      </c>
      <c r="I104" s="539">
        <f t="shared" ref="I104:I153" si="31">+J$95*G104+E104</f>
        <v>1185342.9090455258</v>
      </c>
      <c r="J104" s="475">
        <f t="shared" si="21"/>
        <v>0</v>
      </c>
      <c r="K104" s="475"/>
      <c r="L104" s="484"/>
      <c r="M104" s="475">
        <f t="shared" ref="M104:M130" si="32">IF(L104&lt;&gt;0,+H104-L104,0)</f>
        <v>0</v>
      </c>
      <c r="N104" s="484"/>
      <c r="O104" s="475">
        <f t="shared" si="19"/>
        <v>0</v>
      </c>
      <c r="P104" s="475">
        <f t="shared" si="20"/>
        <v>0</v>
      </c>
    </row>
    <row r="105" spans="1:16" ht="12.5">
      <c r="B105" s="160" t="str">
        <f t="shared" si="22"/>
        <v/>
      </c>
      <c r="C105" s="469">
        <f>IF(D93="","-",+C104+1)</f>
        <v>2025</v>
      </c>
      <c r="D105" s="344">
        <f>IF(F104+SUM(E$99:E104)=D$92,F104,D$92-SUM(E$99:E104))</f>
        <v>7121433.8700000001</v>
      </c>
      <c r="E105" s="481">
        <f t="shared" si="27"/>
        <v>214402</v>
      </c>
      <c r="F105" s="482">
        <f t="shared" si="28"/>
        <v>6907031.8700000001</v>
      </c>
      <c r="G105" s="482">
        <f t="shared" si="29"/>
        <v>7014232.8700000001</v>
      </c>
      <c r="H105" s="483">
        <f t="shared" si="30"/>
        <v>1156544.7090361263</v>
      </c>
      <c r="I105" s="539">
        <f t="shared" si="31"/>
        <v>1156544.7090361263</v>
      </c>
      <c r="J105" s="475">
        <f t="shared" si="21"/>
        <v>0</v>
      </c>
      <c r="K105" s="475"/>
      <c r="L105" s="484"/>
      <c r="M105" s="475">
        <f t="shared" si="32"/>
        <v>0</v>
      </c>
      <c r="N105" s="484"/>
      <c r="O105" s="475">
        <f t="shared" si="19"/>
        <v>0</v>
      </c>
      <c r="P105" s="475">
        <f t="shared" si="20"/>
        <v>0</v>
      </c>
    </row>
    <row r="106" spans="1:16" ht="12.5">
      <c r="B106" s="160" t="str">
        <f t="shared" si="22"/>
        <v/>
      </c>
      <c r="C106" s="469">
        <f>IF(D93="","-",+C105+1)</f>
        <v>2026</v>
      </c>
      <c r="D106" s="344">
        <f>IF(F105+SUM(E$99:E105)=D$92,F105,D$92-SUM(E$99:E105))</f>
        <v>6907031.8700000001</v>
      </c>
      <c r="E106" s="481">
        <f t="shared" si="27"/>
        <v>214402</v>
      </c>
      <c r="F106" s="482">
        <f t="shared" si="28"/>
        <v>6692629.8700000001</v>
      </c>
      <c r="G106" s="482">
        <f t="shared" si="29"/>
        <v>6799830.8700000001</v>
      </c>
      <c r="H106" s="483">
        <f t="shared" si="30"/>
        <v>1127746.5090267267</v>
      </c>
      <c r="I106" s="539">
        <f t="shared" si="31"/>
        <v>1127746.5090267267</v>
      </c>
      <c r="J106" s="475">
        <f t="shared" si="21"/>
        <v>0</v>
      </c>
      <c r="K106" s="475"/>
      <c r="L106" s="484"/>
      <c r="M106" s="475">
        <f t="shared" si="32"/>
        <v>0</v>
      </c>
      <c r="N106" s="484"/>
      <c r="O106" s="475">
        <f t="shared" si="19"/>
        <v>0</v>
      </c>
      <c r="P106" s="475">
        <f t="shared" si="20"/>
        <v>0</v>
      </c>
    </row>
    <row r="107" spans="1:16" ht="12.5">
      <c r="B107" s="160" t="str">
        <f t="shared" si="22"/>
        <v/>
      </c>
      <c r="C107" s="469">
        <f>IF(D93="","-",+C106+1)</f>
        <v>2027</v>
      </c>
      <c r="D107" s="344">
        <f>IF(F106+SUM(E$99:E106)=D$92,F106,D$92-SUM(E$99:E106))</f>
        <v>6692629.8700000001</v>
      </c>
      <c r="E107" s="481">
        <f t="shared" si="27"/>
        <v>214402</v>
      </c>
      <c r="F107" s="482">
        <f t="shared" si="28"/>
        <v>6478227.8700000001</v>
      </c>
      <c r="G107" s="482">
        <f t="shared" si="29"/>
        <v>6585428.8700000001</v>
      </c>
      <c r="H107" s="483">
        <f t="shared" si="30"/>
        <v>1098948.3090173276</v>
      </c>
      <c r="I107" s="539">
        <f t="shared" si="31"/>
        <v>1098948.3090173276</v>
      </c>
      <c r="J107" s="475">
        <f t="shared" si="21"/>
        <v>0</v>
      </c>
      <c r="K107" s="475"/>
      <c r="L107" s="484"/>
      <c r="M107" s="475">
        <f t="shared" si="32"/>
        <v>0</v>
      </c>
      <c r="N107" s="484"/>
      <c r="O107" s="475">
        <f t="shared" si="19"/>
        <v>0</v>
      </c>
      <c r="P107" s="475">
        <f t="shared" si="20"/>
        <v>0</v>
      </c>
    </row>
    <row r="108" spans="1:16" ht="12.5">
      <c r="B108" s="160" t="str">
        <f t="shared" si="22"/>
        <v/>
      </c>
      <c r="C108" s="469">
        <f>IF(D93="","-",+C107+1)</f>
        <v>2028</v>
      </c>
      <c r="D108" s="344">
        <f>IF(F107+SUM(E$99:E107)=D$92,F107,D$92-SUM(E$99:E107))</f>
        <v>6478227.8700000001</v>
      </c>
      <c r="E108" s="481">
        <f t="shared" si="27"/>
        <v>214402</v>
      </c>
      <c r="F108" s="482">
        <f t="shared" si="28"/>
        <v>6263825.8700000001</v>
      </c>
      <c r="G108" s="482">
        <f t="shared" si="29"/>
        <v>6371026.8700000001</v>
      </c>
      <c r="H108" s="483">
        <f t="shared" si="30"/>
        <v>1070150.1090079281</v>
      </c>
      <c r="I108" s="539">
        <f t="shared" si="31"/>
        <v>1070150.1090079281</v>
      </c>
      <c r="J108" s="475">
        <f t="shared" si="21"/>
        <v>0</v>
      </c>
      <c r="K108" s="475"/>
      <c r="L108" s="484"/>
      <c r="M108" s="475">
        <f t="shared" si="32"/>
        <v>0</v>
      </c>
      <c r="N108" s="484"/>
      <c r="O108" s="475">
        <f t="shared" si="19"/>
        <v>0</v>
      </c>
      <c r="P108" s="475">
        <f t="shared" si="20"/>
        <v>0</v>
      </c>
    </row>
    <row r="109" spans="1:16" ht="12.5">
      <c r="B109" s="160" t="str">
        <f t="shared" si="22"/>
        <v/>
      </c>
      <c r="C109" s="469">
        <f>IF(D93="","-",+C108+1)</f>
        <v>2029</v>
      </c>
      <c r="D109" s="344">
        <f>IF(F108+SUM(E$99:E108)=D$92,F108,D$92-SUM(E$99:E108))</f>
        <v>6263825.8700000001</v>
      </c>
      <c r="E109" s="481">
        <f t="shared" si="27"/>
        <v>214402</v>
      </c>
      <c r="F109" s="482">
        <f t="shared" si="28"/>
        <v>6049423.8700000001</v>
      </c>
      <c r="G109" s="482">
        <f t="shared" si="29"/>
        <v>6156624.8700000001</v>
      </c>
      <c r="H109" s="483">
        <f t="shared" si="30"/>
        <v>1041351.9089985287</v>
      </c>
      <c r="I109" s="539">
        <f t="shared" si="31"/>
        <v>1041351.9089985287</v>
      </c>
      <c r="J109" s="475">
        <f t="shared" si="21"/>
        <v>0</v>
      </c>
      <c r="K109" s="475"/>
      <c r="L109" s="484"/>
      <c r="M109" s="475">
        <f t="shared" si="32"/>
        <v>0</v>
      </c>
      <c r="N109" s="484"/>
      <c r="O109" s="475">
        <f t="shared" si="19"/>
        <v>0</v>
      </c>
      <c r="P109" s="475">
        <f t="shared" si="20"/>
        <v>0</v>
      </c>
    </row>
    <row r="110" spans="1:16" ht="12.5">
      <c r="B110" s="160" t="str">
        <f t="shared" si="22"/>
        <v/>
      </c>
      <c r="C110" s="469">
        <f>IF(D93="","-",+C109+1)</f>
        <v>2030</v>
      </c>
      <c r="D110" s="344">
        <f>IF(F109+SUM(E$99:E109)=D$92,F109,D$92-SUM(E$99:E109))</f>
        <v>6049423.8700000001</v>
      </c>
      <c r="E110" s="481">
        <f t="shared" si="27"/>
        <v>214402</v>
      </c>
      <c r="F110" s="482">
        <f t="shared" si="28"/>
        <v>5835021.8700000001</v>
      </c>
      <c r="G110" s="482">
        <f t="shared" si="29"/>
        <v>5942222.8700000001</v>
      </c>
      <c r="H110" s="483">
        <f t="shared" si="30"/>
        <v>1012553.7089891293</v>
      </c>
      <c r="I110" s="539">
        <f t="shared" si="31"/>
        <v>1012553.7089891293</v>
      </c>
      <c r="J110" s="475">
        <f t="shared" si="21"/>
        <v>0</v>
      </c>
      <c r="K110" s="475"/>
      <c r="L110" s="484"/>
      <c r="M110" s="475">
        <f t="shared" si="32"/>
        <v>0</v>
      </c>
      <c r="N110" s="484"/>
      <c r="O110" s="475">
        <f t="shared" si="19"/>
        <v>0</v>
      </c>
      <c r="P110" s="475">
        <f t="shared" si="20"/>
        <v>0</v>
      </c>
    </row>
    <row r="111" spans="1:16" ht="12.5">
      <c r="B111" s="160" t="str">
        <f t="shared" si="22"/>
        <v/>
      </c>
      <c r="C111" s="469">
        <f>IF(D93="","-",+C110+1)</f>
        <v>2031</v>
      </c>
      <c r="D111" s="344">
        <f>IF(F110+SUM(E$99:E110)=D$92,F110,D$92-SUM(E$99:E110))</f>
        <v>5835021.8700000001</v>
      </c>
      <c r="E111" s="481">
        <f t="shared" si="27"/>
        <v>214402</v>
      </c>
      <c r="F111" s="482">
        <f t="shared" si="28"/>
        <v>5620619.8700000001</v>
      </c>
      <c r="G111" s="482">
        <f t="shared" si="29"/>
        <v>5727820.8700000001</v>
      </c>
      <c r="H111" s="483">
        <f t="shared" si="30"/>
        <v>983755.50897972996</v>
      </c>
      <c r="I111" s="539">
        <f t="shared" si="31"/>
        <v>983755.50897972996</v>
      </c>
      <c r="J111" s="475">
        <f t="shared" si="21"/>
        <v>0</v>
      </c>
      <c r="K111" s="475"/>
      <c r="L111" s="484"/>
      <c r="M111" s="475">
        <f t="shared" si="32"/>
        <v>0</v>
      </c>
      <c r="N111" s="484"/>
      <c r="O111" s="475">
        <f t="shared" si="19"/>
        <v>0</v>
      </c>
      <c r="P111" s="475">
        <f t="shared" si="20"/>
        <v>0</v>
      </c>
    </row>
    <row r="112" spans="1:16" ht="12.5">
      <c r="B112" s="160" t="str">
        <f t="shared" si="22"/>
        <v/>
      </c>
      <c r="C112" s="469">
        <f>IF(D93="","-",+C111+1)</f>
        <v>2032</v>
      </c>
      <c r="D112" s="344">
        <f>IF(F111+SUM(E$99:E111)=D$92,F111,D$92-SUM(E$99:E111))</f>
        <v>5620619.8700000001</v>
      </c>
      <c r="E112" s="481">
        <f t="shared" si="27"/>
        <v>214402</v>
      </c>
      <c r="F112" s="482">
        <f t="shared" si="28"/>
        <v>5406217.8700000001</v>
      </c>
      <c r="G112" s="482">
        <f t="shared" si="29"/>
        <v>5513418.8700000001</v>
      </c>
      <c r="H112" s="483">
        <f t="shared" si="30"/>
        <v>954957.30897033052</v>
      </c>
      <c r="I112" s="539">
        <f t="shared" si="31"/>
        <v>954957.30897033052</v>
      </c>
      <c r="J112" s="475">
        <f t="shared" si="21"/>
        <v>0</v>
      </c>
      <c r="K112" s="475"/>
      <c r="L112" s="484"/>
      <c r="M112" s="475">
        <f t="shared" si="32"/>
        <v>0</v>
      </c>
      <c r="N112" s="484"/>
      <c r="O112" s="475">
        <f t="shared" si="19"/>
        <v>0</v>
      </c>
      <c r="P112" s="475">
        <f t="shared" si="20"/>
        <v>0</v>
      </c>
    </row>
    <row r="113" spans="2:16" ht="12.5">
      <c r="B113" s="160" t="str">
        <f t="shared" si="22"/>
        <v/>
      </c>
      <c r="C113" s="469">
        <f>IF(D93="","-",+C112+1)</f>
        <v>2033</v>
      </c>
      <c r="D113" s="344">
        <f>IF(F112+SUM(E$99:E112)=D$92,F112,D$92-SUM(E$99:E112))</f>
        <v>5406217.8700000001</v>
      </c>
      <c r="E113" s="481">
        <f t="shared" si="27"/>
        <v>214402</v>
      </c>
      <c r="F113" s="482">
        <f t="shared" si="28"/>
        <v>5191815.87</v>
      </c>
      <c r="G113" s="482">
        <f t="shared" si="29"/>
        <v>5299016.87</v>
      </c>
      <c r="H113" s="483">
        <f t="shared" si="30"/>
        <v>926159.10896093107</v>
      </c>
      <c r="I113" s="539">
        <f t="shared" si="31"/>
        <v>926159.10896093107</v>
      </c>
      <c r="J113" s="475">
        <f t="shared" si="21"/>
        <v>0</v>
      </c>
      <c r="K113" s="475"/>
      <c r="L113" s="484"/>
      <c r="M113" s="475">
        <f t="shared" si="32"/>
        <v>0</v>
      </c>
      <c r="N113" s="484"/>
      <c r="O113" s="475">
        <f t="shared" si="19"/>
        <v>0</v>
      </c>
      <c r="P113" s="475">
        <f t="shared" si="20"/>
        <v>0</v>
      </c>
    </row>
    <row r="114" spans="2:16" ht="12.5">
      <c r="B114" s="160" t="str">
        <f t="shared" si="22"/>
        <v/>
      </c>
      <c r="C114" s="469">
        <f>IF(D93="","-",+C113+1)</f>
        <v>2034</v>
      </c>
      <c r="D114" s="344">
        <f>IF(F113+SUM(E$99:E113)=D$92,F113,D$92-SUM(E$99:E113))</f>
        <v>5191815.87</v>
      </c>
      <c r="E114" s="481">
        <f t="shared" si="27"/>
        <v>214402</v>
      </c>
      <c r="F114" s="482">
        <f t="shared" si="28"/>
        <v>4977413.87</v>
      </c>
      <c r="G114" s="482">
        <f t="shared" si="29"/>
        <v>5084614.87</v>
      </c>
      <c r="H114" s="483">
        <f t="shared" si="30"/>
        <v>897360.90895153175</v>
      </c>
      <c r="I114" s="539">
        <f t="shared" si="31"/>
        <v>897360.90895153175</v>
      </c>
      <c r="J114" s="475">
        <f t="shared" si="21"/>
        <v>0</v>
      </c>
      <c r="K114" s="475"/>
      <c r="L114" s="484"/>
      <c r="M114" s="475">
        <f t="shared" si="32"/>
        <v>0</v>
      </c>
      <c r="N114" s="484"/>
      <c r="O114" s="475">
        <f t="shared" si="19"/>
        <v>0</v>
      </c>
      <c r="P114" s="475">
        <f t="shared" si="20"/>
        <v>0</v>
      </c>
    </row>
    <row r="115" spans="2:16" ht="12.5">
      <c r="B115" s="160" t="str">
        <f t="shared" si="22"/>
        <v/>
      </c>
      <c r="C115" s="469">
        <f>IF(D93="","-",+C114+1)</f>
        <v>2035</v>
      </c>
      <c r="D115" s="344">
        <f>IF(F114+SUM(E$99:E114)=D$92,F114,D$92-SUM(E$99:E114))</f>
        <v>4977413.87</v>
      </c>
      <c r="E115" s="481">
        <f t="shared" si="27"/>
        <v>214402</v>
      </c>
      <c r="F115" s="482">
        <f t="shared" si="28"/>
        <v>4763011.87</v>
      </c>
      <c r="G115" s="482">
        <f t="shared" si="29"/>
        <v>4870212.87</v>
      </c>
      <c r="H115" s="483">
        <f t="shared" si="30"/>
        <v>868562.7089421323</v>
      </c>
      <c r="I115" s="539">
        <f t="shared" si="31"/>
        <v>868562.7089421323</v>
      </c>
      <c r="J115" s="475">
        <f t="shared" si="21"/>
        <v>0</v>
      </c>
      <c r="K115" s="475"/>
      <c r="L115" s="484"/>
      <c r="M115" s="475">
        <f t="shared" si="32"/>
        <v>0</v>
      </c>
      <c r="N115" s="484"/>
      <c r="O115" s="475">
        <f t="shared" si="19"/>
        <v>0</v>
      </c>
      <c r="P115" s="475">
        <f t="shared" si="20"/>
        <v>0</v>
      </c>
    </row>
    <row r="116" spans="2:16" ht="12.5">
      <c r="B116" s="160" t="str">
        <f t="shared" si="22"/>
        <v/>
      </c>
      <c r="C116" s="469">
        <f>IF(D93="","-",+C115+1)</f>
        <v>2036</v>
      </c>
      <c r="D116" s="344">
        <f>IF(F115+SUM(E$99:E115)=D$92,F115,D$92-SUM(E$99:E115))</f>
        <v>4763011.87</v>
      </c>
      <c r="E116" s="481">
        <f t="shared" si="27"/>
        <v>214402</v>
      </c>
      <c r="F116" s="482">
        <f t="shared" si="28"/>
        <v>4548609.87</v>
      </c>
      <c r="G116" s="482">
        <f t="shared" si="29"/>
        <v>4655810.87</v>
      </c>
      <c r="H116" s="483">
        <f t="shared" si="30"/>
        <v>839764.50893273298</v>
      </c>
      <c r="I116" s="539">
        <f t="shared" si="31"/>
        <v>839764.50893273298</v>
      </c>
      <c r="J116" s="475">
        <f t="shared" si="21"/>
        <v>0</v>
      </c>
      <c r="K116" s="475"/>
      <c r="L116" s="484"/>
      <c r="M116" s="475">
        <f t="shared" si="32"/>
        <v>0</v>
      </c>
      <c r="N116" s="484"/>
      <c r="O116" s="475">
        <f t="shared" si="19"/>
        <v>0</v>
      </c>
      <c r="P116" s="475">
        <f t="shared" si="20"/>
        <v>0</v>
      </c>
    </row>
    <row r="117" spans="2:16" ht="12.5">
      <c r="B117" s="160" t="str">
        <f t="shared" si="22"/>
        <v/>
      </c>
      <c r="C117" s="469">
        <f>IF(D93="","-",+C116+1)</f>
        <v>2037</v>
      </c>
      <c r="D117" s="344">
        <f>IF(F116+SUM(E$99:E116)=D$92,F116,D$92-SUM(E$99:E116))</f>
        <v>4548609.87</v>
      </c>
      <c r="E117" s="481">
        <f t="shared" si="27"/>
        <v>214402</v>
      </c>
      <c r="F117" s="482">
        <f t="shared" si="28"/>
        <v>4334207.87</v>
      </c>
      <c r="G117" s="482">
        <f t="shared" si="29"/>
        <v>4441408.87</v>
      </c>
      <c r="H117" s="483">
        <f t="shared" si="30"/>
        <v>810966.30892333353</v>
      </c>
      <c r="I117" s="539">
        <f t="shared" si="31"/>
        <v>810966.30892333353</v>
      </c>
      <c r="J117" s="475">
        <f t="shared" si="21"/>
        <v>0</v>
      </c>
      <c r="K117" s="475"/>
      <c r="L117" s="484"/>
      <c r="M117" s="475">
        <f t="shared" si="32"/>
        <v>0</v>
      </c>
      <c r="N117" s="484"/>
      <c r="O117" s="475">
        <f t="shared" si="19"/>
        <v>0</v>
      </c>
      <c r="P117" s="475">
        <f t="shared" si="20"/>
        <v>0</v>
      </c>
    </row>
    <row r="118" spans="2:16" ht="12.5">
      <c r="B118" s="160" t="str">
        <f t="shared" si="22"/>
        <v/>
      </c>
      <c r="C118" s="469">
        <f>IF(D93="","-",+C117+1)</f>
        <v>2038</v>
      </c>
      <c r="D118" s="344">
        <f>IF(F117+SUM(E$99:E117)=D$92,F117,D$92-SUM(E$99:E117))</f>
        <v>4334207.87</v>
      </c>
      <c r="E118" s="481">
        <f t="shared" si="27"/>
        <v>214402</v>
      </c>
      <c r="F118" s="482">
        <f t="shared" si="28"/>
        <v>4119805.87</v>
      </c>
      <c r="G118" s="482">
        <f t="shared" si="29"/>
        <v>4227006.87</v>
      </c>
      <c r="H118" s="483">
        <f t="shared" si="30"/>
        <v>782168.10891393409</v>
      </c>
      <c r="I118" s="539">
        <f t="shared" si="31"/>
        <v>782168.10891393409</v>
      </c>
      <c r="J118" s="475">
        <f t="shared" si="21"/>
        <v>0</v>
      </c>
      <c r="K118" s="475"/>
      <c r="L118" s="484"/>
      <c r="M118" s="475">
        <f t="shared" si="32"/>
        <v>0</v>
      </c>
      <c r="N118" s="484"/>
      <c r="O118" s="475">
        <f t="shared" si="19"/>
        <v>0</v>
      </c>
      <c r="P118" s="475">
        <f t="shared" si="20"/>
        <v>0</v>
      </c>
    </row>
    <row r="119" spans="2:16" ht="12.5">
      <c r="B119" s="160" t="str">
        <f t="shared" si="22"/>
        <v/>
      </c>
      <c r="C119" s="469">
        <f>IF(D93="","-",+C118+1)</f>
        <v>2039</v>
      </c>
      <c r="D119" s="344">
        <f>IF(F118+SUM(E$99:E118)=D$92,F118,D$92-SUM(E$99:E118))</f>
        <v>4119805.87</v>
      </c>
      <c r="E119" s="481">
        <f t="shared" si="27"/>
        <v>214402</v>
      </c>
      <c r="F119" s="482">
        <f t="shared" si="28"/>
        <v>3905403.87</v>
      </c>
      <c r="G119" s="482">
        <f t="shared" si="29"/>
        <v>4012604.87</v>
      </c>
      <c r="H119" s="483">
        <f t="shared" si="30"/>
        <v>753369.90890453476</v>
      </c>
      <c r="I119" s="539">
        <f t="shared" si="31"/>
        <v>753369.90890453476</v>
      </c>
      <c r="J119" s="475">
        <f t="shared" si="21"/>
        <v>0</v>
      </c>
      <c r="K119" s="475"/>
      <c r="L119" s="484"/>
      <c r="M119" s="475">
        <f t="shared" si="32"/>
        <v>0</v>
      </c>
      <c r="N119" s="484"/>
      <c r="O119" s="475">
        <f t="shared" si="19"/>
        <v>0</v>
      </c>
      <c r="P119" s="475">
        <f t="shared" si="20"/>
        <v>0</v>
      </c>
    </row>
    <row r="120" spans="2:16" ht="12.5">
      <c r="B120" s="160" t="str">
        <f t="shared" si="22"/>
        <v/>
      </c>
      <c r="C120" s="469">
        <f>IF(D93="","-",+C119+1)</f>
        <v>2040</v>
      </c>
      <c r="D120" s="344">
        <f>IF(F119+SUM(E$99:E119)=D$92,F119,D$92-SUM(E$99:E119))</f>
        <v>3905403.87</v>
      </c>
      <c r="E120" s="481">
        <f t="shared" si="27"/>
        <v>214402</v>
      </c>
      <c r="F120" s="482">
        <f t="shared" si="28"/>
        <v>3691001.87</v>
      </c>
      <c r="G120" s="482">
        <f t="shared" si="29"/>
        <v>3798202.87</v>
      </c>
      <c r="H120" s="483">
        <f t="shared" si="30"/>
        <v>724571.70889513544</v>
      </c>
      <c r="I120" s="539">
        <f t="shared" si="31"/>
        <v>724571.70889513544</v>
      </c>
      <c r="J120" s="475">
        <f t="shared" si="21"/>
        <v>0</v>
      </c>
      <c r="K120" s="475"/>
      <c r="L120" s="484"/>
      <c r="M120" s="475">
        <f t="shared" si="32"/>
        <v>0</v>
      </c>
      <c r="N120" s="484"/>
      <c r="O120" s="475">
        <f t="shared" si="19"/>
        <v>0</v>
      </c>
      <c r="P120" s="475">
        <f t="shared" si="20"/>
        <v>0</v>
      </c>
    </row>
    <row r="121" spans="2:16" ht="12.5">
      <c r="B121" s="160" t="str">
        <f t="shared" si="22"/>
        <v/>
      </c>
      <c r="C121" s="469">
        <f>IF(D93="","-",+C120+1)</f>
        <v>2041</v>
      </c>
      <c r="D121" s="344">
        <f>IF(F120+SUM(E$99:E120)=D$92,F120,D$92-SUM(E$99:E120))</f>
        <v>3691001.87</v>
      </c>
      <c r="E121" s="481">
        <f t="shared" si="27"/>
        <v>214402</v>
      </c>
      <c r="F121" s="482">
        <f t="shared" si="28"/>
        <v>3476599.87</v>
      </c>
      <c r="G121" s="482">
        <f t="shared" si="29"/>
        <v>3583800.87</v>
      </c>
      <c r="H121" s="483">
        <f t="shared" si="30"/>
        <v>695773.50888573588</v>
      </c>
      <c r="I121" s="539">
        <f t="shared" si="31"/>
        <v>695773.50888573588</v>
      </c>
      <c r="J121" s="475">
        <f t="shared" si="21"/>
        <v>0</v>
      </c>
      <c r="K121" s="475"/>
      <c r="L121" s="484"/>
      <c r="M121" s="475">
        <f t="shared" si="32"/>
        <v>0</v>
      </c>
      <c r="N121" s="484"/>
      <c r="O121" s="475">
        <f t="shared" si="19"/>
        <v>0</v>
      </c>
      <c r="P121" s="475">
        <f t="shared" si="20"/>
        <v>0</v>
      </c>
    </row>
    <row r="122" spans="2:16" ht="12.5">
      <c r="B122" s="160" t="str">
        <f t="shared" si="22"/>
        <v/>
      </c>
      <c r="C122" s="469">
        <f>IF(D93="","-",+C121+1)</f>
        <v>2042</v>
      </c>
      <c r="D122" s="344">
        <f>IF(F121+SUM(E$99:E121)=D$92,F121,D$92-SUM(E$99:E121))</f>
        <v>3476599.87</v>
      </c>
      <c r="E122" s="481">
        <f t="shared" si="27"/>
        <v>214402</v>
      </c>
      <c r="F122" s="482">
        <f t="shared" si="28"/>
        <v>3262197.87</v>
      </c>
      <c r="G122" s="482">
        <f t="shared" si="29"/>
        <v>3369398.87</v>
      </c>
      <c r="H122" s="483">
        <f t="shared" si="30"/>
        <v>666975.30887633655</v>
      </c>
      <c r="I122" s="539">
        <f t="shared" si="31"/>
        <v>666975.30887633655</v>
      </c>
      <c r="J122" s="475">
        <f t="shared" si="21"/>
        <v>0</v>
      </c>
      <c r="K122" s="475"/>
      <c r="L122" s="484"/>
      <c r="M122" s="475">
        <f t="shared" si="32"/>
        <v>0</v>
      </c>
      <c r="N122" s="484"/>
      <c r="O122" s="475">
        <f t="shared" si="19"/>
        <v>0</v>
      </c>
      <c r="P122" s="475">
        <f t="shared" si="20"/>
        <v>0</v>
      </c>
    </row>
    <row r="123" spans="2:16" ht="12.5">
      <c r="B123" s="160" t="str">
        <f t="shared" si="22"/>
        <v/>
      </c>
      <c r="C123" s="469">
        <f>IF(D93="","-",+C122+1)</f>
        <v>2043</v>
      </c>
      <c r="D123" s="344">
        <f>IF(F122+SUM(E$99:E122)=D$92,F122,D$92-SUM(E$99:E122))</f>
        <v>3262197.87</v>
      </c>
      <c r="E123" s="481">
        <f t="shared" si="27"/>
        <v>214402</v>
      </c>
      <c r="F123" s="482">
        <f t="shared" si="28"/>
        <v>3047795.87</v>
      </c>
      <c r="G123" s="482">
        <f t="shared" si="29"/>
        <v>3154996.87</v>
      </c>
      <c r="H123" s="483">
        <f t="shared" si="30"/>
        <v>638177.10886693723</v>
      </c>
      <c r="I123" s="539">
        <f t="shared" si="31"/>
        <v>638177.10886693723</v>
      </c>
      <c r="J123" s="475">
        <f t="shared" si="21"/>
        <v>0</v>
      </c>
      <c r="K123" s="475"/>
      <c r="L123" s="484"/>
      <c r="M123" s="475">
        <f t="shared" si="32"/>
        <v>0</v>
      </c>
      <c r="N123" s="484"/>
      <c r="O123" s="475">
        <f t="shared" si="19"/>
        <v>0</v>
      </c>
      <c r="P123" s="475">
        <f t="shared" si="20"/>
        <v>0</v>
      </c>
    </row>
    <row r="124" spans="2:16" ht="12.5">
      <c r="B124" s="160" t="str">
        <f t="shared" si="22"/>
        <v/>
      </c>
      <c r="C124" s="469">
        <f>IF(D93="","-",+C123+1)</f>
        <v>2044</v>
      </c>
      <c r="D124" s="344">
        <f>IF(F123+SUM(E$99:E123)=D$92,F123,D$92-SUM(E$99:E123))</f>
        <v>3047795.87</v>
      </c>
      <c r="E124" s="481">
        <f t="shared" si="27"/>
        <v>214402</v>
      </c>
      <c r="F124" s="482">
        <f t="shared" si="28"/>
        <v>2833393.87</v>
      </c>
      <c r="G124" s="482">
        <f t="shared" si="29"/>
        <v>2940594.87</v>
      </c>
      <c r="H124" s="483">
        <f t="shared" si="30"/>
        <v>609378.90885753778</v>
      </c>
      <c r="I124" s="539">
        <f t="shared" si="31"/>
        <v>609378.90885753778</v>
      </c>
      <c r="J124" s="475">
        <f t="shared" si="21"/>
        <v>0</v>
      </c>
      <c r="K124" s="475"/>
      <c r="L124" s="484"/>
      <c r="M124" s="475">
        <f t="shared" si="32"/>
        <v>0</v>
      </c>
      <c r="N124" s="484"/>
      <c r="O124" s="475">
        <f t="shared" si="19"/>
        <v>0</v>
      </c>
      <c r="P124" s="475">
        <f t="shared" si="20"/>
        <v>0</v>
      </c>
    </row>
    <row r="125" spans="2:16" ht="12.5">
      <c r="B125" s="160" t="str">
        <f t="shared" si="22"/>
        <v/>
      </c>
      <c r="C125" s="469">
        <f>IF(D93="","-",+C124+1)</f>
        <v>2045</v>
      </c>
      <c r="D125" s="344">
        <f>IF(F124+SUM(E$99:E124)=D$92,F124,D$92-SUM(E$99:E124))</f>
        <v>2833393.87</v>
      </c>
      <c r="E125" s="481">
        <f t="shared" si="27"/>
        <v>214402</v>
      </c>
      <c r="F125" s="482">
        <f t="shared" si="28"/>
        <v>2618991.87</v>
      </c>
      <c r="G125" s="482">
        <f t="shared" si="29"/>
        <v>2726192.87</v>
      </c>
      <c r="H125" s="483">
        <f t="shared" si="30"/>
        <v>580580.70884813834</v>
      </c>
      <c r="I125" s="539">
        <f t="shared" si="31"/>
        <v>580580.70884813834</v>
      </c>
      <c r="J125" s="475">
        <f t="shared" si="21"/>
        <v>0</v>
      </c>
      <c r="K125" s="475"/>
      <c r="L125" s="484"/>
      <c r="M125" s="475">
        <f t="shared" si="32"/>
        <v>0</v>
      </c>
      <c r="N125" s="484"/>
      <c r="O125" s="475">
        <f t="shared" si="19"/>
        <v>0</v>
      </c>
      <c r="P125" s="475">
        <f t="shared" si="20"/>
        <v>0</v>
      </c>
    </row>
    <row r="126" spans="2:16" ht="12.5">
      <c r="B126" s="160" t="str">
        <f t="shared" si="22"/>
        <v/>
      </c>
      <c r="C126" s="469">
        <f>IF(D93="","-",+C125+1)</f>
        <v>2046</v>
      </c>
      <c r="D126" s="344">
        <f>IF(F125+SUM(E$99:E125)=D$92,F125,D$92-SUM(E$99:E125))</f>
        <v>2618991.87</v>
      </c>
      <c r="E126" s="481">
        <f t="shared" si="27"/>
        <v>214402</v>
      </c>
      <c r="F126" s="482">
        <f t="shared" si="28"/>
        <v>2404589.87</v>
      </c>
      <c r="G126" s="482">
        <f t="shared" si="29"/>
        <v>2511790.87</v>
      </c>
      <c r="H126" s="483">
        <f t="shared" si="30"/>
        <v>551782.50883873901</v>
      </c>
      <c r="I126" s="539">
        <f t="shared" si="31"/>
        <v>551782.50883873901</v>
      </c>
      <c r="J126" s="475">
        <f t="shared" si="21"/>
        <v>0</v>
      </c>
      <c r="K126" s="475"/>
      <c r="L126" s="484"/>
      <c r="M126" s="475">
        <f t="shared" si="32"/>
        <v>0</v>
      </c>
      <c r="N126" s="484"/>
      <c r="O126" s="475">
        <f t="shared" si="19"/>
        <v>0</v>
      </c>
      <c r="P126" s="475">
        <f t="shared" si="20"/>
        <v>0</v>
      </c>
    </row>
    <row r="127" spans="2:16" ht="12.5">
      <c r="B127" s="160" t="str">
        <f t="shared" si="22"/>
        <v/>
      </c>
      <c r="C127" s="469">
        <f>IF(D93="","-",+C126+1)</f>
        <v>2047</v>
      </c>
      <c r="D127" s="344">
        <f>IF(F126+SUM(E$99:E126)=D$92,F126,D$92-SUM(E$99:E126))</f>
        <v>2404589.87</v>
      </c>
      <c r="E127" s="481">
        <f t="shared" si="27"/>
        <v>214402</v>
      </c>
      <c r="F127" s="482">
        <f t="shared" si="28"/>
        <v>2190187.87</v>
      </c>
      <c r="G127" s="482">
        <f t="shared" si="29"/>
        <v>2297388.87</v>
      </c>
      <c r="H127" s="483">
        <f t="shared" si="30"/>
        <v>522984.30882933957</v>
      </c>
      <c r="I127" s="539">
        <f t="shared" si="31"/>
        <v>522984.30882933957</v>
      </c>
      <c r="J127" s="475">
        <f t="shared" si="21"/>
        <v>0</v>
      </c>
      <c r="K127" s="475"/>
      <c r="L127" s="484"/>
      <c r="M127" s="475">
        <f t="shared" si="32"/>
        <v>0</v>
      </c>
      <c r="N127" s="484"/>
      <c r="O127" s="475">
        <f t="shared" si="19"/>
        <v>0</v>
      </c>
      <c r="P127" s="475">
        <f t="shared" si="20"/>
        <v>0</v>
      </c>
    </row>
    <row r="128" spans="2:16" ht="12.5">
      <c r="B128" s="160" t="str">
        <f t="shared" si="22"/>
        <v/>
      </c>
      <c r="C128" s="469">
        <f>IF(D93="","-",+C127+1)</f>
        <v>2048</v>
      </c>
      <c r="D128" s="344">
        <f>IF(F127+SUM(E$99:E127)=D$92,F127,D$92-SUM(E$99:E127))</f>
        <v>2190187.87</v>
      </c>
      <c r="E128" s="481">
        <f t="shared" si="27"/>
        <v>214402</v>
      </c>
      <c r="F128" s="482">
        <f t="shared" si="28"/>
        <v>1975785.87</v>
      </c>
      <c r="G128" s="482">
        <f t="shared" si="29"/>
        <v>2082986.87</v>
      </c>
      <c r="H128" s="483">
        <f t="shared" si="30"/>
        <v>494186.10881994019</v>
      </c>
      <c r="I128" s="539">
        <f t="shared" si="31"/>
        <v>494186.10881994019</v>
      </c>
      <c r="J128" s="475">
        <f t="shared" si="21"/>
        <v>0</v>
      </c>
      <c r="K128" s="475"/>
      <c r="L128" s="484"/>
      <c r="M128" s="475">
        <f t="shared" si="32"/>
        <v>0</v>
      </c>
      <c r="N128" s="484"/>
      <c r="O128" s="475">
        <f t="shared" si="19"/>
        <v>0</v>
      </c>
      <c r="P128" s="475">
        <f t="shared" si="20"/>
        <v>0</v>
      </c>
    </row>
    <row r="129" spans="2:16" ht="12.5">
      <c r="B129" s="160" t="str">
        <f t="shared" si="22"/>
        <v/>
      </c>
      <c r="C129" s="469">
        <f>IF(D93="","-",+C128+1)</f>
        <v>2049</v>
      </c>
      <c r="D129" s="344">
        <f>IF(F128+SUM(E$99:E128)=D$92,F128,D$92-SUM(E$99:E128))</f>
        <v>1975785.87</v>
      </c>
      <c r="E129" s="481">
        <f t="shared" si="27"/>
        <v>214402</v>
      </c>
      <c r="F129" s="482">
        <f t="shared" si="28"/>
        <v>1761383.87</v>
      </c>
      <c r="G129" s="482">
        <f t="shared" si="29"/>
        <v>1868584.87</v>
      </c>
      <c r="H129" s="483">
        <f t="shared" si="30"/>
        <v>465387.9088105408</v>
      </c>
      <c r="I129" s="539">
        <f t="shared" si="31"/>
        <v>465387.9088105408</v>
      </c>
      <c r="J129" s="475">
        <f t="shared" si="21"/>
        <v>0</v>
      </c>
      <c r="K129" s="475"/>
      <c r="L129" s="484"/>
      <c r="M129" s="475">
        <f t="shared" si="32"/>
        <v>0</v>
      </c>
      <c r="N129" s="484"/>
      <c r="O129" s="475">
        <f t="shared" si="19"/>
        <v>0</v>
      </c>
      <c r="P129" s="475">
        <f t="shared" si="20"/>
        <v>0</v>
      </c>
    </row>
    <row r="130" spans="2:16" ht="12.5">
      <c r="B130" s="160" t="str">
        <f t="shared" si="22"/>
        <v/>
      </c>
      <c r="C130" s="469">
        <f>IF(D93="","-",+C129+1)</f>
        <v>2050</v>
      </c>
      <c r="D130" s="344">
        <f>IF(F129+SUM(E$99:E129)=D$92,F129,D$92-SUM(E$99:E129))</f>
        <v>1761383.87</v>
      </c>
      <c r="E130" s="481">
        <f t="shared" si="27"/>
        <v>214402</v>
      </c>
      <c r="F130" s="482">
        <f t="shared" si="28"/>
        <v>1546981.87</v>
      </c>
      <c r="G130" s="482">
        <f t="shared" si="29"/>
        <v>1654182.87</v>
      </c>
      <c r="H130" s="483">
        <f t="shared" si="30"/>
        <v>436589.70880114142</v>
      </c>
      <c r="I130" s="539">
        <f t="shared" si="31"/>
        <v>436589.70880114142</v>
      </c>
      <c r="J130" s="475">
        <f t="shared" si="21"/>
        <v>0</v>
      </c>
      <c r="K130" s="475"/>
      <c r="L130" s="484"/>
      <c r="M130" s="475">
        <f t="shared" si="32"/>
        <v>0</v>
      </c>
      <c r="N130" s="484"/>
      <c r="O130" s="475">
        <f t="shared" si="19"/>
        <v>0</v>
      </c>
      <c r="P130" s="475">
        <f t="shared" si="20"/>
        <v>0</v>
      </c>
    </row>
    <row r="131" spans="2:16" ht="12.5">
      <c r="B131" s="160" t="str">
        <f t="shared" si="22"/>
        <v/>
      </c>
      <c r="C131" s="469">
        <f>IF(D93="","-",+C130+1)</f>
        <v>2051</v>
      </c>
      <c r="D131" s="344">
        <f>IF(F130+SUM(E$99:E130)=D$92,F130,D$92-SUM(E$99:E130))</f>
        <v>1546981.87</v>
      </c>
      <c r="E131" s="481">
        <f t="shared" si="27"/>
        <v>214402</v>
      </c>
      <c r="F131" s="482">
        <f t="shared" si="28"/>
        <v>1332579.8700000001</v>
      </c>
      <c r="G131" s="482">
        <f t="shared" si="29"/>
        <v>1439780.87</v>
      </c>
      <c r="H131" s="483">
        <f t="shared" si="30"/>
        <v>407791.50879174203</v>
      </c>
      <c r="I131" s="539">
        <f t="shared" si="31"/>
        <v>407791.50879174203</v>
      </c>
      <c r="J131" s="475">
        <f t="shared" ref="J131:J154" si="33">+I541-H541</f>
        <v>0</v>
      </c>
      <c r="K131" s="475"/>
      <c r="L131" s="484"/>
      <c r="M131" s="475">
        <f t="shared" ref="M131:M154" si="34">IF(L541&lt;&gt;0,+H541-L541,0)</f>
        <v>0</v>
      </c>
      <c r="N131" s="484"/>
      <c r="O131" s="475">
        <f t="shared" ref="O131:O154" si="35">IF(N541&lt;&gt;0,+I541-N541,0)</f>
        <v>0</v>
      </c>
      <c r="P131" s="475">
        <f t="shared" ref="P131:P154" si="36">+O541-M541</f>
        <v>0</v>
      </c>
    </row>
    <row r="132" spans="2:16" ht="12.5">
      <c r="B132" s="160" t="str">
        <f t="shared" si="22"/>
        <v/>
      </c>
      <c r="C132" s="469">
        <f>IF(D93="","-",+C131+1)</f>
        <v>2052</v>
      </c>
      <c r="D132" s="344">
        <f>IF(F131+SUM(E$99:E131)=D$92,F131,D$92-SUM(E$99:E131))</f>
        <v>1332579.8700000001</v>
      </c>
      <c r="E132" s="481">
        <f t="shared" si="27"/>
        <v>214402</v>
      </c>
      <c r="F132" s="482">
        <f t="shared" si="28"/>
        <v>1118177.8700000001</v>
      </c>
      <c r="G132" s="482">
        <f t="shared" si="29"/>
        <v>1225378.8700000001</v>
      </c>
      <c r="H132" s="483">
        <f t="shared" si="30"/>
        <v>378993.30878234259</v>
      </c>
      <c r="I132" s="539">
        <f t="shared" si="31"/>
        <v>378993.30878234259</v>
      </c>
      <c r="J132" s="475">
        <f t="shared" si="33"/>
        <v>0</v>
      </c>
      <c r="K132" s="475"/>
      <c r="L132" s="484"/>
      <c r="M132" s="475">
        <f t="shared" si="34"/>
        <v>0</v>
      </c>
      <c r="N132" s="484"/>
      <c r="O132" s="475">
        <f t="shared" si="35"/>
        <v>0</v>
      </c>
      <c r="P132" s="475">
        <f t="shared" si="36"/>
        <v>0</v>
      </c>
    </row>
    <row r="133" spans="2:16" ht="12.5">
      <c r="B133" s="160" t="str">
        <f t="shared" si="22"/>
        <v/>
      </c>
      <c r="C133" s="469">
        <f>IF(D93="","-",+C132+1)</f>
        <v>2053</v>
      </c>
      <c r="D133" s="344">
        <f>IF(F132+SUM(E$99:E132)=D$92,F132,D$92-SUM(E$99:E132))</f>
        <v>1118177.8700000001</v>
      </c>
      <c r="E133" s="481">
        <f t="shared" si="27"/>
        <v>214402</v>
      </c>
      <c r="F133" s="482">
        <f t="shared" si="28"/>
        <v>903775.87000000011</v>
      </c>
      <c r="G133" s="482">
        <f t="shared" si="29"/>
        <v>1010976.8700000001</v>
      </c>
      <c r="H133" s="483">
        <f t="shared" si="30"/>
        <v>350195.10877294326</v>
      </c>
      <c r="I133" s="539">
        <f t="shared" si="31"/>
        <v>350195.10877294326</v>
      </c>
      <c r="J133" s="475">
        <f t="shared" si="33"/>
        <v>0</v>
      </c>
      <c r="K133" s="475"/>
      <c r="L133" s="484"/>
      <c r="M133" s="475">
        <f t="shared" si="34"/>
        <v>0</v>
      </c>
      <c r="N133" s="484"/>
      <c r="O133" s="475">
        <f t="shared" si="35"/>
        <v>0</v>
      </c>
      <c r="P133" s="475">
        <f t="shared" si="36"/>
        <v>0</v>
      </c>
    </row>
    <row r="134" spans="2:16" ht="12.5">
      <c r="B134" s="160" t="str">
        <f t="shared" si="22"/>
        <v/>
      </c>
      <c r="C134" s="469">
        <f>IF(D93="","-",+C133+1)</f>
        <v>2054</v>
      </c>
      <c r="D134" s="344">
        <f>IF(F133+SUM(E$99:E133)=D$92,F133,D$92-SUM(E$99:E133))</f>
        <v>903775.87000000011</v>
      </c>
      <c r="E134" s="481">
        <f t="shared" si="27"/>
        <v>214402</v>
      </c>
      <c r="F134" s="482">
        <f t="shared" si="28"/>
        <v>689373.87000000011</v>
      </c>
      <c r="G134" s="482">
        <f t="shared" si="29"/>
        <v>796574.87000000011</v>
      </c>
      <c r="H134" s="483">
        <f t="shared" si="30"/>
        <v>321396.90876354382</v>
      </c>
      <c r="I134" s="539">
        <f t="shared" si="31"/>
        <v>321396.90876354382</v>
      </c>
      <c r="J134" s="475">
        <f t="shared" si="33"/>
        <v>0</v>
      </c>
      <c r="K134" s="475"/>
      <c r="L134" s="484"/>
      <c r="M134" s="475">
        <f t="shared" si="34"/>
        <v>0</v>
      </c>
      <c r="N134" s="484"/>
      <c r="O134" s="475">
        <f t="shared" si="35"/>
        <v>0</v>
      </c>
      <c r="P134" s="475">
        <f t="shared" si="36"/>
        <v>0</v>
      </c>
    </row>
    <row r="135" spans="2:16" ht="12.5">
      <c r="B135" s="160" t="str">
        <f t="shared" si="22"/>
        <v/>
      </c>
      <c r="C135" s="469">
        <f>IF(D93="","-",+C134+1)</f>
        <v>2055</v>
      </c>
      <c r="D135" s="344">
        <f>IF(F134+SUM(E$99:E134)=D$92,F134,D$92-SUM(E$99:E134))</f>
        <v>689373.87000000011</v>
      </c>
      <c r="E135" s="481">
        <f t="shared" si="27"/>
        <v>214402</v>
      </c>
      <c r="F135" s="482">
        <f t="shared" si="28"/>
        <v>474971.87000000011</v>
      </c>
      <c r="G135" s="482">
        <f t="shared" si="29"/>
        <v>582172.87000000011</v>
      </c>
      <c r="H135" s="483">
        <f t="shared" si="30"/>
        <v>292598.70875414443</v>
      </c>
      <c r="I135" s="539">
        <f t="shared" si="31"/>
        <v>292598.70875414443</v>
      </c>
      <c r="J135" s="475">
        <f t="shared" si="33"/>
        <v>0</v>
      </c>
      <c r="K135" s="475"/>
      <c r="L135" s="484"/>
      <c r="M135" s="475">
        <f t="shared" si="34"/>
        <v>0</v>
      </c>
      <c r="N135" s="484"/>
      <c r="O135" s="475">
        <f t="shared" si="35"/>
        <v>0</v>
      </c>
      <c r="P135" s="475">
        <f t="shared" si="36"/>
        <v>0</v>
      </c>
    </row>
    <row r="136" spans="2:16" ht="12.5">
      <c r="B136" s="160" t="str">
        <f t="shared" si="22"/>
        <v/>
      </c>
      <c r="C136" s="469">
        <f>IF(D93="","-",+C135+1)</f>
        <v>2056</v>
      </c>
      <c r="D136" s="344">
        <f>IF(F135+SUM(E$99:E135)=D$92,F135,D$92-SUM(E$99:E135))</f>
        <v>474971.87000000011</v>
      </c>
      <c r="E136" s="481">
        <f t="shared" si="27"/>
        <v>214402</v>
      </c>
      <c r="F136" s="482">
        <f t="shared" si="28"/>
        <v>260569.87000000011</v>
      </c>
      <c r="G136" s="482">
        <f t="shared" si="29"/>
        <v>367770.87000000011</v>
      </c>
      <c r="H136" s="483">
        <f t="shared" si="30"/>
        <v>263800.50874474505</v>
      </c>
      <c r="I136" s="539">
        <f t="shared" si="31"/>
        <v>263800.50874474505</v>
      </c>
      <c r="J136" s="475">
        <f t="shared" si="33"/>
        <v>0</v>
      </c>
      <c r="K136" s="475"/>
      <c r="L136" s="484"/>
      <c r="M136" s="475">
        <f t="shared" si="34"/>
        <v>0</v>
      </c>
      <c r="N136" s="484"/>
      <c r="O136" s="475">
        <f t="shared" si="35"/>
        <v>0</v>
      </c>
      <c r="P136" s="475">
        <f t="shared" si="36"/>
        <v>0</v>
      </c>
    </row>
    <row r="137" spans="2:16" ht="12.5">
      <c r="B137" s="160" t="str">
        <f t="shared" si="22"/>
        <v/>
      </c>
      <c r="C137" s="469">
        <f>IF(D93="","-",+C136+1)</f>
        <v>2057</v>
      </c>
      <c r="D137" s="344">
        <f>IF(F136+SUM(E$99:E136)=D$92,F136,D$92-SUM(E$99:E136))</f>
        <v>260569.87000000011</v>
      </c>
      <c r="E137" s="481">
        <f t="shared" si="27"/>
        <v>214402</v>
      </c>
      <c r="F137" s="482">
        <f t="shared" si="28"/>
        <v>46167.870000000112</v>
      </c>
      <c r="G137" s="482">
        <f t="shared" si="29"/>
        <v>153368.87000000011</v>
      </c>
      <c r="H137" s="483">
        <f t="shared" si="30"/>
        <v>235002.30873534566</v>
      </c>
      <c r="I137" s="539">
        <f t="shared" si="31"/>
        <v>235002.30873534566</v>
      </c>
      <c r="J137" s="475">
        <f t="shared" si="33"/>
        <v>0</v>
      </c>
      <c r="K137" s="475"/>
      <c r="L137" s="484"/>
      <c r="M137" s="475">
        <f t="shared" si="34"/>
        <v>0</v>
      </c>
      <c r="N137" s="484"/>
      <c r="O137" s="475">
        <f t="shared" si="35"/>
        <v>0</v>
      </c>
      <c r="P137" s="475">
        <f t="shared" si="36"/>
        <v>0</v>
      </c>
    </row>
    <row r="138" spans="2:16" ht="12.5">
      <c r="B138" s="160" t="str">
        <f t="shared" si="22"/>
        <v/>
      </c>
      <c r="C138" s="469">
        <f>IF(D93="","-",+C137+1)</f>
        <v>2058</v>
      </c>
      <c r="D138" s="344">
        <f>IF(F137+SUM(E$99:E137)=D$92,F137,D$92-SUM(E$99:E137))</f>
        <v>46167.870000000112</v>
      </c>
      <c r="E138" s="481">
        <f t="shared" si="27"/>
        <v>46167.870000000112</v>
      </c>
      <c r="F138" s="482">
        <f t="shared" si="28"/>
        <v>0</v>
      </c>
      <c r="G138" s="482">
        <f t="shared" si="29"/>
        <v>23083.935000000056</v>
      </c>
      <c r="H138" s="483">
        <f t="shared" si="30"/>
        <v>49268.474365323091</v>
      </c>
      <c r="I138" s="539">
        <f t="shared" si="31"/>
        <v>49268.474365323091</v>
      </c>
      <c r="J138" s="475">
        <f t="shared" si="33"/>
        <v>0</v>
      </c>
      <c r="K138" s="475"/>
      <c r="L138" s="484"/>
      <c r="M138" s="475">
        <f t="shared" si="34"/>
        <v>0</v>
      </c>
      <c r="N138" s="484"/>
      <c r="O138" s="475">
        <f t="shared" si="35"/>
        <v>0</v>
      </c>
      <c r="P138" s="475">
        <f t="shared" si="36"/>
        <v>0</v>
      </c>
    </row>
    <row r="139" spans="2:16" ht="12.5">
      <c r="B139" s="160" t="str">
        <f t="shared" si="22"/>
        <v/>
      </c>
      <c r="C139" s="469">
        <f>IF(D93="","-",+C138+1)</f>
        <v>2059</v>
      </c>
      <c r="D139" s="344">
        <f>IF(F138+SUM(E$99:E138)=D$92,F138,D$92-SUM(E$99:E138))</f>
        <v>0</v>
      </c>
      <c r="E139" s="481">
        <f t="shared" si="27"/>
        <v>0</v>
      </c>
      <c r="F139" s="482">
        <f t="shared" si="28"/>
        <v>0</v>
      </c>
      <c r="G139" s="482">
        <f t="shared" si="29"/>
        <v>0</v>
      </c>
      <c r="H139" s="483">
        <f t="shared" si="30"/>
        <v>0</v>
      </c>
      <c r="I139" s="539">
        <f t="shared" si="31"/>
        <v>0</v>
      </c>
      <c r="J139" s="475">
        <f t="shared" si="33"/>
        <v>0</v>
      </c>
      <c r="K139" s="475"/>
      <c r="L139" s="484"/>
      <c r="M139" s="475">
        <f t="shared" si="34"/>
        <v>0</v>
      </c>
      <c r="N139" s="484"/>
      <c r="O139" s="475">
        <f t="shared" si="35"/>
        <v>0</v>
      </c>
      <c r="P139" s="475">
        <f t="shared" si="36"/>
        <v>0</v>
      </c>
    </row>
    <row r="140" spans="2:16" ht="12.5">
      <c r="B140" s="160" t="str">
        <f t="shared" si="22"/>
        <v/>
      </c>
      <c r="C140" s="469">
        <f>IF(D93="","-",+C139+1)</f>
        <v>2060</v>
      </c>
      <c r="D140" s="344">
        <f>IF(F139+SUM(E$99:E139)=D$92,F139,D$92-SUM(E$99:E139))</f>
        <v>0</v>
      </c>
      <c r="E140" s="481">
        <f t="shared" si="27"/>
        <v>0</v>
      </c>
      <c r="F140" s="482">
        <f t="shared" si="28"/>
        <v>0</v>
      </c>
      <c r="G140" s="482">
        <f t="shared" si="29"/>
        <v>0</v>
      </c>
      <c r="H140" s="483">
        <f t="shared" si="30"/>
        <v>0</v>
      </c>
      <c r="I140" s="539">
        <f t="shared" si="31"/>
        <v>0</v>
      </c>
      <c r="J140" s="475">
        <f t="shared" si="33"/>
        <v>0</v>
      </c>
      <c r="K140" s="475"/>
      <c r="L140" s="484"/>
      <c r="M140" s="475">
        <f t="shared" si="34"/>
        <v>0</v>
      </c>
      <c r="N140" s="484"/>
      <c r="O140" s="475">
        <f t="shared" si="35"/>
        <v>0</v>
      </c>
      <c r="P140" s="475">
        <f t="shared" si="36"/>
        <v>0</v>
      </c>
    </row>
    <row r="141" spans="2:16" ht="12.5">
      <c r="B141" s="160" t="str">
        <f t="shared" si="22"/>
        <v/>
      </c>
      <c r="C141" s="469">
        <f>IF(D93="","-",+C140+1)</f>
        <v>2061</v>
      </c>
      <c r="D141" s="344">
        <f>IF(F140+SUM(E$99:E140)=D$92,F140,D$92-SUM(E$99:E140))</f>
        <v>0</v>
      </c>
      <c r="E141" s="481">
        <f t="shared" si="27"/>
        <v>0</v>
      </c>
      <c r="F141" s="482">
        <f t="shared" si="28"/>
        <v>0</v>
      </c>
      <c r="G141" s="482">
        <f t="shared" si="29"/>
        <v>0</v>
      </c>
      <c r="H141" s="483">
        <f t="shared" si="30"/>
        <v>0</v>
      </c>
      <c r="I141" s="539">
        <f t="shared" si="31"/>
        <v>0</v>
      </c>
      <c r="J141" s="475">
        <f t="shared" si="33"/>
        <v>0</v>
      </c>
      <c r="K141" s="475"/>
      <c r="L141" s="484"/>
      <c r="M141" s="475">
        <f t="shared" si="34"/>
        <v>0</v>
      </c>
      <c r="N141" s="484"/>
      <c r="O141" s="475">
        <f t="shared" si="35"/>
        <v>0</v>
      </c>
      <c r="P141" s="475">
        <f t="shared" si="36"/>
        <v>0</v>
      </c>
    </row>
    <row r="142" spans="2:16" ht="12.5">
      <c r="B142" s="160" t="str">
        <f t="shared" si="22"/>
        <v/>
      </c>
      <c r="C142" s="469">
        <f>IF(D93="","-",+C141+1)</f>
        <v>2062</v>
      </c>
      <c r="D142" s="344">
        <f>IF(F141+SUM(E$99:E141)=D$92,F141,D$92-SUM(E$99:E141))</f>
        <v>0</v>
      </c>
      <c r="E142" s="481">
        <f t="shared" si="27"/>
        <v>0</v>
      </c>
      <c r="F142" s="482">
        <f t="shared" si="28"/>
        <v>0</v>
      </c>
      <c r="G142" s="482">
        <f t="shared" si="29"/>
        <v>0</v>
      </c>
      <c r="H142" s="483">
        <f t="shared" si="30"/>
        <v>0</v>
      </c>
      <c r="I142" s="539">
        <f t="shared" si="31"/>
        <v>0</v>
      </c>
      <c r="J142" s="475">
        <f t="shared" si="33"/>
        <v>0</v>
      </c>
      <c r="K142" s="475"/>
      <c r="L142" s="484"/>
      <c r="M142" s="475">
        <f t="shared" si="34"/>
        <v>0</v>
      </c>
      <c r="N142" s="484"/>
      <c r="O142" s="475">
        <f t="shared" si="35"/>
        <v>0</v>
      </c>
      <c r="P142" s="475">
        <f t="shared" si="36"/>
        <v>0</v>
      </c>
    </row>
    <row r="143" spans="2:16" ht="12.5">
      <c r="B143" s="160" t="str">
        <f t="shared" si="22"/>
        <v/>
      </c>
      <c r="C143" s="469">
        <f>IF(D93="","-",+C142+1)</f>
        <v>2063</v>
      </c>
      <c r="D143" s="344">
        <f>IF(F142+SUM(E$99:E142)=D$92,F142,D$92-SUM(E$99:E142))</f>
        <v>0</v>
      </c>
      <c r="E143" s="481">
        <f t="shared" si="27"/>
        <v>0</v>
      </c>
      <c r="F143" s="482">
        <f t="shared" si="28"/>
        <v>0</v>
      </c>
      <c r="G143" s="482">
        <f t="shared" si="29"/>
        <v>0</v>
      </c>
      <c r="H143" s="483">
        <f t="shared" si="30"/>
        <v>0</v>
      </c>
      <c r="I143" s="539">
        <f t="shared" si="31"/>
        <v>0</v>
      </c>
      <c r="J143" s="475">
        <f t="shared" si="33"/>
        <v>0</v>
      </c>
      <c r="K143" s="475"/>
      <c r="L143" s="484"/>
      <c r="M143" s="475">
        <f t="shared" si="34"/>
        <v>0</v>
      </c>
      <c r="N143" s="484"/>
      <c r="O143" s="475">
        <f t="shared" si="35"/>
        <v>0</v>
      </c>
      <c r="P143" s="475">
        <f t="shared" si="36"/>
        <v>0</v>
      </c>
    </row>
    <row r="144" spans="2:16" ht="12.5">
      <c r="B144" s="160" t="str">
        <f t="shared" si="22"/>
        <v/>
      </c>
      <c r="C144" s="469">
        <f>IF(D93="","-",+C143+1)</f>
        <v>2064</v>
      </c>
      <c r="D144" s="344">
        <f>IF(F143+SUM(E$99:E143)=D$92,F143,D$92-SUM(E$99:E143))</f>
        <v>0</v>
      </c>
      <c r="E144" s="481">
        <f t="shared" si="27"/>
        <v>0</v>
      </c>
      <c r="F144" s="482">
        <f t="shared" si="28"/>
        <v>0</v>
      </c>
      <c r="G144" s="482">
        <f t="shared" si="29"/>
        <v>0</v>
      </c>
      <c r="H144" s="483">
        <f t="shared" si="30"/>
        <v>0</v>
      </c>
      <c r="I144" s="539">
        <f t="shared" si="31"/>
        <v>0</v>
      </c>
      <c r="J144" s="475">
        <f t="shared" si="33"/>
        <v>0</v>
      </c>
      <c r="K144" s="475"/>
      <c r="L144" s="484"/>
      <c r="M144" s="475">
        <f t="shared" si="34"/>
        <v>0</v>
      </c>
      <c r="N144" s="484"/>
      <c r="O144" s="475">
        <f t="shared" si="35"/>
        <v>0</v>
      </c>
      <c r="P144" s="475">
        <f t="shared" si="36"/>
        <v>0</v>
      </c>
    </row>
    <row r="145" spans="2:16" ht="12.5">
      <c r="B145" s="160" t="str">
        <f t="shared" si="22"/>
        <v/>
      </c>
      <c r="C145" s="469">
        <f>IF(D93="","-",+C144+1)</f>
        <v>2065</v>
      </c>
      <c r="D145" s="344">
        <f>IF(F144+SUM(E$99:E144)=D$92,F144,D$92-SUM(E$99:E144))</f>
        <v>0</v>
      </c>
      <c r="E145" s="481">
        <f t="shared" si="27"/>
        <v>0</v>
      </c>
      <c r="F145" s="482">
        <f t="shared" si="28"/>
        <v>0</v>
      </c>
      <c r="G145" s="482">
        <f t="shared" si="29"/>
        <v>0</v>
      </c>
      <c r="H145" s="483">
        <f t="shared" si="30"/>
        <v>0</v>
      </c>
      <c r="I145" s="539">
        <f t="shared" si="31"/>
        <v>0</v>
      </c>
      <c r="J145" s="475">
        <f t="shared" si="33"/>
        <v>0</v>
      </c>
      <c r="K145" s="475"/>
      <c r="L145" s="484"/>
      <c r="M145" s="475">
        <f t="shared" si="34"/>
        <v>0</v>
      </c>
      <c r="N145" s="484"/>
      <c r="O145" s="475">
        <f t="shared" si="35"/>
        <v>0</v>
      </c>
      <c r="P145" s="475">
        <f t="shared" si="36"/>
        <v>0</v>
      </c>
    </row>
    <row r="146" spans="2:16" ht="12.5">
      <c r="B146" s="160" t="str">
        <f t="shared" si="22"/>
        <v/>
      </c>
      <c r="C146" s="469">
        <f>IF(D93="","-",+C145+1)</f>
        <v>2066</v>
      </c>
      <c r="D146" s="344">
        <f>IF(F145+SUM(E$99:E145)=D$92,F145,D$92-SUM(E$99:E145))</f>
        <v>0</v>
      </c>
      <c r="E146" s="481">
        <f t="shared" si="27"/>
        <v>0</v>
      </c>
      <c r="F146" s="482">
        <f t="shared" si="28"/>
        <v>0</v>
      </c>
      <c r="G146" s="482">
        <f t="shared" si="29"/>
        <v>0</v>
      </c>
      <c r="H146" s="483">
        <f t="shared" si="30"/>
        <v>0</v>
      </c>
      <c r="I146" s="539">
        <f t="shared" si="31"/>
        <v>0</v>
      </c>
      <c r="J146" s="475">
        <f t="shared" si="33"/>
        <v>0</v>
      </c>
      <c r="K146" s="475"/>
      <c r="L146" s="484"/>
      <c r="M146" s="475">
        <f t="shared" si="34"/>
        <v>0</v>
      </c>
      <c r="N146" s="484"/>
      <c r="O146" s="475">
        <f t="shared" si="35"/>
        <v>0</v>
      </c>
      <c r="P146" s="475">
        <f t="shared" si="36"/>
        <v>0</v>
      </c>
    </row>
    <row r="147" spans="2:16" ht="12.5">
      <c r="B147" s="160" t="str">
        <f t="shared" si="22"/>
        <v/>
      </c>
      <c r="C147" s="469">
        <f>IF(D93="","-",+C146+1)</f>
        <v>2067</v>
      </c>
      <c r="D147" s="344">
        <f>IF(F146+SUM(E$99:E146)=D$92,F146,D$92-SUM(E$99:E146))</f>
        <v>0</v>
      </c>
      <c r="E147" s="481">
        <f t="shared" si="27"/>
        <v>0</v>
      </c>
      <c r="F147" s="482">
        <f t="shared" si="28"/>
        <v>0</v>
      </c>
      <c r="G147" s="482">
        <f t="shared" si="29"/>
        <v>0</v>
      </c>
      <c r="H147" s="483">
        <f t="shared" si="30"/>
        <v>0</v>
      </c>
      <c r="I147" s="539">
        <f t="shared" si="31"/>
        <v>0</v>
      </c>
      <c r="J147" s="475">
        <f t="shared" si="33"/>
        <v>0</v>
      </c>
      <c r="K147" s="475"/>
      <c r="L147" s="484"/>
      <c r="M147" s="475">
        <f t="shared" si="34"/>
        <v>0</v>
      </c>
      <c r="N147" s="484"/>
      <c r="O147" s="475">
        <f t="shared" si="35"/>
        <v>0</v>
      </c>
      <c r="P147" s="475">
        <f t="shared" si="36"/>
        <v>0</v>
      </c>
    </row>
    <row r="148" spans="2:16" ht="12.5">
      <c r="B148" s="160" t="str">
        <f t="shared" si="22"/>
        <v/>
      </c>
      <c r="C148" s="469">
        <f>IF(D93="","-",+C147+1)</f>
        <v>2068</v>
      </c>
      <c r="D148" s="344">
        <f>IF(F147+SUM(E$99:E147)=D$92,F147,D$92-SUM(E$99:E147))</f>
        <v>0</v>
      </c>
      <c r="E148" s="481">
        <f t="shared" si="27"/>
        <v>0</v>
      </c>
      <c r="F148" s="482">
        <f t="shared" si="28"/>
        <v>0</v>
      </c>
      <c r="G148" s="482">
        <f t="shared" si="29"/>
        <v>0</v>
      </c>
      <c r="H148" s="483">
        <f t="shared" si="30"/>
        <v>0</v>
      </c>
      <c r="I148" s="539">
        <f t="shared" si="31"/>
        <v>0</v>
      </c>
      <c r="J148" s="475">
        <f t="shared" si="33"/>
        <v>0</v>
      </c>
      <c r="K148" s="475"/>
      <c r="L148" s="484"/>
      <c r="M148" s="475">
        <f t="shared" si="34"/>
        <v>0</v>
      </c>
      <c r="N148" s="484"/>
      <c r="O148" s="475">
        <f t="shared" si="35"/>
        <v>0</v>
      </c>
      <c r="P148" s="475">
        <f t="shared" si="36"/>
        <v>0</v>
      </c>
    </row>
    <row r="149" spans="2:16" ht="12.5">
      <c r="B149" s="160" t="str">
        <f t="shared" si="22"/>
        <v/>
      </c>
      <c r="C149" s="469">
        <f>IF(D93="","-",+C148+1)</f>
        <v>2069</v>
      </c>
      <c r="D149" s="344">
        <f>IF(F148+SUM(E$99:E148)=D$92,F148,D$92-SUM(E$99:E148))</f>
        <v>0</v>
      </c>
      <c r="E149" s="481">
        <f t="shared" si="27"/>
        <v>0</v>
      </c>
      <c r="F149" s="482">
        <f t="shared" si="28"/>
        <v>0</v>
      </c>
      <c r="G149" s="482">
        <f t="shared" si="29"/>
        <v>0</v>
      </c>
      <c r="H149" s="483">
        <f t="shared" si="30"/>
        <v>0</v>
      </c>
      <c r="I149" s="539">
        <f t="shared" si="31"/>
        <v>0</v>
      </c>
      <c r="J149" s="475">
        <f t="shared" si="33"/>
        <v>0</v>
      </c>
      <c r="K149" s="475"/>
      <c r="L149" s="484"/>
      <c r="M149" s="475">
        <f t="shared" si="34"/>
        <v>0</v>
      </c>
      <c r="N149" s="484"/>
      <c r="O149" s="475">
        <f t="shared" si="35"/>
        <v>0</v>
      </c>
      <c r="P149" s="475">
        <f t="shared" si="36"/>
        <v>0</v>
      </c>
    </row>
    <row r="150" spans="2:16" ht="12.5">
      <c r="B150" s="160" t="str">
        <f t="shared" si="22"/>
        <v/>
      </c>
      <c r="C150" s="469">
        <f>IF(D93="","-",+C149+1)</f>
        <v>2070</v>
      </c>
      <c r="D150" s="344">
        <f>IF(F149+SUM(E$99:E149)=D$92,F149,D$92-SUM(E$99:E149))</f>
        <v>0</v>
      </c>
      <c r="E150" s="481">
        <f t="shared" si="27"/>
        <v>0</v>
      </c>
      <c r="F150" s="482">
        <f t="shared" si="28"/>
        <v>0</v>
      </c>
      <c r="G150" s="482">
        <f t="shared" si="29"/>
        <v>0</v>
      </c>
      <c r="H150" s="483">
        <f t="shared" si="30"/>
        <v>0</v>
      </c>
      <c r="I150" s="539">
        <f t="shared" si="31"/>
        <v>0</v>
      </c>
      <c r="J150" s="475">
        <f t="shared" si="33"/>
        <v>0</v>
      </c>
      <c r="K150" s="475"/>
      <c r="L150" s="484"/>
      <c r="M150" s="475">
        <f t="shared" si="34"/>
        <v>0</v>
      </c>
      <c r="N150" s="484"/>
      <c r="O150" s="475">
        <f t="shared" si="35"/>
        <v>0</v>
      </c>
      <c r="P150" s="475">
        <f t="shared" si="36"/>
        <v>0</v>
      </c>
    </row>
    <row r="151" spans="2:16" ht="12.5">
      <c r="B151" s="160" t="str">
        <f t="shared" si="22"/>
        <v/>
      </c>
      <c r="C151" s="469">
        <f>IF(D93="","-",+C150+1)</f>
        <v>2071</v>
      </c>
      <c r="D151" s="344">
        <f>IF(F150+SUM(E$99:E150)=D$92,F150,D$92-SUM(E$99:E150))</f>
        <v>0</v>
      </c>
      <c r="E151" s="481">
        <f t="shared" si="27"/>
        <v>0</v>
      </c>
      <c r="F151" s="482">
        <f t="shared" si="28"/>
        <v>0</v>
      </c>
      <c r="G151" s="482">
        <f t="shared" si="29"/>
        <v>0</v>
      </c>
      <c r="H151" s="483">
        <f t="shared" si="30"/>
        <v>0</v>
      </c>
      <c r="I151" s="539">
        <f t="shared" si="31"/>
        <v>0</v>
      </c>
      <c r="J151" s="475">
        <f t="shared" si="33"/>
        <v>0</v>
      </c>
      <c r="K151" s="475"/>
      <c r="L151" s="484"/>
      <c r="M151" s="475">
        <f t="shared" si="34"/>
        <v>0</v>
      </c>
      <c r="N151" s="484"/>
      <c r="O151" s="475">
        <f t="shared" si="35"/>
        <v>0</v>
      </c>
      <c r="P151" s="475">
        <f t="shared" si="36"/>
        <v>0</v>
      </c>
    </row>
    <row r="152" spans="2:16" ht="12.5">
      <c r="B152" s="160" t="str">
        <f t="shared" si="22"/>
        <v/>
      </c>
      <c r="C152" s="469">
        <f>IF(D93="","-",+C151+1)</f>
        <v>2072</v>
      </c>
      <c r="D152" s="344">
        <f>IF(F151+SUM(E$99:E151)=D$92,F151,D$92-SUM(E$99:E151))</f>
        <v>0</v>
      </c>
      <c r="E152" s="481">
        <f t="shared" si="27"/>
        <v>0</v>
      </c>
      <c r="F152" s="482">
        <f t="shared" si="28"/>
        <v>0</v>
      </c>
      <c r="G152" s="482">
        <f t="shared" si="29"/>
        <v>0</v>
      </c>
      <c r="H152" s="483">
        <f t="shared" si="30"/>
        <v>0</v>
      </c>
      <c r="I152" s="539">
        <f t="shared" si="31"/>
        <v>0</v>
      </c>
      <c r="J152" s="475">
        <f t="shared" si="33"/>
        <v>0</v>
      </c>
      <c r="K152" s="475"/>
      <c r="L152" s="484"/>
      <c r="M152" s="475">
        <f t="shared" si="34"/>
        <v>0</v>
      </c>
      <c r="N152" s="484"/>
      <c r="O152" s="475">
        <f t="shared" si="35"/>
        <v>0</v>
      </c>
      <c r="P152" s="475">
        <f t="shared" si="36"/>
        <v>0</v>
      </c>
    </row>
    <row r="153" spans="2:16" ht="12.5">
      <c r="B153" s="160" t="str">
        <f t="shared" si="22"/>
        <v/>
      </c>
      <c r="C153" s="469">
        <f>IF(D93="","-",+C152+1)</f>
        <v>2073</v>
      </c>
      <c r="D153" s="344">
        <f>IF(F152+SUM(E$99:E152)=D$92,F152,D$92-SUM(E$99:E152))</f>
        <v>0</v>
      </c>
      <c r="E153" s="481">
        <f t="shared" si="27"/>
        <v>0</v>
      </c>
      <c r="F153" s="482">
        <f t="shared" si="28"/>
        <v>0</v>
      </c>
      <c r="G153" s="482">
        <f t="shared" si="29"/>
        <v>0</v>
      </c>
      <c r="H153" s="483">
        <f t="shared" si="30"/>
        <v>0</v>
      </c>
      <c r="I153" s="539">
        <f t="shared" si="31"/>
        <v>0</v>
      </c>
      <c r="J153" s="475">
        <f t="shared" si="33"/>
        <v>0</v>
      </c>
      <c r="K153" s="475"/>
      <c r="L153" s="484"/>
      <c r="M153" s="475">
        <f t="shared" si="34"/>
        <v>0</v>
      </c>
      <c r="N153" s="484"/>
      <c r="O153" s="475">
        <f t="shared" si="35"/>
        <v>0</v>
      </c>
      <c r="P153" s="475">
        <f t="shared" si="36"/>
        <v>0</v>
      </c>
    </row>
    <row r="154" spans="2:16" ht="13" thickBot="1">
      <c r="B154" s="160" t="str">
        <f t="shared" si="22"/>
        <v/>
      </c>
      <c r="C154" s="486">
        <f>IF(D93="","-",+C153+1)</f>
        <v>2074</v>
      </c>
      <c r="D154" s="540">
        <f>IF(F153+SUM(E$99:E153)=D$92,F153,D$92-SUM(E$99:E153))</f>
        <v>0</v>
      </c>
      <c r="E154" s="488">
        <f t="shared" si="27"/>
        <v>0</v>
      </c>
      <c r="F154" s="487">
        <f t="shared" si="28"/>
        <v>0</v>
      </c>
      <c r="G154" s="487">
        <f t="shared" si="29"/>
        <v>0</v>
      </c>
      <c r="H154" s="609">
        <f t="shared" ref="H154" si="37">+J$94*G154+E154</f>
        <v>0</v>
      </c>
      <c r="I154" s="610">
        <f t="shared" ref="I154" si="38">+J$95*G154+E154</f>
        <v>0</v>
      </c>
      <c r="J154" s="492">
        <f t="shared" si="33"/>
        <v>0</v>
      </c>
      <c r="K154" s="475"/>
      <c r="L154" s="491"/>
      <c r="M154" s="492">
        <f t="shared" si="34"/>
        <v>0</v>
      </c>
      <c r="N154" s="491"/>
      <c r="O154" s="492">
        <f t="shared" si="35"/>
        <v>0</v>
      </c>
      <c r="P154" s="492">
        <f t="shared" si="36"/>
        <v>0</v>
      </c>
    </row>
    <row r="155" spans="2:16" ht="12.5">
      <c r="C155" s="344" t="s">
        <v>77</v>
      </c>
      <c r="D155" s="345"/>
      <c r="E155" s="345">
        <f>SUM(E99:E154)</f>
        <v>8147276.8700000001</v>
      </c>
      <c r="F155" s="345"/>
      <c r="G155" s="345"/>
      <c r="H155" s="345">
        <f>SUM(H99:H154)</f>
        <v>28852002.702146627</v>
      </c>
      <c r="I155" s="345">
        <f>SUM(I99:I154)</f>
        <v>28852002.702146627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21" priority="1" stopIfTrue="1" operator="equal">
      <formula>$I$10</formula>
    </cfRule>
  </conditionalFormatting>
  <conditionalFormatting sqref="C99:C154">
    <cfRule type="cellIs" dxfId="20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0">
    <tabColor rgb="FF00B050"/>
  </sheetPr>
  <dimension ref="A1:S137"/>
  <sheetViews>
    <sheetView topLeftCell="E90" zoomScale="70" zoomScaleNormal="70" zoomScaleSheetLayoutView="10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0.7265625" style="148" customWidth="1"/>
    <col min="4" max="9" width="17.7265625" style="148" customWidth="1"/>
    <col min="10" max="10" width="17.7265625" style="148" bestFit="1" customWidth="1"/>
    <col min="11" max="11" width="2.1796875" style="148" customWidth="1"/>
    <col min="12" max="15" width="17.7265625" style="148" customWidth="1"/>
    <col min="16" max="16" width="19.54296875" style="148" customWidth="1"/>
    <col min="17" max="17" width="2.1796875" style="148" customWidth="1"/>
    <col min="18" max="18" width="16.453125" style="148" customWidth="1"/>
    <col min="19" max="19" width="52.453125" style="148" customWidth="1"/>
    <col min="20" max="16384" width="8.7265625" style="148"/>
  </cols>
  <sheetData>
    <row r="1" spans="1:19" ht="17.5">
      <c r="A1" s="735" t="str">
        <f>'PSO.WS.F.BPU.ATRR.Projected'!A1</f>
        <v xml:space="preserve">AEP West SPP Member Companies </v>
      </c>
      <c r="B1" s="742"/>
      <c r="C1" s="742"/>
      <c r="D1" s="742"/>
      <c r="E1" s="742"/>
      <c r="F1" s="742"/>
      <c r="G1" s="742"/>
      <c r="H1" s="742"/>
      <c r="I1" s="742"/>
      <c r="J1" s="742"/>
      <c r="K1" s="742"/>
      <c r="Q1" s="194"/>
      <c r="R1" s="194"/>
    </row>
    <row r="2" spans="1:19" ht="17.5">
      <c r="A2" s="735" t="str">
        <f>'PSO.WS.F.BPU.ATRR.Projected'!A2</f>
        <v>2025 Cost of Service Formula Rate Projected on 2024 FF1 Balances</v>
      </c>
      <c r="B2" s="742"/>
      <c r="C2" s="742"/>
      <c r="D2" s="742"/>
      <c r="E2" s="742"/>
      <c r="F2" s="742"/>
      <c r="G2" s="742"/>
      <c r="H2" s="742"/>
      <c r="I2" s="742"/>
      <c r="J2" s="742"/>
      <c r="K2" s="742"/>
      <c r="Q2" s="238" t="s">
        <v>125</v>
      </c>
      <c r="R2" s="194"/>
    </row>
    <row r="3" spans="1:19" ht="18">
      <c r="A3" s="738" t="s">
        <v>141</v>
      </c>
      <c r="B3" s="737"/>
      <c r="C3" s="737"/>
      <c r="D3" s="737"/>
      <c r="E3" s="737"/>
      <c r="F3" s="737"/>
      <c r="G3" s="737"/>
      <c r="H3" s="737"/>
      <c r="I3" s="737"/>
      <c r="J3" s="737"/>
      <c r="K3" s="737"/>
      <c r="Q3" s="194"/>
      <c r="R3" s="194"/>
    </row>
    <row r="4" spans="1:19" ht="17.5">
      <c r="A4" s="737" t="str">
        <f>"Based on a Carrying Charge Derived from ""Trued-Up"" "&amp;M16&amp;" Data"</f>
        <v>Based on a Carrying Charge Derived from "Trued-Up" 2024 Data</v>
      </c>
      <c r="B4" s="737"/>
      <c r="C4" s="737"/>
      <c r="D4" s="737"/>
      <c r="E4" s="737"/>
      <c r="F4" s="737"/>
      <c r="G4" s="737"/>
      <c r="H4" s="737"/>
      <c r="I4" s="737"/>
      <c r="J4" s="737"/>
      <c r="K4" s="737"/>
      <c r="Q4" s="194"/>
      <c r="R4" s="194"/>
    </row>
    <row r="5" spans="1:19" ht="18">
      <c r="A5" s="743" t="str">
        <f>'PSO.WS.F.BPU.ATRR.Projected'!A5</f>
        <v>PUBLIC SERVICE COMPANY OF OKLAHOMA</v>
      </c>
      <c r="B5" s="744"/>
      <c r="C5" s="744"/>
      <c r="D5" s="744"/>
      <c r="E5" s="744"/>
      <c r="F5" s="744"/>
      <c r="G5" s="744"/>
      <c r="H5" s="744"/>
      <c r="I5" s="744"/>
      <c r="J5" s="744"/>
      <c r="K5" s="744"/>
      <c r="Q5" s="194"/>
      <c r="R5" s="194"/>
    </row>
    <row r="6" spans="1:19" ht="20">
      <c r="A6" s="371"/>
      <c r="C6" s="301"/>
      <c r="D6" s="160"/>
      <c r="I6" s="216"/>
      <c r="K6" s="194"/>
      <c r="Q6" s="194"/>
      <c r="R6" s="194"/>
    </row>
    <row r="7" spans="1:19" ht="12.5">
      <c r="D7" s="160"/>
      <c r="I7" s="216"/>
      <c r="K7" s="194"/>
      <c r="Q7" s="194"/>
      <c r="R7" s="194"/>
    </row>
    <row r="8" spans="1:19" ht="38.25" customHeight="1">
      <c r="B8" s="242" t="s">
        <v>0</v>
      </c>
      <c r="C8" s="740" t="str">
        <f>"Calculate Return and Income Taxes with "&amp;F13&amp;" basis point ROE increase for Projects Qualified for Incentive."</f>
        <v>Calculate Return and Income Taxes with 0 basis point ROE increase for Projects Qualified for Incentive.</v>
      </c>
      <c r="D8" s="741"/>
      <c r="E8" s="741"/>
      <c r="F8" s="741"/>
      <c r="G8" s="741"/>
      <c r="H8" s="741"/>
      <c r="I8" s="741"/>
      <c r="K8" s="194"/>
      <c r="Q8" s="194"/>
      <c r="R8" s="194"/>
    </row>
    <row r="9" spans="1:19" ht="15.75" customHeight="1">
      <c r="C9" s="372"/>
      <c r="D9" s="372"/>
      <c r="E9" s="372"/>
      <c r="F9" s="372"/>
      <c r="G9" s="372"/>
      <c r="H9" s="372"/>
      <c r="I9" s="372"/>
      <c r="K9" s="194"/>
      <c r="Q9" s="194"/>
      <c r="R9" s="194"/>
    </row>
    <row r="10" spans="1:19" ht="15.5">
      <c r="C10" s="243" t="str">
        <f>"A.   Determine 'R' with hypothetical "&amp;F13&amp;" basis point increase in ROE for Identified Projects"</f>
        <v>A.   Determine 'R' with hypothetical 0 basis point increase in ROE for Identified Projects</v>
      </c>
      <c r="D10" s="160"/>
      <c r="I10" s="216"/>
      <c r="K10" s="194"/>
      <c r="Q10" s="194"/>
      <c r="R10" s="194"/>
    </row>
    <row r="11" spans="1:19" ht="12.5">
      <c r="D11" s="160"/>
      <c r="I11" s="216"/>
      <c r="K11" s="194"/>
      <c r="Q11" s="194"/>
      <c r="R11" s="194"/>
    </row>
    <row r="12" spans="1:19" ht="12.5">
      <c r="C12" s="246" t="str">
        <f>S105</f>
        <v xml:space="preserve">   ROE w/o incentives  (TCOS, ln 143)</v>
      </c>
      <c r="D12" s="160"/>
      <c r="E12" s="247"/>
      <c r="F12" s="248">
        <f>+R105</f>
        <v>0.105</v>
      </c>
      <c r="G12" s="248"/>
      <c r="H12" s="249"/>
      <c r="I12" s="250"/>
      <c r="J12" s="251"/>
      <c r="K12" s="252"/>
      <c r="L12" s="251"/>
      <c r="M12" s="251"/>
      <c r="N12" s="251"/>
      <c r="O12" s="251"/>
      <c r="P12" s="251"/>
      <c r="Q12" s="252"/>
      <c r="R12" s="241"/>
      <c r="S12" s="231"/>
    </row>
    <row r="13" spans="1:19" ht="13" thickBot="1">
      <c r="C13" s="246" t="s">
        <v>1</v>
      </c>
      <c r="D13" s="160"/>
      <c r="E13" s="247"/>
      <c r="F13" s="373">
        <f>R106</f>
        <v>0</v>
      </c>
      <c r="G13" s="374" t="s">
        <v>152</v>
      </c>
      <c r="L13" s="251"/>
      <c r="M13" s="251"/>
      <c r="N13" s="251"/>
      <c r="O13" s="251"/>
      <c r="P13" s="251"/>
      <c r="Q13" s="252"/>
      <c r="R13" s="241"/>
      <c r="S13" s="231"/>
    </row>
    <row r="14" spans="1:19" ht="13">
      <c r="C14" s="246" t="str">
        <f>"   ROE with additional "&amp;F13&amp;" basis point incentive"</f>
        <v xml:space="preserve">   ROE with additional 0 basis point incentive</v>
      </c>
      <c r="D14" s="247"/>
      <c r="E14" s="247"/>
      <c r="F14" s="254">
        <f>IF((F12+(F13/10000)&gt;0.1245),"ERROR",F12+(F13/10000))</f>
        <v>0.105</v>
      </c>
      <c r="G14" s="255" t="s">
        <v>2</v>
      </c>
      <c r="I14" s="251"/>
      <c r="J14" s="251"/>
      <c r="K14" s="252"/>
      <c r="L14" s="375" t="s">
        <v>89</v>
      </c>
      <c r="M14" s="376"/>
      <c r="N14" s="376"/>
      <c r="O14" s="376"/>
      <c r="P14" s="377"/>
      <c r="Q14" s="252"/>
      <c r="R14" s="241"/>
      <c r="S14" s="231"/>
    </row>
    <row r="15" spans="1:19" ht="12.5">
      <c r="C15" s="246" t="s">
        <v>232</v>
      </c>
      <c r="D15" s="160"/>
      <c r="E15" s="247"/>
      <c r="F15" s="254"/>
      <c r="G15" s="254"/>
      <c r="H15" s="247"/>
      <c r="I15" s="251"/>
      <c r="J15" s="251"/>
      <c r="K15" s="252"/>
      <c r="L15" s="264"/>
      <c r="M15" s="252"/>
      <c r="N15" s="252" t="s">
        <v>8</v>
      </c>
      <c r="O15" s="252" t="s">
        <v>9</v>
      </c>
      <c r="P15" s="266" t="s">
        <v>10</v>
      </c>
      <c r="Q15" s="252"/>
      <c r="R15" s="241"/>
      <c r="S15" s="231"/>
    </row>
    <row r="16" spans="1:19" ht="12.5">
      <c r="C16" s="252"/>
      <c r="D16" s="256" t="s">
        <v>4</v>
      </c>
      <c r="E16" s="256" t="s">
        <v>5</v>
      </c>
      <c r="F16" s="257" t="s">
        <v>6</v>
      </c>
      <c r="G16" s="257"/>
      <c r="H16" s="247"/>
      <c r="I16" s="251"/>
      <c r="J16" s="251"/>
      <c r="K16" s="252"/>
      <c r="L16" s="264" t="s">
        <v>90</v>
      </c>
      <c r="M16" s="378">
        <f>+R104</f>
        <v>2024</v>
      </c>
      <c r="N16" s="194"/>
      <c r="O16" s="194"/>
      <c r="P16" s="271"/>
      <c r="Q16" s="252"/>
      <c r="R16" s="241"/>
      <c r="S16" s="231"/>
    </row>
    <row r="17" spans="3:19" ht="12.5">
      <c r="C17" s="258" t="s">
        <v>7</v>
      </c>
      <c r="D17" s="259">
        <f>R107</f>
        <v>0.48032000660675805</v>
      </c>
      <c r="E17" s="260">
        <f>R108</f>
        <v>4.2750444469652191E-2</v>
      </c>
      <c r="F17" s="379">
        <f>E17*D17</f>
        <v>2.0533893770105182E-2</v>
      </c>
      <c r="G17" s="379"/>
      <c r="H17" s="247"/>
      <c r="I17" s="251"/>
      <c r="J17" s="262"/>
      <c r="K17" s="263"/>
      <c r="L17" s="270"/>
      <c r="M17" s="380" t="s">
        <v>219</v>
      </c>
      <c r="N17" s="381">
        <f>SUM('P.001:P.xyz - blank'!M87)</f>
        <v>9262191.0701439064</v>
      </c>
      <c r="O17" s="381">
        <f>SUM('P.001:P.xyz - blank'!N87)</f>
        <v>9262191.0701439064</v>
      </c>
      <c r="P17" s="382">
        <f>+O17-N17</f>
        <v>0</v>
      </c>
      <c r="Q17" s="263"/>
      <c r="R17" s="241"/>
      <c r="S17" s="231"/>
    </row>
    <row r="18" spans="3:19" ht="13" thickBot="1">
      <c r="C18" s="258" t="s">
        <v>11</v>
      </c>
      <c r="D18" s="259">
        <f>R109</f>
        <v>0</v>
      </c>
      <c r="E18" s="260">
        <f>R110</f>
        <v>0</v>
      </c>
      <c r="F18" s="379">
        <f>E18*D18</f>
        <v>0</v>
      </c>
      <c r="G18" s="379"/>
      <c r="H18" s="267"/>
      <c r="I18" s="267"/>
      <c r="J18" s="268"/>
      <c r="K18" s="269"/>
      <c r="L18" s="270"/>
      <c r="M18" s="383" t="s">
        <v>218</v>
      </c>
      <c r="N18" s="384">
        <f>SUM('P.001:P.xyz - blank'!M88)</f>
        <v>10146571.939449474</v>
      </c>
      <c r="O18" s="384">
        <f>SUM('P.001:P.xyz - blank'!N88)</f>
        <v>10146571.939449474</v>
      </c>
      <c r="P18" s="276">
        <f>+O18-N18</f>
        <v>0</v>
      </c>
      <c r="Q18" s="269"/>
      <c r="R18" s="241"/>
      <c r="S18" s="231"/>
    </row>
    <row r="19" spans="3:19" ht="12.5">
      <c r="C19" s="272" t="s">
        <v>12</v>
      </c>
      <c r="D19" s="259">
        <f>R111</f>
        <v>0.51967999339324189</v>
      </c>
      <c r="E19" s="260">
        <f>+F14</f>
        <v>0.105</v>
      </c>
      <c r="F19" s="385">
        <f>E19*D19</f>
        <v>5.4566399306290397E-2</v>
      </c>
      <c r="G19" s="385"/>
      <c r="H19" s="267"/>
      <c r="I19" s="267"/>
      <c r="J19" s="254"/>
      <c r="K19" s="269"/>
      <c r="L19" s="270"/>
      <c r="M19" s="386" t="str">
        <f>"True-up Adjustment For "&amp;M16&amp;""</f>
        <v>True-up Adjustment For 2024</v>
      </c>
      <c r="N19" s="387">
        <f>+N18-N17</f>
        <v>884380.86930556782</v>
      </c>
      <c r="O19" s="387">
        <f>+O18-O17</f>
        <v>884380.86930556782</v>
      </c>
      <c r="P19" s="388">
        <f>+P18-P17</f>
        <v>0</v>
      </c>
      <c r="Q19" s="269"/>
      <c r="R19" s="241"/>
      <c r="S19" s="231"/>
    </row>
    <row r="20" spans="3:19" ht="12.5">
      <c r="C20" s="246"/>
      <c r="D20" s="247"/>
      <c r="E20" s="277" t="s">
        <v>14</v>
      </c>
      <c r="F20" s="379">
        <f>SUM(F17:F19)</f>
        <v>7.5100293076395583E-2</v>
      </c>
      <c r="G20" s="379"/>
      <c r="H20" s="389"/>
      <c r="I20" s="267"/>
      <c r="J20" s="268"/>
      <c r="K20" s="269"/>
      <c r="L20" s="270"/>
      <c r="M20" s="194"/>
      <c r="N20" s="278" t="str">
        <f>IF(ROUND(N19,0)=ROUND(SUM('P.001:P.xyz - blank'!M89),0),"","ERROR")</f>
        <v/>
      </c>
      <c r="O20" s="278" t="str">
        <f>IF(ROUND(O19,0)=ROUND(SUM('P.001:P.xyz - blank'!N89),0),"","ERROR")</f>
        <v/>
      </c>
      <c r="P20" s="278" t="str">
        <f>IF(P19=SUM('P.001:P.xyz - blank'!O89),"","ERROR")</f>
        <v/>
      </c>
      <c r="Q20" s="269"/>
      <c r="R20" s="241"/>
      <c r="S20" s="231"/>
    </row>
    <row r="21" spans="3:19" ht="13" thickBot="1">
      <c r="D21" s="279"/>
      <c r="E21" s="279"/>
      <c r="F21" s="267"/>
      <c r="G21" s="267"/>
      <c r="H21" s="267"/>
      <c r="I21" s="267"/>
      <c r="J21" s="267"/>
      <c r="K21" s="280"/>
      <c r="L21" s="390"/>
      <c r="M21" s="391"/>
      <c r="N21" s="392"/>
      <c r="O21" s="392"/>
      <c r="P21" s="276"/>
      <c r="Q21" s="280"/>
      <c r="R21" s="241"/>
      <c r="S21" s="231"/>
    </row>
    <row r="22" spans="3:19" ht="15.5">
      <c r="C22" s="243" t="str">
        <f>"B.   Determine Return using 'R' with hypothetical "&amp;F13&amp;" basis point ROE increase for Identified Projects."</f>
        <v>B.   Determine Return using 'R' with hypothetical 0 basis point ROE increase for Identified Projects.</v>
      </c>
      <c r="D22" s="279"/>
      <c r="E22" s="279"/>
      <c r="F22" s="281"/>
      <c r="G22" s="281"/>
      <c r="H22" s="267"/>
      <c r="I22" s="247"/>
      <c r="J22" s="267"/>
      <c r="K22" s="280"/>
      <c r="L22" s="267"/>
      <c r="M22" s="267"/>
      <c r="N22" s="267"/>
      <c r="O22" s="267"/>
      <c r="P22" s="267"/>
      <c r="Q22" s="280"/>
      <c r="R22" s="241"/>
      <c r="S22" s="231"/>
    </row>
    <row r="23" spans="3:19" ht="13">
      <c r="C23" s="252"/>
      <c r="D23" s="279"/>
      <c r="E23" s="279"/>
      <c r="F23" s="280"/>
      <c r="G23" s="280"/>
      <c r="H23" s="280"/>
      <c r="I23" s="280"/>
      <c r="J23" s="280"/>
      <c r="K23" s="280"/>
      <c r="L23" s="177" t="s">
        <v>15</v>
      </c>
      <c r="M23" s="280"/>
      <c r="N23" s="280"/>
      <c r="O23" s="280"/>
      <c r="P23" s="280"/>
      <c r="Q23" s="280"/>
      <c r="R23" s="241"/>
      <c r="S23" s="231"/>
    </row>
    <row r="24" spans="3:19" ht="12.5">
      <c r="C24" s="246" t="str">
        <f>S112</f>
        <v xml:space="preserve">   Rate Base  (TCOS, ln 63)</v>
      </c>
      <c r="D24" s="247"/>
      <c r="E24" s="283">
        <f>R112</f>
        <v>687940507.97900021</v>
      </c>
      <c r="F24" s="284"/>
      <c r="G24" s="284"/>
      <c r="H24" s="280"/>
      <c r="I24" s="280"/>
      <c r="J24" s="280"/>
      <c r="K24" s="280"/>
      <c r="L24" s="148" t="s">
        <v>16</v>
      </c>
      <c r="M24" s="280"/>
      <c r="N24" s="280"/>
      <c r="O24" s="280"/>
      <c r="P24" s="284"/>
      <c r="Q24" s="280"/>
      <c r="R24" s="241"/>
      <c r="S24" s="231"/>
    </row>
    <row r="25" spans="3:19" ht="12.5">
      <c r="C25" s="252" t="s">
        <v>17</v>
      </c>
      <c r="D25" s="249"/>
      <c r="E25" s="285">
        <f>F20</f>
        <v>7.5100293076395583E-2</v>
      </c>
      <c r="F25" s="280"/>
      <c r="G25" s="280"/>
      <c r="H25" s="280"/>
      <c r="I25" s="280"/>
      <c r="J25" s="280"/>
      <c r="K25" s="280"/>
      <c r="L25" s="280"/>
      <c r="M25" s="280"/>
      <c r="N25" s="280"/>
      <c r="O25" s="280"/>
      <c r="P25" s="280"/>
      <c r="Q25" s="280"/>
      <c r="R25" s="241"/>
      <c r="S25" s="231"/>
    </row>
    <row r="26" spans="3:19" ht="12.5">
      <c r="C26" s="286" t="s">
        <v>18</v>
      </c>
      <c r="D26" s="286"/>
      <c r="E26" s="268">
        <f>E24*E25</f>
        <v>51664533.768347368</v>
      </c>
      <c r="F26" s="280"/>
      <c r="G26" s="280"/>
      <c r="H26" s="280"/>
      <c r="I26" s="280"/>
      <c r="J26" s="269"/>
      <c r="K26" s="269"/>
      <c r="L26" s="269"/>
      <c r="M26" s="269"/>
      <c r="N26" s="269"/>
      <c r="O26" s="269"/>
      <c r="P26" s="280"/>
      <c r="Q26" s="269"/>
      <c r="R26" s="241"/>
      <c r="S26" s="231"/>
    </row>
    <row r="27" spans="3:19" ht="12.5">
      <c r="C27" s="287"/>
      <c r="D27" s="251"/>
      <c r="E27" s="251"/>
      <c r="F27" s="280"/>
      <c r="G27" s="280"/>
      <c r="H27" s="280"/>
      <c r="I27" s="280"/>
      <c r="J27" s="269"/>
      <c r="K27" s="269"/>
      <c r="L27" s="269"/>
      <c r="M27" s="269"/>
      <c r="N27" s="269"/>
      <c r="O27" s="269"/>
      <c r="P27" s="280"/>
      <c r="Q27" s="269"/>
      <c r="R27" s="241"/>
      <c r="S27" s="231"/>
    </row>
    <row r="28" spans="3:19" ht="15.5">
      <c r="C28" s="243" t="str">
        <f>"C.   Determine Income Taxes using Return with hypothetical "&amp;F13&amp;" basis point ROE increase for Identified Projects."</f>
        <v>C.   Determine Income Taxes using Return with hypothetical 0 basis point ROE increase for Identified Projects.</v>
      </c>
      <c r="D28" s="288"/>
      <c r="E28" s="288"/>
      <c r="F28" s="289"/>
      <c r="G28" s="289"/>
      <c r="H28" s="289"/>
      <c r="I28" s="289"/>
      <c r="J28" s="290"/>
      <c r="K28" s="290"/>
      <c r="L28" s="290"/>
      <c r="M28" s="290"/>
      <c r="N28" s="290"/>
      <c r="O28" s="290"/>
      <c r="P28" s="289"/>
      <c r="Q28" s="290"/>
      <c r="R28" s="241"/>
      <c r="S28" s="231"/>
    </row>
    <row r="29" spans="3:19" ht="12.5">
      <c r="C29" s="246"/>
      <c r="D29" s="251"/>
      <c r="E29" s="251"/>
      <c r="F29" s="280"/>
      <c r="G29" s="280"/>
      <c r="H29" s="280"/>
      <c r="I29" s="280"/>
      <c r="J29" s="269"/>
      <c r="K29" s="269"/>
      <c r="L29" s="269"/>
      <c r="M29" s="269"/>
      <c r="N29" s="269"/>
      <c r="O29" s="269"/>
      <c r="P29" s="280"/>
      <c r="Q29" s="269"/>
      <c r="R29" s="241"/>
      <c r="S29" s="231"/>
    </row>
    <row r="30" spans="3:19" ht="12.5">
      <c r="C30" s="252" t="s">
        <v>19</v>
      </c>
      <c r="D30" s="277"/>
      <c r="E30" s="291">
        <f>E26</f>
        <v>51664533.768347368</v>
      </c>
      <c r="F30" s="280"/>
      <c r="G30" s="280"/>
      <c r="H30" s="280"/>
      <c r="I30" s="280"/>
      <c r="J30" s="280"/>
      <c r="K30" s="280"/>
      <c r="L30" s="280"/>
      <c r="M30" s="280"/>
      <c r="N30" s="280"/>
      <c r="O30" s="280"/>
      <c r="P30" s="280"/>
      <c r="Q30" s="280"/>
      <c r="R30" s="241"/>
      <c r="S30" s="231"/>
    </row>
    <row r="31" spans="3:19" ht="12.5">
      <c r="C31" s="246" t="str">
        <f>S113</f>
        <v xml:space="preserve">   Tax Rate  (TCOS, ln 99)</v>
      </c>
      <c r="D31" s="277"/>
      <c r="E31" s="292">
        <f>R113</f>
        <v>0.24025699999999994</v>
      </c>
      <c r="F31" s="280"/>
      <c r="G31" s="280"/>
      <c r="H31" s="280"/>
      <c r="I31" s="280"/>
      <c r="J31" s="280"/>
      <c r="K31" s="280"/>
      <c r="L31" s="280"/>
      <c r="M31" s="280"/>
      <c r="N31" s="280"/>
      <c r="O31" s="280"/>
      <c r="P31" s="280"/>
      <c r="Q31" s="280"/>
      <c r="R31" s="241"/>
      <c r="S31" s="231"/>
    </row>
    <row r="32" spans="3:19" ht="12.5">
      <c r="C32" s="252" t="s">
        <v>20</v>
      </c>
      <c r="D32" s="239"/>
      <c r="E32" s="254">
        <f>IF(F17&gt;0,($E31/(1-$E31))*(1-$F17/$F20),0)</f>
        <v>0.22976983242616258</v>
      </c>
      <c r="F32" s="231"/>
      <c r="G32" s="231"/>
      <c r="H32" s="231"/>
      <c r="I32" s="240"/>
      <c r="J32" s="231"/>
      <c r="K32" s="241"/>
      <c r="L32" s="231"/>
      <c r="M32" s="231"/>
      <c r="N32" s="231"/>
      <c r="O32" s="231"/>
      <c r="P32" s="231"/>
      <c r="Q32" s="241"/>
      <c r="R32" s="241"/>
      <c r="S32" s="336"/>
    </row>
    <row r="33" spans="2:19" ht="12.5">
      <c r="C33" s="287" t="s">
        <v>21</v>
      </c>
      <c r="D33" s="239"/>
      <c r="E33" s="294">
        <f>E30*E32</f>
        <v>11870951.266328992</v>
      </c>
      <c r="F33" s="231"/>
      <c r="G33" s="231"/>
      <c r="H33" s="231"/>
      <c r="I33" s="240"/>
      <c r="J33" s="231"/>
      <c r="K33" s="241"/>
      <c r="L33" s="231"/>
      <c r="M33" s="231"/>
      <c r="N33" s="231"/>
      <c r="O33" s="231"/>
      <c r="P33" s="231"/>
      <c r="Q33" s="241"/>
      <c r="R33" s="241"/>
      <c r="S33" s="231"/>
    </row>
    <row r="34" spans="2:19" ht="15.5">
      <c r="C34" s="246" t="str">
        <f>+S114</f>
        <v xml:space="preserve">   ITC Adjustment  (TCOS, ln 108)</v>
      </c>
      <c r="D34" s="295"/>
      <c r="E34" s="296">
        <f>R114</f>
        <v>171132.45451701357</v>
      </c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7"/>
      <c r="Q34" s="295"/>
      <c r="R34" s="241"/>
      <c r="S34" s="231"/>
    </row>
    <row r="35" spans="2:19" ht="15.5">
      <c r="C35" s="303" t="str">
        <f>+S115</f>
        <v xml:space="preserve">   Excess DFIT Adjustment  (TCOS, ln 109)</v>
      </c>
      <c r="D35" s="295"/>
      <c r="E35" s="296">
        <f>R115</f>
        <v>-1451892.2478111866</v>
      </c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7"/>
      <c r="Q35" s="295"/>
      <c r="R35" s="241"/>
      <c r="S35" s="231"/>
    </row>
    <row r="36" spans="2:19" ht="15.5">
      <c r="C36" s="303" t="str">
        <f>+S116</f>
        <v xml:space="preserve">   Tax Effect of Permanent and Flow Through Differences (TCOS, ln 110)</v>
      </c>
      <c r="D36" s="295"/>
      <c r="E36" s="296">
        <f>R116</f>
        <v>100629.70641072042</v>
      </c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7"/>
      <c r="Q36" s="295"/>
      <c r="R36" s="241"/>
      <c r="S36" s="231"/>
    </row>
    <row r="37" spans="2:19" ht="15.5">
      <c r="C37" s="287" t="s">
        <v>22</v>
      </c>
      <c r="D37" s="295"/>
      <c r="E37" s="296">
        <f>E33+E34+E35+E36</f>
        <v>10690821.179445541</v>
      </c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8"/>
      <c r="Q37" s="295"/>
      <c r="R37" s="241"/>
      <c r="S37" s="231"/>
    </row>
    <row r="38" spans="2:19" ht="12.75" customHeight="1">
      <c r="C38" s="299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8"/>
      <c r="Q38" s="295"/>
      <c r="R38" s="241"/>
      <c r="S38" s="231"/>
    </row>
    <row r="39" spans="2:19" ht="18">
      <c r="B39" s="300" t="s">
        <v>23</v>
      </c>
      <c r="C39" s="301" t="str">
        <f>"Calculate Net Plant Carrying Charge Rate (Fixed Charge Rate or FCR) with hypothetical "&amp;F13&amp;" basis point"</f>
        <v>Calculate Net Plant Carrying Charge Rate (Fixed Charge Rate or FCR) with hypothetical 0 basis point</v>
      </c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8"/>
      <c r="Q39" s="295"/>
      <c r="R39" s="241"/>
      <c r="S39" s="231"/>
    </row>
    <row r="40" spans="2:19" ht="18.75" customHeight="1">
      <c r="B40" s="300"/>
      <c r="C40" s="301" t="str">
        <f>"ROE increase."</f>
        <v>ROE increase.</v>
      </c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8"/>
      <c r="Q40" s="295"/>
      <c r="R40" s="241"/>
      <c r="S40" s="231"/>
    </row>
    <row r="41" spans="2:19" ht="12.75" customHeight="1">
      <c r="C41" s="299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8"/>
      <c r="Q41" s="295"/>
      <c r="R41" s="241"/>
      <c r="S41" s="231"/>
    </row>
    <row r="42" spans="2:19" ht="15.5">
      <c r="C42" s="243" t="s">
        <v>24</v>
      </c>
      <c r="D42" s="295"/>
      <c r="E42" s="295"/>
      <c r="F42" s="302"/>
      <c r="G42" s="302"/>
      <c r="H42" s="295"/>
      <c r="I42" s="295"/>
      <c r="J42" s="295"/>
      <c r="K42" s="295"/>
      <c r="L42" s="295"/>
      <c r="M42" s="295"/>
      <c r="N42" s="295"/>
      <c r="O42" s="295"/>
      <c r="P42" s="298"/>
      <c r="Q42" s="295"/>
      <c r="R42" s="241"/>
      <c r="S42" s="231"/>
    </row>
    <row r="43" spans="2:19" ht="12.5">
      <c r="B43" s="231"/>
      <c r="C43" s="303"/>
      <c r="D43" s="304"/>
      <c r="E43" s="304"/>
      <c r="F43" s="304"/>
      <c r="G43" s="304"/>
      <c r="H43" s="304"/>
      <c r="I43" s="304"/>
      <c r="J43" s="304"/>
      <c r="K43" s="304"/>
      <c r="L43" s="304"/>
      <c r="M43" s="304"/>
      <c r="N43" s="304"/>
      <c r="O43" s="304"/>
      <c r="P43" s="296"/>
      <c r="Q43" s="304"/>
      <c r="R43" s="241"/>
      <c r="S43" s="231"/>
    </row>
    <row r="44" spans="2:19" ht="12.75" customHeight="1">
      <c r="B44" s="231"/>
      <c r="C44" s="246" t="str">
        <f>S117</f>
        <v xml:space="preserve">   Net Revenue Requirement  (TCOS, ln 117)</v>
      </c>
      <c r="D44" s="304"/>
      <c r="E44" s="304"/>
      <c r="F44" s="296">
        <f>R117</f>
        <v>134973025.19654</v>
      </c>
      <c r="G44" s="296"/>
      <c r="H44" s="304"/>
      <c r="I44" s="304"/>
      <c r="J44" s="304"/>
      <c r="K44" s="304"/>
      <c r="L44" s="304"/>
      <c r="M44" s="304"/>
      <c r="N44" s="304"/>
      <c r="O44" s="304"/>
      <c r="P44" s="296"/>
      <c r="Q44" s="304"/>
      <c r="R44" s="241"/>
      <c r="S44" s="231"/>
    </row>
    <row r="45" spans="2:19" ht="12.5">
      <c r="B45" s="231"/>
      <c r="C45" s="246" t="str">
        <f>S118</f>
        <v xml:space="preserve">   Return  (TCOS, ln 112)</v>
      </c>
      <c r="D45" s="304"/>
      <c r="E45" s="304"/>
      <c r="F45" s="296">
        <f>R118</f>
        <v>51664533.768347368</v>
      </c>
      <c r="G45" s="305"/>
      <c r="H45" s="306"/>
      <c r="I45" s="306"/>
      <c r="J45" s="306"/>
      <c r="K45" s="306"/>
      <c r="L45" s="306"/>
      <c r="M45" s="306"/>
      <c r="N45" s="306"/>
      <c r="O45" s="306"/>
      <c r="P45" s="296"/>
      <c r="Q45" s="306"/>
      <c r="R45" s="241"/>
      <c r="S45" s="231"/>
    </row>
    <row r="46" spans="2:19" ht="12.5">
      <c r="B46" s="231"/>
      <c r="C46" s="246" t="str">
        <f>S119</f>
        <v xml:space="preserve">   Income Taxes  (TCOS, ln 111)</v>
      </c>
      <c r="D46" s="304"/>
      <c r="E46" s="304"/>
      <c r="F46" s="296">
        <f>R119</f>
        <v>10690821.179445541</v>
      </c>
      <c r="G46" s="296"/>
      <c r="H46" s="304"/>
      <c r="I46" s="304"/>
      <c r="J46" s="307"/>
      <c r="K46" s="307"/>
      <c r="L46" s="307"/>
      <c r="M46" s="307"/>
      <c r="N46" s="307"/>
      <c r="O46" s="307"/>
      <c r="P46" s="304"/>
      <c r="Q46" s="307"/>
      <c r="R46" s="241"/>
      <c r="S46" s="231"/>
    </row>
    <row r="47" spans="2:19" ht="12.5">
      <c r="B47" s="231"/>
      <c r="C47" s="246" t="str">
        <f>S120</f>
        <v xml:space="preserve">  Gross Margin Taxes  (TCOS, ln 116)</v>
      </c>
      <c r="D47" s="304"/>
      <c r="E47" s="304"/>
      <c r="F47" s="308">
        <f>R120</f>
        <v>0</v>
      </c>
      <c r="G47" s="296"/>
      <c r="H47" s="304"/>
      <c r="I47" s="304"/>
      <c r="J47" s="307"/>
      <c r="K47" s="307"/>
      <c r="L47" s="307"/>
      <c r="M47" s="307"/>
      <c r="N47" s="307"/>
      <c r="O47" s="307"/>
      <c r="P47" s="304"/>
      <c r="Q47" s="307"/>
      <c r="R47" s="241"/>
      <c r="S47" s="231"/>
    </row>
    <row r="48" spans="2:19" ht="12.5">
      <c r="B48" s="231"/>
      <c r="C48" s="309" t="s">
        <v>25</v>
      </c>
      <c r="D48" s="304"/>
      <c r="E48" s="304"/>
      <c r="F48" s="305">
        <f>F44-F45-F46-F47</f>
        <v>72617670.248747095</v>
      </c>
      <c r="G48" s="305"/>
      <c r="H48" s="310"/>
      <c r="I48" s="304"/>
      <c r="J48" s="310"/>
      <c r="K48" s="310"/>
      <c r="L48" s="310"/>
      <c r="M48" s="310"/>
      <c r="N48" s="310"/>
      <c r="O48" s="310"/>
      <c r="P48" s="310"/>
      <c r="Q48" s="310"/>
      <c r="R48" s="241"/>
      <c r="S48" s="231"/>
    </row>
    <row r="49" spans="2:19" ht="12.5">
      <c r="B49" s="231"/>
      <c r="C49" s="303"/>
      <c r="D49" s="304"/>
      <c r="E49" s="304"/>
      <c r="F49" s="296"/>
      <c r="G49" s="296"/>
      <c r="H49" s="311"/>
      <c r="I49" s="312"/>
      <c r="J49" s="312"/>
      <c r="K49" s="312"/>
      <c r="L49" s="312"/>
      <c r="M49" s="312"/>
      <c r="N49" s="312"/>
      <c r="O49" s="312"/>
      <c r="P49" s="312"/>
      <c r="Q49" s="312"/>
      <c r="R49" s="241"/>
      <c r="S49" s="231"/>
    </row>
    <row r="50" spans="2:19" ht="15.5">
      <c r="B50" s="231"/>
      <c r="C50" s="243" t="str">
        <f>"B.   Determine Net Revenue Requirement with hypothetical "&amp;F13&amp;" basis point increase in ROE."</f>
        <v>B.   Determine Net Revenue Requirement with hypothetical 0 basis point increase in ROE.</v>
      </c>
      <c r="D50" s="313"/>
      <c r="E50" s="313"/>
      <c r="F50" s="296"/>
      <c r="G50" s="296"/>
      <c r="H50" s="311"/>
      <c r="I50" s="312"/>
      <c r="J50" s="312"/>
      <c r="K50" s="312"/>
      <c r="L50" s="312"/>
      <c r="M50" s="312"/>
      <c r="N50" s="312"/>
      <c r="O50" s="312"/>
      <c r="P50" s="312"/>
      <c r="Q50" s="312"/>
      <c r="R50" s="241"/>
      <c r="S50" s="231"/>
    </row>
    <row r="51" spans="2:19" ht="12.5">
      <c r="B51" s="231"/>
      <c r="C51" s="303"/>
      <c r="D51" s="313"/>
      <c r="E51" s="313"/>
      <c r="F51" s="296"/>
      <c r="G51" s="296"/>
      <c r="H51" s="311"/>
      <c r="I51" s="312"/>
      <c r="J51" s="312"/>
      <c r="K51" s="312"/>
      <c r="L51" s="312"/>
      <c r="M51" s="312"/>
      <c r="N51" s="312"/>
      <c r="O51" s="312"/>
      <c r="P51" s="312"/>
      <c r="Q51" s="312"/>
      <c r="R51" s="241"/>
      <c r="S51" s="231"/>
    </row>
    <row r="52" spans="2:19" ht="13">
      <c r="B52" s="231"/>
      <c r="C52" s="303" t="str">
        <f>C48</f>
        <v xml:space="preserve">   Net Revenue Requirement, Less Return and Taxes</v>
      </c>
      <c r="D52" s="313"/>
      <c r="E52" s="313"/>
      <c r="F52" s="296">
        <f>F48</f>
        <v>72617670.248747095</v>
      </c>
      <c r="G52" s="296"/>
      <c r="H52" s="304"/>
      <c r="I52" s="304"/>
      <c r="J52" s="304"/>
      <c r="K52" s="304"/>
      <c r="L52" s="304"/>
      <c r="M52" s="304"/>
      <c r="N52" s="304"/>
      <c r="O52" s="304"/>
      <c r="P52" s="316"/>
      <c r="Q52" s="304"/>
      <c r="R52" s="241"/>
      <c r="S52" s="231"/>
    </row>
    <row r="53" spans="2:19" ht="13">
      <c r="B53" s="231"/>
      <c r="C53" s="252" t="s">
        <v>103</v>
      </c>
      <c r="D53" s="318"/>
      <c r="E53" s="309"/>
      <c r="F53" s="319">
        <f>E26</f>
        <v>51664533.768347368</v>
      </c>
      <c r="G53" s="319"/>
      <c r="H53" s="309"/>
      <c r="I53" s="320"/>
      <c r="J53" s="309"/>
      <c r="K53" s="309"/>
      <c r="L53" s="309"/>
      <c r="M53" s="309"/>
      <c r="N53" s="309"/>
      <c r="O53" s="309"/>
      <c r="P53" s="309"/>
      <c r="Q53" s="309"/>
      <c r="R53" s="241"/>
      <c r="S53" s="231"/>
    </row>
    <row r="54" spans="2:19" ht="12.75" customHeight="1">
      <c r="B54" s="231"/>
      <c r="C54" s="246" t="s">
        <v>26</v>
      </c>
      <c r="D54" s="304"/>
      <c r="E54" s="304"/>
      <c r="F54" s="393">
        <f>E37</f>
        <v>10690821.179445541</v>
      </c>
      <c r="G54" s="321"/>
      <c r="H54" s="231"/>
      <c r="I54" s="240"/>
      <c r="J54" s="231"/>
      <c r="K54" s="241"/>
      <c r="L54" s="231"/>
      <c r="M54" s="231"/>
      <c r="N54" s="231"/>
      <c r="O54" s="231"/>
      <c r="P54" s="231"/>
      <c r="Q54" s="241"/>
      <c r="R54" s="241"/>
      <c r="S54" s="231"/>
    </row>
    <row r="55" spans="2:19" ht="12.5">
      <c r="B55" s="231"/>
      <c r="C55" s="309" t="str">
        <f>"   Net Revenue Requirement, with "&amp;F13&amp;" Basis Point ROE increase"</f>
        <v xml:space="preserve">   Net Revenue Requirement, with 0 Basis Point ROE increase</v>
      </c>
      <c r="D55" s="239"/>
      <c r="E55" s="231"/>
      <c r="F55" s="294">
        <f>SUM(F52:F54)</f>
        <v>134973025.19654</v>
      </c>
      <c r="G55" s="294"/>
      <c r="H55" s="231"/>
      <c r="I55" s="240"/>
      <c r="J55" s="231"/>
      <c r="K55" s="241"/>
      <c r="L55" s="231"/>
      <c r="M55" s="231"/>
      <c r="N55" s="231"/>
      <c r="O55" s="231"/>
      <c r="P55" s="231"/>
      <c r="Q55" s="241"/>
      <c r="R55" s="241"/>
      <c r="S55" s="231"/>
    </row>
    <row r="56" spans="2:19" ht="12.5">
      <c r="B56" s="231"/>
      <c r="C56" s="322" t="str">
        <f>"   Gross Margin Tax with "&amp;F13&amp;" Basis Point ROE Increase (II C. below)"</f>
        <v xml:space="preserve">   Gross Margin Tax with 0 Basis Point ROE Increase (II C. below)</v>
      </c>
      <c r="D56" s="323"/>
      <c r="E56" s="323"/>
      <c r="F56" s="324">
        <f>+F71</f>
        <v>0</v>
      </c>
      <c r="G56" s="319"/>
      <c r="H56" s="231"/>
      <c r="I56" s="240"/>
      <c r="J56" s="231"/>
      <c r="K56" s="241"/>
      <c r="L56" s="231"/>
      <c r="M56" s="231"/>
      <c r="N56" s="231"/>
      <c r="O56" s="231"/>
      <c r="P56" s="231"/>
      <c r="Q56" s="241"/>
      <c r="R56" s="241"/>
      <c r="S56" s="231"/>
    </row>
    <row r="57" spans="2:19" ht="12.5">
      <c r="B57" s="231"/>
      <c r="C57" s="309" t="s">
        <v>27</v>
      </c>
      <c r="D57" s="239"/>
      <c r="E57" s="231"/>
      <c r="F57" s="325">
        <f>+F55+F56</f>
        <v>134973025.19654</v>
      </c>
      <c r="G57" s="325"/>
      <c r="H57" s="231"/>
      <c r="I57" s="240"/>
      <c r="J57" s="231"/>
      <c r="K57" s="241"/>
      <c r="L57" s="231"/>
      <c r="M57" s="231"/>
      <c r="N57" s="231"/>
      <c r="O57" s="231"/>
      <c r="P57" s="231"/>
      <c r="Q57" s="241"/>
      <c r="R57" s="241"/>
      <c r="S57" s="231"/>
    </row>
    <row r="58" spans="2:19" ht="12.5">
      <c r="B58" s="231"/>
      <c r="C58" s="246" t="str">
        <f>S121</f>
        <v xml:space="preserve">   Less: Depreciation  (TCOS, ln 86)</v>
      </c>
      <c r="D58" s="239"/>
      <c r="E58" s="231"/>
      <c r="F58" s="326">
        <f>R121</f>
        <v>27491329.543581594</v>
      </c>
      <c r="G58" s="326"/>
      <c r="H58" s="231"/>
      <c r="I58" s="240"/>
      <c r="J58" s="231"/>
      <c r="K58" s="241"/>
      <c r="L58" s="231"/>
      <c r="M58" s="231"/>
      <c r="N58" s="231"/>
      <c r="O58" s="231"/>
      <c r="P58" s="231"/>
      <c r="Q58" s="241"/>
      <c r="R58" s="241"/>
      <c r="S58" s="231"/>
    </row>
    <row r="59" spans="2:19" ht="12.5">
      <c r="B59" s="231"/>
      <c r="C59" s="309" t="str">
        <f>"   Net Rev. Req, w/"&amp;F13&amp;" Basis Point ROE increase, less Depreciation"</f>
        <v xml:space="preserve">   Net Rev. Req, w/0 Basis Point ROE increase, less Depreciation</v>
      </c>
      <c r="D59" s="239"/>
      <c r="E59" s="231"/>
      <c r="F59" s="294">
        <f>F57-F58</f>
        <v>107481695.65295841</v>
      </c>
      <c r="G59" s="294"/>
      <c r="H59" s="231"/>
      <c r="I59" s="240"/>
      <c r="J59" s="231"/>
      <c r="K59" s="241"/>
      <c r="L59" s="231"/>
      <c r="M59" s="231"/>
      <c r="N59" s="231"/>
      <c r="O59" s="231"/>
      <c r="P59" s="231"/>
      <c r="Q59" s="241"/>
      <c r="R59" s="241"/>
      <c r="S59" s="231"/>
    </row>
    <row r="60" spans="2:19" ht="12.5">
      <c r="B60" s="231"/>
      <c r="C60" s="231"/>
      <c r="D60" s="239"/>
      <c r="E60" s="231"/>
      <c r="F60" s="231"/>
      <c r="G60" s="231"/>
      <c r="H60" s="231"/>
      <c r="I60" s="240"/>
      <c r="J60" s="231"/>
      <c r="K60" s="241"/>
      <c r="L60" s="231"/>
      <c r="M60" s="231"/>
      <c r="N60" s="231"/>
      <c r="O60" s="231"/>
      <c r="P60" s="231"/>
      <c r="Q60" s="241"/>
      <c r="R60" s="241"/>
      <c r="S60" s="231"/>
    </row>
    <row r="61" spans="2:19" ht="15.5">
      <c r="B61" s="231"/>
      <c r="C61" s="328" t="str">
        <f>"C.   Determine Gross Margin Tax with hypothetical "&amp;F13&amp;" basis point increase in ROE."</f>
        <v>C.   Determine Gross Margin Tax with hypothetical 0 basis point increase in ROE.</v>
      </c>
      <c r="D61" s="329"/>
      <c r="E61" s="329"/>
      <c r="F61" s="330"/>
      <c r="G61" s="330"/>
      <c r="H61" s="327"/>
      <c r="I61" s="240"/>
      <c r="J61" s="231"/>
      <c r="K61" s="241"/>
      <c r="L61" s="231"/>
      <c r="M61" s="231"/>
      <c r="N61" s="231"/>
      <c r="O61" s="231"/>
      <c r="P61" s="231"/>
      <c r="Q61" s="241"/>
      <c r="R61" s="241"/>
      <c r="S61" s="231"/>
    </row>
    <row r="62" spans="2:19" ht="12.5">
      <c r="B62" s="231"/>
      <c r="C62" s="322" t="str">
        <f>"   Net Revenue Requirement before Gross Margin Taxes, with "&amp;F13&amp;" "</f>
        <v xml:space="preserve">   Net Revenue Requirement before Gross Margin Taxes, with 0 </v>
      </c>
      <c r="D62" s="329"/>
      <c r="E62" s="329"/>
      <c r="F62" s="330">
        <f>+F55</f>
        <v>134973025.19654</v>
      </c>
      <c r="G62" s="330"/>
      <c r="H62" s="327"/>
      <c r="I62" s="240"/>
      <c r="J62" s="231"/>
      <c r="K62" s="241"/>
      <c r="L62" s="231"/>
      <c r="M62" s="231"/>
      <c r="N62" s="231"/>
      <c r="O62" s="231"/>
      <c r="P62" s="231"/>
      <c r="Q62" s="241"/>
      <c r="R62" s="241"/>
      <c r="S62" s="231"/>
    </row>
    <row r="63" spans="2:19" ht="12.5">
      <c r="B63" s="231"/>
      <c r="C63" s="322" t="s">
        <v>28</v>
      </c>
      <c r="D63" s="329"/>
      <c r="E63" s="329"/>
      <c r="F63" s="330"/>
      <c r="G63" s="330"/>
      <c r="H63" s="327"/>
      <c r="I63" s="240"/>
      <c r="J63" s="231"/>
      <c r="K63" s="241"/>
      <c r="L63" s="231"/>
      <c r="M63" s="231"/>
      <c r="N63" s="231"/>
      <c r="O63" s="231"/>
      <c r="P63" s="231"/>
      <c r="Q63" s="241"/>
      <c r="R63" s="241"/>
      <c r="S63" s="231"/>
    </row>
    <row r="64" spans="2:19" ht="12.5">
      <c r="B64" s="231"/>
      <c r="C64" s="309" t="str">
        <f>S122</f>
        <v xml:space="preserve">       Apportionment Factor to Texas (Worksheet K, ln 12)</v>
      </c>
      <c r="D64" s="293"/>
      <c r="E64" s="327"/>
      <c r="F64" s="332">
        <f>R122</f>
        <v>0</v>
      </c>
      <c r="G64" s="394"/>
      <c r="H64" s="327"/>
      <c r="I64" s="240"/>
      <c r="J64" s="231"/>
      <c r="K64" s="241"/>
      <c r="L64" s="231"/>
      <c r="M64" s="231"/>
      <c r="N64" s="231"/>
      <c r="O64" s="231"/>
      <c r="P64" s="231"/>
      <c r="Q64" s="241"/>
      <c r="R64" s="241"/>
      <c r="S64" s="231"/>
    </row>
    <row r="65" spans="2:19" ht="12.5">
      <c r="B65" s="231"/>
      <c r="C65" s="309" t="s">
        <v>29</v>
      </c>
      <c r="D65" s="293"/>
      <c r="E65" s="327"/>
      <c r="F65" s="330">
        <f>+F64*F62</f>
        <v>0</v>
      </c>
      <c r="G65" s="330"/>
      <c r="H65" s="327"/>
      <c r="I65" s="240"/>
      <c r="J65" s="231"/>
      <c r="K65" s="241"/>
      <c r="L65" s="231"/>
      <c r="M65" s="231"/>
      <c r="N65" s="231"/>
      <c r="O65" s="231"/>
      <c r="P65" s="231"/>
      <c r="Q65" s="241"/>
      <c r="R65" s="241"/>
      <c r="S65" s="231"/>
    </row>
    <row r="66" spans="2:19" ht="12.5">
      <c r="B66" s="231"/>
      <c r="C66" s="309" t="str">
        <f>+'PSO.WS.F.BPU.ATRR.Projected'!C66</f>
        <v xml:space="preserve">       Taxable Percentage of Revenue (22%)</v>
      </c>
      <c r="D66" s="293"/>
      <c r="E66" s="327"/>
      <c r="F66" s="333">
        <f>+'PSO.WS.F.BPU.ATRR.Projected'!F66</f>
        <v>0.22</v>
      </c>
      <c r="G66" s="395"/>
      <c r="H66" s="327"/>
      <c r="I66" s="240"/>
      <c r="J66" s="231"/>
      <c r="K66" s="241"/>
      <c r="L66" s="231"/>
      <c r="M66" s="231"/>
      <c r="N66" s="231"/>
      <c r="O66" s="231"/>
      <c r="P66" s="231"/>
      <c r="Q66" s="241"/>
      <c r="R66" s="241"/>
      <c r="S66" s="231"/>
    </row>
    <row r="67" spans="2:19" ht="12.5">
      <c r="B67" s="231"/>
      <c r="C67" s="309" t="s">
        <v>30</v>
      </c>
      <c r="D67" s="293"/>
      <c r="E67" s="327"/>
      <c r="F67" s="330">
        <f>+F65*F66</f>
        <v>0</v>
      </c>
      <c r="G67" s="330"/>
      <c r="H67" s="327"/>
      <c r="I67" s="240"/>
      <c r="J67" s="231"/>
      <c r="K67" s="241"/>
      <c r="L67" s="231"/>
      <c r="M67" s="231"/>
      <c r="N67" s="231"/>
      <c r="O67" s="231"/>
      <c r="P67" s="231"/>
      <c r="Q67" s="241"/>
      <c r="R67" s="241"/>
      <c r="S67" s="231"/>
    </row>
    <row r="68" spans="2:19" ht="12.5">
      <c r="B68" s="231"/>
      <c r="C68" s="309" t="s">
        <v>31</v>
      </c>
      <c r="D68" s="293"/>
      <c r="E68" s="327"/>
      <c r="F68" s="333">
        <v>0.01</v>
      </c>
      <c r="G68" s="395"/>
      <c r="H68" s="327"/>
      <c r="I68" s="240"/>
      <c r="J68" s="231"/>
      <c r="K68" s="241"/>
      <c r="L68" s="231"/>
      <c r="M68" s="231"/>
      <c r="N68" s="231"/>
      <c r="O68" s="231"/>
      <c r="P68" s="231"/>
      <c r="Q68" s="241"/>
      <c r="R68" s="241"/>
      <c r="S68" s="231"/>
    </row>
    <row r="69" spans="2:19" ht="12.5">
      <c r="B69" s="231"/>
      <c r="C69" s="309" t="s">
        <v>32</v>
      </c>
      <c r="D69" s="293"/>
      <c r="E69" s="327"/>
      <c r="F69" s="330">
        <f>+F67*F68</f>
        <v>0</v>
      </c>
      <c r="G69" s="330"/>
      <c r="H69" s="327"/>
      <c r="I69" s="240"/>
      <c r="J69" s="231"/>
      <c r="K69" s="241"/>
      <c r="L69" s="231"/>
      <c r="M69" s="231"/>
      <c r="N69" s="231"/>
      <c r="O69" s="231"/>
      <c r="P69" s="231"/>
      <c r="Q69" s="241"/>
      <c r="R69" s="241"/>
      <c r="S69" s="231"/>
    </row>
    <row r="70" spans="2:19" ht="12.5">
      <c r="B70" s="231"/>
      <c r="C70" s="309" t="s">
        <v>33</v>
      </c>
      <c r="D70" s="293"/>
      <c r="E70" s="327"/>
      <c r="F70" s="334">
        <f>+ROUND((F69*F66*F64)/(1-F68)*F68,0)</f>
        <v>0</v>
      </c>
      <c r="G70" s="396"/>
      <c r="H70" s="327"/>
      <c r="I70" s="240"/>
      <c r="J70" s="231"/>
      <c r="K70" s="241"/>
      <c r="L70" s="231"/>
      <c r="M70" s="231"/>
      <c r="N70" s="231"/>
      <c r="O70" s="231"/>
      <c r="P70" s="231"/>
      <c r="Q70" s="241"/>
      <c r="R70" s="241"/>
      <c r="S70" s="231"/>
    </row>
    <row r="71" spans="2:19" ht="12.5">
      <c r="B71" s="231"/>
      <c r="C71" s="309" t="s">
        <v>34</v>
      </c>
      <c r="D71" s="293"/>
      <c r="E71" s="327"/>
      <c r="F71" s="330">
        <f>+F69+F70</f>
        <v>0</v>
      </c>
      <c r="G71" s="330"/>
      <c r="H71" s="327"/>
      <c r="I71" s="240"/>
      <c r="J71" s="231"/>
      <c r="K71" s="241"/>
      <c r="L71" s="231"/>
      <c r="M71" s="231"/>
      <c r="N71" s="231"/>
      <c r="O71" s="231"/>
      <c r="P71" s="231"/>
      <c r="Q71" s="241"/>
      <c r="R71" s="241"/>
      <c r="S71" s="231"/>
    </row>
    <row r="72" spans="2:19" ht="12.5">
      <c r="B72" s="231"/>
      <c r="C72" s="231"/>
      <c r="D72" s="239"/>
      <c r="E72" s="231"/>
      <c r="F72" s="231"/>
      <c r="G72" s="231"/>
      <c r="H72" s="231"/>
      <c r="I72" s="240"/>
      <c r="J72" s="231"/>
      <c r="K72" s="241"/>
      <c r="L72" s="231"/>
      <c r="M72" s="231"/>
      <c r="N72" s="231"/>
      <c r="O72" s="231"/>
      <c r="P72" s="231"/>
      <c r="Q72" s="241"/>
      <c r="R72" s="241"/>
      <c r="S72" s="231"/>
    </row>
    <row r="73" spans="2:19" ht="15.5">
      <c r="B73" s="231"/>
      <c r="C73" s="243" t="str">
        <f>"D.   Determine FCR with hypothetical "&amp;F13&amp;" basis point ROE increase."</f>
        <v>D.   Determine FCR with hypothetical 0 basis point ROE increase.</v>
      </c>
      <c r="D73" s="239"/>
      <c r="E73" s="231"/>
      <c r="F73" s="231"/>
      <c r="G73" s="231"/>
      <c r="H73" s="231"/>
      <c r="I73" s="216"/>
      <c r="J73" s="231"/>
      <c r="K73" s="241"/>
      <c r="L73" s="231"/>
      <c r="M73" s="231"/>
      <c r="N73" s="231"/>
      <c r="O73" s="231"/>
      <c r="P73" s="231"/>
      <c r="Q73" s="241"/>
      <c r="R73" s="241"/>
      <c r="S73" s="231"/>
    </row>
    <row r="74" spans="2:19" ht="12.5">
      <c r="B74" s="231"/>
      <c r="C74" s="231"/>
      <c r="D74" s="239"/>
      <c r="E74" s="231"/>
      <c r="F74" s="231"/>
      <c r="G74" s="231"/>
      <c r="H74" s="231"/>
      <c r="I74" s="240"/>
      <c r="J74" s="231"/>
      <c r="K74" s="241"/>
      <c r="L74" s="231"/>
      <c r="M74" s="231"/>
      <c r="N74" s="231"/>
      <c r="O74" s="231"/>
      <c r="P74" s="231"/>
      <c r="Q74" s="241"/>
      <c r="R74" s="241"/>
      <c r="S74" s="231"/>
    </row>
    <row r="75" spans="2:19" ht="12.5">
      <c r="B75" s="231"/>
      <c r="C75" s="303" t="str">
        <f>S123</f>
        <v xml:space="preserve">   Net Transmission Plant  (TCOS, ln 37)</v>
      </c>
      <c r="D75" s="239"/>
      <c r="E75" s="231"/>
      <c r="F75" s="294">
        <f>R123</f>
        <v>800198988.26538479</v>
      </c>
      <c r="G75" s="294"/>
      <c r="I75" s="216"/>
      <c r="J75" s="231"/>
      <c r="K75" s="241"/>
      <c r="L75" s="231"/>
      <c r="M75" s="231"/>
      <c r="N75" s="231"/>
      <c r="O75" s="231"/>
      <c r="P75" s="231"/>
      <c r="Q75" s="241"/>
      <c r="R75" s="241"/>
      <c r="S75" s="231"/>
    </row>
    <row r="76" spans="2:19" ht="14">
      <c r="B76" s="231"/>
      <c r="C76" s="309" t="str">
        <f>"   Net Revenue Requirement, with "&amp;F13&amp;" Basis Point ROE increase"</f>
        <v xml:space="preserve">   Net Revenue Requirement, with 0 Basis Point ROE increase</v>
      </c>
      <c r="D76" s="239"/>
      <c r="E76" s="231"/>
      <c r="F76" s="397">
        <f>+F57</f>
        <v>134973025.19654</v>
      </c>
      <c r="G76" s="397"/>
      <c r="I76" s="216"/>
      <c r="J76" s="231"/>
      <c r="K76" s="241"/>
      <c r="L76" s="231"/>
      <c r="M76" s="231"/>
      <c r="N76" s="231"/>
      <c r="O76" s="231"/>
      <c r="P76" s="231"/>
      <c r="Q76" s="241"/>
      <c r="R76" s="241"/>
      <c r="S76" s="231"/>
    </row>
    <row r="77" spans="2:19" ht="12.5">
      <c r="B77" s="231"/>
      <c r="C77" s="309" t="str">
        <f>"   FCR with "&amp;F13&amp;" Basis Point increase in ROE"</f>
        <v xml:space="preserve">   FCR with 0 Basis Point increase in ROE</v>
      </c>
      <c r="D77" s="239"/>
      <c r="E77" s="231"/>
      <c r="F77" s="336">
        <f>IF(F75=0,0,F76/F75)</f>
        <v>0.16867432623118539</v>
      </c>
      <c r="G77" s="336"/>
      <c r="I77" s="216"/>
      <c r="J77" s="231"/>
      <c r="K77" s="241"/>
      <c r="L77" s="231"/>
      <c r="M77" s="231"/>
      <c r="N77" s="231"/>
      <c r="O77" s="231"/>
      <c r="P77" s="231"/>
      <c r="Q77" s="241"/>
      <c r="R77" s="241"/>
      <c r="S77" s="231"/>
    </row>
    <row r="78" spans="2:19" ht="12.5">
      <c r="B78" s="231"/>
      <c r="D78" s="239"/>
      <c r="E78" s="231"/>
      <c r="F78" s="327"/>
      <c r="G78" s="327"/>
      <c r="H78" s="398"/>
      <c r="I78" s="216"/>
      <c r="J78" s="231"/>
      <c r="K78" s="241"/>
      <c r="L78" s="231"/>
      <c r="M78" s="231"/>
      <c r="N78" s="231"/>
      <c r="O78" s="231"/>
      <c r="P78" s="231"/>
      <c r="Q78" s="241"/>
      <c r="R78" s="241"/>
      <c r="S78" s="231"/>
    </row>
    <row r="79" spans="2:19" ht="12.5">
      <c r="B79" s="231"/>
      <c r="C79" s="309" t="str">
        <f>"   Net Rev. Req, w / "&amp;F13&amp;" Basis Point ROE increase, less Dep."</f>
        <v xml:space="preserve">   Net Rev. Req, w / 0 Basis Point ROE increase, less Dep.</v>
      </c>
      <c r="D79" s="239"/>
      <c r="E79" s="231"/>
      <c r="F79" s="294">
        <f>+F59</f>
        <v>107481695.65295841</v>
      </c>
      <c r="G79" s="294"/>
      <c r="I79" s="216"/>
      <c r="J79" s="231"/>
      <c r="K79" s="241"/>
      <c r="L79" s="231"/>
      <c r="M79" s="231"/>
      <c r="N79" s="231"/>
      <c r="O79" s="231"/>
      <c r="P79" s="231"/>
      <c r="Q79" s="241"/>
      <c r="R79" s="241"/>
      <c r="S79" s="231"/>
    </row>
    <row r="80" spans="2:19" ht="12.5">
      <c r="B80" s="231"/>
      <c r="C80" s="309" t="str">
        <f>"   FCR with "&amp;F13&amp;" Basis Point ROE increase, less Depreciation"</f>
        <v xml:space="preserve">   FCR with 0 Basis Point ROE increase, less Depreciation</v>
      </c>
      <c r="D80" s="239"/>
      <c r="E80" s="231"/>
      <c r="F80" s="336">
        <f>IF(F75=0,0,F79/F75)</f>
        <v>0.13431870975736884</v>
      </c>
      <c r="G80" s="336"/>
      <c r="H80" s="244"/>
      <c r="I80" s="216"/>
      <c r="J80" s="231"/>
      <c r="K80" s="241"/>
      <c r="L80" s="231"/>
      <c r="M80" s="231"/>
      <c r="N80" s="231"/>
      <c r="O80" s="231"/>
      <c r="P80" s="231"/>
      <c r="Q80" s="241"/>
      <c r="R80" s="241"/>
      <c r="S80" s="231"/>
    </row>
    <row r="81" spans="2:19" ht="12.5">
      <c r="B81" s="231"/>
      <c r="C81" s="303" t="str">
        <f>S124</f>
        <v xml:space="preserve">   FCR less Depreciation  (TCOS, ln 10)</v>
      </c>
      <c r="D81" s="239"/>
      <c r="E81" s="231"/>
      <c r="F81" s="337">
        <f>R124</f>
        <v>0.13431870975736884</v>
      </c>
      <c r="G81" s="337"/>
      <c r="H81" s="399"/>
      <c r="I81" s="216"/>
      <c r="J81" s="231"/>
      <c r="K81" s="241"/>
      <c r="L81" s="231"/>
      <c r="M81" s="231"/>
      <c r="N81" s="231"/>
      <c r="O81" s="231"/>
      <c r="P81" s="231"/>
      <c r="Q81" s="241"/>
      <c r="R81" s="241"/>
      <c r="S81" s="231"/>
    </row>
    <row r="82" spans="2:19" ht="12.5">
      <c r="B82" s="231"/>
      <c r="C82" s="309" t="str">
        <f>"   Incremental FCR with "&amp;F13&amp;" Basis Point ROE increase, less Depreciation"</f>
        <v xml:space="preserve">   Incremental FCR with 0 Basis Point ROE increase, less Depreciation</v>
      </c>
      <c r="D82" s="239"/>
      <c r="E82" s="231"/>
      <c r="F82" s="336">
        <f>F80-F81</f>
        <v>0</v>
      </c>
      <c r="G82" s="336"/>
      <c r="I82" s="216"/>
      <c r="J82" s="231"/>
      <c r="K82" s="241"/>
      <c r="L82" s="231"/>
      <c r="M82" s="231"/>
      <c r="N82" s="231"/>
      <c r="O82" s="231"/>
      <c r="P82" s="231"/>
      <c r="Q82" s="241"/>
      <c r="R82" s="241"/>
      <c r="S82" s="231"/>
    </row>
    <row r="83" spans="2:19" ht="12.5">
      <c r="B83" s="231"/>
      <c r="C83" s="309"/>
      <c r="D83" s="239"/>
      <c r="E83" s="231"/>
      <c r="F83" s="336"/>
      <c r="G83" s="336"/>
      <c r="H83" s="231"/>
      <c r="I83" s="240"/>
      <c r="J83" s="231"/>
      <c r="K83" s="241"/>
      <c r="L83" s="231"/>
      <c r="M83" s="231"/>
      <c r="N83" s="231"/>
      <c r="O83" s="231"/>
      <c r="P83" s="231"/>
      <c r="Q83" s="241"/>
      <c r="R83" s="241"/>
      <c r="S83" s="231"/>
    </row>
    <row r="84" spans="2:19" ht="18">
      <c r="B84" s="300" t="s">
        <v>35</v>
      </c>
      <c r="C84" s="301" t="s">
        <v>36</v>
      </c>
      <c r="D84" s="239"/>
      <c r="E84" s="231"/>
      <c r="F84" s="336"/>
      <c r="G84" s="336"/>
      <c r="H84" s="231"/>
      <c r="I84" s="240"/>
      <c r="J84" s="231"/>
      <c r="K84" s="241"/>
      <c r="L84" s="231"/>
      <c r="M84" s="231"/>
      <c r="N84" s="231"/>
      <c r="O84" s="231"/>
      <c r="P84" s="231"/>
      <c r="Q84" s="241"/>
      <c r="R84" s="241"/>
      <c r="S84" s="231"/>
    </row>
    <row r="85" spans="2:19" ht="12.75" customHeight="1">
      <c r="B85" s="300"/>
      <c r="C85" s="301"/>
      <c r="D85" s="239"/>
      <c r="E85" s="231"/>
      <c r="F85" s="336"/>
      <c r="G85" s="336"/>
      <c r="H85" s="231"/>
      <c r="I85" s="240"/>
      <c r="J85" s="231"/>
      <c r="K85" s="241"/>
      <c r="L85" s="231"/>
      <c r="M85" s="231"/>
      <c r="N85" s="231"/>
      <c r="O85" s="231"/>
      <c r="P85" s="231"/>
      <c r="Q85" s="241"/>
      <c r="R85" s="241"/>
      <c r="S85" s="231"/>
    </row>
    <row r="86" spans="2:19" ht="12.75" customHeight="1">
      <c r="B86" s="300"/>
      <c r="C86" s="309" t="s">
        <v>37</v>
      </c>
      <c r="D86" s="239"/>
      <c r="F86" s="331">
        <f>R125</f>
        <v>1233176861.8000007</v>
      </c>
      <c r="G86" s="231" t="s">
        <v>278</v>
      </c>
      <c r="I86" s="240"/>
      <c r="J86" s="231"/>
      <c r="K86" s="241"/>
      <c r="L86" s="231"/>
      <c r="M86" s="231"/>
      <c r="N86" s="231"/>
      <c r="O86" s="231"/>
      <c r="P86" s="231"/>
      <c r="Q86" s="241"/>
      <c r="R86" s="241"/>
      <c r="S86" s="231"/>
    </row>
    <row r="87" spans="2:19" ht="12.75" customHeight="1">
      <c r="B87" s="300"/>
      <c r="C87" s="309" t="s">
        <v>38</v>
      </c>
      <c r="D87" s="239"/>
      <c r="F87" s="338">
        <f>R126</f>
        <v>1345242710.0799997</v>
      </c>
      <c r="G87" s="231" t="s">
        <v>278</v>
      </c>
      <c r="I87" s="240"/>
      <c r="J87" s="231"/>
      <c r="K87" s="241"/>
      <c r="L87" s="231"/>
      <c r="M87" s="231"/>
      <c r="N87" s="231"/>
      <c r="O87" s="231"/>
      <c r="P87" s="231"/>
      <c r="Q87" s="241"/>
      <c r="R87" s="241"/>
      <c r="S87" s="231"/>
    </row>
    <row r="88" spans="2:19" ht="12.75" customHeight="1">
      <c r="B88" s="300"/>
      <c r="C88" s="309"/>
      <c r="D88" s="239"/>
      <c r="F88" s="240">
        <f>+F87+F86</f>
        <v>2578419571.8800001</v>
      </c>
      <c r="G88" s="240"/>
      <c r="H88" s="231"/>
      <c r="I88" s="240"/>
      <c r="J88" s="231"/>
      <c r="K88" s="241"/>
      <c r="L88" s="231"/>
      <c r="M88" s="231"/>
      <c r="N88" s="231"/>
      <c r="O88" s="231"/>
      <c r="P88" s="231"/>
      <c r="Q88" s="241"/>
      <c r="R88" s="241"/>
      <c r="S88" s="231"/>
    </row>
    <row r="89" spans="2:19" ht="12.5">
      <c r="B89" s="231"/>
      <c r="C89" s="309" t="str">
        <f>+S127</f>
        <v>Transmission Plant Average Balance for 2024 (WS A-1 Ln 14 Col (d))</v>
      </c>
      <c r="D89" s="293"/>
      <c r="E89" s="155"/>
      <c r="F89" s="320">
        <f>+F88/2</f>
        <v>1289209785.9400001</v>
      </c>
      <c r="G89" s="320"/>
      <c r="I89" s="240"/>
      <c r="J89" s="231"/>
      <c r="K89" s="241"/>
      <c r="L89" s="231"/>
      <c r="M89" s="231"/>
      <c r="N89" s="231"/>
      <c r="O89" s="231"/>
      <c r="P89" s="231"/>
      <c r="Q89" s="241"/>
      <c r="R89" s="241"/>
      <c r="S89" s="231"/>
    </row>
    <row r="90" spans="2:19" ht="12.5">
      <c r="B90" s="231"/>
      <c r="C90" s="246" t="str">
        <f>S128</f>
        <v>Annual Depreciation Expense  (TCOS, ln 86)</v>
      </c>
      <c r="D90" s="293"/>
      <c r="E90" s="327"/>
      <c r="F90" s="320">
        <f>R128</f>
        <v>34344533</v>
      </c>
      <c r="G90" s="320"/>
      <c r="I90" s="240"/>
      <c r="J90" s="231"/>
      <c r="K90" s="241"/>
      <c r="L90" s="231"/>
      <c r="M90" s="231"/>
      <c r="N90" s="231"/>
      <c r="O90" s="231"/>
      <c r="P90" s="231"/>
      <c r="Q90" s="241"/>
      <c r="R90" s="241"/>
      <c r="S90" s="231"/>
    </row>
    <row r="91" spans="2:19" ht="12.5">
      <c r="B91" s="231"/>
      <c r="C91" s="309" t="s">
        <v>39</v>
      </c>
      <c r="D91" s="239"/>
      <c r="E91" s="231"/>
      <c r="F91" s="336">
        <f>IF(F89=0,0,F90/F89)</f>
        <v>2.6639987823981966E-2</v>
      </c>
      <c r="G91" s="336"/>
      <c r="H91" s="231"/>
      <c r="I91" s="340"/>
      <c r="J91" s="231"/>
      <c r="K91" s="241"/>
      <c r="L91" s="231"/>
      <c r="M91" s="231"/>
      <c r="N91" s="231"/>
      <c r="O91" s="231"/>
      <c r="P91" s="231"/>
      <c r="Q91" s="241"/>
      <c r="R91" s="241"/>
      <c r="S91" s="231"/>
    </row>
    <row r="92" spans="2:19" ht="12.5">
      <c r="B92" s="231"/>
      <c r="C92" s="309" t="s">
        <v>40</v>
      </c>
      <c r="D92" s="239"/>
      <c r="E92" s="231"/>
      <c r="F92" s="341">
        <f>IF(F91=0,0,1/F91)</f>
        <v>37.537554694367223</v>
      </c>
      <c r="G92" s="341"/>
      <c r="H92" s="231"/>
      <c r="I92" s="240"/>
      <c r="J92" s="231"/>
      <c r="K92" s="241"/>
      <c r="L92" s="231"/>
      <c r="M92" s="231"/>
      <c r="N92" s="231"/>
      <c r="O92" s="231"/>
      <c r="P92" s="231"/>
      <c r="Q92" s="241"/>
      <c r="R92" s="241"/>
      <c r="S92" s="231"/>
    </row>
    <row r="93" spans="2:19" ht="12.5">
      <c r="B93" s="231"/>
      <c r="C93" s="309" t="s">
        <v>41</v>
      </c>
      <c r="D93" s="239"/>
      <c r="E93" s="231"/>
      <c r="F93" s="342">
        <f>ROUND(F92,0)</f>
        <v>38</v>
      </c>
      <c r="G93" s="342"/>
      <c r="H93" s="231"/>
      <c r="I93" s="240"/>
      <c r="J93" s="231"/>
      <c r="K93" s="241"/>
      <c r="L93" s="231"/>
      <c r="M93" s="231"/>
      <c r="N93" s="231"/>
      <c r="O93" s="231"/>
      <c r="P93" s="231"/>
      <c r="Q93" s="241"/>
      <c r="R93" s="241"/>
      <c r="S93" s="231"/>
    </row>
    <row r="94" spans="2:19" ht="12.5">
      <c r="B94" s="231"/>
      <c r="C94" s="309"/>
      <c r="D94" s="239"/>
      <c r="E94" s="231"/>
      <c r="F94" s="342"/>
      <c r="G94" s="342"/>
      <c r="H94" s="231"/>
      <c r="I94" s="240"/>
      <c r="J94" s="231"/>
      <c r="K94" s="241"/>
      <c r="L94" s="231"/>
      <c r="M94" s="231"/>
      <c r="N94" s="231"/>
      <c r="O94" s="231"/>
      <c r="P94" s="231"/>
      <c r="Q94" s="241"/>
      <c r="R94" s="241"/>
      <c r="S94" s="231"/>
    </row>
    <row r="95" spans="2:19" ht="12.5">
      <c r="B95" s="231"/>
      <c r="C95" s="309"/>
      <c r="D95" s="239"/>
      <c r="E95" s="231"/>
      <c r="F95" s="342"/>
      <c r="G95" s="342"/>
      <c r="H95" s="231"/>
      <c r="I95" s="240"/>
      <c r="J95" s="231"/>
      <c r="K95" s="241"/>
      <c r="L95" s="231"/>
      <c r="M95" s="231"/>
      <c r="N95" s="231"/>
      <c r="O95" s="231"/>
      <c r="P95" s="231"/>
      <c r="Q95" s="241"/>
      <c r="R95" s="241"/>
      <c r="S95" s="231"/>
    </row>
    <row r="96" spans="2:19" ht="12.5">
      <c r="B96" s="231"/>
      <c r="C96" s="309"/>
      <c r="D96" s="239"/>
      <c r="E96" s="231"/>
      <c r="F96" s="342"/>
      <c r="G96" s="342"/>
      <c r="H96" s="231"/>
      <c r="I96" s="240"/>
      <c r="J96" s="231"/>
      <c r="K96" s="241"/>
      <c r="L96" s="231"/>
      <c r="M96" s="231"/>
      <c r="N96" s="231"/>
      <c r="O96" s="231"/>
      <c r="P96" s="231"/>
      <c r="Q96" s="241"/>
      <c r="R96" s="241"/>
      <c r="S96" s="231"/>
    </row>
    <row r="97" spans="3:19" ht="13">
      <c r="C97" s="231"/>
      <c r="D97" s="239"/>
      <c r="E97" s="231"/>
      <c r="F97" s="231"/>
      <c r="G97" s="231"/>
      <c r="H97" s="231"/>
      <c r="I97" s="240"/>
      <c r="J97" s="231"/>
      <c r="K97" s="241"/>
      <c r="L97" s="231"/>
      <c r="M97" s="231"/>
      <c r="N97" s="231"/>
      <c r="O97" s="231"/>
      <c r="P97" s="231"/>
      <c r="Q97" s="241"/>
      <c r="R97" s="347" t="s">
        <v>126</v>
      </c>
      <c r="S97" s="232" t="s">
        <v>132</v>
      </c>
    </row>
    <row r="98" spans="3:19" ht="12.5">
      <c r="C98" s="231"/>
      <c r="D98" s="239"/>
      <c r="E98" s="231"/>
      <c r="F98" s="231"/>
      <c r="G98" s="231"/>
      <c r="H98" s="231"/>
      <c r="I98" s="240"/>
      <c r="J98" s="231"/>
      <c r="K98" s="241"/>
      <c r="L98" s="231"/>
      <c r="M98" s="231"/>
      <c r="N98" s="231"/>
      <c r="O98" s="231"/>
      <c r="P98" s="231"/>
      <c r="Q98" s="241"/>
    </row>
    <row r="99" spans="3:19" ht="13">
      <c r="C99" s="238" t="s">
        <v>122</v>
      </c>
      <c r="J99" s="194"/>
      <c r="L99" s="238" t="s">
        <v>121</v>
      </c>
      <c r="N99" s="231"/>
      <c r="O99" s="231"/>
      <c r="P99" s="231"/>
      <c r="Q99" s="241"/>
    </row>
    <row r="100" spans="3:19" ht="12.5">
      <c r="C100" s="231"/>
      <c r="D100" s="239"/>
      <c r="E100" s="231"/>
      <c r="F100" s="231"/>
      <c r="G100" s="231"/>
      <c r="H100" s="231"/>
      <c r="I100" s="240"/>
      <c r="J100" s="231"/>
      <c r="K100" s="241"/>
      <c r="L100" s="231"/>
      <c r="M100" s="231"/>
      <c r="N100" s="231"/>
      <c r="O100" s="231"/>
      <c r="P100" s="231"/>
      <c r="Q100" s="241"/>
      <c r="S100" s="232" t="s">
        <v>119</v>
      </c>
    </row>
    <row r="101" spans="3:19" ht="13">
      <c r="C101" s="231"/>
      <c r="D101" s="239"/>
      <c r="E101" s="231"/>
      <c r="F101" s="231"/>
      <c r="G101" s="231"/>
      <c r="H101" s="231"/>
      <c r="I101" s="240"/>
      <c r="J101" s="231"/>
      <c r="K101" s="241"/>
      <c r="L101" s="231"/>
      <c r="M101" s="231"/>
      <c r="N101" s="231"/>
      <c r="O101" s="231"/>
      <c r="P101" s="231"/>
      <c r="Q101" s="241"/>
      <c r="R101" s="347" t="s">
        <v>115</v>
      </c>
      <c r="S101" s="203" t="s">
        <v>135</v>
      </c>
    </row>
    <row r="102" spans="3:19" ht="13.5" thickBot="1">
      <c r="C102" s="231"/>
      <c r="D102" s="239"/>
      <c r="E102" s="231"/>
      <c r="F102" s="231"/>
      <c r="G102" s="231"/>
      <c r="H102" s="231"/>
      <c r="I102" s="240"/>
      <c r="J102" s="231"/>
      <c r="K102" s="241"/>
      <c r="L102" s="231"/>
      <c r="M102" s="231"/>
      <c r="N102" s="231"/>
      <c r="O102" s="231"/>
      <c r="P102" s="231"/>
      <c r="Q102" s="241"/>
      <c r="R102" s="348" t="s">
        <v>227</v>
      </c>
    </row>
    <row r="103" spans="3:19" ht="12.5">
      <c r="C103" s="231"/>
      <c r="D103" s="239"/>
      <c r="E103" s="231"/>
      <c r="F103" s="231"/>
      <c r="G103" s="231"/>
      <c r="H103" s="231"/>
      <c r="I103" s="240"/>
      <c r="J103" s="231"/>
      <c r="K103" s="241"/>
      <c r="L103" s="231"/>
      <c r="M103" s="231"/>
      <c r="N103" s="231"/>
      <c r="O103" s="231"/>
      <c r="P103" s="231"/>
      <c r="Q103" s="241"/>
      <c r="R103" s="400" t="s">
        <v>212</v>
      </c>
      <c r="S103" s="401" t="s">
        <v>143</v>
      </c>
    </row>
    <row r="104" spans="3:19" ht="12.5">
      <c r="C104" s="231"/>
      <c r="D104" s="239"/>
      <c r="E104" s="231"/>
      <c r="F104" s="231"/>
      <c r="G104" s="231"/>
      <c r="H104" s="231"/>
      <c r="I104" s="240"/>
      <c r="J104" s="231"/>
      <c r="K104" s="241"/>
      <c r="L104" s="231"/>
      <c r="M104" s="231"/>
      <c r="N104" s="231"/>
      <c r="O104" s="231"/>
      <c r="P104" s="231"/>
      <c r="Q104" s="241"/>
      <c r="R104" s="402">
        <v>2024</v>
      </c>
      <c r="S104" s="271" t="s">
        <v>94</v>
      </c>
    </row>
    <row r="105" spans="3:19" ht="12.5">
      <c r="C105" s="231"/>
      <c r="D105" s="239"/>
      <c r="E105" s="231"/>
      <c r="F105" s="231"/>
      <c r="G105" s="231"/>
      <c r="H105" s="231"/>
      <c r="I105" s="240"/>
      <c r="J105" s="231"/>
      <c r="K105" s="241"/>
      <c r="L105" s="231"/>
      <c r="M105" s="231"/>
      <c r="N105" s="231"/>
      <c r="O105" s="231"/>
      <c r="P105" s="231"/>
      <c r="Q105" s="241"/>
      <c r="R105" s="403">
        <v>0.105</v>
      </c>
      <c r="S105" s="352" t="s">
        <v>349</v>
      </c>
    </row>
    <row r="106" spans="3:19" ht="12.5">
      <c r="C106" s="231"/>
      <c r="D106" s="239"/>
      <c r="E106" s="231"/>
      <c r="F106" s="231"/>
      <c r="G106" s="231"/>
      <c r="H106" s="231"/>
      <c r="I106" s="240"/>
      <c r="J106" s="231"/>
      <c r="K106" s="241"/>
      <c r="L106" s="231"/>
      <c r="M106" s="231"/>
      <c r="N106" s="231"/>
      <c r="O106" s="231"/>
      <c r="P106" s="231"/>
      <c r="Q106" s="241"/>
      <c r="R106" s="404">
        <v>0</v>
      </c>
      <c r="S106" s="352" t="s">
        <v>1</v>
      </c>
    </row>
    <row r="107" spans="3:19" ht="12.5">
      <c r="C107" s="231"/>
      <c r="D107" s="239"/>
      <c r="E107" s="231"/>
      <c r="F107" s="231"/>
      <c r="G107" s="231"/>
      <c r="H107" s="231"/>
      <c r="I107" s="240"/>
      <c r="J107" s="231"/>
      <c r="K107" s="241"/>
      <c r="L107" s="231"/>
      <c r="M107" s="231"/>
      <c r="N107" s="231"/>
      <c r="O107" s="231"/>
      <c r="P107" s="231"/>
      <c r="Q107" s="241"/>
      <c r="R107" s="403">
        <v>0.48032000660675805</v>
      </c>
      <c r="S107" s="356" t="s">
        <v>109</v>
      </c>
    </row>
    <row r="108" spans="3:19" ht="12.5">
      <c r="C108" s="231"/>
      <c r="D108" s="239"/>
      <c r="E108" s="231"/>
      <c r="F108" s="231"/>
      <c r="G108" s="231"/>
      <c r="H108" s="231"/>
      <c r="I108" s="240"/>
      <c r="J108" s="231"/>
      <c r="K108" s="241"/>
      <c r="L108" s="231"/>
      <c r="M108" s="231"/>
      <c r="N108" s="231"/>
      <c r="O108" s="231"/>
      <c r="P108" s="231"/>
      <c r="Q108" s="241"/>
      <c r="R108" s="405">
        <v>4.2750444469652191E-2</v>
      </c>
      <c r="S108" s="356" t="s">
        <v>110</v>
      </c>
    </row>
    <row r="109" spans="3:19" ht="12.5">
      <c r="C109" s="231"/>
      <c r="D109" s="239"/>
      <c r="E109" s="231"/>
      <c r="F109" s="231"/>
      <c r="G109" s="231"/>
      <c r="H109" s="231"/>
      <c r="I109" s="240"/>
      <c r="J109" s="231"/>
      <c r="K109" s="241"/>
      <c r="L109" s="231"/>
      <c r="M109" s="231"/>
      <c r="N109" s="231"/>
      <c r="O109" s="231"/>
      <c r="P109" s="231"/>
      <c r="Q109" s="241"/>
      <c r="R109" s="403">
        <v>0</v>
      </c>
      <c r="S109" s="356" t="s">
        <v>111</v>
      </c>
    </row>
    <row r="110" spans="3:19" ht="12.5">
      <c r="C110" s="231"/>
      <c r="D110" s="239"/>
      <c r="E110" s="231"/>
      <c r="F110" s="231"/>
      <c r="G110" s="231"/>
      <c r="H110" s="231"/>
      <c r="I110" s="240"/>
      <c r="J110" s="231"/>
      <c r="K110" s="241"/>
      <c r="L110" s="231"/>
      <c r="M110" s="231"/>
      <c r="N110" s="231"/>
      <c r="O110" s="231"/>
      <c r="P110" s="231"/>
      <c r="Q110" s="241"/>
      <c r="R110" s="405">
        <v>0</v>
      </c>
      <c r="S110" s="356" t="s">
        <v>112</v>
      </c>
    </row>
    <row r="111" spans="3:19" ht="12.5">
      <c r="C111" s="231"/>
      <c r="D111" s="239"/>
      <c r="E111" s="231"/>
      <c r="F111" s="231"/>
      <c r="G111" s="231"/>
      <c r="H111" s="231"/>
      <c r="I111" s="240"/>
      <c r="J111" s="231"/>
      <c r="K111" s="241"/>
      <c r="L111" s="231"/>
      <c r="M111" s="231"/>
      <c r="N111" s="231"/>
      <c r="O111" s="231"/>
      <c r="P111" s="231"/>
      <c r="Q111" s="241"/>
      <c r="R111" s="403">
        <v>0.51967999339324189</v>
      </c>
      <c r="S111" s="357" t="s">
        <v>113</v>
      </c>
    </row>
    <row r="112" spans="3:19" ht="12.5">
      <c r="C112" s="231"/>
      <c r="D112" s="239"/>
      <c r="E112" s="231"/>
      <c r="F112" s="231"/>
      <c r="G112" s="231"/>
      <c r="H112" s="231"/>
      <c r="I112" s="240"/>
      <c r="J112" s="231"/>
      <c r="K112" s="241"/>
      <c r="L112" s="231"/>
      <c r="M112" s="231"/>
      <c r="N112" s="231"/>
      <c r="O112" s="231"/>
      <c r="P112" s="231"/>
      <c r="Q112" s="241"/>
      <c r="R112" s="358">
        <v>687940507.97900021</v>
      </c>
      <c r="S112" s="406" t="s">
        <v>350</v>
      </c>
    </row>
    <row r="113" spans="3:19" ht="12.5">
      <c r="C113" s="231"/>
      <c r="D113" s="239"/>
      <c r="E113" s="231"/>
      <c r="F113" s="231"/>
      <c r="G113" s="231"/>
      <c r="H113" s="231"/>
      <c r="I113" s="240"/>
      <c r="J113" s="231"/>
      <c r="K113" s="241"/>
      <c r="L113" s="231"/>
      <c r="M113" s="231"/>
      <c r="N113" s="231"/>
      <c r="O113" s="231"/>
      <c r="P113" s="231"/>
      <c r="Q113" s="241"/>
      <c r="R113" s="360">
        <v>0.24025699999999994</v>
      </c>
      <c r="S113" s="407" t="s">
        <v>351</v>
      </c>
    </row>
    <row r="114" spans="3:19" ht="12.5">
      <c r="C114" s="231"/>
      <c r="D114" s="239"/>
      <c r="E114" s="231"/>
      <c r="F114" s="231"/>
      <c r="G114" s="231"/>
      <c r="H114" s="231"/>
      <c r="I114" s="240"/>
      <c r="J114" s="231"/>
      <c r="K114" s="241"/>
      <c r="L114" s="231"/>
      <c r="M114" s="231"/>
      <c r="N114" s="231"/>
      <c r="O114" s="231"/>
      <c r="P114" s="231"/>
      <c r="Q114" s="241"/>
      <c r="R114" s="358">
        <v>171132.45451701357</v>
      </c>
      <c r="S114" s="407" t="s">
        <v>352</v>
      </c>
    </row>
    <row r="115" spans="3:19" ht="12.5">
      <c r="C115" s="231"/>
      <c r="D115" s="239"/>
      <c r="E115" s="231"/>
      <c r="F115" s="231"/>
      <c r="G115" s="231"/>
      <c r="H115" s="231"/>
      <c r="I115" s="240"/>
      <c r="J115" s="231"/>
      <c r="K115" s="241"/>
      <c r="L115" s="231"/>
      <c r="M115" s="231"/>
      <c r="N115" s="231"/>
      <c r="O115" s="231"/>
      <c r="P115" s="231"/>
      <c r="Q115" s="241"/>
      <c r="R115" s="358">
        <v>-1451892.2478111866</v>
      </c>
      <c r="S115" s="408" t="s">
        <v>312</v>
      </c>
    </row>
    <row r="116" spans="3:19" ht="12.5">
      <c r="C116" s="231"/>
      <c r="D116" s="239"/>
      <c r="E116" s="231"/>
      <c r="F116" s="231"/>
      <c r="G116" s="231"/>
      <c r="H116" s="231"/>
      <c r="I116" s="240"/>
      <c r="J116" s="231"/>
      <c r="K116" s="241"/>
      <c r="L116" s="231"/>
      <c r="M116" s="231"/>
      <c r="N116" s="231"/>
      <c r="O116" s="231"/>
      <c r="P116" s="231"/>
      <c r="Q116" s="241"/>
      <c r="R116" s="358">
        <v>100629.70641072042</v>
      </c>
      <c r="S116" s="408" t="s">
        <v>313</v>
      </c>
    </row>
    <row r="117" spans="3:19" ht="12.5">
      <c r="C117" s="231"/>
      <c r="D117" s="239"/>
      <c r="E117" s="231"/>
      <c r="F117" s="231"/>
      <c r="G117" s="231"/>
      <c r="H117" s="231"/>
      <c r="I117" s="240"/>
      <c r="J117" s="231"/>
      <c r="K117" s="241"/>
      <c r="L117" s="231"/>
      <c r="M117" s="231"/>
      <c r="N117" s="231"/>
      <c r="O117" s="231"/>
      <c r="P117" s="231"/>
      <c r="Q117" s="241"/>
      <c r="R117" s="358">
        <v>134973025.19654</v>
      </c>
      <c r="S117" s="407" t="s">
        <v>353</v>
      </c>
    </row>
    <row r="118" spans="3:19" ht="12.5">
      <c r="C118" s="231"/>
      <c r="D118" s="239"/>
      <c r="E118" s="231"/>
      <c r="F118" s="231"/>
      <c r="G118" s="231"/>
      <c r="H118" s="231"/>
      <c r="I118" s="240"/>
      <c r="J118" s="231"/>
      <c r="K118" s="241"/>
      <c r="L118" s="231"/>
      <c r="M118" s="231"/>
      <c r="N118" s="231"/>
      <c r="O118" s="231"/>
      <c r="P118" s="231"/>
      <c r="Q118" s="241"/>
      <c r="R118" s="358">
        <v>51664533.768347368</v>
      </c>
      <c r="S118" s="407" t="s">
        <v>354</v>
      </c>
    </row>
    <row r="119" spans="3:19" ht="12.5">
      <c r="C119" s="231"/>
      <c r="D119" s="239"/>
      <c r="E119" s="231"/>
      <c r="F119" s="231"/>
      <c r="G119" s="231"/>
      <c r="H119" s="231"/>
      <c r="I119" s="240"/>
      <c r="J119" s="231"/>
      <c r="K119" s="241"/>
      <c r="L119" s="231"/>
      <c r="M119" s="231"/>
      <c r="N119" s="231"/>
      <c r="O119" s="231"/>
      <c r="P119" s="231"/>
      <c r="Q119" s="241"/>
      <c r="R119" s="358">
        <v>10690821.179445541</v>
      </c>
      <c r="S119" s="407" t="s">
        <v>355</v>
      </c>
    </row>
    <row r="120" spans="3:19" ht="12.5">
      <c r="C120" s="231"/>
      <c r="D120" s="239"/>
      <c r="E120" s="231"/>
      <c r="F120" s="231"/>
      <c r="G120" s="231"/>
      <c r="H120" s="231"/>
      <c r="I120" s="240"/>
      <c r="J120" s="231"/>
      <c r="K120" s="241"/>
      <c r="L120" s="231"/>
      <c r="M120" s="231"/>
      <c r="N120" s="231"/>
      <c r="O120" s="231"/>
      <c r="P120" s="231"/>
      <c r="Q120" s="241"/>
      <c r="R120" s="358">
        <v>0</v>
      </c>
      <c r="S120" s="407" t="s">
        <v>356</v>
      </c>
    </row>
    <row r="121" spans="3:19" ht="12.5">
      <c r="C121" s="231"/>
      <c r="D121" s="239"/>
      <c r="E121" s="231"/>
      <c r="F121" s="231"/>
      <c r="G121" s="231"/>
      <c r="H121" s="231"/>
      <c r="I121" s="240"/>
      <c r="J121" s="231"/>
      <c r="K121" s="241"/>
      <c r="L121" s="231"/>
      <c r="M121" s="231"/>
      <c r="N121" s="231"/>
      <c r="O121" s="231"/>
      <c r="P121" s="231"/>
      <c r="Q121" s="241"/>
      <c r="R121" s="358">
        <v>27491329.543581594</v>
      </c>
      <c r="S121" s="407" t="s">
        <v>357</v>
      </c>
    </row>
    <row r="122" spans="3:19" ht="12.5">
      <c r="C122" s="231"/>
      <c r="D122" s="239"/>
      <c r="E122" s="231"/>
      <c r="F122" s="231"/>
      <c r="G122" s="231"/>
      <c r="H122" s="231"/>
      <c r="I122" s="240"/>
      <c r="J122" s="231"/>
      <c r="K122" s="241"/>
      <c r="L122" s="231"/>
      <c r="M122" s="231"/>
      <c r="N122" s="231"/>
      <c r="O122" s="231"/>
      <c r="P122" s="231"/>
      <c r="Q122" s="241"/>
      <c r="R122" s="360">
        <v>0</v>
      </c>
      <c r="S122" s="407" t="s">
        <v>118</v>
      </c>
    </row>
    <row r="123" spans="3:19" ht="12.5">
      <c r="C123" s="231"/>
      <c r="D123" s="239"/>
      <c r="E123" s="231"/>
      <c r="F123" s="231"/>
      <c r="G123" s="231"/>
      <c r="H123" s="231"/>
      <c r="I123" s="240"/>
      <c r="J123" s="231"/>
      <c r="K123" s="241"/>
      <c r="L123" s="231"/>
      <c r="M123" s="231"/>
      <c r="N123" s="231"/>
      <c r="O123" s="231"/>
      <c r="P123" s="231"/>
      <c r="Q123" s="241"/>
      <c r="R123" s="358">
        <v>800198988.26538479</v>
      </c>
      <c r="S123" s="407" t="s">
        <v>324</v>
      </c>
    </row>
    <row r="124" spans="3:19" ht="12.5">
      <c r="C124" s="231"/>
      <c r="D124" s="239"/>
      <c r="E124" s="231"/>
      <c r="F124" s="231"/>
      <c r="G124" s="231"/>
      <c r="H124" s="231"/>
      <c r="I124" s="240"/>
      <c r="J124" s="231"/>
      <c r="K124" s="241"/>
      <c r="L124" s="231"/>
      <c r="M124" s="231"/>
      <c r="N124" s="231"/>
      <c r="O124" s="231"/>
      <c r="P124" s="231"/>
      <c r="Q124" s="241"/>
      <c r="R124" s="360">
        <v>0.13431870975736884</v>
      </c>
      <c r="S124" s="363" t="s">
        <v>358</v>
      </c>
    </row>
    <row r="125" spans="3:19" ht="12.5">
      <c r="C125" s="231"/>
      <c r="D125" s="239"/>
      <c r="E125" s="231"/>
      <c r="F125" s="231"/>
      <c r="G125" s="231"/>
      <c r="H125" s="231"/>
      <c r="I125" s="240"/>
      <c r="J125" s="231"/>
      <c r="K125" s="241"/>
      <c r="L125" s="231"/>
      <c r="M125" s="231"/>
      <c r="N125" s="231"/>
      <c r="O125" s="231"/>
      <c r="P125" s="231"/>
      <c r="Q125" s="241"/>
      <c r="R125" s="627">
        <v>1233176861.8000007</v>
      </c>
      <c r="S125" s="356" t="s">
        <v>37</v>
      </c>
    </row>
    <row r="126" spans="3:19" ht="12.5">
      <c r="C126" s="231"/>
      <c r="D126" s="239"/>
      <c r="E126" s="231"/>
      <c r="F126" s="231"/>
      <c r="G126" s="231"/>
      <c r="H126" s="231"/>
      <c r="I126" s="240"/>
      <c r="J126" s="231"/>
      <c r="K126" s="241"/>
      <c r="L126" s="231"/>
      <c r="M126" s="231"/>
      <c r="N126" s="231"/>
      <c r="O126" s="231"/>
      <c r="P126" s="231"/>
      <c r="Q126" s="241"/>
      <c r="R126" s="628">
        <v>1345242710.0799997</v>
      </c>
      <c r="S126" s="357" t="s">
        <v>38</v>
      </c>
    </row>
    <row r="127" spans="3:19" ht="12.5">
      <c r="C127" s="231"/>
      <c r="D127" s="239"/>
      <c r="E127" s="231"/>
      <c r="F127" s="231"/>
      <c r="G127" s="231"/>
      <c r="H127" s="231"/>
      <c r="I127" s="240"/>
      <c r="J127" s="231"/>
      <c r="K127" s="241"/>
      <c r="L127" s="231"/>
      <c r="M127" s="231"/>
      <c r="N127" s="231"/>
      <c r="O127" s="231"/>
      <c r="P127" s="231"/>
      <c r="Q127" s="241"/>
      <c r="R127" s="409">
        <v>1264681127.2407694</v>
      </c>
      <c r="S127" s="365" t="s">
        <v>385</v>
      </c>
    </row>
    <row r="128" spans="3:19" ht="13" thickBot="1">
      <c r="C128" s="231"/>
      <c r="D128" s="239"/>
      <c r="E128" s="231"/>
      <c r="F128" s="231"/>
      <c r="G128" s="231"/>
      <c r="H128" s="231"/>
      <c r="I128" s="240"/>
      <c r="J128" s="231"/>
      <c r="K128" s="241"/>
      <c r="L128" s="231"/>
      <c r="M128" s="231"/>
      <c r="N128" s="231"/>
      <c r="O128" s="231"/>
      <c r="P128" s="231"/>
      <c r="Q128" s="241"/>
      <c r="R128" s="410">
        <v>34344533</v>
      </c>
      <c r="S128" s="367" t="s">
        <v>359</v>
      </c>
    </row>
    <row r="129" spans="3:19" ht="12.5">
      <c r="C129" s="231"/>
      <c r="D129" s="239"/>
      <c r="E129" s="231"/>
      <c r="F129" s="231"/>
      <c r="G129" s="231"/>
      <c r="H129" s="231"/>
      <c r="I129" s="240"/>
      <c r="J129" s="231"/>
      <c r="K129" s="241"/>
      <c r="L129" s="231"/>
      <c r="M129" s="231"/>
      <c r="N129" s="231"/>
      <c r="O129" s="231"/>
      <c r="P129" s="231"/>
      <c r="Q129" s="241"/>
      <c r="R129" s="231"/>
      <c r="S129" s="231"/>
    </row>
    <row r="130" spans="3:19" ht="13">
      <c r="C130" s="231"/>
      <c r="D130" s="239"/>
      <c r="E130" s="231"/>
      <c r="F130" s="231"/>
      <c r="G130" s="231"/>
      <c r="H130" s="231"/>
      <c r="I130" s="240"/>
      <c r="J130" s="231"/>
      <c r="K130" s="241"/>
      <c r="L130" s="231"/>
      <c r="M130" s="231"/>
      <c r="N130" s="231"/>
      <c r="O130" s="231"/>
      <c r="P130" s="231"/>
      <c r="Q130" s="241"/>
      <c r="R130" s="347" t="s">
        <v>116</v>
      </c>
      <c r="S130" s="231" t="s">
        <v>130</v>
      </c>
    </row>
    <row r="131" spans="3:19" ht="13.5" thickBot="1">
      <c r="C131" s="231"/>
      <c r="D131" s="239"/>
      <c r="E131" s="231"/>
      <c r="F131" s="231"/>
      <c r="G131" s="231"/>
      <c r="H131" s="231"/>
      <c r="I131" s="240"/>
      <c r="J131" s="231"/>
      <c r="K131" s="241"/>
      <c r="L131" s="231"/>
      <c r="M131" s="231"/>
      <c r="N131" s="231"/>
      <c r="O131" s="231"/>
      <c r="P131" s="231"/>
      <c r="Q131" s="241"/>
      <c r="R131" s="348" t="s">
        <v>134</v>
      </c>
      <c r="S131" s="231"/>
    </row>
    <row r="132" spans="3:19" ht="12.5">
      <c r="C132" s="231"/>
      <c r="D132" s="239"/>
      <c r="E132" s="231"/>
      <c r="F132" s="231"/>
      <c r="G132" s="231"/>
      <c r="H132" s="231"/>
      <c r="I132" s="240"/>
      <c r="J132" s="231"/>
      <c r="K132" s="241"/>
      <c r="L132" s="231"/>
      <c r="M132" s="231"/>
      <c r="N132" s="231"/>
      <c r="O132" s="231"/>
      <c r="P132" s="231"/>
      <c r="Q132" s="241"/>
      <c r="R132" s="368">
        <f>+N17</f>
        <v>9262191.0701439064</v>
      </c>
      <c r="S132" s="148" t="s">
        <v>136</v>
      </c>
    </row>
    <row r="133" spans="3:19" ht="12.5">
      <c r="C133" s="231"/>
      <c r="D133" s="239"/>
      <c r="E133" s="231"/>
      <c r="F133" s="231"/>
      <c r="G133" s="231"/>
      <c r="H133" s="231"/>
      <c r="I133" s="240"/>
      <c r="J133" s="231"/>
      <c r="K133" s="241"/>
      <c r="L133" s="231"/>
      <c r="M133" s="231"/>
      <c r="N133" s="231"/>
      <c r="O133" s="231"/>
      <c r="P133" s="231"/>
      <c r="Q133" s="241"/>
      <c r="R133" s="369">
        <f>+O17</f>
        <v>9262191.0701439064</v>
      </c>
      <c r="S133" s="148" t="s">
        <v>137</v>
      </c>
    </row>
    <row r="134" spans="3:19" ht="12.5">
      <c r="C134" s="231"/>
      <c r="D134" s="239"/>
      <c r="E134" s="231"/>
      <c r="F134" s="231"/>
      <c r="G134" s="231"/>
      <c r="H134" s="231"/>
      <c r="I134" s="240"/>
      <c r="J134" s="231"/>
      <c r="K134" s="241"/>
      <c r="L134" s="231"/>
      <c r="M134" s="231"/>
      <c r="N134" s="231"/>
      <c r="O134" s="231"/>
      <c r="P134" s="231"/>
      <c r="Q134" s="241"/>
      <c r="R134" s="411">
        <f>+N18</f>
        <v>10146571.939449474</v>
      </c>
      <c r="S134" s="148" t="s">
        <v>138</v>
      </c>
    </row>
    <row r="135" spans="3:19" ht="13" thickBot="1">
      <c r="C135" s="231"/>
      <c r="D135" s="239"/>
      <c r="E135" s="231"/>
      <c r="F135" s="231"/>
      <c r="G135" s="231"/>
      <c r="H135" s="231"/>
      <c r="I135" s="240"/>
      <c r="J135" s="231"/>
      <c r="K135" s="241"/>
      <c r="L135" s="231"/>
      <c r="M135" s="231"/>
      <c r="N135" s="231"/>
      <c r="O135" s="231"/>
      <c r="P135" s="231"/>
      <c r="Q135" s="241"/>
      <c r="R135" s="370">
        <f>+O18</f>
        <v>10146571.939449474</v>
      </c>
      <c r="S135" s="148" t="s">
        <v>139</v>
      </c>
    </row>
    <row r="136" spans="3:19" ht="12.75" customHeight="1">
      <c r="R136" s="231"/>
      <c r="S136" s="231"/>
    </row>
    <row r="137" spans="3:19" ht="12.75" customHeight="1">
      <c r="R137" s="347" t="s">
        <v>128</v>
      </c>
      <c r="S137" s="232" t="s">
        <v>133</v>
      </c>
    </row>
  </sheetData>
  <mergeCells count="6">
    <mergeCell ref="C8:I8"/>
    <mergeCell ref="A1:K1"/>
    <mergeCell ref="A2:K2"/>
    <mergeCell ref="A3:K3"/>
    <mergeCell ref="A4:K4"/>
    <mergeCell ref="A5:K5"/>
  </mergeCells>
  <phoneticPr fontId="0" type="noConversion"/>
  <printOptions horizontalCentered="1"/>
  <pageMargins left="0.25" right="0.25" top="0.75" bottom="0.25" header="0.25" footer="0.5"/>
  <pageSetup scale="41" fitToHeight="5" orientation="landscape" r:id="rId1"/>
  <headerFooter alignWithMargins="0">
    <oddHeader xml:space="preserve">&amp;R&amp;16AEP - SPP Formula Rate
PSO TCOS - WS G
Page: &amp;P of &amp;N
</oddHeader>
    <oddFooter xml:space="preserve">&amp;C &amp;R 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P162"/>
  <sheetViews>
    <sheetView topLeftCell="A59" zoomScale="85" zoomScaleNormal="8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27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669817.12414746825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669817.12414746825</v>
      </c>
      <c r="O6" s="231"/>
      <c r="P6" s="231"/>
    </row>
    <row r="7" spans="1:16" ht="13.5" thickBot="1">
      <c r="C7" s="428" t="s">
        <v>46</v>
      </c>
      <c r="D7" s="613" t="s">
        <v>328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330</v>
      </c>
      <c r="E9" s="574" t="s">
        <v>381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5058588.62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2019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3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133120.75315789474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2019</v>
      </c>
      <c r="D17" s="617">
        <v>0</v>
      </c>
      <c r="E17" s="618">
        <v>0</v>
      </c>
      <c r="F17" s="619">
        <v>4120000</v>
      </c>
      <c r="G17" s="618">
        <v>230012.66047295602</v>
      </c>
      <c r="H17" s="620">
        <v>230012.66047295602</v>
      </c>
      <c r="I17" s="472">
        <f>H17-G17</f>
        <v>0</v>
      </c>
      <c r="J17" s="472"/>
      <c r="K17" s="551">
        <f t="shared" ref="K17:K22" si="0">+G17</f>
        <v>230012.66047295602</v>
      </c>
      <c r="L17" s="474">
        <f t="shared" ref="L17:L18" si="1">IF(K17&lt;&gt;0,+G17-K17,0)</f>
        <v>0</v>
      </c>
      <c r="M17" s="551">
        <f t="shared" ref="M17:M22" si="2">+H17</f>
        <v>230012.66047295602</v>
      </c>
      <c r="N17" s="474">
        <f t="shared" ref="N17:N72" si="3">IF(M17&lt;&gt;0,+H17-M17,0)</f>
        <v>0</v>
      </c>
      <c r="O17" s="475">
        <f t="shared" ref="O17:O72" si="4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2020</v>
      </c>
      <c r="D18" s="621">
        <v>4236000</v>
      </c>
      <c r="E18" s="622">
        <v>100857.14285714286</v>
      </c>
      <c r="F18" s="621">
        <v>4135142.8571428573</v>
      </c>
      <c r="G18" s="622">
        <v>552918.85124067403</v>
      </c>
      <c r="H18" s="623">
        <v>552918.85124067403</v>
      </c>
      <c r="I18" s="472">
        <f>H18-G18</f>
        <v>0</v>
      </c>
      <c r="J18" s="472"/>
      <c r="K18" s="475">
        <f t="shared" si="0"/>
        <v>552918.85124067403</v>
      </c>
      <c r="L18" s="475">
        <f t="shared" si="1"/>
        <v>0</v>
      </c>
      <c r="M18" s="475">
        <f t="shared" si="2"/>
        <v>552918.85124067403</v>
      </c>
      <c r="N18" s="475">
        <f t="shared" si="3"/>
        <v>0</v>
      </c>
      <c r="O18" s="475">
        <f t="shared" si="4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2021</v>
      </c>
      <c r="D19" s="621">
        <v>4957664.8571428573</v>
      </c>
      <c r="E19" s="622">
        <v>117640.04651162791</v>
      </c>
      <c r="F19" s="621">
        <v>4840024.8106312295</v>
      </c>
      <c r="G19" s="622">
        <v>645841.5888943586</v>
      </c>
      <c r="H19" s="623">
        <v>645841.5888943586</v>
      </c>
      <c r="I19" s="472">
        <f t="shared" ref="I19:I71" si="5">H19-G19</f>
        <v>0</v>
      </c>
      <c r="J19" s="472"/>
      <c r="K19" s="475">
        <f t="shared" si="0"/>
        <v>645841.5888943586</v>
      </c>
      <c r="L19" s="475">
        <f t="shared" ref="L19" si="6">IF(K19&lt;&gt;0,+G19-K19,0)</f>
        <v>0</v>
      </c>
      <c r="M19" s="475">
        <f t="shared" si="2"/>
        <v>645841.5888943586</v>
      </c>
      <c r="N19" s="475">
        <f t="shared" si="3"/>
        <v>0</v>
      </c>
      <c r="O19" s="475">
        <f t="shared" si="4"/>
        <v>0</v>
      </c>
      <c r="P19" s="241"/>
    </row>
    <row r="20" spans="2:16" ht="12.5">
      <c r="B20" s="160" t="str">
        <f t="shared" ref="B20:B72" si="7">IF(D20=F19,"","IU")</f>
        <v>IU</v>
      </c>
      <c r="C20" s="469">
        <f>IF(D11="","-",+C19+1)</f>
        <v>2022</v>
      </c>
      <c r="D20" s="621">
        <v>4840091.8106312295</v>
      </c>
      <c r="E20" s="622">
        <v>120442.59523809524</v>
      </c>
      <c r="F20" s="621">
        <v>4719649.2153931344</v>
      </c>
      <c r="G20" s="622">
        <v>635766.39004328649</v>
      </c>
      <c r="H20" s="623">
        <v>635766.39004328649</v>
      </c>
      <c r="I20" s="472">
        <f t="shared" si="5"/>
        <v>0</v>
      </c>
      <c r="J20" s="472"/>
      <c r="K20" s="475">
        <f t="shared" si="0"/>
        <v>635766.39004328649</v>
      </c>
      <c r="L20" s="475">
        <f t="shared" ref="L20" si="8">IF(K20&lt;&gt;0,+G20-K20,0)</f>
        <v>0</v>
      </c>
      <c r="M20" s="475">
        <f t="shared" si="2"/>
        <v>635766.39004328649</v>
      </c>
      <c r="N20" s="475">
        <f t="shared" si="3"/>
        <v>0</v>
      </c>
      <c r="O20" s="475">
        <f t="shared" si="4"/>
        <v>0</v>
      </c>
      <c r="P20" s="241"/>
    </row>
    <row r="21" spans="2:16" ht="12.5">
      <c r="B21" s="160" t="str">
        <f t="shared" si="7"/>
        <v>IU</v>
      </c>
      <c r="C21" s="469">
        <f>IF(D11="","-",+C20+1)</f>
        <v>2023</v>
      </c>
      <c r="D21" s="621">
        <v>4719648.8353931345</v>
      </c>
      <c r="E21" s="622">
        <v>129707.40051282052</v>
      </c>
      <c r="F21" s="621">
        <v>4589941.4348803144</v>
      </c>
      <c r="G21" s="622">
        <v>685298.8633650993</v>
      </c>
      <c r="H21" s="623">
        <v>685298.8633650993</v>
      </c>
      <c r="I21" s="472">
        <f t="shared" si="5"/>
        <v>0</v>
      </c>
      <c r="J21" s="472"/>
      <c r="K21" s="475">
        <f t="shared" si="0"/>
        <v>685298.8633650993</v>
      </c>
      <c r="L21" s="475">
        <f t="shared" ref="L21" si="9">IF(K21&lt;&gt;0,+G21-K21,0)</f>
        <v>0</v>
      </c>
      <c r="M21" s="475">
        <f t="shared" si="2"/>
        <v>685298.8633650993</v>
      </c>
      <c r="N21" s="475">
        <f t="shared" si="3"/>
        <v>0</v>
      </c>
      <c r="O21" s="475">
        <f t="shared" si="4"/>
        <v>0</v>
      </c>
      <c r="P21" s="241"/>
    </row>
    <row r="22" spans="2:16" ht="12.5">
      <c r="B22" s="160" t="str">
        <f t="shared" si="7"/>
        <v/>
      </c>
      <c r="C22" s="469">
        <f>IF(D11="","-",+C21+1)</f>
        <v>2024</v>
      </c>
      <c r="D22" s="621">
        <v>4589941.4348803144</v>
      </c>
      <c r="E22" s="622">
        <v>129707.40051282052</v>
      </c>
      <c r="F22" s="621">
        <v>4460234.0343674943</v>
      </c>
      <c r="G22" s="622">
        <v>669817.12414746825</v>
      </c>
      <c r="H22" s="623">
        <v>669817.12414746825</v>
      </c>
      <c r="I22" s="472">
        <f t="shared" si="5"/>
        <v>0</v>
      </c>
      <c r="J22" s="472"/>
      <c r="K22" s="475">
        <f t="shared" si="0"/>
        <v>669817.12414746825</v>
      </c>
      <c r="L22" s="475">
        <f t="shared" ref="L22" si="10">IF(K22&lt;&gt;0,+G22-K22,0)</f>
        <v>0</v>
      </c>
      <c r="M22" s="475">
        <f t="shared" si="2"/>
        <v>669817.12414746825</v>
      </c>
      <c r="N22" s="475">
        <f t="shared" ref="N22" si="11">IF(M22&lt;&gt;0,+H22-M22,0)</f>
        <v>0</v>
      </c>
      <c r="O22" s="475">
        <f t="shared" ref="O22" si="12">+N22-L22</f>
        <v>0</v>
      </c>
      <c r="P22" s="241"/>
    </row>
    <row r="23" spans="2:16" ht="12.5">
      <c r="B23" s="160" t="str">
        <f t="shared" si="7"/>
        <v/>
      </c>
      <c r="C23" s="469">
        <f>IF(D11="","-",+C22+1)</f>
        <v>2025</v>
      </c>
      <c r="D23" s="480">
        <f>IF(F22+SUM(E$17:E22)=D$10,F22,D$10-SUM(E$17:E22))</f>
        <v>4460234.0343674943</v>
      </c>
      <c r="E23" s="481">
        <f t="shared" ref="E23:E71" si="13">IF(+I$14&lt;F22,I$14,D23)</f>
        <v>133120.75315789474</v>
      </c>
      <c r="F23" s="482">
        <f t="shared" ref="F23:F71" si="14">+D23-E23</f>
        <v>4327113.2812095992</v>
      </c>
      <c r="G23" s="483">
        <f t="shared" ref="G23:G71" si="15">(D23+F23)/2*I$12+E23</f>
        <v>632858.01915826299</v>
      </c>
      <c r="H23" s="452">
        <f t="shared" ref="H23:H71" si="16">+(D23+F23)/2*I$13+E23</f>
        <v>632858.01915826299</v>
      </c>
      <c r="I23" s="472">
        <f t="shared" si="5"/>
        <v>0</v>
      </c>
      <c r="J23" s="472"/>
      <c r="K23" s="484"/>
      <c r="L23" s="475">
        <f t="shared" ref="L23:L72" si="17">IF(K23&lt;&gt;0,+G23-K23,0)</f>
        <v>0</v>
      </c>
      <c r="M23" s="484"/>
      <c r="N23" s="475">
        <f t="shared" si="3"/>
        <v>0</v>
      </c>
      <c r="O23" s="475">
        <f t="shared" si="4"/>
        <v>0</v>
      </c>
      <c r="P23" s="241"/>
    </row>
    <row r="24" spans="2:16" ht="12.5">
      <c r="B24" s="160" t="str">
        <f t="shared" si="7"/>
        <v/>
      </c>
      <c r="C24" s="469">
        <f>IF(D11="","-",+C23+1)</f>
        <v>2026</v>
      </c>
      <c r="D24" s="480">
        <f>IF(F23+SUM(E$17:E23)=D$10,F23,D$10-SUM(E$17:E23))</f>
        <v>4327113.2812095992</v>
      </c>
      <c r="E24" s="481">
        <f t="shared" si="13"/>
        <v>133120.75315789474</v>
      </c>
      <c r="F24" s="482">
        <f t="shared" si="14"/>
        <v>4193992.5280517046</v>
      </c>
      <c r="G24" s="483">
        <f t="shared" si="15"/>
        <v>617716.83972334792</v>
      </c>
      <c r="H24" s="452">
        <f t="shared" si="16"/>
        <v>617716.83972334792</v>
      </c>
      <c r="I24" s="472">
        <f t="shared" si="5"/>
        <v>0</v>
      </c>
      <c r="J24" s="472"/>
      <c r="K24" s="484"/>
      <c r="L24" s="475">
        <f t="shared" si="17"/>
        <v>0</v>
      </c>
      <c r="M24" s="484"/>
      <c r="N24" s="475">
        <f t="shared" si="3"/>
        <v>0</v>
      </c>
      <c r="O24" s="475">
        <f t="shared" si="4"/>
        <v>0</v>
      </c>
      <c r="P24" s="241"/>
    </row>
    <row r="25" spans="2:16" ht="12.5">
      <c r="B25" s="160" t="str">
        <f t="shared" si="7"/>
        <v/>
      </c>
      <c r="C25" s="469">
        <f>IF(D11="","-",+C24+1)</f>
        <v>2027</v>
      </c>
      <c r="D25" s="480">
        <f>IF(F24+SUM(E$17:E24)=D$10,F24,D$10-SUM(E$17:E24))</f>
        <v>4193992.5280517046</v>
      </c>
      <c r="E25" s="481">
        <f t="shared" si="13"/>
        <v>133120.75315789474</v>
      </c>
      <c r="F25" s="482">
        <f t="shared" si="14"/>
        <v>4060871.77489381</v>
      </c>
      <c r="G25" s="483">
        <f t="shared" si="15"/>
        <v>602575.66028843285</v>
      </c>
      <c r="H25" s="452">
        <f t="shared" si="16"/>
        <v>602575.66028843285</v>
      </c>
      <c r="I25" s="472">
        <f t="shared" si="5"/>
        <v>0</v>
      </c>
      <c r="J25" s="472"/>
      <c r="K25" s="484"/>
      <c r="L25" s="475">
        <f t="shared" si="17"/>
        <v>0</v>
      </c>
      <c r="M25" s="484"/>
      <c r="N25" s="475">
        <f t="shared" si="3"/>
        <v>0</v>
      </c>
      <c r="O25" s="475">
        <f t="shared" si="4"/>
        <v>0</v>
      </c>
      <c r="P25" s="241"/>
    </row>
    <row r="26" spans="2:16" ht="12.5">
      <c r="B26" s="160" t="str">
        <f t="shared" si="7"/>
        <v/>
      </c>
      <c r="C26" s="469">
        <f>IF(D11="","-",+C25+1)</f>
        <v>2028</v>
      </c>
      <c r="D26" s="480">
        <f>IF(F25+SUM(E$17:E25)=D$10,F25,D$10-SUM(E$17:E25))</f>
        <v>4060871.77489381</v>
      </c>
      <c r="E26" s="481">
        <f t="shared" si="13"/>
        <v>133120.75315789474</v>
      </c>
      <c r="F26" s="482">
        <f t="shared" si="14"/>
        <v>3927751.0217359154</v>
      </c>
      <c r="G26" s="483">
        <f t="shared" si="15"/>
        <v>587434.48085351766</v>
      </c>
      <c r="H26" s="452">
        <f t="shared" si="16"/>
        <v>587434.48085351766</v>
      </c>
      <c r="I26" s="472">
        <f t="shared" si="5"/>
        <v>0</v>
      </c>
      <c r="J26" s="472"/>
      <c r="K26" s="484"/>
      <c r="L26" s="475">
        <f t="shared" si="17"/>
        <v>0</v>
      </c>
      <c r="M26" s="484"/>
      <c r="N26" s="475">
        <f t="shared" si="3"/>
        <v>0</v>
      </c>
      <c r="O26" s="475">
        <f t="shared" si="4"/>
        <v>0</v>
      </c>
      <c r="P26" s="241"/>
    </row>
    <row r="27" spans="2:16" ht="12.5">
      <c r="B27" s="160" t="str">
        <f t="shared" si="7"/>
        <v/>
      </c>
      <c r="C27" s="469">
        <f>IF(D11="","-",+C26+1)</f>
        <v>2029</v>
      </c>
      <c r="D27" s="480">
        <f>IF(F26+SUM(E$17:E26)=D$10,F26,D$10-SUM(E$17:E26))</f>
        <v>3927751.0217359154</v>
      </c>
      <c r="E27" s="481">
        <f t="shared" si="13"/>
        <v>133120.75315789474</v>
      </c>
      <c r="F27" s="482">
        <f t="shared" si="14"/>
        <v>3794630.2685780209</v>
      </c>
      <c r="G27" s="483">
        <f t="shared" si="15"/>
        <v>572293.30141860258</v>
      </c>
      <c r="H27" s="452">
        <f t="shared" si="16"/>
        <v>572293.30141860258</v>
      </c>
      <c r="I27" s="472">
        <f t="shared" si="5"/>
        <v>0</v>
      </c>
      <c r="J27" s="472"/>
      <c r="K27" s="484"/>
      <c r="L27" s="475">
        <f t="shared" si="17"/>
        <v>0</v>
      </c>
      <c r="M27" s="484"/>
      <c r="N27" s="475">
        <f t="shared" si="3"/>
        <v>0</v>
      </c>
      <c r="O27" s="475">
        <f t="shared" si="4"/>
        <v>0</v>
      </c>
      <c r="P27" s="241"/>
    </row>
    <row r="28" spans="2:16" ht="12.5">
      <c r="B28" s="160" t="str">
        <f t="shared" si="7"/>
        <v/>
      </c>
      <c r="C28" s="469">
        <f>IF(D11="","-",+C27+1)</f>
        <v>2030</v>
      </c>
      <c r="D28" s="480">
        <f>IF(F27+SUM(E$17:E27)=D$10,F27,D$10-SUM(E$17:E27))</f>
        <v>3794630.2685780209</v>
      </c>
      <c r="E28" s="481">
        <f t="shared" si="13"/>
        <v>133120.75315789474</v>
      </c>
      <c r="F28" s="482">
        <f t="shared" si="14"/>
        <v>3661509.5154201263</v>
      </c>
      <c r="G28" s="483">
        <f t="shared" si="15"/>
        <v>557152.12198368751</v>
      </c>
      <c r="H28" s="452">
        <f t="shared" si="16"/>
        <v>557152.12198368751</v>
      </c>
      <c r="I28" s="472">
        <f t="shared" si="5"/>
        <v>0</v>
      </c>
      <c r="J28" s="472"/>
      <c r="K28" s="484"/>
      <c r="L28" s="475">
        <f t="shared" si="17"/>
        <v>0</v>
      </c>
      <c r="M28" s="484"/>
      <c r="N28" s="475">
        <f t="shared" si="3"/>
        <v>0</v>
      </c>
      <c r="O28" s="475">
        <f t="shared" si="4"/>
        <v>0</v>
      </c>
      <c r="P28" s="241"/>
    </row>
    <row r="29" spans="2:16" ht="12.5">
      <c r="B29" s="160" t="str">
        <f t="shared" si="7"/>
        <v/>
      </c>
      <c r="C29" s="469">
        <f>IF(D11="","-",+C28+1)</f>
        <v>2031</v>
      </c>
      <c r="D29" s="480">
        <f>IF(F28+SUM(E$17:E28)=D$10,F28,D$10-SUM(E$17:E28))</f>
        <v>3661509.5154201263</v>
      </c>
      <c r="E29" s="481">
        <f t="shared" si="13"/>
        <v>133120.75315789474</v>
      </c>
      <c r="F29" s="482">
        <f t="shared" si="14"/>
        <v>3528388.7622622317</v>
      </c>
      <c r="G29" s="483">
        <f t="shared" si="15"/>
        <v>542010.94254877244</v>
      </c>
      <c r="H29" s="452">
        <f t="shared" si="16"/>
        <v>542010.94254877244</v>
      </c>
      <c r="I29" s="472">
        <f t="shared" si="5"/>
        <v>0</v>
      </c>
      <c r="J29" s="472"/>
      <c r="K29" s="484"/>
      <c r="L29" s="475">
        <f t="shared" si="17"/>
        <v>0</v>
      </c>
      <c r="M29" s="484"/>
      <c r="N29" s="475">
        <f t="shared" si="3"/>
        <v>0</v>
      </c>
      <c r="O29" s="475">
        <f t="shared" si="4"/>
        <v>0</v>
      </c>
      <c r="P29" s="241"/>
    </row>
    <row r="30" spans="2:16" ht="12.5">
      <c r="B30" s="160" t="str">
        <f t="shared" si="7"/>
        <v/>
      </c>
      <c r="C30" s="469">
        <f>IF(D11="","-",+C29+1)</f>
        <v>2032</v>
      </c>
      <c r="D30" s="480">
        <f>IF(F29+SUM(E$17:E29)=D$10,F29,D$10-SUM(E$17:E29))</f>
        <v>3528388.7622622317</v>
      </c>
      <c r="E30" s="481">
        <f t="shared" si="13"/>
        <v>133120.75315789474</v>
      </c>
      <c r="F30" s="482">
        <f t="shared" si="14"/>
        <v>3395268.0091043371</v>
      </c>
      <c r="G30" s="483">
        <f t="shared" si="15"/>
        <v>526869.76311385725</v>
      </c>
      <c r="H30" s="452">
        <f t="shared" si="16"/>
        <v>526869.76311385725</v>
      </c>
      <c r="I30" s="472">
        <f t="shared" si="5"/>
        <v>0</v>
      </c>
      <c r="J30" s="472"/>
      <c r="K30" s="484"/>
      <c r="L30" s="475">
        <f t="shared" si="17"/>
        <v>0</v>
      </c>
      <c r="M30" s="484"/>
      <c r="N30" s="475">
        <f t="shared" si="3"/>
        <v>0</v>
      </c>
      <c r="O30" s="475">
        <f t="shared" si="4"/>
        <v>0</v>
      </c>
      <c r="P30" s="241"/>
    </row>
    <row r="31" spans="2:16" ht="12.5">
      <c r="B31" s="160" t="str">
        <f t="shared" si="7"/>
        <v/>
      </c>
      <c r="C31" s="469">
        <f>IF(D11="","-",+C30+1)</f>
        <v>2033</v>
      </c>
      <c r="D31" s="480">
        <f>IF(F30+SUM(E$17:E30)=D$10,F30,D$10-SUM(E$17:E30))</f>
        <v>3395268.0091043371</v>
      </c>
      <c r="E31" s="481">
        <f t="shared" si="13"/>
        <v>133120.75315789474</v>
      </c>
      <c r="F31" s="482">
        <f t="shared" si="14"/>
        <v>3262147.2559464425</v>
      </c>
      <c r="G31" s="483">
        <f t="shared" si="15"/>
        <v>511728.58367894229</v>
      </c>
      <c r="H31" s="452">
        <f t="shared" si="16"/>
        <v>511728.58367894229</v>
      </c>
      <c r="I31" s="472">
        <f t="shared" si="5"/>
        <v>0</v>
      </c>
      <c r="J31" s="472"/>
      <c r="K31" s="484"/>
      <c r="L31" s="475">
        <f t="shared" si="17"/>
        <v>0</v>
      </c>
      <c r="M31" s="484"/>
      <c r="N31" s="475">
        <f t="shared" si="3"/>
        <v>0</v>
      </c>
      <c r="O31" s="475">
        <f t="shared" si="4"/>
        <v>0</v>
      </c>
      <c r="P31" s="241"/>
    </row>
    <row r="32" spans="2:16" ht="12.5">
      <c r="B32" s="160" t="str">
        <f t="shared" si="7"/>
        <v/>
      </c>
      <c r="C32" s="469">
        <f>IF(D11="","-",+C31+1)</f>
        <v>2034</v>
      </c>
      <c r="D32" s="480">
        <f>IF(F31+SUM(E$17:E31)=D$10,F31,D$10-SUM(E$17:E31))</f>
        <v>3262147.2559464425</v>
      </c>
      <c r="E32" s="481">
        <f t="shared" si="13"/>
        <v>133120.75315789474</v>
      </c>
      <c r="F32" s="482">
        <f t="shared" si="14"/>
        <v>3129026.5027885479</v>
      </c>
      <c r="G32" s="483">
        <f t="shared" si="15"/>
        <v>496587.4042440271</v>
      </c>
      <c r="H32" s="452">
        <f t="shared" si="16"/>
        <v>496587.4042440271</v>
      </c>
      <c r="I32" s="472">
        <f t="shared" si="5"/>
        <v>0</v>
      </c>
      <c r="J32" s="472"/>
      <c r="K32" s="484"/>
      <c r="L32" s="475">
        <f t="shared" si="17"/>
        <v>0</v>
      </c>
      <c r="M32" s="484"/>
      <c r="N32" s="475">
        <f t="shared" si="3"/>
        <v>0</v>
      </c>
      <c r="O32" s="475">
        <f t="shared" si="4"/>
        <v>0</v>
      </c>
      <c r="P32" s="241"/>
    </row>
    <row r="33" spans="2:16" ht="12.5">
      <c r="B33" s="160" t="str">
        <f t="shared" si="7"/>
        <v/>
      </c>
      <c r="C33" s="469">
        <f>IF(D11="","-",+C32+1)</f>
        <v>2035</v>
      </c>
      <c r="D33" s="480">
        <f>IF(F32+SUM(E$17:E32)=D$10,F32,D$10-SUM(E$17:E32))</f>
        <v>3129026.5027885479</v>
      </c>
      <c r="E33" s="481">
        <f t="shared" si="13"/>
        <v>133120.75315789474</v>
      </c>
      <c r="F33" s="482">
        <f t="shared" si="14"/>
        <v>2995905.7496306533</v>
      </c>
      <c r="G33" s="483">
        <f t="shared" si="15"/>
        <v>481446.22480911203</v>
      </c>
      <c r="H33" s="452">
        <f t="shared" si="16"/>
        <v>481446.22480911203</v>
      </c>
      <c r="I33" s="472">
        <f t="shared" si="5"/>
        <v>0</v>
      </c>
      <c r="J33" s="472"/>
      <c r="K33" s="484"/>
      <c r="L33" s="475">
        <f t="shared" si="17"/>
        <v>0</v>
      </c>
      <c r="M33" s="484"/>
      <c r="N33" s="475">
        <f t="shared" si="3"/>
        <v>0</v>
      </c>
      <c r="O33" s="475">
        <f t="shared" si="4"/>
        <v>0</v>
      </c>
      <c r="P33" s="241"/>
    </row>
    <row r="34" spans="2:16" ht="12.5">
      <c r="B34" s="160" t="str">
        <f t="shared" si="7"/>
        <v/>
      </c>
      <c r="C34" s="469">
        <f>IF(D11="","-",+C33+1)</f>
        <v>2036</v>
      </c>
      <c r="D34" s="480">
        <f>IF(F33+SUM(E$17:E33)=D$10,F33,D$10-SUM(E$17:E33))</f>
        <v>2995905.7496306533</v>
      </c>
      <c r="E34" s="481">
        <f t="shared" si="13"/>
        <v>133120.75315789474</v>
      </c>
      <c r="F34" s="482">
        <f t="shared" si="14"/>
        <v>2862784.9964727587</v>
      </c>
      <c r="G34" s="483">
        <f t="shared" si="15"/>
        <v>466305.04537419684</v>
      </c>
      <c r="H34" s="452">
        <f t="shared" si="16"/>
        <v>466305.04537419684</v>
      </c>
      <c r="I34" s="472">
        <f t="shared" si="5"/>
        <v>0</v>
      </c>
      <c r="J34" s="472"/>
      <c r="K34" s="484"/>
      <c r="L34" s="475">
        <f t="shared" si="17"/>
        <v>0</v>
      </c>
      <c r="M34" s="484"/>
      <c r="N34" s="475">
        <f t="shared" si="3"/>
        <v>0</v>
      </c>
      <c r="O34" s="475">
        <f t="shared" si="4"/>
        <v>0</v>
      </c>
      <c r="P34" s="241"/>
    </row>
    <row r="35" spans="2:16" ht="12.5">
      <c r="B35" s="160" t="str">
        <f t="shared" si="7"/>
        <v/>
      </c>
      <c r="C35" s="469">
        <f>IF(D11="","-",+C34+1)</f>
        <v>2037</v>
      </c>
      <c r="D35" s="480">
        <f>IF(F34+SUM(E$17:E34)=D$10,F34,D$10-SUM(E$17:E34))</f>
        <v>2862784.9964727587</v>
      </c>
      <c r="E35" s="481">
        <f t="shared" si="13"/>
        <v>133120.75315789474</v>
      </c>
      <c r="F35" s="482">
        <f t="shared" si="14"/>
        <v>2729664.2433148641</v>
      </c>
      <c r="G35" s="483">
        <f t="shared" si="15"/>
        <v>451163.86593928188</v>
      </c>
      <c r="H35" s="452">
        <f t="shared" si="16"/>
        <v>451163.86593928188</v>
      </c>
      <c r="I35" s="472">
        <f t="shared" si="5"/>
        <v>0</v>
      </c>
      <c r="J35" s="472"/>
      <c r="K35" s="484"/>
      <c r="L35" s="475">
        <f t="shared" si="17"/>
        <v>0</v>
      </c>
      <c r="M35" s="484"/>
      <c r="N35" s="475">
        <f t="shared" si="3"/>
        <v>0</v>
      </c>
      <c r="O35" s="475">
        <f t="shared" si="4"/>
        <v>0</v>
      </c>
      <c r="P35" s="241"/>
    </row>
    <row r="36" spans="2:16" ht="12.5">
      <c r="B36" s="160" t="str">
        <f t="shared" si="7"/>
        <v/>
      </c>
      <c r="C36" s="469">
        <f>IF(D11="","-",+C35+1)</f>
        <v>2038</v>
      </c>
      <c r="D36" s="480">
        <f>IF(F35+SUM(E$17:E35)=D$10,F35,D$10-SUM(E$17:E35))</f>
        <v>2729664.2433148641</v>
      </c>
      <c r="E36" s="481">
        <f t="shared" si="13"/>
        <v>133120.75315789474</v>
      </c>
      <c r="F36" s="482">
        <f t="shared" si="14"/>
        <v>2596543.4901569695</v>
      </c>
      <c r="G36" s="483">
        <f t="shared" si="15"/>
        <v>436022.68650436669</v>
      </c>
      <c r="H36" s="452">
        <f t="shared" si="16"/>
        <v>436022.68650436669</v>
      </c>
      <c r="I36" s="472">
        <f t="shared" si="5"/>
        <v>0</v>
      </c>
      <c r="J36" s="472"/>
      <c r="K36" s="484"/>
      <c r="L36" s="475">
        <f t="shared" si="17"/>
        <v>0</v>
      </c>
      <c r="M36" s="484"/>
      <c r="N36" s="475">
        <f t="shared" si="3"/>
        <v>0</v>
      </c>
      <c r="O36" s="475">
        <f t="shared" si="4"/>
        <v>0</v>
      </c>
      <c r="P36" s="241"/>
    </row>
    <row r="37" spans="2:16" ht="12.5">
      <c r="B37" s="160" t="str">
        <f t="shared" si="7"/>
        <v/>
      </c>
      <c r="C37" s="469">
        <f>IF(D11="","-",+C36+1)</f>
        <v>2039</v>
      </c>
      <c r="D37" s="480">
        <f>IF(F36+SUM(E$17:E36)=D$10,F36,D$10-SUM(E$17:E36))</f>
        <v>2596543.4901569695</v>
      </c>
      <c r="E37" s="481">
        <f t="shared" si="13"/>
        <v>133120.75315789474</v>
      </c>
      <c r="F37" s="482">
        <f t="shared" si="14"/>
        <v>2463422.7369990749</v>
      </c>
      <c r="G37" s="483">
        <f t="shared" si="15"/>
        <v>420881.50706945162</v>
      </c>
      <c r="H37" s="452">
        <f t="shared" si="16"/>
        <v>420881.50706945162</v>
      </c>
      <c r="I37" s="472">
        <f t="shared" si="5"/>
        <v>0</v>
      </c>
      <c r="J37" s="472"/>
      <c r="K37" s="484"/>
      <c r="L37" s="475">
        <f t="shared" si="17"/>
        <v>0</v>
      </c>
      <c r="M37" s="484"/>
      <c r="N37" s="475">
        <f t="shared" si="3"/>
        <v>0</v>
      </c>
      <c r="O37" s="475">
        <f t="shared" si="4"/>
        <v>0</v>
      </c>
      <c r="P37" s="241"/>
    </row>
    <row r="38" spans="2:16" ht="12.5">
      <c r="B38" s="160" t="str">
        <f t="shared" si="7"/>
        <v/>
      </c>
      <c r="C38" s="469">
        <f>IF(D11="","-",+C37+1)</f>
        <v>2040</v>
      </c>
      <c r="D38" s="480">
        <f>IF(F37+SUM(E$17:E37)=D$10,F37,D$10-SUM(E$17:E37))</f>
        <v>2463422.7369990749</v>
      </c>
      <c r="E38" s="481">
        <f t="shared" si="13"/>
        <v>133120.75315789474</v>
      </c>
      <c r="F38" s="482">
        <f t="shared" si="14"/>
        <v>2330301.9838411803</v>
      </c>
      <c r="G38" s="483">
        <f t="shared" si="15"/>
        <v>405740.32763453654</v>
      </c>
      <c r="H38" s="452">
        <f t="shared" si="16"/>
        <v>405740.32763453654</v>
      </c>
      <c r="I38" s="472">
        <f t="shared" si="5"/>
        <v>0</v>
      </c>
      <c r="J38" s="472"/>
      <c r="K38" s="484"/>
      <c r="L38" s="475">
        <f t="shared" si="17"/>
        <v>0</v>
      </c>
      <c r="M38" s="484"/>
      <c r="N38" s="475">
        <f t="shared" si="3"/>
        <v>0</v>
      </c>
      <c r="O38" s="475">
        <f t="shared" si="4"/>
        <v>0</v>
      </c>
      <c r="P38" s="241"/>
    </row>
    <row r="39" spans="2:16" ht="12.5">
      <c r="B39" s="160" t="str">
        <f t="shared" si="7"/>
        <v/>
      </c>
      <c r="C39" s="469">
        <f>IF(D11="","-",+C38+1)</f>
        <v>2041</v>
      </c>
      <c r="D39" s="480">
        <f>IF(F38+SUM(E$17:E38)=D$10,F38,D$10-SUM(E$17:E38))</f>
        <v>2330301.9838411803</v>
      </c>
      <c r="E39" s="481">
        <f t="shared" si="13"/>
        <v>133120.75315789474</v>
      </c>
      <c r="F39" s="482">
        <f t="shared" si="14"/>
        <v>2197181.2306832857</v>
      </c>
      <c r="G39" s="483">
        <f t="shared" si="15"/>
        <v>390599.14819962147</v>
      </c>
      <c r="H39" s="452">
        <f t="shared" si="16"/>
        <v>390599.14819962147</v>
      </c>
      <c r="I39" s="472">
        <f t="shared" si="5"/>
        <v>0</v>
      </c>
      <c r="J39" s="472"/>
      <c r="K39" s="484"/>
      <c r="L39" s="475">
        <f t="shared" si="17"/>
        <v>0</v>
      </c>
      <c r="M39" s="484"/>
      <c r="N39" s="475">
        <f t="shared" si="3"/>
        <v>0</v>
      </c>
      <c r="O39" s="475">
        <f t="shared" si="4"/>
        <v>0</v>
      </c>
      <c r="P39" s="241"/>
    </row>
    <row r="40" spans="2:16" ht="12.5">
      <c r="B40" s="160" t="str">
        <f t="shared" si="7"/>
        <v/>
      </c>
      <c r="C40" s="469">
        <f>IF(D11="","-",+C39+1)</f>
        <v>2042</v>
      </c>
      <c r="D40" s="480">
        <f>IF(F39+SUM(E$17:E39)=D$10,F39,D$10-SUM(E$17:E39))</f>
        <v>2197181.2306832857</v>
      </c>
      <c r="E40" s="481">
        <f t="shared" si="13"/>
        <v>133120.75315789474</v>
      </c>
      <c r="F40" s="482">
        <f t="shared" si="14"/>
        <v>2064060.4775253909</v>
      </c>
      <c r="G40" s="483">
        <f t="shared" si="15"/>
        <v>375457.96876470628</v>
      </c>
      <c r="H40" s="452">
        <f t="shared" si="16"/>
        <v>375457.96876470628</v>
      </c>
      <c r="I40" s="472">
        <f t="shared" si="5"/>
        <v>0</v>
      </c>
      <c r="J40" s="472"/>
      <c r="K40" s="484"/>
      <c r="L40" s="475">
        <f t="shared" si="17"/>
        <v>0</v>
      </c>
      <c r="M40" s="484"/>
      <c r="N40" s="475">
        <f t="shared" si="3"/>
        <v>0</v>
      </c>
      <c r="O40" s="475">
        <f t="shared" si="4"/>
        <v>0</v>
      </c>
      <c r="P40" s="241"/>
    </row>
    <row r="41" spans="2:16" ht="12.5">
      <c r="B41" s="160" t="str">
        <f t="shared" si="7"/>
        <v/>
      </c>
      <c r="C41" s="469">
        <f>IF(D11="","-",+C40+1)</f>
        <v>2043</v>
      </c>
      <c r="D41" s="480">
        <f>IF(F40+SUM(E$17:E40)=D$10,F40,D$10-SUM(E$17:E40))</f>
        <v>2064060.4775253909</v>
      </c>
      <c r="E41" s="481">
        <f t="shared" si="13"/>
        <v>133120.75315789474</v>
      </c>
      <c r="F41" s="482">
        <f t="shared" si="14"/>
        <v>1930939.7243674961</v>
      </c>
      <c r="G41" s="483">
        <f t="shared" si="15"/>
        <v>360316.78932979121</v>
      </c>
      <c r="H41" s="452">
        <f t="shared" si="16"/>
        <v>360316.78932979121</v>
      </c>
      <c r="I41" s="472">
        <f t="shared" si="5"/>
        <v>0</v>
      </c>
      <c r="J41" s="472"/>
      <c r="K41" s="484"/>
      <c r="L41" s="475">
        <f t="shared" si="17"/>
        <v>0</v>
      </c>
      <c r="M41" s="484"/>
      <c r="N41" s="475">
        <f t="shared" si="3"/>
        <v>0</v>
      </c>
      <c r="O41" s="475">
        <f t="shared" si="4"/>
        <v>0</v>
      </c>
      <c r="P41" s="241"/>
    </row>
    <row r="42" spans="2:16" ht="12.5">
      <c r="B42" s="160" t="str">
        <f t="shared" si="7"/>
        <v/>
      </c>
      <c r="C42" s="469">
        <f>IF(D11="","-",+C41+1)</f>
        <v>2044</v>
      </c>
      <c r="D42" s="480">
        <f>IF(F41+SUM(E$17:E41)=D$10,F41,D$10-SUM(E$17:E41))</f>
        <v>1930939.7243674961</v>
      </c>
      <c r="E42" s="481">
        <f t="shared" si="13"/>
        <v>133120.75315789474</v>
      </c>
      <c r="F42" s="482">
        <f t="shared" si="14"/>
        <v>1797818.9712096013</v>
      </c>
      <c r="G42" s="483">
        <f t="shared" si="15"/>
        <v>345175.60989487608</v>
      </c>
      <c r="H42" s="452">
        <f t="shared" si="16"/>
        <v>345175.60989487608</v>
      </c>
      <c r="I42" s="472">
        <f t="shared" si="5"/>
        <v>0</v>
      </c>
      <c r="J42" s="472"/>
      <c r="K42" s="484"/>
      <c r="L42" s="475">
        <f t="shared" si="17"/>
        <v>0</v>
      </c>
      <c r="M42" s="484"/>
      <c r="N42" s="475">
        <f t="shared" si="3"/>
        <v>0</v>
      </c>
      <c r="O42" s="475">
        <f t="shared" si="4"/>
        <v>0</v>
      </c>
      <c r="P42" s="241"/>
    </row>
    <row r="43" spans="2:16" ht="12.5">
      <c r="B43" s="160" t="str">
        <f t="shared" si="7"/>
        <v/>
      </c>
      <c r="C43" s="469">
        <f>IF(D11="","-",+C42+1)</f>
        <v>2045</v>
      </c>
      <c r="D43" s="480">
        <f>IF(F42+SUM(E$17:E42)=D$10,F42,D$10-SUM(E$17:E42))</f>
        <v>1797818.9712096013</v>
      </c>
      <c r="E43" s="481">
        <f t="shared" si="13"/>
        <v>133120.75315789474</v>
      </c>
      <c r="F43" s="482">
        <f t="shared" si="14"/>
        <v>1664698.2180517064</v>
      </c>
      <c r="G43" s="483">
        <f t="shared" si="15"/>
        <v>330034.43045996095</v>
      </c>
      <c r="H43" s="452">
        <f t="shared" si="16"/>
        <v>330034.43045996095</v>
      </c>
      <c r="I43" s="472">
        <f t="shared" si="5"/>
        <v>0</v>
      </c>
      <c r="J43" s="472"/>
      <c r="K43" s="484"/>
      <c r="L43" s="475">
        <f t="shared" si="17"/>
        <v>0</v>
      </c>
      <c r="M43" s="484"/>
      <c r="N43" s="475">
        <f t="shared" si="3"/>
        <v>0</v>
      </c>
      <c r="O43" s="475">
        <f t="shared" si="4"/>
        <v>0</v>
      </c>
      <c r="P43" s="241"/>
    </row>
    <row r="44" spans="2:16" ht="12.5">
      <c r="B44" s="160" t="str">
        <f t="shared" si="7"/>
        <v/>
      </c>
      <c r="C44" s="469">
        <f>IF(D11="","-",+C43+1)</f>
        <v>2046</v>
      </c>
      <c r="D44" s="480">
        <f>IF(F43+SUM(E$17:E43)=D$10,F43,D$10-SUM(E$17:E43))</f>
        <v>1664698.2180517064</v>
      </c>
      <c r="E44" s="481">
        <f t="shared" si="13"/>
        <v>133120.75315789474</v>
      </c>
      <c r="F44" s="482">
        <f t="shared" si="14"/>
        <v>1531577.4648938116</v>
      </c>
      <c r="G44" s="483">
        <f t="shared" si="15"/>
        <v>314893.25102504581</v>
      </c>
      <c r="H44" s="452">
        <f t="shared" si="16"/>
        <v>314893.25102504581</v>
      </c>
      <c r="I44" s="472">
        <f t="shared" si="5"/>
        <v>0</v>
      </c>
      <c r="J44" s="472"/>
      <c r="K44" s="484"/>
      <c r="L44" s="475">
        <f t="shared" si="17"/>
        <v>0</v>
      </c>
      <c r="M44" s="484"/>
      <c r="N44" s="475">
        <f t="shared" si="3"/>
        <v>0</v>
      </c>
      <c r="O44" s="475">
        <f t="shared" si="4"/>
        <v>0</v>
      </c>
      <c r="P44" s="241"/>
    </row>
    <row r="45" spans="2:16" ht="12.5">
      <c r="B45" s="160" t="str">
        <f t="shared" si="7"/>
        <v/>
      </c>
      <c r="C45" s="469">
        <f>IF(D11="","-",+C44+1)</f>
        <v>2047</v>
      </c>
      <c r="D45" s="480">
        <f>IF(F44+SUM(E$17:E44)=D$10,F44,D$10-SUM(E$17:E44))</f>
        <v>1531577.4648938116</v>
      </c>
      <c r="E45" s="481">
        <f t="shared" si="13"/>
        <v>133120.75315789474</v>
      </c>
      <c r="F45" s="482">
        <f t="shared" si="14"/>
        <v>1398456.7117359168</v>
      </c>
      <c r="G45" s="483">
        <f t="shared" si="15"/>
        <v>299752.07159013068</v>
      </c>
      <c r="H45" s="452">
        <f t="shared" si="16"/>
        <v>299752.07159013068</v>
      </c>
      <c r="I45" s="472">
        <f t="shared" si="5"/>
        <v>0</v>
      </c>
      <c r="J45" s="472"/>
      <c r="K45" s="484"/>
      <c r="L45" s="475">
        <f t="shared" si="17"/>
        <v>0</v>
      </c>
      <c r="M45" s="484"/>
      <c r="N45" s="475">
        <f t="shared" si="3"/>
        <v>0</v>
      </c>
      <c r="O45" s="475">
        <f t="shared" si="4"/>
        <v>0</v>
      </c>
      <c r="P45" s="241"/>
    </row>
    <row r="46" spans="2:16" ht="12.5">
      <c r="B46" s="160" t="str">
        <f t="shared" si="7"/>
        <v/>
      </c>
      <c r="C46" s="469">
        <f>IF(D11="","-",+C45+1)</f>
        <v>2048</v>
      </c>
      <c r="D46" s="480">
        <f>IF(F45+SUM(E$17:E45)=D$10,F45,D$10-SUM(E$17:E45))</f>
        <v>1398456.7117359168</v>
      </c>
      <c r="E46" s="481">
        <f t="shared" si="13"/>
        <v>133120.75315789474</v>
      </c>
      <c r="F46" s="482">
        <f t="shared" si="14"/>
        <v>1265335.958578022</v>
      </c>
      <c r="G46" s="483">
        <f t="shared" si="15"/>
        <v>284610.89215521561</v>
      </c>
      <c r="H46" s="452">
        <f t="shared" si="16"/>
        <v>284610.89215521561</v>
      </c>
      <c r="I46" s="472">
        <f t="shared" si="5"/>
        <v>0</v>
      </c>
      <c r="J46" s="472"/>
      <c r="K46" s="484"/>
      <c r="L46" s="475">
        <f t="shared" si="17"/>
        <v>0</v>
      </c>
      <c r="M46" s="484"/>
      <c r="N46" s="475">
        <f t="shared" si="3"/>
        <v>0</v>
      </c>
      <c r="O46" s="475">
        <f t="shared" si="4"/>
        <v>0</v>
      </c>
      <c r="P46" s="241"/>
    </row>
    <row r="47" spans="2:16" ht="12.5">
      <c r="B47" s="160" t="str">
        <f t="shared" si="7"/>
        <v/>
      </c>
      <c r="C47" s="469">
        <f>IF(D11="","-",+C46+1)</f>
        <v>2049</v>
      </c>
      <c r="D47" s="480">
        <f>IF(F46+SUM(E$17:E46)=D$10,F46,D$10-SUM(E$17:E46))</f>
        <v>1265335.958578022</v>
      </c>
      <c r="E47" s="481">
        <f t="shared" si="13"/>
        <v>133120.75315789474</v>
      </c>
      <c r="F47" s="482">
        <f t="shared" si="14"/>
        <v>1132215.2054201271</v>
      </c>
      <c r="G47" s="483">
        <f t="shared" si="15"/>
        <v>269469.71272030048</v>
      </c>
      <c r="H47" s="452">
        <f t="shared" si="16"/>
        <v>269469.71272030048</v>
      </c>
      <c r="I47" s="472">
        <f t="shared" si="5"/>
        <v>0</v>
      </c>
      <c r="J47" s="472"/>
      <c r="K47" s="484"/>
      <c r="L47" s="475">
        <f t="shared" si="17"/>
        <v>0</v>
      </c>
      <c r="M47" s="484"/>
      <c r="N47" s="475">
        <f t="shared" si="3"/>
        <v>0</v>
      </c>
      <c r="O47" s="475">
        <f t="shared" si="4"/>
        <v>0</v>
      </c>
      <c r="P47" s="241"/>
    </row>
    <row r="48" spans="2:16" ht="12.5">
      <c r="B48" s="160" t="str">
        <f t="shared" si="7"/>
        <v/>
      </c>
      <c r="C48" s="469">
        <f>IF(D11="","-",+C47+1)</f>
        <v>2050</v>
      </c>
      <c r="D48" s="480">
        <f>IF(F47+SUM(E$17:E47)=D$10,F47,D$10-SUM(E$17:E47))</f>
        <v>1132215.2054201271</v>
      </c>
      <c r="E48" s="481">
        <f t="shared" si="13"/>
        <v>133120.75315789474</v>
      </c>
      <c r="F48" s="482">
        <f t="shared" si="14"/>
        <v>999094.45226223243</v>
      </c>
      <c r="G48" s="483">
        <f t="shared" si="15"/>
        <v>254328.53328538535</v>
      </c>
      <c r="H48" s="452">
        <f t="shared" si="16"/>
        <v>254328.53328538535</v>
      </c>
      <c r="I48" s="472">
        <f t="shared" si="5"/>
        <v>0</v>
      </c>
      <c r="J48" s="472"/>
      <c r="K48" s="484"/>
      <c r="L48" s="475">
        <f t="shared" si="17"/>
        <v>0</v>
      </c>
      <c r="M48" s="484"/>
      <c r="N48" s="475">
        <f t="shared" si="3"/>
        <v>0</v>
      </c>
      <c r="O48" s="475">
        <f t="shared" si="4"/>
        <v>0</v>
      </c>
      <c r="P48" s="241"/>
    </row>
    <row r="49" spans="2:16" ht="12.5">
      <c r="B49" s="160" t="str">
        <f t="shared" si="7"/>
        <v/>
      </c>
      <c r="C49" s="469">
        <f>IF(D11="","-",+C48+1)</f>
        <v>2051</v>
      </c>
      <c r="D49" s="480">
        <f>IF(F48+SUM(E$17:E48)=D$10,F48,D$10-SUM(E$17:E48))</f>
        <v>999094.45226223243</v>
      </c>
      <c r="E49" s="481">
        <f t="shared" si="13"/>
        <v>133120.75315789474</v>
      </c>
      <c r="F49" s="482">
        <f t="shared" si="14"/>
        <v>865973.69910433772</v>
      </c>
      <c r="G49" s="483">
        <f t="shared" si="15"/>
        <v>239187.35385047022</v>
      </c>
      <c r="H49" s="452">
        <f t="shared" si="16"/>
        <v>239187.35385047022</v>
      </c>
      <c r="I49" s="472">
        <f t="shared" si="5"/>
        <v>0</v>
      </c>
      <c r="J49" s="472"/>
      <c r="K49" s="484"/>
      <c r="L49" s="475">
        <f t="shared" si="17"/>
        <v>0</v>
      </c>
      <c r="M49" s="484"/>
      <c r="N49" s="475">
        <f t="shared" si="3"/>
        <v>0</v>
      </c>
      <c r="O49" s="475">
        <f t="shared" si="4"/>
        <v>0</v>
      </c>
      <c r="P49" s="241"/>
    </row>
    <row r="50" spans="2:16" ht="12.5">
      <c r="B50" s="160" t="str">
        <f t="shared" si="7"/>
        <v/>
      </c>
      <c r="C50" s="469">
        <f>IF(D11="","-",+C49+1)</f>
        <v>2052</v>
      </c>
      <c r="D50" s="480">
        <f>IF(F49+SUM(E$17:E49)=D$10,F49,D$10-SUM(E$17:E49))</f>
        <v>865973.69910433772</v>
      </c>
      <c r="E50" s="481">
        <f t="shared" si="13"/>
        <v>133120.75315789474</v>
      </c>
      <c r="F50" s="482">
        <f t="shared" si="14"/>
        <v>732852.94594644301</v>
      </c>
      <c r="G50" s="483">
        <f t="shared" si="15"/>
        <v>224046.17441555514</v>
      </c>
      <c r="H50" s="452">
        <f t="shared" si="16"/>
        <v>224046.17441555514</v>
      </c>
      <c r="I50" s="472">
        <f t="shared" si="5"/>
        <v>0</v>
      </c>
      <c r="J50" s="472"/>
      <c r="K50" s="484"/>
      <c r="L50" s="475">
        <f t="shared" si="17"/>
        <v>0</v>
      </c>
      <c r="M50" s="484"/>
      <c r="N50" s="475">
        <f t="shared" si="3"/>
        <v>0</v>
      </c>
      <c r="O50" s="475">
        <f t="shared" si="4"/>
        <v>0</v>
      </c>
      <c r="P50" s="241"/>
    </row>
    <row r="51" spans="2:16" ht="12.5">
      <c r="B51" s="160" t="str">
        <f t="shared" si="7"/>
        <v/>
      </c>
      <c r="C51" s="469">
        <f>IF(D11="","-",+C50+1)</f>
        <v>2053</v>
      </c>
      <c r="D51" s="480">
        <f>IF(F50+SUM(E$17:E50)=D$10,F50,D$10-SUM(E$17:E50))</f>
        <v>732852.94594644301</v>
      </c>
      <c r="E51" s="481">
        <f t="shared" si="13"/>
        <v>133120.75315789474</v>
      </c>
      <c r="F51" s="482">
        <f t="shared" si="14"/>
        <v>599732.1927885483</v>
      </c>
      <c r="G51" s="483">
        <f t="shared" si="15"/>
        <v>208904.99498064001</v>
      </c>
      <c r="H51" s="452">
        <f t="shared" si="16"/>
        <v>208904.99498064001</v>
      </c>
      <c r="I51" s="472">
        <f t="shared" si="5"/>
        <v>0</v>
      </c>
      <c r="J51" s="472"/>
      <c r="K51" s="484"/>
      <c r="L51" s="475">
        <f t="shared" si="17"/>
        <v>0</v>
      </c>
      <c r="M51" s="484"/>
      <c r="N51" s="475">
        <f t="shared" si="3"/>
        <v>0</v>
      </c>
      <c r="O51" s="475">
        <f t="shared" si="4"/>
        <v>0</v>
      </c>
      <c r="P51" s="241"/>
    </row>
    <row r="52" spans="2:16" ht="12.5">
      <c r="B52" s="160" t="str">
        <f t="shared" si="7"/>
        <v/>
      </c>
      <c r="C52" s="469">
        <f>IF(D11="","-",+C51+1)</f>
        <v>2054</v>
      </c>
      <c r="D52" s="480">
        <f>IF(F51+SUM(E$17:E51)=D$10,F51,D$10-SUM(E$17:E51))</f>
        <v>599732.1927885483</v>
      </c>
      <c r="E52" s="481">
        <f t="shared" si="13"/>
        <v>133120.75315789474</v>
      </c>
      <c r="F52" s="482">
        <f t="shared" si="14"/>
        <v>466611.43963065359</v>
      </c>
      <c r="G52" s="483">
        <f t="shared" si="15"/>
        <v>193763.81554572491</v>
      </c>
      <c r="H52" s="452">
        <f t="shared" si="16"/>
        <v>193763.81554572491</v>
      </c>
      <c r="I52" s="472">
        <f t="shared" si="5"/>
        <v>0</v>
      </c>
      <c r="J52" s="472"/>
      <c r="K52" s="484"/>
      <c r="L52" s="475">
        <f t="shared" si="17"/>
        <v>0</v>
      </c>
      <c r="M52" s="484"/>
      <c r="N52" s="475">
        <f t="shared" si="3"/>
        <v>0</v>
      </c>
      <c r="O52" s="475">
        <f t="shared" si="4"/>
        <v>0</v>
      </c>
      <c r="P52" s="241"/>
    </row>
    <row r="53" spans="2:16" ht="12.5">
      <c r="B53" s="160" t="str">
        <f t="shared" si="7"/>
        <v/>
      </c>
      <c r="C53" s="469">
        <f>IF(D11="","-",+C52+1)</f>
        <v>2055</v>
      </c>
      <c r="D53" s="480">
        <f>IF(F52+SUM(E$17:E52)=D$10,F52,D$10-SUM(E$17:E52))</f>
        <v>466611.43963065359</v>
      </c>
      <c r="E53" s="481">
        <f t="shared" si="13"/>
        <v>133120.75315789474</v>
      </c>
      <c r="F53" s="482">
        <f t="shared" si="14"/>
        <v>333490.68647275888</v>
      </c>
      <c r="G53" s="483">
        <f t="shared" si="15"/>
        <v>178622.63611080981</v>
      </c>
      <c r="H53" s="452">
        <f t="shared" si="16"/>
        <v>178622.63611080981</v>
      </c>
      <c r="I53" s="472">
        <f t="shared" si="5"/>
        <v>0</v>
      </c>
      <c r="J53" s="472"/>
      <c r="K53" s="484"/>
      <c r="L53" s="475">
        <f t="shared" si="17"/>
        <v>0</v>
      </c>
      <c r="M53" s="484"/>
      <c r="N53" s="475">
        <f t="shared" si="3"/>
        <v>0</v>
      </c>
      <c r="O53" s="475">
        <f t="shared" si="4"/>
        <v>0</v>
      </c>
      <c r="P53" s="241"/>
    </row>
    <row r="54" spans="2:16" ht="12.5">
      <c r="B54" s="160" t="str">
        <f t="shared" si="7"/>
        <v/>
      </c>
      <c r="C54" s="469">
        <f>IF(D11="","-",+C53+1)</f>
        <v>2056</v>
      </c>
      <c r="D54" s="480">
        <f>IF(F53+SUM(E$17:E53)=D$10,F53,D$10-SUM(E$17:E53))</f>
        <v>333490.68647275888</v>
      </c>
      <c r="E54" s="481">
        <f t="shared" si="13"/>
        <v>133120.75315789474</v>
      </c>
      <c r="F54" s="482">
        <f t="shared" si="14"/>
        <v>200369.93331486415</v>
      </c>
      <c r="G54" s="483">
        <f t="shared" si="15"/>
        <v>163481.45667589467</v>
      </c>
      <c r="H54" s="452">
        <f t="shared" si="16"/>
        <v>163481.45667589467</v>
      </c>
      <c r="I54" s="472">
        <f t="shared" si="5"/>
        <v>0</v>
      </c>
      <c r="J54" s="472"/>
      <c r="K54" s="484"/>
      <c r="L54" s="475">
        <f t="shared" si="17"/>
        <v>0</v>
      </c>
      <c r="M54" s="484"/>
      <c r="N54" s="475">
        <f t="shared" si="3"/>
        <v>0</v>
      </c>
      <c r="O54" s="475">
        <f t="shared" si="4"/>
        <v>0</v>
      </c>
      <c r="P54" s="241"/>
    </row>
    <row r="55" spans="2:16" ht="12.5">
      <c r="B55" s="160" t="str">
        <f t="shared" si="7"/>
        <v/>
      </c>
      <c r="C55" s="469">
        <f>IF(D11="","-",+C54+1)</f>
        <v>2057</v>
      </c>
      <c r="D55" s="480">
        <f>IF(F54+SUM(E$17:E54)=D$10,F54,D$10-SUM(E$17:E54))</f>
        <v>200369.93331486415</v>
      </c>
      <c r="E55" s="481">
        <f t="shared" si="13"/>
        <v>133120.75315789474</v>
      </c>
      <c r="F55" s="482">
        <f t="shared" si="14"/>
        <v>67249.180156969407</v>
      </c>
      <c r="G55" s="483">
        <f t="shared" si="15"/>
        <v>148340.27724097957</v>
      </c>
      <c r="H55" s="452">
        <f t="shared" si="16"/>
        <v>148340.27724097957</v>
      </c>
      <c r="I55" s="472">
        <f t="shared" si="5"/>
        <v>0</v>
      </c>
      <c r="J55" s="472"/>
      <c r="K55" s="484"/>
      <c r="L55" s="475">
        <f t="shared" si="17"/>
        <v>0</v>
      </c>
      <c r="M55" s="484"/>
      <c r="N55" s="475">
        <f t="shared" si="3"/>
        <v>0</v>
      </c>
      <c r="O55" s="475">
        <f t="shared" si="4"/>
        <v>0</v>
      </c>
      <c r="P55" s="241"/>
    </row>
    <row r="56" spans="2:16" ht="12.5">
      <c r="B56" s="160" t="str">
        <f t="shared" si="7"/>
        <v/>
      </c>
      <c r="C56" s="469">
        <f>IF(D11="","-",+C55+1)</f>
        <v>2058</v>
      </c>
      <c r="D56" s="480">
        <f>IF(F55+SUM(E$17:E55)=D$10,F55,D$10-SUM(E$17:E55))</f>
        <v>67249.180156969407</v>
      </c>
      <c r="E56" s="481">
        <f t="shared" si="13"/>
        <v>67249.180156969407</v>
      </c>
      <c r="F56" s="482">
        <f t="shared" si="14"/>
        <v>0</v>
      </c>
      <c r="G56" s="483">
        <f t="shared" si="15"/>
        <v>71073.647339783041</v>
      </c>
      <c r="H56" s="452">
        <f t="shared" si="16"/>
        <v>71073.647339783041</v>
      </c>
      <c r="I56" s="472">
        <f t="shared" si="5"/>
        <v>0</v>
      </c>
      <c r="J56" s="472"/>
      <c r="K56" s="484"/>
      <c r="L56" s="475">
        <f t="shared" si="17"/>
        <v>0</v>
      </c>
      <c r="M56" s="484"/>
      <c r="N56" s="475">
        <f t="shared" si="3"/>
        <v>0</v>
      </c>
      <c r="O56" s="475">
        <f t="shared" si="4"/>
        <v>0</v>
      </c>
      <c r="P56" s="241"/>
    </row>
    <row r="57" spans="2:16" ht="12.5">
      <c r="B57" s="160" t="str">
        <f t="shared" si="7"/>
        <v/>
      </c>
      <c r="C57" s="469">
        <f>IF(D11="","-",+C56+1)</f>
        <v>2059</v>
      </c>
      <c r="D57" s="480">
        <f>IF(F56+SUM(E$17:E56)=D$10,F56,D$10-SUM(E$17:E56))</f>
        <v>0</v>
      </c>
      <c r="E57" s="481">
        <f t="shared" si="13"/>
        <v>0</v>
      </c>
      <c r="F57" s="482">
        <f t="shared" si="14"/>
        <v>0</v>
      </c>
      <c r="G57" s="483">
        <f t="shared" si="15"/>
        <v>0</v>
      </c>
      <c r="H57" s="452">
        <f t="shared" si="16"/>
        <v>0</v>
      </c>
      <c r="I57" s="472">
        <f t="shared" si="5"/>
        <v>0</v>
      </c>
      <c r="J57" s="472"/>
      <c r="K57" s="484"/>
      <c r="L57" s="475">
        <f t="shared" si="17"/>
        <v>0</v>
      </c>
      <c r="M57" s="484"/>
      <c r="N57" s="475">
        <f t="shared" si="3"/>
        <v>0</v>
      </c>
      <c r="O57" s="475">
        <f t="shared" si="4"/>
        <v>0</v>
      </c>
      <c r="P57" s="241"/>
    </row>
    <row r="58" spans="2:16" ht="12.5">
      <c r="B58" s="160" t="str">
        <f t="shared" si="7"/>
        <v/>
      </c>
      <c r="C58" s="469">
        <f>IF(D11="","-",+C57+1)</f>
        <v>2060</v>
      </c>
      <c r="D58" s="480">
        <f>IF(F57+SUM(E$17:E57)=D$10,F57,D$10-SUM(E$17:E57))</f>
        <v>0</v>
      </c>
      <c r="E58" s="481">
        <f t="shared" si="13"/>
        <v>0</v>
      </c>
      <c r="F58" s="482">
        <f t="shared" si="14"/>
        <v>0</v>
      </c>
      <c r="G58" s="483">
        <f t="shared" si="15"/>
        <v>0</v>
      </c>
      <c r="H58" s="452">
        <f t="shared" si="16"/>
        <v>0</v>
      </c>
      <c r="I58" s="472">
        <f t="shared" si="5"/>
        <v>0</v>
      </c>
      <c r="J58" s="472"/>
      <c r="K58" s="484"/>
      <c r="L58" s="475">
        <f t="shared" si="17"/>
        <v>0</v>
      </c>
      <c r="M58" s="484"/>
      <c r="N58" s="475">
        <f t="shared" si="3"/>
        <v>0</v>
      </c>
      <c r="O58" s="475">
        <f t="shared" si="4"/>
        <v>0</v>
      </c>
      <c r="P58" s="241"/>
    </row>
    <row r="59" spans="2:16" ht="12.5">
      <c r="B59" s="160" t="str">
        <f t="shared" si="7"/>
        <v/>
      </c>
      <c r="C59" s="469">
        <f>IF(D11="","-",+C58+1)</f>
        <v>2061</v>
      </c>
      <c r="D59" s="480">
        <f>IF(F58+SUM(E$17:E58)=D$10,F58,D$10-SUM(E$17:E58))</f>
        <v>0</v>
      </c>
      <c r="E59" s="481">
        <f t="shared" si="13"/>
        <v>0</v>
      </c>
      <c r="F59" s="482">
        <f t="shared" si="14"/>
        <v>0</v>
      </c>
      <c r="G59" s="483">
        <f t="shared" si="15"/>
        <v>0</v>
      </c>
      <c r="H59" s="452">
        <f t="shared" si="16"/>
        <v>0</v>
      </c>
      <c r="I59" s="472">
        <f t="shared" si="5"/>
        <v>0</v>
      </c>
      <c r="J59" s="472"/>
      <c r="K59" s="484"/>
      <c r="L59" s="475">
        <f t="shared" si="17"/>
        <v>0</v>
      </c>
      <c r="M59" s="484"/>
      <c r="N59" s="475">
        <f t="shared" si="3"/>
        <v>0</v>
      </c>
      <c r="O59" s="475">
        <f t="shared" si="4"/>
        <v>0</v>
      </c>
      <c r="P59" s="241"/>
    </row>
    <row r="60" spans="2:16" ht="12.5">
      <c r="B60" s="160" t="str">
        <f t="shared" si="7"/>
        <v/>
      </c>
      <c r="C60" s="469">
        <f>IF(D11="","-",+C59+1)</f>
        <v>2062</v>
      </c>
      <c r="D60" s="480">
        <f>IF(F59+SUM(E$17:E59)=D$10,F59,D$10-SUM(E$17:E59))</f>
        <v>0</v>
      </c>
      <c r="E60" s="481">
        <f t="shared" si="13"/>
        <v>0</v>
      </c>
      <c r="F60" s="482">
        <f t="shared" si="14"/>
        <v>0</v>
      </c>
      <c r="G60" s="483">
        <f t="shared" si="15"/>
        <v>0</v>
      </c>
      <c r="H60" s="452">
        <f t="shared" si="16"/>
        <v>0</v>
      </c>
      <c r="I60" s="472">
        <f t="shared" si="5"/>
        <v>0</v>
      </c>
      <c r="J60" s="472"/>
      <c r="K60" s="484"/>
      <c r="L60" s="475">
        <f t="shared" si="17"/>
        <v>0</v>
      </c>
      <c r="M60" s="484"/>
      <c r="N60" s="475">
        <f t="shared" si="3"/>
        <v>0</v>
      </c>
      <c r="O60" s="475">
        <f t="shared" si="4"/>
        <v>0</v>
      </c>
      <c r="P60" s="241"/>
    </row>
    <row r="61" spans="2:16" ht="12.5">
      <c r="B61" s="160" t="str">
        <f t="shared" si="7"/>
        <v/>
      </c>
      <c r="C61" s="469">
        <f>IF(D11="","-",+C60+1)</f>
        <v>2063</v>
      </c>
      <c r="D61" s="480">
        <f>IF(F60+SUM(E$17:E60)=D$10,F60,D$10-SUM(E$17:E60))</f>
        <v>0</v>
      </c>
      <c r="E61" s="481">
        <f t="shared" si="13"/>
        <v>0</v>
      </c>
      <c r="F61" s="482">
        <f t="shared" si="14"/>
        <v>0</v>
      </c>
      <c r="G61" s="483">
        <f t="shared" si="15"/>
        <v>0</v>
      </c>
      <c r="H61" s="452">
        <f t="shared" si="16"/>
        <v>0</v>
      </c>
      <c r="I61" s="472">
        <f t="shared" si="5"/>
        <v>0</v>
      </c>
      <c r="J61" s="472"/>
      <c r="K61" s="484"/>
      <c r="L61" s="475">
        <f t="shared" si="17"/>
        <v>0</v>
      </c>
      <c r="M61" s="484"/>
      <c r="N61" s="475">
        <f t="shared" si="3"/>
        <v>0</v>
      </c>
      <c r="O61" s="475">
        <f t="shared" si="4"/>
        <v>0</v>
      </c>
      <c r="P61" s="241"/>
    </row>
    <row r="62" spans="2:16" ht="12.5">
      <c r="B62" s="160" t="str">
        <f t="shared" si="7"/>
        <v/>
      </c>
      <c r="C62" s="469">
        <f>IF(D11="","-",+C61+1)</f>
        <v>2064</v>
      </c>
      <c r="D62" s="480">
        <f>IF(F61+SUM(E$17:E61)=D$10,F61,D$10-SUM(E$17:E61))</f>
        <v>0</v>
      </c>
      <c r="E62" s="481">
        <f t="shared" si="13"/>
        <v>0</v>
      </c>
      <c r="F62" s="482">
        <f t="shared" si="14"/>
        <v>0</v>
      </c>
      <c r="G62" s="483">
        <f t="shared" si="15"/>
        <v>0</v>
      </c>
      <c r="H62" s="452">
        <f t="shared" si="16"/>
        <v>0</v>
      </c>
      <c r="I62" s="472">
        <f t="shared" si="5"/>
        <v>0</v>
      </c>
      <c r="J62" s="472"/>
      <c r="K62" s="484"/>
      <c r="L62" s="475">
        <f t="shared" si="17"/>
        <v>0</v>
      </c>
      <c r="M62" s="484"/>
      <c r="N62" s="475">
        <f t="shared" si="3"/>
        <v>0</v>
      </c>
      <c r="O62" s="475">
        <f t="shared" si="4"/>
        <v>0</v>
      </c>
      <c r="P62" s="241"/>
    </row>
    <row r="63" spans="2:16" ht="12.5">
      <c r="B63" s="160" t="str">
        <f t="shared" si="7"/>
        <v/>
      </c>
      <c r="C63" s="469">
        <f>IF(D11="","-",+C62+1)</f>
        <v>2065</v>
      </c>
      <c r="D63" s="480">
        <f>IF(F62+SUM(E$17:E62)=D$10,F62,D$10-SUM(E$17:E62))</f>
        <v>0</v>
      </c>
      <c r="E63" s="481">
        <f t="shared" si="13"/>
        <v>0</v>
      </c>
      <c r="F63" s="482">
        <f t="shared" si="14"/>
        <v>0</v>
      </c>
      <c r="G63" s="483">
        <f t="shared" si="15"/>
        <v>0</v>
      </c>
      <c r="H63" s="452">
        <f t="shared" si="16"/>
        <v>0</v>
      </c>
      <c r="I63" s="472">
        <f t="shared" si="5"/>
        <v>0</v>
      </c>
      <c r="J63" s="472"/>
      <c r="K63" s="484"/>
      <c r="L63" s="475">
        <f t="shared" si="17"/>
        <v>0</v>
      </c>
      <c r="M63" s="484"/>
      <c r="N63" s="475">
        <f t="shared" si="3"/>
        <v>0</v>
      </c>
      <c r="O63" s="475">
        <f t="shared" si="4"/>
        <v>0</v>
      </c>
      <c r="P63" s="241"/>
    </row>
    <row r="64" spans="2:16" ht="12.5">
      <c r="B64" s="160" t="str">
        <f t="shared" si="7"/>
        <v/>
      </c>
      <c r="C64" s="469">
        <f>IF(D11="","-",+C63+1)</f>
        <v>2066</v>
      </c>
      <c r="D64" s="480">
        <f>IF(F63+SUM(E$17:E63)=D$10,F63,D$10-SUM(E$17:E63))</f>
        <v>0</v>
      </c>
      <c r="E64" s="481">
        <f t="shared" si="13"/>
        <v>0</v>
      </c>
      <c r="F64" s="482">
        <f t="shared" si="14"/>
        <v>0</v>
      </c>
      <c r="G64" s="483">
        <f t="shared" si="15"/>
        <v>0</v>
      </c>
      <c r="H64" s="452">
        <f t="shared" si="16"/>
        <v>0</v>
      </c>
      <c r="I64" s="472">
        <f t="shared" si="5"/>
        <v>0</v>
      </c>
      <c r="J64" s="472"/>
      <c r="K64" s="484"/>
      <c r="L64" s="475">
        <f t="shared" si="17"/>
        <v>0</v>
      </c>
      <c r="M64" s="484"/>
      <c r="N64" s="475">
        <f t="shared" si="3"/>
        <v>0</v>
      </c>
      <c r="O64" s="475">
        <f t="shared" si="4"/>
        <v>0</v>
      </c>
      <c r="P64" s="241"/>
    </row>
    <row r="65" spans="2:16" ht="12.5">
      <c r="B65" s="160" t="str">
        <f t="shared" si="7"/>
        <v/>
      </c>
      <c r="C65" s="469">
        <f>IF(D11="","-",+C64+1)</f>
        <v>2067</v>
      </c>
      <c r="D65" s="480">
        <f>IF(F64+SUM(E$17:E64)=D$10,F64,D$10-SUM(E$17:E64))</f>
        <v>0</v>
      </c>
      <c r="E65" s="481">
        <f t="shared" si="13"/>
        <v>0</v>
      </c>
      <c r="F65" s="482">
        <f t="shared" si="14"/>
        <v>0</v>
      </c>
      <c r="G65" s="483">
        <f t="shared" si="15"/>
        <v>0</v>
      </c>
      <c r="H65" s="452">
        <f t="shared" si="16"/>
        <v>0</v>
      </c>
      <c r="I65" s="472">
        <f t="shared" si="5"/>
        <v>0</v>
      </c>
      <c r="J65" s="472"/>
      <c r="K65" s="484"/>
      <c r="L65" s="475">
        <f t="shared" si="17"/>
        <v>0</v>
      </c>
      <c r="M65" s="484"/>
      <c r="N65" s="475">
        <f t="shared" si="3"/>
        <v>0</v>
      </c>
      <c r="O65" s="475">
        <f t="shared" si="4"/>
        <v>0</v>
      </c>
      <c r="P65" s="241"/>
    </row>
    <row r="66" spans="2:16" ht="12.5">
      <c r="B66" s="160" t="str">
        <f t="shared" si="7"/>
        <v/>
      </c>
      <c r="C66" s="469">
        <f>IF(D11="","-",+C65+1)</f>
        <v>2068</v>
      </c>
      <c r="D66" s="480">
        <f>IF(F65+SUM(E$17:E65)=D$10,F65,D$10-SUM(E$17:E65))</f>
        <v>0</v>
      </c>
      <c r="E66" s="481">
        <f t="shared" si="13"/>
        <v>0</v>
      </c>
      <c r="F66" s="482">
        <f t="shared" si="14"/>
        <v>0</v>
      </c>
      <c r="G66" s="483">
        <f t="shared" si="15"/>
        <v>0</v>
      </c>
      <c r="H66" s="452">
        <f t="shared" si="16"/>
        <v>0</v>
      </c>
      <c r="I66" s="472">
        <f t="shared" si="5"/>
        <v>0</v>
      </c>
      <c r="J66" s="472"/>
      <c r="K66" s="484"/>
      <c r="L66" s="475">
        <f t="shared" si="17"/>
        <v>0</v>
      </c>
      <c r="M66" s="484"/>
      <c r="N66" s="475">
        <f t="shared" si="3"/>
        <v>0</v>
      </c>
      <c r="O66" s="475">
        <f t="shared" si="4"/>
        <v>0</v>
      </c>
      <c r="P66" s="241"/>
    </row>
    <row r="67" spans="2:16" ht="12.5">
      <c r="B67" s="160" t="str">
        <f t="shared" si="7"/>
        <v/>
      </c>
      <c r="C67" s="469">
        <f>IF(D11="","-",+C66+1)</f>
        <v>2069</v>
      </c>
      <c r="D67" s="480">
        <f>IF(F66+SUM(E$17:E66)=D$10,F66,D$10-SUM(E$17:E66))</f>
        <v>0</v>
      </c>
      <c r="E67" s="481">
        <f t="shared" si="13"/>
        <v>0</v>
      </c>
      <c r="F67" s="482">
        <f t="shared" si="14"/>
        <v>0</v>
      </c>
      <c r="G67" s="483">
        <f t="shared" si="15"/>
        <v>0</v>
      </c>
      <c r="H67" s="452">
        <f t="shared" si="16"/>
        <v>0</v>
      </c>
      <c r="I67" s="472">
        <f t="shared" si="5"/>
        <v>0</v>
      </c>
      <c r="J67" s="472"/>
      <c r="K67" s="484"/>
      <c r="L67" s="475">
        <f t="shared" si="17"/>
        <v>0</v>
      </c>
      <c r="M67" s="484"/>
      <c r="N67" s="475">
        <f t="shared" si="3"/>
        <v>0</v>
      </c>
      <c r="O67" s="475">
        <f t="shared" si="4"/>
        <v>0</v>
      </c>
      <c r="P67" s="241"/>
    </row>
    <row r="68" spans="2:16" ht="12.5">
      <c r="B68" s="160" t="str">
        <f t="shared" si="7"/>
        <v/>
      </c>
      <c r="C68" s="469">
        <f>IF(D11="","-",+C67+1)</f>
        <v>2070</v>
      </c>
      <c r="D68" s="480">
        <f>IF(F67+SUM(E$17:E67)=D$10,F67,D$10-SUM(E$17:E67))</f>
        <v>0</v>
      </c>
      <c r="E68" s="481">
        <f t="shared" si="13"/>
        <v>0</v>
      </c>
      <c r="F68" s="482">
        <f t="shared" si="14"/>
        <v>0</v>
      </c>
      <c r="G68" s="483">
        <f t="shared" si="15"/>
        <v>0</v>
      </c>
      <c r="H68" s="452">
        <f t="shared" si="16"/>
        <v>0</v>
      </c>
      <c r="I68" s="472">
        <f t="shared" si="5"/>
        <v>0</v>
      </c>
      <c r="J68" s="472"/>
      <c r="K68" s="484"/>
      <c r="L68" s="475">
        <f t="shared" si="17"/>
        <v>0</v>
      </c>
      <c r="M68" s="484"/>
      <c r="N68" s="475">
        <f t="shared" si="3"/>
        <v>0</v>
      </c>
      <c r="O68" s="475">
        <f t="shared" si="4"/>
        <v>0</v>
      </c>
      <c r="P68" s="241"/>
    </row>
    <row r="69" spans="2:16" ht="12.5">
      <c r="B69" s="160" t="str">
        <f t="shared" si="7"/>
        <v/>
      </c>
      <c r="C69" s="469">
        <f>IF(D11="","-",+C68+1)</f>
        <v>2071</v>
      </c>
      <c r="D69" s="480">
        <f>IF(F68+SUM(E$17:E68)=D$10,F68,D$10-SUM(E$17:E68))</f>
        <v>0</v>
      </c>
      <c r="E69" s="481">
        <f t="shared" si="13"/>
        <v>0</v>
      </c>
      <c r="F69" s="482">
        <f t="shared" si="14"/>
        <v>0</v>
      </c>
      <c r="G69" s="483">
        <f t="shared" si="15"/>
        <v>0</v>
      </c>
      <c r="H69" s="452">
        <f t="shared" si="16"/>
        <v>0</v>
      </c>
      <c r="I69" s="472">
        <f t="shared" si="5"/>
        <v>0</v>
      </c>
      <c r="J69" s="472"/>
      <c r="K69" s="484"/>
      <c r="L69" s="475">
        <f t="shared" si="17"/>
        <v>0</v>
      </c>
      <c r="M69" s="484"/>
      <c r="N69" s="475">
        <f t="shared" si="3"/>
        <v>0</v>
      </c>
      <c r="O69" s="475">
        <f t="shared" si="4"/>
        <v>0</v>
      </c>
      <c r="P69" s="241"/>
    </row>
    <row r="70" spans="2:16" ht="12.5">
      <c r="B70" s="160" t="str">
        <f t="shared" si="7"/>
        <v/>
      </c>
      <c r="C70" s="469">
        <f>IF(D11="","-",+C69+1)</f>
        <v>2072</v>
      </c>
      <c r="D70" s="480">
        <f>IF(F69+SUM(E$17:E69)=D$10,F69,D$10-SUM(E$17:E69))</f>
        <v>0</v>
      </c>
      <c r="E70" s="481">
        <f t="shared" si="13"/>
        <v>0</v>
      </c>
      <c r="F70" s="482">
        <f t="shared" si="14"/>
        <v>0</v>
      </c>
      <c r="G70" s="483">
        <f t="shared" si="15"/>
        <v>0</v>
      </c>
      <c r="H70" s="452">
        <f t="shared" si="16"/>
        <v>0</v>
      </c>
      <c r="I70" s="472">
        <f t="shared" si="5"/>
        <v>0</v>
      </c>
      <c r="J70" s="472"/>
      <c r="K70" s="484"/>
      <c r="L70" s="475">
        <f t="shared" si="17"/>
        <v>0</v>
      </c>
      <c r="M70" s="484"/>
      <c r="N70" s="475">
        <f t="shared" si="3"/>
        <v>0</v>
      </c>
      <c r="O70" s="475">
        <f t="shared" si="4"/>
        <v>0</v>
      </c>
      <c r="P70" s="241"/>
    </row>
    <row r="71" spans="2:16" ht="12.5">
      <c r="B71" s="160" t="str">
        <f t="shared" si="7"/>
        <v/>
      </c>
      <c r="C71" s="469">
        <f>IF(D11="","-",+C70+1)</f>
        <v>2073</v>
      </c>
      <c r="D71" s="480">
        <f>IF(F70+SUM(E$17:E70)=D$10,F70,D$10-SUM(E$17:E70))</f>
        <v>0</v>
      </c>
      <c r="E71" s="481">
        <f t="shared" si="13"/>
        <v>0</v>
      </c>
      <c r="F71" s="482">
        <f t="shared" si="14"/>
        <v>0</v>
      </c>
      <c r="G71" s="483">
        <f t="shared" si="15"/>
        <v>0</v>
      </c>
      <c r="H71" s="452">
        <f t="shared" si="16"/>
        <v>0</v>
      </c>
      <c r="I71" s="472">
        <f t="shared" si="5"/>
        <v>0</v>
      </c>
      <c r="J71" s="472"/>
      <c r="K71" s="484"/>
      <c r="L71" s="475">
        <f t="shared" si="17"/>
        <v>0</v>
      </c>
      <c r="M71" s="484"/>
      <c r="N71" s="475">
        <f t="shared" si="3"/>
        <v>0</v>
      </c>
      <c r="O71" s="475">
        <f t="shared" si="4"/>
        <v>0</v>
      </c>
      <c r="P71" s="241"/>
    </row>
    <row r="72" spans="2:16" ht="13" thickBot="1">
      <c r="B72" s="160" t="str">
        <f t="shared" si="7"/>
        <v/>
      </c>
      <c r="C72" s="486">
        <f>IF(D11="","-",+C71+1)</f>
        <v>2074</v>
      </c>
      <c r="D72" s="608">
        <f>IF(F71+SUM(E$17:E71)=D$10,F71,D$10-SUM(E$17:E71))</f>
        <v>0</v>
      </c>
      <c r="E72" s="488">
        <f>IF(+I$14&lt;F71,I$14,D72)</f>
        <v>0</v>
      </c>
      <c r="F72" s="487">
        <f>+D72-E72</f>
        <v>0</v>
      </c>
      <c r="G72" s="541">
        <f>(D72+F72)/2*I$12+E72</f>
        <v>0</v>
      </c>
      <c r="H72" s="432">
        <f>+(D72+F72)/2*I$13+E72</f>
        <v>0</v>
      </c>
      <c r="I72" s="490">
        <f>H72-G72</f>
        <v>0</v>
      </c>
      <c r="J72" s="472"/>
      <c r="K72" s="491"/>
      <c r="L72" s="492">
        <f t="shared" si="17"/>
        <v>0</v>
      </c>
      <c r="M72" s="491"/>
      <c r="N72" s="492">
        <f t="shared" si="3"/>
        <v>0</v>
      </c>
      <c r="O72" s="492">
        <f t="shared" si="4"/>
        <v>0</v>
      </c>
      <c r="P72" s="241"/>
    </row>
    <row r="73" spans="2:16" ht="12.5">
      <c r="C73" s="344" t="s">
        <v>77</v>
      </c>
      <c r="D73" s="345"/>
      <c r="E73" s="345">
        <f>SUM(E17:E72)</f>
        <v>5058588.6200000029</v>
      </c>
      <c r="F73" s="345"/>
      <c r="G73" s="345">
        <f>SUM(G17:G72)</f>
        <v>16380501.016091129</v>
      </c>
      <c r="H73" s="345">
        <f>SUM(H17:H72)</f>
        <v>16380501.016091129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27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669817.12414746825</v>
      </c>
      <c r="N87" s="505">
        <f>IF(J92&lt;D11,0,VLOOKUP(J92,C17:O72,11))</f>
        <v>669817.12414746825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724388.04764792242</v>
      </c>
      <c r="N88" s="509">
        <f>IF(J92&lt;D11,0,VLOOKUP(J92,C99:P154,7))</f>
        <v>724388.04764792242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Broken Arrow North-Lynn Lane East 138 kV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54570.92350045417</v>
      </c>
      <c r="N89" s="514">
        <f>+N88-N87</f>
        <v>54570.92350045417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TP2017016</v>
      </c>
      <c r="E91" s="519" t="str">
        <f>E9</f>
        <v xml:space="preserve">  SPP Project ID = 41233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5058588.62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2019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3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133121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2019</v>
      </c>
      <c r="D99" s="581">
        <v>0</v>
      </c>
      <c r="E99" s="604">
        <v>92534.25</v>
      </c>
      <c r="F99" s="581">
        <v>4965987.75</v>
      </c>
      <c r="G99" s="604">
        <v>2482993.875</v>
      </c>
      <c r="H99" s="584">
        <v>348565.74518479535</v>
      </c>
      <c r="I99" s="603">
        <v>348565.74518479535</v>
      </c>
      <c r="J99" s="475">
        <f>+I99-H99</f>
        <v>0</v>
      </c>
      <c r="K99" s="475"/>
      <c r="L99" s="474">
        <f>+H99</f>
        <v>348565.74518479535</v>
      </c>
      <c r="M99" s="474">
        <f t="shared" ref="M99" si="18">IF(L99&lt;&gt;0,+H99-L99,0)</f>
        <v>0</v>
      </c>
      <c r="N99" s="474">
        <f>+I99</f>
        <v>348565.74518479535</v>
      </c>
      <c r="O99" s="474">
        <f t="shared" ref="O99:O130" si="19">IF(N99&lt;&gt;0,+I99-N99,0)</f>
        <v>0</v>
      </c>
      <c r="P99" s="474">
        <f t="shared" ref="P99:P130" si="20">+O99-M99</f>
        <v>0</v>
      </c>
    </row>
    <row r="100" spans="1:16" ht="12.5">
      <c r="B100" s="160" t="str">
        <f>IF(D100=F99,"","IU")</f>
        <v>IU</v>
      </c>
      <c r="C100" s="469">
        <f>IF(D93="","-",+C99+1)</f>
        <v>2020</v>
      </c>
      <c r="D100" s="581">
        <v>4966054.75</v>
      </c>
      <c r="E100" s="582">
        <v>117642</v>
      </c>
      <c r="F100" s="583">
        <v>4848412.75</v>
      </c>
      <c r="G100" s="583">
        <v>4907233.75</v>
      </c>
      <c r="H100" s="602">
        <v>683432.56004823186</v>
      </c>
      <c r="I100" s="603">
        <v>683432.56004823186</v>
      </c>
      <c r="J100" s="475">
        <f t="shared" ref="J100:J130" si="21">+I100-H100</f>
        <v>0</v>
      </c>
      <c r="K100" s="475"/>
      <c r="L100" s="473">
        <f>H100</f>
        <v>683432.56004823186</v>
      </c>
      <c r="M100" s="346">
        <f>IF(L100&lt;&gt;0,+H100-L100,0)</f>
        <v>0</v>
      </c>
      <c r="N100" s="473">
        <f>I100</f>
        <v>683432.56004823186</v>
      </c>
      <c r="O100" s="475">
        <f t="shared" si="19"/>
        <v>0</v>
      </c>
      <c r="P100" s="475">
        <f t="shared" si="20"/>
        <v>0</v>
      </c>
    </row>
    <row r="101" spans="1:16" ht="12.5">
      <c r="B101" s="160" t="str">
        <f t="shared" ref="B101:B154" si="22">IF(D101=F100,"","IU")</f>
        <v/>
      </c>
      <c r="C101" s="469">
        <f>IF(D93="","-",+C100+1)</f>
        <v>2021</v>
      </c>
      <c r="D101" s="581">
        <v>4848412.75</v>
      </c>
      <c r="E101" s="582">
        <v>123380</v>
      </c>
      <c r="F101" s="583">
        <v>4725032.75</v>
      </c>
      <c r="G101" s="583">
        <v>4786722.75</v>
      </c>
      <c r="H101" s="602">
        <v>668074.55118974927</v>
      </c>
      <c r="I101" s="603">
        <v>668074.55118974927</v>
      </c>
      <c r="J101" s="475">
        <f t="shared" si="21"/>
        <v>0</v>
      </c>
      <c r="K101" s="475"/>
      <c r="L101" s="473">
        <f>H101</f>
        <v>668074.55118974927</v>
      </c>
      <c r="M101" s="346">
        <f>IF(L101&lt;&gt;0,+H101-L101,0)</f>
        <v>0</v>
      </c>
      <c r="N101" s="473">
        <f>I101</f>
        <v>668074.55118974927</v>
      </c>
      <c r="O101" s="475">
        <f t="shared" si="19"/>
        <v>0</v>
      </c>
      <c r="P101" s="475">
        <f t="shared" si="20"/>
        <v>0</v>
      </c>
    </row>
    <row r="102" spans="1:16" ht="12.5">
      <c r="B102" s="160" t="str">
        <f t="shared" si="22"/>
        <v>IU</v>
      </c>
      <c r="C102" s="469">
        <f>IF(D93="","-",+C101+1)</f>
        <v>2022</v>
      </c>
      <c r="D102" s="581">
        <v>4848412.75</v>
      </c>
      <c r="E102" s="582">
        <v>123380</v>
      </c>
      <c r="F102" s="583">
        <v>4725032.75</v>
      </c>
      <c r="G102" s="583">
        <v>4786722.75</v>
      </c>
      <c r="H102" s="602">
        <v>668074.55118974927</v>
      </c>
      <c r="I102" s="603">
        <v>668074.55118974927</v>
      </c>
      <c r="J102" s="475">
        <f t="shared" si="21"/>
        <v>0</v>
      </c>
      <c r="K102" s="475"/>
      <c r="L102" s="473">
        <f>H102</f>
        <v>668074.55118974927</v>
      </c>
      <c r="M102" s="346">
        <f>IF(L102&lt;&gt;0,+H102-L102,0)</f>
        <v>0</v>
      </c>
      <c r="N102" s="473">
        <f>I102</f>
        <v>668074.55118974927</v>
      </c>
      <c r="O102" s="475">
        <f t="shared" ref="O102" si="23">IF(N102&lt;&gt;0,+I102-N102,0)</f>
        <v>0</v>
      </c>
      <c r="P102" s="475">
        <f t="shared" si="20"/>
        <v>0</v>
      </c>
    </row>
    <row r="103" spans="1:16" ht="12.5">
      <c r="B103" s="160" t="str">
        <f t="shared" si="22"/>
        <v>IU</v>
      </c>
      <c r="C103" s="469">
        <f>IF(D93="","-",+C102+1)</f>
        <v>2023</v>
      </c>
      <c r="D103" s="581">
        <v>4601652.37</v>
      </c>
      <c r="E103" s="582">
        <v>133121</v>
      </c>
      <c r="F103" s="583">
        <v>4468531.37</v>
      </c>
      <c r="G103" s="583">
        <v>4535091.87</v>
      </c>
      <c r="H103" s="602">
        <v>651151.17964586476</v>
      </c>
      <c r="I103" s="603">
        <v>651151.17964586476</v>
      </c>
      <c r="J103" s="475">
        <f t="shared" si="21"/>
        <v>0</v>
      </c>
      <c r="K103" s="475"/>
      <c r="L103" s="473">
        <f>H103</f>
        <v>651151.17964586476</v>
      </c>
      <c r="M103" s="346">
        <f>IF(L103&lt;&gt;0,+H103-L103,0)</f>
        <v>0</v>
      </c>
      <c r="N103" s="473">
        <f>I103</f>
        <v>651151.17964586476</v>
      </c>
      <c r="O103" s="475">
        <f t="shared" ref="O103" si="24">IF(N103&lt;&gt;0,+I103-N103,0)</f>
        <v>0</v>
      </c>
      <c r="P103" s="475">
        <f t="shared" si="20"/>
        <v>0</v>
      </c>
    </row>
    <row r="104" spans="1:16" ht="12.5">
      <c r="B104" s="160" t="str">
        <f t="shared" si="22"/>
        <v/>
      </c>
      <c r="C104" s="469">
        <f>IF(D93="","-",+C103+1)</f>
        <v>2024</v>
      </c>
      <c r="D104" s="344">
        <f>IF(F103+SUM(E$99:E103)=D$92,F103,D$92-SUM(E$99:E103))</f>
        <v>4468531.37</v>
      </c>
      <c r="E104" s="481">
        <f t="shared" ref="E104:E154" si="25">IF(+J$96&lt;F103,J$96,D104)</f>
        <v>133121</v>
      </c>
      <c r="F104" s="482">
        <f t="shared" ref="F104:F154" si="26">+D104-E104</f>
        <v>4335410.37</v>
      </c>
      <c r="G104" s="482">
        <f t="shared" ref="G104:G154" si="27">+(F104+D104)/2</f>
        <v>4401970.87</v>
      </c>
      <c r="H104" s="483">
        <f t="shared" ref="H104:H153" si="28">(D104+F104)/2*J$94+E104</f>
        <v>724388.04764792242</v>
      </c>
      <c r="I104" s="539">
        <f t="shared" ref="I104:I153" si="29">+J$95*G104+E104</f>
        <v>724388.04764792242</v>
      </c>
      <c r="J104" s="475">
        <f t="shared" si="21"/>
        <v>0</v>
      </c>
      <c r="K104" s="475"/>
      <c r="L104" s="484"/>
      <c r="M104" s="475">
        <f t="shared" ref="M104:M130" si="30">IF(L104&lt;&gt;0,+H104-L104,0)</f>
        <v>0</v>
      </c>
      <c r="N104" s="484"/>
      <c r="O104" s="475">
        <f t="shared" si="19"/>
        <v>0</v>
      </c>
      <c r="P104" s="475">
        <f t="shared" si="20"/>
        <v>0</v>
      </c>
    </row>
    <row r="105" spans="1:16" ht="12.5">
      <c r="B105" s="160" t="str">
        <f t="shared" si="22"/>
        <v/>
      </c>
      <c r="C105" s="469">
        <f>IF(D93="","-",+C104+1)</f>
        <v>2025</v>
      </c>
      <c r="D105" s="344">
        <f>IF(F104+SUM(E$99:E104)=D$92,F104,D$92-SUM(E$99:E104))</f>
        <v>4335410.37</v>
      </c>
      <c r="E105" s="481">
        <f t="shared" si="25"/>
        <v>133121</v>
      </c>
      <c r="F105" s="482">
        <f t="shared" si="26"/>
        <v>4202289.37</v>
      </c>
      <c r="G105" s="482">
        <f t="shared" si="27"/>
        <v>4268849.87</v>
      </c>
      <c r="H105" s="483">
        <f t="shared" si="28"/>
        <v>706507.4066863117</v>
      </c>
      <c r="I105" s="539">
        <f t="shared" si="29"/>
        <v>706507.4066863117</v>
      </c>
      <c r="J105" s="475">
        <f t="shared" si="21"/>
        <v>0</v>
      </c>
      <c r="K105" s="475"/>
      <c r="L105" s="484"/>
      <c r="M105" s="475">
        <f t="shared" si="30"/>
        <v>0</v>
      </c>
      <c r="N105" s="484"/>
      <c r="O105" s="475">
        <f t="shared" si="19"/>
        <v>0</v>
      </c>
      <c r="P105" s="475">
        <f t="shared" si="20"/>
        <v>0</v>
      </c>
    </row>
    <row r="106" spans="1:16" ht="12.5">
      <c r="B106" s="160" t="str">
        <f t="shared" si="22"/>
        <v/>
      </c>
      <c r="C106" s="469">
        <f>IF(D93="","-",+C105+1)</f>
        <v>2026</v>
      </c>
      <c r="D106" s="344">
        <f>IF(F105+SUM(E$99:E105)=D$92,F105,D$92-SUM(E$99:E105))</f>
        <v>4202289.37</v>
      </c>
      <c r="E106" s="481">
        <f t="shared" si="25"/>
        <v>133121</v>
      </c>
      <c r="F106" s="482">
        <f t="shared" si="26"/>
        <v>4069168.37</v>
      </c>
      <c r="G106" s="482">
        <f t="shared" si="27"/>
        <v>4135728.87</v>
      </c>
      <c r="H106" s="483">
        <f t="shared" si="28"/>
        <v>688626.76572470099</v>
      </c>
      <c r="I106" s="539">
        <f t="shared" si="29"/>
        <v>688626.76572470099</v>
      </c>
      <c r="J106" s="475">
        <f t="shared" si="21"/>
        <v>0</v>
      </c>
      <c r="K106" s="475"/>
      <c r="L106" s="484"/>
      <c r="M106" s="475">
        <f t="shared" si="30"/>
        <v>0</v>
      </c>
      <c r="N106" s="484"/>
      <c r="O106" s="475">
        <f t="shared" si="19"/>
        <v>0</v>
      </c>
      <c r="P106" s="475">
        <f t="shared" si="20"/>
        <v>0</v>
      </c>
    </row>
    <row r="107" spans="1:16" ht="12.5">
      <c r="B107" s="160" t="str">
        <f t="shared" si="22"/>
        <v/>
      </c>
      <c r="C107" s="469">
        <f>IF(D93="","-",+C106+1)</f>
        <v>2027</v>
      </c>
      <c r="D107" s="344">
        <f>IF(F106+SUM(E$99:E106)=D$92,F106,D$92-SUM(E$99:E106))</f>
        <v>4069168.37</v>
      </c>
      <c r="E107" s="481">
        <f t="shared" si="25"/>
        <v>133121</v>
      </c>
      <c r="F107" s="482">
        <f t="shared" si="26"/>
        <v>3936047.37</v>
      </c>
      <c r="G107" s="482">
        <f t="shared" si="27"/>
        <v>4002607.87</v>
      </c>
      <c r="H107" s="483">
        <f t="shared" si="28"/>
        <v>670746.12476309028</v>
      </c>
      <c r="I107" s="539">
        <f t="shared" si="29"/>
        <v>670746.12476309028</v>
      </c>
      <c r="J107" s="475">
        <f t="shared" si="21"/>
        <v>0</v>
      </c>
      <c r="K107" s="475"/>
      <c r="L107" s="484"/>
      <c r="M107" s="475">
        <f t="shared" si="30"/>
        <v>0</v>
      </c>
      <c r="N107" s="484"/>
      <c r="O107" s="475">
        <f t="shared" si="19"/>
        <v>0</v>
      </c>
      <c r="P107" s="475">
        <f t="shared" si="20"/>
        <v>0</v>
      </c>
    </row>
    <row r="108" spans="1:16" ht="12.5">
      <c r="B108" s="160" t="str">
        <f t="shared" si="22"/>
        <v/>
      </c>
      <c r="C108" s="469">
        <f>IF(D93="","-",+C107+1)</f>
        <v>2028</v>
      </c>
      <c r="D108" s="344">
        <f>IF(F107+SUM(E$99:E107)=D$92,F107,D$92-SUM(E$99:E107))</f>
        <v>3936047.37</v>
      </c>
      <c r="E108" s="481">
        <f t="shared" si="25"/>
        <v>133121</v>
      </c>
      <c r="F108" s="482">
        <f t="shared" si="26"/>
        <v>3802926.37</v>
      </c>
      <c r="G108" s="482">
        <f t="shared" si="27"/>
        <v>3869486.87</v>
      </c>
      <c r="H108" s="483">
        <f t="shared" si="28"/>
        <v>652865.48380147968</v>
      </c>
      <c r="I108" s="539">
        <f t="shared" si="29"/>
        <v>652865.48380147968</v>
      </c>
      <c r="J108" s="475">
        <f t="shared" si="21"/>
        <v>0</v>
      </c>
      <c r="K108" s="475"/>
      <c r="L108" s="484"/>
      <c r="M108" s="475">
        <f t="shared" si="30"/>
        <v>0</v>
      </c>
      <c r="N108" s="484"/>
      <c r="O108" s="475">
        <f t="shared" si="19"/>
        <v>0</v>
      </c>
      <c r="P108" s="475">
        <f t="shared" si="20"/>
        <v>0</v>
      </c>
    </row>
    <row r="109" spans="1:16" ht="12.5">
      <c r="B109" s="160" t="str">
        <f t="shared" si="22"/>
        <v/>
      </c>
      <c r="C109" s="469">
        <f>IF(D93="","-",+C108+1)</f>
        <v>2029</v>
      </c>
      <c r="D109" s="344">
        <f>IF(F108+SUM(E$99:E108)=D$92,F108,D$92-SUM(E$99:E108))</f>
        <v>3802926.37</v>
      </c>
      <c r="E109" s="481">
        <f t="shared" si="25"/>
        <v>133121</v>
      </c>
      <c r="F109" s="482">
        <f t="shared" si="26"/>
        <v>3669805.37</v>
      </c>
      <c r="G109" s="482">
        <f t="shared" si="27"/>
        <v>3736365.87</v>
      </c>
      <c r="H109" s="483">
        <f t="shared" si="28"/>
        <v>634984.84283986897</v>
      </c>
      <c r="I109" s="539">
        <f t="shared" si="29"/>
        <v>634984.84283986897</v>
      </c>
      <c r="J109" s="475">
        <f t="shared" si="21"/>
        <v>0</v>
      </c>
      <c r="K109" s="475"/>
      <c r="L109" s="484"/>
      <c r="M109" s="475">
        <f t="shared" si="30"/>
        <v>0</v>
      </c>
      <c r="N109" s="484"/>
      <c r="O109" s="475">
        <f t="shared" si="19"/>
        <v>0</v>
      </c>
      <c r="P109" s="475">
        <f t="shared" si="20"/>
        <v>0</v>
      </c>
    </row>
    <row r="110" spans="1:16" ht="12.5">
      <c r="B110" s="160" t="str">
        <f t="shared" si="22"/>
        <v/>
      </c>
      <c r="C110" s="469">
        <f>IF(D93="","-",+C109+1)</f>
        <v>2030</v>
      </c>
      <c r="D110" s="344">
        <f>IF(F109+SUM(E$99:E109)=D$92,F109,D$92-SUM(E$99:E109))</f>
        <v>3669805.37</v>
      </c>
      <c r="E110" s="481">
        <f t="shared" si="25"/>
        <v>133121</v>
      </c>
      <c r="F110" s="482">
        <f t="shared" si="26"/>
        <v>3536684.37</v>
      </c>
      <c r="G110" s="482">
        <f t="shared" si="27"/>
        <v>3603244.87</v>
      </c>
      <c r="H110" s="483">
        <f t="shared" si="28"/>
        <v>617104.20187825826</v>
      </c>
      <c r="I110" s="539">
        <f t="shared" si="29"/>
        <v>617104.20187825826</v>
      </c>
      <c r="J110" s="475">
        <f t="shared" si="21"/>
        <v>0</v>
      </c>
      <c r="K110" s="475"/>
      <c r="L110" s="484"/>
      <c r="M110" s="475">
        <f t="shared" si="30"/>
        <v>0</v>
      </c>
      <c r="N110" s="484"/>
      <c r="O110" s="475">
        <f t="shared" si="19"/>
        <v>0</v>
      </c>
      <c r="P110" s="475">
        <f t="shared" si="20"/>
        <v>0</v>
      </c>
    </row>
    <row r="111" spans="1:16" ht="12.5">
      <c r="B111" s="160" t="str">
        <f t="shared" si="22"/>
        <v/>
      </c>
      <c r="C111" s="469">
        <f>IF(D93="","-",+C110+1)</f>
        <v>2031</v>
      </c>
      <c r="D111" s="344">
        <f>IF(F110+SUM(E$99:E110)=D$92,F110,D$92-SUM(E$99:E110))</f>
        <v>3536684.37</v>
      </c>
      <c r="E111" s="481">
        <f t="shared" si="25"/>
        <v>133121</v>
      </c>
      <c r="F111" s="482">
        <f t="shared" si="26"/>
        <v>3403563.37</v>
      </c>
      <c r="G111" s="482">
        <f t="shared" si="27"/>
        <v>3470123.87</v>
      </c>
      <c r="H111" s="483">
        <f t="shared" si="28"/>
        <v>599223.56091664755</v>
      </c>
      <c r="I111" s="539">
        <f t="shared" si="29"/>
        <v>599223.56091664755</v>
      </c>
      <c r="J111" s="475">
        <f t="shared" si="21"/>
        <v>0</v>
      </c>
      <c r="K111" s="475"/>
      <c r="L111" s="484"/>
      <c r="M111" s="475">
        <f t="shared" si="30"/>
        <v>0</v>
      </c>
      <c r="N111" s="484"/>
      <c r="O111" s="475">
        <f t="shared" si="19"/>
        <v>0</v>
      </c>
      <c r="P111" s="475">
        <f t="shared" si="20"/>
        <v>0</v>
      </c>
    </row>
    <row r="112" spans="1:16" ht="12.5">
      <c r="B112" s="160" t="str">
        <f t="shared" si="22"/>
        <v/>
      </c>
      <c r="C112" s="469">
        <f>IF(D93="","-",+C111+1)</f>
        <v>2032</v>
      </c>
      <c r="D112" s="344">
        <f>IF(F111+SUM(E$99:E111)=D$92,F111,D$92-SUM(E$99:E111))</f>
        <v>3403563.37</v>
      </c>
      <c r="E112" s="481">
        <f t="shared" si="25"/>
        <v>133121</v>
      </c>
      <c r="F112" s="482">
        <f t="shared" si="26"/>
        <v>3270442.37</v>
      </c>
      <c r="G112" s="482">
        <f t="shared" si="27"/>
        <v>3337002.87</v>
      </c>
      <c r="H112" s="483">
        <f t="shared" si="28"/>
        <v>581342.91995503684</v>
      </c>
      <c r="I112" s="539">
        <f t="shared" si="29"/>
        <v>581342.91995503684</v>
      </c>
      <c r="J112" s="475">
        <f t="shared" si="21"/>
        <v>0</v>
      </c>
      <c r="K112" s="475"/>
      <c r="L112" s="484"/>
      <c r="M112" s="475">
        <f t="shared" si="30"/>
        <v>0</v>
      </c>
      <c r="N112" s="484"/>
      <c r="O112" s="475">
        <f t="shared" si="19"/>
        <v>0</v>
      </c>
      <c r="P112" s="475">
        <f t="shared" si="20"/>
        <v>0</v>
      </c>
    </row>
    <row r="113" spans="2:16" ht="12.5">
      <c r="B113" s="160" t="str">
        <f t="shared" si="22"/>
        <v/>
      </c>
      <c r="C113" s="469">
        <f>IF(D93="","-",+C112+1)</f>
        <v>2033</v>
      </c>
      <c r="D113" s="344">
        <f>IF(F112+SUM(E$99:E112)=D$92,F112,D$92-SUM(E$99:E112))</f>
        <v>3270442.37</v>
      </c>
      <c r="E113" s="481">
        <f t="shared" si="25"/>
        <v>133121</v>
      </c>
      <c r="F113" s="482">
        <f t="shared" si="26"/>
        <v>3137321.37</v>
      </c>
      <c r="G113" s="482">
        <f t="shared" si="27"/>
        <v>3203881.87</v>
      </c>
      <c r="H113" s="483">
        <f t="shared" si="28"/>
        <v>563462.27899342612</v>
      </c>
      <c r="I113" s="539">
        <f t="shared" si="29"/>
        <v>563462.27899342612</v>
      </c>
      <c r="J113" s="475">
        <f t="shared" si="21"/>
        <v>0</v>
      </c>
      <c r="K113" s="475"/>
      <c r="L113" s="484"/>
      <c r="M113" s="475">
        <f t="shared" si="30"/>
        <v>0</v>
      </c>
      <c r="N113" s="484"/>
      <c r="O113" s="475">
        <f t="shared" si="19"/>
        <v>0</v>
      </c>
      <c r="P113" s="475">
        <f t="shared" si="20"/>
        <v>0</v>
      </c>
    </row>
    <row r="114" spans="2:16" ht="12.5">
      <c r="B114" s="160" t="str">
        <f t="shared" si="22"/>
        <v/>
      </c>
      <c r="C114" s="469">
        <f>IF(D93="","-",+C113+1)</f>
        <v>2034</v>
      </c>
      <c r="D114" s="344">
        <f>IF(F113+SUM(E$99:E113)=D$92,F113,D$92-SUM(E$99:E113))</f>
        <v>3137321.37</v>
      </c>
      <c r="E114" s="481">
        <f t="shared" si="25"/>
        <v>133121</v>
      </c>
      <c r="F114" s="482">
        <f t="shared" si="26"/>
        <v>3004200.37</v>
      </c>
      <c r="G114" s="482">
        <f t="shared" si="27"/>
        <v>3070760.87</v>
      </c>
      <c r="H114" s="483">
        <f t="shared" si="28"/>
        <v>545581.63803181541</v>
      </c>
      <c r="I114" s="539">
        <f t="shared" si="29"/>
        <v>545581.63803181541</v>
      </c>
      <c r="J114" s="475">
        <f t="shared" si="21"/>
        <v>0</v>
      </c>
      <c r="K114" s="475"/>
      <c r="L114" s="484"/>
      <c r="M114" s="475">
        <f t="shared" si="30"/>
        <v>0</v>
      </c>
      <c r="N114" s="484"/>
      <c r="O114" s="475">
        <f t="shared" si="19"/>
        <v>0</v>
      </c>
      <c r="P114" s="475">
        <f t="shared" si="20"/>
        <v>0</v>
      </c>
    </row>
    <row r="115" spans="2:16" ht="12.5">
      <c r="B115" s="160" t="str">
        <f t="shared" si="22"/>
        <v/>
      </c>
      <c r="C115" s="469">
        <f>IF(D93="","-",+C114+1)</f>
        <v>2035</v>
      </c>
      <c r="D115" s="344">
        <f>IF(F114+SUM(E$99:E114)=D$92,F114,D$92-SUM(E$99:E114))</f>
        <v>3004200.37</v>
      </c>
      <c r="E115" s="481">
        <f t="shared" si="25"/>
        <v>133121</v>
      </c>
      <c r="F115" s="482">
        <f t="shared" si="26"/>
        <v>2871079.37</v>
      </c>
      <c r="G115" s="482">
        <f t="shared" si="27"/>
        <v>2937639.87</v>
      </c>
      <c r="H115" s="483">
        <f t="shared" si="28"/>
        <v>527700.9970702047</v>
      </c>
      <c r="I115" s="539">
        <f t="shared" si="29"/>
        <v>527700.9970702047</v>
      </c>
      <c r="J115" s="475">
        <f t="shared" si="21"/>
        <v>0</v>
      </c>
      <c r="K115" s="475"/>
      <c r="L115" s="484"/>
      <c r="M115" s="475">
        <f t="shared" si="30"/>
        <v>0</v>
      </c>
      <c r="N115" s="484"/>
      <c r="O115" s="475">
        <f t="shared" si="19"/>
        <v>0</v>
      </c>
      <c r="P115" s="475">
        <f t="shared" si="20"/>
        <v>0</v>
      </c>
    </row>
    <row r="116" spans="2:16" ht="12.5">
      <c r="B116" s="160" t="str">
        <f t="shared" si="22"/>
        <v/>
      </c>
      <c r="C116" s="469">
        <f>IF(D93="","-",+C115+1)</f>
        <v>2036</v>
      </c>
      <c r="D116" s="344">
        <f>IF(F115+SUM(E$99:E115)=D$92,F115,D$92-SUM(E$99:E115))</f>
        <v>2871079.37</v>
      </c>
      <c r="E116" s="481">
        <f t="shared" si="25"/>
        <v>133121</v>
      </c>
      <c r="F116" s="482">
        <f t="shared" si="26"/>
        <v>2737958.37</v>
      </c>
      <c r="G116" s="482">
        <f t="shared" si="27"/>
        <v>2804518.87</v>
      </c>
      <c r="H116" s="483">
        <f t="shared" si="28"/>
        <v>509820.35610859405</v>
      </c>
      <c r="I116" s="539">
        <f t="shared" si="29"/>
        <v>509820.35610859405</v>
      </c>
      <c r="J116" s="475">
        <f t="shared" si="21"/>
        <v>0</v>
      </c>
      <c r="K116" s="475"/>
      <c r="L116" s="484"/>
      <c r="M116" s="475">
        <f t="shared" si="30"/>
        <v>0</v>
      </c>
      <c r="N116" s="484"/>
      <c r="O116" s="475">
        <f t="shared" si="19"/>
        <v>0</v>
      </c>
      <c r="P116" s="475">
        <f t="shared" si="20"/>
        <v>0</v>
      </c>
    </row>
    <row r="117" spans="2:16" ht="12.5">
      <c r="B117" s="160" t="str">
        <f t="shared" si="22"/>
        <v/>
      </c>
      <c r="C117" s="469">
        <f>IF(D93="","-",+C116+1)</f>
        <v>2037</v>
      </c>
      <c r="D117" s="344">
        <f>IF(F116+SUM(E$99:E116)=D$92,F116,D$92-SUM(E$99:E116))</f>
        <v>2737958.37</v>
      </c>
      <c r="E117" s="481">
        <f t="shared" si="25"/>
        <v>133121</v>
      </c>
      <c r="F117" s="482">
        <f t="shared" si="26"/>
        <v>2604837.37</v>
      </c>
      <c r="G117" s="482">
        <f t="shared" si="27"/>
        <v>2671397.87</v>
      </c>
      <c r="H117" s="483">
        <f t="shared" si="28"/>
        <v>491939.71514698333</v>
      </c>
      <c r="I117" s="539">
        <f t="shared" si="29"/>
        <v>491939.71514698333</v>
      </c>
      <c r="J117" s="475">
        <f t="shared" si="21"/>
        <v>0</v>
      </c>
      <c r="K117" s="475"/>
      <c r="L117" s="484"/>
      <c r="M117" s="475">
        <f t="shared" si="30"/>
        <v>0</v>
      </c>
      <c r="N117" s="484"/>
      <c r="O117" s="475">
        <f t="shared" si="19"/>
        <v>0</v>
      </c>
      <c r="P117" s="475">
        <f t="shared" si="20"/>
        <v>0</v>
      </c>
    </row>
    <row r="118" spans="2:16" ht="12.5">
      <c r="B118" s="160" t="str">
        <f t="shared" si="22"/>
        <v/>
      </c>
      <c r="C118" s="469">
        <f>IF(D93="","-",+C117+1)</f>
        <v>2038</v>
      </c>
      <c r="D118" s="344">
        <f>IF(F117+SUM(E$99:E117)=D$92,F117,D$92-SUM(E$99:E117))</f>
        <v>2604837.37</v>
      </c>
      <c r="E118" s="481">
        <f t="shared" si="25"/>
        <v>133121</v>
      </c>
      <c r="F118" s="482">
        <f t="shared" si="26"/>
        <v>2471716.37</v>
      </c>
      <c r="G118" s="482">
        <f t="shared" si="27"/>
        <v>2538276.87</v>
      </c>
      <c r="H118" s="483">
        <f t="shared" si="28"/>
        <v>474059.07418537268</v>
      </c>
      <c r="I118" s="539">
        <f t="shared" si="29"/>
        <v>474059.07418537268</v>
      </c>
      <c r="J118" s="475">
        <f t="shared" si="21"/>
        <v>0</v>
      </c>
      <c r="K118" s="475"/>
      <c r="L118" s="484"/>
      <c r="M118" s="475">
        <f t="shared" si="30"/>
        <v>0</v>
      </c>
      <c r="N118" s="484"/>
      <c r="O118" s="475">
        <f t="shared" si="19"/>
        <v>0</v>
      </c>
      <c r="P118" s="475">
        <f t="shared" si="20"/>
        <v>0</v>
      </c>
    </row>
    <row r="119" spans="2:16" ht="12.5">
      <c r="B119" s="160" t="str">
        <f t="shared" si="22"/>
        <v/>
      </c>
      <c r="C119" s="469">
        <f>IF(D93="","-",+C118+1)</f>
        <v>2039</v>
      </c>
      <c r="D119" s="344">
        <f>IF(F118+SUM(E$99:E118)=D$92,F118,D$92-SUM(E$99:E118))</f>
        <v>2471716.37</v>
      </c>
      <c r="E119" s="481">
        <f t="shared" si="25"/>
        <v>133121</v>
      </c>
      <c r="F119" s="482">
        <f t="shared" si="26"/>
        <v>2338595.37</v>
      </c>
      <c r="G119" s="482">
        <f t="shared" si="27"/>
        <v>2405155.87</v>
      </c>
      <c r="H119" s="483">
        <f t="shared" si="28"/>
        <v>456178.43322376197</v>
      </c>
      <c r="I119" s="539">
        <f t="shared" si="29"/>
        <v>456178.43322376197</v>
      </c>
      <c r="J119" s="475">
        <f t="shared" si="21"/>
        <v>0</v>
      </c>
      <c r="K119" s="475"/>
      <c r="L119" s="484"/>
      <c r="M119" s="475">
        <f t="shared" si="30"/>
        <v>0</v>
      </c>
      <c r="N119" s="484"/>
      <c r="O119" s="475">
        <f t="shared" si="19"/>
        <v>0</v>
      </c>
      <c r="P119" s="475">
        <f t="shared" si="20"/>
        <v>0</v>
      </c>
    </row>
    <row r="120" spans="2:16" ht="12.5">
      <c r="B120" s="160" t="str">
        <f t="shared" si="22"/>
        <v/>
      </c>
      <c r="C120" s="469">
        <f>IF(D93="","-",+C119+1)</f>
        <v>2040</v>
      </c>
      <c r="D120" s="344">
        <f>IF(F119+SUM(E$99:E119)=D$92,F119,D$92-SUM(E$99:E119))</f>
        <v>2338595.37</v>
      </c>
      <c r="E120" s="481">
        <f t="shared" si="25"/>
        <v>133121</v>
      </c>
      <c r="F120" s="482">
        <f t="shared" si="26"/>
        <v>2205474.37</v>
      </c>
      <c r="G120" s="482">
        <f t="shared" si="27"/>
        <v>2272034.87</v>
      </c>
      <c r="H120" s="483">
        <f t="shared" si="28"/>
        <v>438297.79226215126</v>
      </c>
      <c r="I120" s="539">
        <f t="shared" si="29"/>
        <v>438297.79226215126</v>
      </c>
      <c r="J120" s="475">
        <f t="shared" si="21"/>
        <v>0</v>
      </c>
      <c r="K120" s="475"/>
      <c r="L120" s="484"/>
      <c r="M120" s="475">
        <f t="shared" si="30"/>
        <v>0</v>
      </c>
      <c r="N120" s="484"/>
      <c r="O120" s="475">
        <f t="shared" si="19"/>
        <v>0</v>
      </c>
      <c r="P120" s="475">
        <f t="shared" si="20"/>
        <v>0</v>
      </c>
    </row>
    <row r="121" spans="2:16" ht="12.5">
      <c r="B121" s="160" t="str">
        <f t="shared" si="22"/>
        <v/>
      </c>
      <c r="C121" s="469">
        <f>IF(D93="","-",+C120+1)</f>
        <v>2041</v>
      </c>
      <c r="D121" s="344">
        <f>IF(F120+SUM(E$99:E120)=D$92,F120,D$92-SUM(E$99:E120))</f>
        <v>2205474.37</v>
      </c>
      <c r="E121" s="481">
        <f t="shared" si="25"/>
        <v>133121</v>
      </c>
      <c r="F121" s="482">
        <f t="shared" si="26"/>
        <v>2072353.37</v>
      </c>
      <c r="G121" s="482">
        <f t="shared" si="27"/>
        <v>2138913.87</v>
      </c>
      <c r="H121" s="483">
        <f t="shared" si="28"/>
        <v>420417.15130054054</v>
      </c>
      <c r="I121" s="539">
        <f t="shared" si="29"/>
        <v>420417.15130054054</v>
      </c>
      <c r="J121" s="475">
        <f t="shared" si="21"/>
        <v>0</v>
      </c>
      <c r="K121" s="475"/>
      <c r="L121" s="484"/>
      <c r="M121" s="475">
        <f t="shared" si="30"/>
        <v>0</v>
      </c>
      <c r="N121" s="484"/>
      <c r="O121" s="475">
        <f t="shared" si="19"/>
        <v>0</v>
      </c>
      <c r="P121" s="475">
        <f t="shared" si="20"/>
        <v>0</v>
      </c>
    </row>
    <row r="122" spans="2:16" ht="12.5">
      <c r="B122" s="160" t="str">
        <f t="shared" si="22"/>
        <v/>
      </c>
      <c r="C122" s="469">
        <f>IF(D93="","-",+C121+1)</f>
        <v>2042</v>
      </c>
      <c r="D122" s="344">
        <f>IF(F121+SUM(E$99:E121)=D$92,F121,D$92-SUM(E$99:E121))</f>
        <v>2072353.37</v>
      </c>
      <c r="E122" s="481">
        <f t="shared" si="25"/>
        <v>133121</v>
      </c>
      <c r="F122" s="482">
        <f t="shared" si="26"/>
        <v>1939232.37</v>
      </c>
      <c r="G122" s="482">
        <f t="shared" si="27"/>
        <v>2005792.87</v>
      </c>
      <c r="H122" s="483">
        <f t="shared" si="28"/>
        <v>402536.51033892989</v>
      </c>
      <c r="I122" s="539">
        <f t="shared" si="29"/>
        <v>402536.51033892989</v>
      </c>
      <c r="J122" s="475">
        <f t="shared" si="21"/>
        <v>0</v>
      </c>
      <c r="K122" s="475"/>
      <c r="L122" s="484"/>
      <c r="M122" s="475">
        <f t="shared" si="30"/>
        <v>0</v>
      </c>
      <c r="N122" s="484"/>
      <c r="O122" s="475">
        <f t="shared" si="19"/>
        <v>0</v>
      </c>
      <c r="P122" s="475">
        <f t="shared" si="20"/>
        <v>0</v>
      </c>
    </row>
    <row r="123" spans="2:16" ht="12.5">
      <c r="B123" s="160" t="str">
        <f t="shared" si="22"/>
        <v/>
      </c>
      <c r="C123" s="469">
        <f>IF(D93="","-",+C122+1)</f>
        <v>2043</v>
      </c>
      <c r="D123" s="344">
        <f>IF(F122+SUM(E$99:E122)=D$92,F122,D$92-SUM(E$99:E122))</f>
        <v>1939232.37</v>
      </c>
      <c r="E123" s="481">
        <f t="shared" si="25"/>
        <v>133121</v>
      </c>
      <c r="F123" s="482">
        <f t="shared" si="26"/>
        <v>1806111.37</v>
      </c>
      <c r="G123" s="482">
        <f t="shared" si="27"/>
        <v>1872671.87</v>
      </c>
      <c r="H123" s="483">
        <f t="shared" si="28"/>
        <v>384655.86937731918</v>
      </c>
      <c r="I123" s="539">
        <f t="shared" si="29"/>
        <v>384655.86937731918</v>
      </c>
      <c r="J123" s="475">
        <f t="shared" si="21"/>
        <v>0</v>
      </c>
      <c r="K123" s="475"/>
      <c r="L123" s="484"/>
      <c r="M123" s="475">
        <f t="shared" si="30"/>
        <v>0</v>
      </c>
      <c r="N123" s="484"/>
      <c r="O123" s="475">
        <f t="shared" si="19"/>
        <v>0</v>
      </c>
      <c r="P123" s="475">
        <f t="shared" si="20"/>
        <v>0</v>
      </c>
    </row>
    <row r="124" spans="2:16" ht="12.5">
      <c r="B124" s="160" t="str">
        <f t="shared" si="22"/>
        <v/>
      </c>
      <c r="C124" s="469">
        <f>IF(D93="","-",+C123+1)</f>
        <v>2044</v>
      </c>
      <c r="D124" s="344">
        <f>IF(F123+SUM(E$99:E123)=D$92,F123,D$92-SUM(E$99:E123))</f>
        <v>1806111.37</v>
      </c>
      <c r="E124" s="481">
        <f t="shared" si="25"/>
        <v>133121</v>
      </c>
      <c r="F124" s="482">
        <f t="shared" si="26"/>
        <v>1672990.37</v>
      </c>
      <c r="G124" s="482">
        <f t="shared" si="27"/>
        <v>1739550.87</v>
      </c>
      <c r="H124" s="483">
        <f t="shared" si="28"/>
        <v>366775.22841570847</v>
      </c>
      <c r="I124" s="539">
        <f t="shared" si="29"/>
        <v>366775.22841570847</v>
      </c>
      <c r="J124" s="475">
        <f t="shared" si="21"/>
        <v>0</v>
      </c>
      <c r="K124" s="475"/>
      <c r="L124" s="484"/>
      <c r="M124" s="475">
        <f t="shared" si="30"/>
        <v>0</v>
      </c>
      <c r="N124" s="484"/>
      <c r="O124" s="475">
        <f t="shared" si="19"/>
        <v>0</v>
      </c>
      <c r="P124" s="475">
        <f t="shared" si="20"/>
        <v>0</v>
      </c>
    </row>
    <row r="125" spans="2:16" ht="12.5">
      <c r="B125" s="160" t="str">
        <f t="shared" si="22"/>
        <v/>
      </c>
      <c r="C125" s="469">
        <f>IF(D93="","-",+C124+1)</f>
        <v>2045</v>
      </c>
      <c r="D125" s="344">
        <f>IF(F124+SUM(E$99:E124)=D$92,F124,D$92-SUM(E$99:E124))</f>
        <v>1672990.37</v>
      </c>
      <c r="E125" s="481">
        <f t="shared" si="25"/>
        <v>133121</v>
      </c>
      <c r="F125" s="482">
        <f t="shared" si="26"/>
        <v>1539869.37</v>
      </c>
      <c r="G125" s="482">
        <f t="shared" si="27"/>
        <v>1606429.87</v>
      </c>
      <c r="H125" s="483">
        <f t="shared" si="28"/>
        <v>348894.58745409781</v>
      </c>
      <c r="I125" s="539">
        <f t="shared" si="29"/>
        <v>348894.58745409781</v>
      </c>
      <c r="J125" s="475">
        <f t="shared" si="21"/>
        <v>0</v>
      </c>
      <c r="K125" s="475"/>
      <c r="L125" s="484"/>
      <c r="M125" s="475">
        <f t="shared" si="30"/>
        <v>0</v>
      </c>
      <c r="N125" s="484"/>
      <c r="O125" s="475">
        <f t="shared" si="19"/>
        <v>0</v>
      </c>
      <c r="P125" s="475">
        <f t="shared" si="20"/>
        <v>0</v>
      </c>
    </row>
    <row r="126" spans="2:16" ht="12.5">
      <c r="B126" s="160" t="str">
        <f t="shared" si="22"/>
        <v/>
      </c>
      <c r="C126" s="469">
        <f>IF(D93="","-",+C125+1)</f>
        <v>2046</v>
      </c>
      <c r="D126" s="344">
        <f>IF(F125+SUM(E$99:E125)=D$92,F125,D$92-SUM(E$99:E125))</f>
        <v>1539869.37</v>
      </c>
      <c r="E126" s="481">
        <f t="shared" si="25"/>
        <v>133121</v>
      </c>
      <c r="F126" s="482">
        <f t="shared" si="26"/>
        <v>1406748.37</v>
      </c>
      <c r="G126" s="482">
        <f t="shared" si="27"/>
        <v>1473308.87</v>
      </c>
      <c r="H126" s="483">
        <f t="shared" si="28"/>
        <v>331013.9464924871</v>
      </c>
      <c r="I126" s="539">
        <f t="shared" si="29"/>
        <v>331013.9464924871</v>
      </c>
      <c r="J126" s="475">
        <f t="shared" si="21"/>
        <v>0</v>
      </c>
      <c r="K126" s="475"/>
      <c r="L126" s="484"/>
      <c r="M126" s="475">
        <f t="shared" si="30"/>
        <v>0</v>
      </c>
      <c r="N126" s="484"/>
      <c r="O126" s="475">
        <f t="shared" si="19"/>
        <v>0</v>
      </c>
      <c r="P126" s="475">
        <f t="shared" si="20"/>
        <v>0</v>
      </c>
    </row>
    <row r="127" spans="2:16" ht="12.5">
      <c r="B127" s="160" t="str">
        <f t="shared" si="22"/>
        <v/>
      </c>
      <c r="C127" s="469">
        <f>IF(D93="","-",+C126+1)</f>
        <v>2047</v>
      </c>
      <c r="D127" s="344">
        <f>IF(F126+SUM(E$99:E126)=D$92,F126,D$92-SUM(E$99:E126))</f>
        <v>1406748.37</v>
      </c>
      <c r="E127" s="481">
        <f t="shared" si="25"/>
        <v>133121</v>
      </c>
      <c r="F127" s="482">
        <f t="shared" si="26"/>
        <v>1273627.3700000001</v>
      </c>
      <c r="G127" s="482">
        <f t="shared" si="27"/>
        <v>1340187.8700000001</v>
      </c>
      <c r="H127" s="483">
        <f t="shared" si="28"/>
        <v>313133.30553087639</v>
      </c>
      <c r="I127" s="539">
        <f t="shared" si="29"/>
        <v>313133.30553087639</v>
      </c>
      <c r="J127" s="475">
        <f t="shared" si="21"/>
        <v>0</v>
      </c>
      <c r="K127" s="475"/>
      <c r="L127" s="484"/>
      <c r="M127" s="475">
        <f t="shared" si="30"/>
        <v>0</v>
      </c>
      <c r="N127" s="484"/>
      <c r="O127" s="475">
        <f t="shared" si="19"/>
        <v>0</v>
      </c>
      <c r="P127" s="475">
        <f t="shared" si="20"/>
        <v>0</v>
      </c>
    </row>
    <row r="128" spans="2:16" ht="12.5">
      <c r="B128" s="160" t="str">
        <f t="shared" si="22"/>
        <v/>
      </c>
      <c r="C128" s="469">
        <f>IF(D93="","-",+C127+1)</f>
        <v>2048</v>
      </c>
      <c r="D128" s="344">
        <f>IF(F127+SUM(E$99:E127)=D$92,F127,D$92-SUM(E$99:E127))</f>
        <v>1273627.3700000001</v>
      </c>
      <c r="E128" s="481">
        <f t="shared" si="25"/>
        <v>133121</v>
      </c>
      <c r="F128" s="482">
        <f t="shared" si="26"/>
        <v>1140506.3700000001</v>
      </c>
      <c r="G128" s="482">
        <f t="shared" si="27"/>
        <v>1207066.8700000001</v>
      </c>
      <c r="H128" s="483">
        <f t="shared" si="28"/>
        <v>295252.66456926567</v>
      </c>
      <c r="I128" s="539">
        <f t="shared" si="29"/>
        <v>295252.66456926567</v>
      </c>
      <c r="J128" s="475">
        <f t="shared" si="21"/>
        <v>0</v>
      </c>
      <c r="K128" s="475"/>
      <c r="L128" s="484"/>
      <c r="M128" s="475">
        <f t="shared" si="30"/>
        <v>0</v>
      </c>
      <c r="N128" s="484"/>
      <c r="O128" s="475">
        <f t="shared" si="19"/>
        <v>0</v>
      </c>
      <c r="P128" s="475">
        <f t="shared" si="20"/>
        <v>0</v>
      </c>
    </row>
    <row r="129" spans="2:16" ht="12.5">
      <c r="B129" s="160" t="str">
        <f t="shared" si="22"/>
        <v/>
      </c>
      <c r="C129" s="469">
        <f>IF(D93="","-",+C128+1)</f>
        <v>2049</v>
      </c>
      <c r="D129" s="344">
        <f>IF(F128+SUM(E$99:E128)=D$92,F128,D$92-SUM(E$99:E128))</f>
        <v>1140506.3700000001</v>
      </c>
      <c r="E129" s="481">
        <f t="shared" si="25"/>
        <v>133121</v>
      </c>
      <c r="F129" s="482">
        <f t="shared" si="26"/>
        <v>1007385.3700000001</v>
      </c>
      <c r="G129" s="482">
        <f t="shared" si="27"/>
        <v>1073945.8700000001</v>
      </c>
      <c r="H129" s="483">
        <f t="shared" si="28"/>
        <v>277372.02360765496</v>
      </c>
      <c r="I129" s="539">
        <f t="shared" si="29"/>
        <v>277372.02360765496</v>
      </c>
      <c r="J129" s="475">
        <f t="shared" si="21"/>
        <v>0</v>
      </c>
      <c r="K129" s="475"/>
      <c r="L129" s="484"/>
      <c r="M129" s="475">
        <f t="shared" si="30"/>
        <v>0</v>
      </c>
      <c r="N129" s="484"/>
      <c r="O129" s="475">
        <f t="shared" si="19"/>
        <v>0</v>
      </c>
      <c r="P129" s="475">
        <f t="shared" si="20"/>
        <v>0</v>
      </c>
    </row>
    <row r="130" spans="2:16" ht="12.5">
      <c r="B130" s="160" t="str">
        <f t="shared" si="22"/>
        <v/>
      </c>
      <c r="C130" s="469">
        <f>IF(D93="","-",+C129+1)</f>
        <v>2050</v>
      </c>
      <c r="D130" s="344">
        <f>IF(F129+SUM(E$99:E129)=D$92,F129,D$92-SUM(E$99:E129))</f>
        <v>1007385.3700000001</v>
      </c>
      <c r="E130" s="481">
        <f t="shared" si="25"/>
        <v>133121</v>
      </c>
      <c r="F130" s="482">
        <f t="shared" si="26"/>
        <v>874264.37000000011</v>
      </c>
      <c r="G130" s="482">
        <f t="shared" si="27"/>
        <v>940824.87000000011</v>
      </c>
      <c r="H130" s="483">
        <f t="shared" si="28"/>
        <v>259491.38264604431</v>
      </c>
      <c r="I130" s="539">
        <f t="shared" si="29"/>
        <v>259491.38264604431</v>
      </c>
      <c r="J130" s="475">
        <f t="shared" si="21"/>
        <v>0</v>
      </c>
      <c r="K130" s="475"/>
      <c r="L130" s="484"/>
      <c r="M130" s="475">
        <f t="shared" si="30"/>
        <v>0</v>
      </c>
      <c r="N130" s="484"/>
      <c r="O130" s="475">
        <f t="shared" si="19"/>
        <v>0</v>
      </c>
      <c r="P130" s="475">
        <f t="shared" si="20"/>
        <v>0</v>
      </c>
    </row>
    <row r="131" spans="2:16" ht="12.5">
      <c r="B131" s="160" t="str">
        <f t="shared" si="22"/>
        <v/>
      </c>
      <c r="C131" s="469">
        <f>IF(D93="","-",+C130+1)</f>
        <v>2051</v>
      </c>
      <c r="D131" s="344">
        <f>IF(F130+SUM(E$99:E130)=D$92,F130,D$92-SUM(E$99:E130))</f>
        <v>874264.37000000011</v>
      </c>
      <c r="E131" s="481">
        <f t="shared" si="25"/>
        <v>133121</v>
      </c>
      <c r="F131" s="482">
        <f t="shared" si="26"/>
        <v>741143.37000000011</v>
      </c>
      <c r="G131" s="482">
        <f t="shared" si="27"/>
        <v>807703.87000000011</v>
      </c>
      <c r="H131" s="483">
        <f t="shared" si="28"/>
        <v>241610.7416844336</v>
      </c>
      <c r="I131" s="539">
        <f t="shared" si="29"/>
        <v>241610.7416844336</v>
      </c>
      <c r="J131" s="475">
        <f t="shared" ref="J131:J154" si="31">+I541-H541</f>
        <v>0</v>
      </c>
      <c r="K131" s="475"/>
      <c r="L131" s="484"/>
      <c r="M131" s="475">
        <f t="shared" ref="M131:M154" si="32">IF(L541&lt;&gt;0,+H541-L541,0)</f>
        <v>0</v>
      </c>
      <c r="N131" s="484"/>
      <c r="O131" s="475">
        <f t="shared" ref="O131:O154" si="33">IF(N541&lt;&gt;0,+I541-N541,0)</f>
        <v>0</v>
      </c>
      <c r="P131" s="475">
        <f t="shared" ref="P131:P154" si="34">+O541-M541</f>
        <v>0</v>
      </c>
    </row>
    <row r="132" spans="2:16" ht="12.5">
      <c r="B132" s="160" t="str">
        <f t="shared" si="22"/>
        <v/>
      </c>
      <c r="C132" s="469">
        <f>IF(D93="","-",+C131+1)</f>
        <v>2052</v>
      </c>
      <c r="D132" s="344">
        <f>IF(F131+SUM(E$99:E131)=D$92,F131,D$92-SUM(E$99:E131))</f>
        <v>741143.37000000011</v>
      </c>
      <c r="E132" s="481">
        <f t="shared" si="25"/>
        <v>133121</v>
      </c>
      <c r="F132" s="482">
        <f t="shared" si="26"/>
        <v>608022.37000000011</v>
      </c>
      <c r="G132" s="482">
        <f t="shared" si="27"/>
        <v>674582.87000000011</v>
      </c>
      <c r="H132" s="483">
        <f t="shared" si="28"/>
        <v>223730.10072282288</v>
      </c>
      <c r="I132" s="539">
        <f t="shared" si="29"/>
        <v>223730.10072282288</v>
      </c>
      <c r="J132" s="475">
        <f t="shared" si="31"/>
        <v>0</v>
      </c>
      <c r="K132" s="475"/>
      <c r="L132" s="484"/>
      <c r="M132" s="475">
        <f t="shared" si="32"/>
        <v>0</v>
      </c>
      <c r="N132" s="484"/>
      <c r="O132" s="475">
        <f t="shared" si="33"/>
        <v>0</v>
      </c>
      <c r="P132" s="475">
        <f t="shared" si="34"/>
        <v>0</v>
      </c>
    </row>
    <row r="133" spans="2:16" ht="12.5">
      <c r="B133" s="160" t="str">
        <f t="shared" si="22"/>
        <v/>
      </c>
      <c r="C133" s="469">
        <f>IF(D93="","-",+C132+1)</f>
        <v>2053</v>
      </c>
      <c r="D133" s="344">
        <f>IF(F132+SUM(E$99:E132)=D$92,F132,D$92-SUM(E$99:E132))</f>
        <v>608022.37000000011</v>
      </c>
      <c r="E133" s="481">
        <f t="shared" si="25"/>
        <v>133121</v>
      </c>
      <c r="F133" s="482">
        <f t="shared" si="26"/>
        <v>474901.37000000011</v>
      </c>
      <c r="G133" s="482">
        <f t="shared" si="27"/>
        <v>541461.87000000011</v>
      </c>
      <c r="H133" s="483">
        <f t="shared" si="28"/>
        <v>205849.4597612122</v>
      </c>
      <c r="I133" s="539">
        <f t="shared" si="29"/>
        <v>205849.4597612122</v>
      </c>
      <c r="J133" s="475">
        <f t="shared" si="31"/>
        <v>0</v>
      </c>
      <c r="K133" s="475"/>
      <c r="L133" s="484"/>
      <c r="M133" s="475">
        <f t="shared" si="32"/>
        <v>0</v>
      </c>
      <c r="N133" s="484"/>
      <c r="O133" s="475">
        <f t="shared" si="33"/>
        <v>0</v>
      </c>
      <c r="P133" s="475">
        <f t="shared" si="34"/>
        <v>0</v>
      </c>
    </row>
    <row r="134" spans="2:16" ht="12.5">
      <c r="B134" s="160" t="str">
        <f t="shared" si="22"/>
        <v/>
      </c>
      <c r="C134" s="469">
        <f>IF(D93="","-",+C133+1)</f>
        <v>2054</v>
      </c>
      <c r="D134" s="344">
        <f>IF(F133+SUM(E$99:E133)=D$92,F133,D$92-SUM(E$99:E133))</f>
        <v>474901.37000000011</v>
      </c>
      <c r="E134" s="481">
        <f t="shared" si="25"/>
        <v>133121</v>
      </c>
      <c r="F134" s="482">
        <f t="shared" si="26"/>
        <v>341780.37000000011</v>
      </c>
      <c r="G134" s="482">
        <f t="shared" si="27"/>
        <v>408340.87000000011</v>
      </c>
      <c r="H134" s="483">
        <f t="shared" si="28"/>
        <v>187968.81879960149</v>
      </c>
      <c r="I134" s="539">
        <f t="shared" si="29"/>
        <v>187968.81879960149</v>
      </c>
      <c r="J134" s="475">
        <f t="shared" si="31"/>
        <v>0</v>
      </c>
      <c r="K134" s="475"/>
      <c r="L134" s="484"/>
      <c r="M134" s="475">
        <f t="shared" si="32"/>
        <v>0</v>
      </c>
      <c r="N134" s="484"/>
      <c r="O134" s="475">
        <f t="shared" si="33"/>
        <v>0</v>
      </c>
      <c r="P134" s="475">
        <f t="shared" si="34"/>
        <v>0</v>
      </c>
    </row>
    <row r="135" spans="2:16" ht="12.5">
      <c r="B135" s="160" t="str">
        <f t="shared" si="22"/>
        <v/>
      </c>
      <c r="C135" s="469">
        <f>IF(D93="","-",+C134+1)</f>
        <v>2055</v>
      </c>
      <c r="D135" s="344">
        <f>IF(F134+SUM(E$99:E134)=D$92,F134,D$92-SUM(E$99:E134))</f>
        <v>341780.37000000011</v>
      </c>
      <c r="E135" s="481">
        <f t="shared" si="25"/>
        <v>133121</v>
      </c>
      <c r="F135" s="482">
        <f t="shared" si="26"/>
        <v>208659.37000000011</v>
      </c>
      <c r="G135" s="482">
        <f t="shared" si="27"/>
        <v>275219.87000000011</v>
      </c>
      <c r="H135" s="483">
        <f t="shared" si="28"/>
        <v>170088.17783799081</v>
      </c>
      <c r="I135" s="539">
        <f t="shared" si="29"/>
        <v>170088.17783799081</v>
      </c>
      <c r="J135" s="475">
        <f t="shared" si="31"/>
        <v>0</v>
      </c>
      <c r="K135" s="475"/>
      <c r="L135" s="484"/>
      <c r="M135" s="475">
        <f t="shared" si="32"/>
        <v>0</v>
      </c>
      <c r="N135" s="484"/>
      <c r="O135" s="475">
        <f t="shared" si="33"/>
        <v>0</v>
      </c>
      <c r="P135" s="475">
        <f t="shared" si="34"/>
        <v>0</v>
      </c>
    </row>
    <row r="136" spans="2:16" ht="12.5">
      <c r="B136" s="160" t="str">
        <f t="shared" si="22"/>
        <v/>
      </c>
      <c r="C136" s="469">
        <f>IF(D93="","-",+C135+1)</f>
        <v>2056</v>
      </c>
      <c r="D136" s="344">
        <f>IF(F135+SUM(E$99:E135)=D$92,F135,D$92-SUM(E$99:E135))</f>
        <v>208659.37000000011</v>
      </c>
      <c r="E136" s="481">
        <f t="shared" si="25"/>
        <v>133121</v>
      </c>
      <c r="F136" s="482">
        <f t="shared" si="26"/>
        <v>75538.370000000112</v>
      </c>
      <c r="G136" s="482">
        <f t="shared" si="27"/>
        <v>142098.87000000011</v>
      </c>
      <c r="H136" s="483">
        <f t="shared" si="28"/>
        <v>152207.53687638009</v>
      </c>
      <c r="I136" s="539">
        <f t="shared" si="29"/>
        <v>152207.53687638009</v>
      </c>
      <c r="J136" s="475">
        <f t="shared" si="31"/>
        <v>0</v>
      </c>
      <c r="K136" s="475"/>
      <c r="L136" s="484"/>
      <c r="M136" s="475">
        <f t="shared" si="32"/>
        <v>0</v>
      </c>
      <c r="N136" s="484"/>
      <c r="O136" s="475">
        <f t="shared" si="33"/>
        <v>0</v>
      </c>
      <c r="P136" s="475">
        <f t="shared" si="34"/>
        <v>0</v>
      </c>
    </row>
    <row r="137" spans="2:16" ht="12.5">
      <c r="B137" s="160" t="str">
        <f t="shared" si="22"/>
        <v/>
      </c>
      <c r="C137" s="469">
        <f>IF(D93="","-",+C136+1)</f>
        <v>2057</v>
      </c>
      <c r="D137" s="344">
        <f>IF(F136+SUM(E$99:E136)=D$92,F136,D$92-SUM(E$99:E136))</f>
        <v>75538.370000000112</v>
      </c>
      <c r="E137" s="481">
        <f t="shared" si="25"/>
        <v>75538.370000000112</v>
      </c>
      <c r="F137" s="482">
        <f t="shared" si="26"/>
        <v>0</v>
      </c>
      <c r="G137" s="482">
        <f t="shared" si="27"/>
        <v>37769.185000000056</v>
      </c>
      <c r="H137" s="483">
        <f t="shared" si="28"/>
        <v>80611.478197787481</v>
      </c>
      <c r="I137" s="539">
        <f t="shared" si="29"/>
        <v>80611.478197787481</v>
      </c>
      <c r="J137" s="475">
        <f t="shared" si="31"/>
        <v>0</v>
      </c>
      <c r="K137" s="475"/>
      <c r="L137" s="484"/>
      <c r="M137" s="475">
        <f t="shared" si="32"/>
        <v>0</v>
      </c>
      <c r="N137" s="484"/>
      <c r="O137" s="475">
        <f t="shared" si="33"/>
        <v>0</v>
      </c>
      <c r="P137" s="475">
        <f t="shared" si="34"/>
        <v>0</v>
      </c>
    </row>
    <row r="138" spans="2:16" ht="12.5">
      <c r="B138" s="160" t="str">
        <f t="shared" si="22"/>
        <v/>
      </c>
      <c r="C138" s="469">
        <f>IF(D93="","-",+C137+1)</f>
        <v>2058</v>
      </c>
      <c r="D138" s="344">
        <f>IF(F137+SUM(E$99:E137)=D$92,F137,D$92-SUM(E$99:E137))</f>
        <v>0</v>
      </c>
      <c r="E138" s="481">
        <f t="shared" si="25"/>
        <v>0</v>
      </c>
      <c r="F138" s="482">
        <f t="shared" si="26"/>
        <v>0</v>
      </c>
      <c r="G138" s="482">
        <f t="shared" si="27"/>
        <v>0</v>
      </c>
      <c r="H138" s="483">
        <f t="shared" si="28"/>
        <v>0</v>
      </c>
      <c r="I138" s="539">
        <f t="shared" si="29"/>
        <v>0</v>
      </c>
      <c r="J138" s="475">
        <f t="shared" si="31"/>
        <v>0</v>
      </c>
      <c r="K138" s="475"/>
      <c r="L138" s="484"/>
      <c r="M138" s="475">
        <f t="shared" si="32"/>
        <v>0</v>
      </c>
      <c r="N138" s="484"/>
      <c r="O138" s="475">
        <f t="shared" si="33"/>
        <v>0</v>
      </c>
      <c r="P138" s="475">
        <f t="shared" si="34"/>
        <v>0</v>
      </c>
    </row>
    <row r="139" spans="2:16" ht="12.5">
      <c r="B139" s="160" t="str">
        <f t="shared" si="22"/>
        <v/>
      </c>
      <c r="C139" s="469">
        <f>IF(D93="","-",+C138+1)</f>
        <v>2059</v>
      </c>
      <c r="D139" s="344">
        <f>IF(F138+SUM(E$99:E138)=D$92,F138,D$92-SUM(E$99:E138))</f>
        <v>0</v>
      </c>
      <c r="E139" s="481">
        <f t="shared" si="25"/>
        <v>0</v>
      </c>
      <c r="F139" s="482">
        <f t="shared" si="26"/>
        <v>0</v>
      </c>
      <c r="G139" s="482">
        <f t="shared" si="27"/>
        <v>0</v>
      </c>
      <c r="H139" s="483">
        <f t="shared" si="28"/>
        <v>0</v>
      </c>
      <c r="I139" s="539">
        <f t="shared" si="29"/>
        <v>0</v>
      </c>
      <c r="J139" s="475">
        <f t="shared" si="31"/>
        <v>0</v>
      </c>
      <c r="K139" s="475"/>
      <c r="L139" s="484"/>
      <c r="M139" s="475">
        <f t="shared" si="32"/>
        <v>0</v>
      </c>
      <c r="N139" s="484"/>
      <c r="O139" s="475">
        <f t="shared" si="33"/>
        <v>0</v>
      </c>
      <c r="P139" s="475">
        <f t="shared" si="34"/>
        <v>0</v>
      </c>
    </row>
    <row r="140" spans="2:16" ht="12.5">
      <c r="B140" s="160" t="str">
        <f t="shared" si="22"/>
        <v/>
      </c>
      <c r="C140" s="469">
        <f>IF(D93="","-",+C139+1)</f>
        <v>2060</v>
      </c>
      <c r="D140" s="344">
        <f>IF(F139+SUM(E$99:E139)=D$92,F139,D$92-SUM(E$99:E139))</f>
        <v>0</v>
      </c>
      <c r="E140" s="481">
        <f t="shared" si="25"/>
        <v>0</v>
      </c>
      <c r="F140" s="482">
        <f t="shared" si="26"/>
        <v>0</v>
      </c>
      <c r="G140" s="482">
        <f t="shared" si="27"/>
        <v>0</v>
      </c>
      <c r="H140" s="483">
        <f t="shared" si="28"/>
        <v>0</v>
      </c>
      <c r="I140" s="539">
        <f t="shared" si="29"/>
        <v>0</v>
      </c>
      <c r="J140" s="475">
        <f t="shared" si="31"/>
        <v>0</v>
      </c>
      <c r="K140" s="475"/>
      <c r="L140" s="484"/>
      <c r="M140" s="475">
        <f t="shared" si="32"/>
        <v>0</v>
      </c>
      <c r="N140" s="484"/>
      <c r="O140" s="475">
        <f t="shared" si="33"/>
        <v>0</v>
      </c>
      <c r="P140" s="475">
        <f t="shared" si="34"/>
        <v>0</v>
      </c>
    </row>
    <row r="141" spans="2:16" ht="12.5">
      <c r="B141" s="160" t="str">
        <f t="shared" si="22"/>
        <v/>
      </c>
      <c r="C141" s="469">
        <f>IF(D93="","-",+C140+1)</f>
        <v>2061</v>
      </c>
      <c r="D141" s="344">
        <f>IF(F140+SUM(E$99:E140)=D$92,F140,D$92-SUM(E$99:E140))</f>
        <v>0</v>
      </c>
      <c r="E141" s="481">
        <f t="shared" si="25"/>
        <v>0</v>
      </c>
      <c r="F141" s="482">
        <f t="shared" si="26"/>
        <v>0</v>
      </c>
      <c r="G141" s="482">
        <f t="shared" si="27"/>
        <v>0</v>
      </c>
      <c r="H141" s="483">
        <f t="shared" si="28"/>
        <v>0</v>
      </c>
      <c r="I141" s="539">
        <f t="shared" si="29"/>
        <v>0</v>
      </c>
      <c r="J141" s="475">
        <f t="shared" si="31"/>
        <v>0</v>
      </c>
      <c r="K141" s="475"/>
      <c r="L141" s="484"/>
      <c r="M141" s="475">
        <f t="shared" si="32"/>
        <v>0</v>
      </c>
      <c r="N141" s="484"/>
      <c r="O141" s="475">
        <f t="shared" si="33"/>
        <v>0</v>
      </c>
      <c r="P141" s="475">
        <f t="shared" si="34"/>
        <v>0</v>
      </c>
    </row>
    <row r="142" spans="2:16" ht="12.5">
      <c r="B142" s="160" t="str">
        <f t="shared" si="22"/>
        <v/>
      </c>
      <c r="C142" s="469">
        <f>IF(D93="","-",+C141+1)</f>
        <v>2062</v>
      </c>
      <c r="D142" s="344">
        <f>IF(F141+SUM(E$99:E141)=D$92,F141,D$92-SUM(E$99:E141))</f>
        <v>0</v>
      </c>
      <c r="E142" s="481">
        <f t="shared" si="25"/>
        <v>0</v>
      </c>
      <c r="F142" s="482">
        <f t="shared" si="26"/>
        <v>0</v>
      </c>
      <c r="G142" s="482">
        <f t="shared" si="27"/>
        <v>0</v>
      </c>
      <c r="H142" s="483">
        <f t="shared" si="28"/>
        <v>0</v>
      </c>
      <c r="I142" s="539">
        <f t="shared" si="29"/>
        <v>0</v>
      </c>
      <c r="J142" s="475">
        <f t="shared" si="31"/>
        <v>0</v>
      </c>
      <c r="K142" s="475"/>
      <c r="L142" s="484"/>
      <c r="M142" s="475">
        <f t="shared" si="32"/>
        <v>0</v>
      </c>
      <c r="N142" s="484"/>
      <c r="O142" s="475">
        <f t="shared" si="33"/>
        <v>0</v>
      </c>
      <c r="P142" s="475">
        <f t="shared" si="34"/>
        <v>0</v>
      </c>
    </row>
    <row r="143" spans="2:16" ht="12.5">
      <c r="B143" s="160" t="str">
        <f t="shared" si="22"/>
        <v/>
      </c>
      <c r="C143" s="469">
        <f>IF(D93="","-",+C142+1)</f>
        <v>2063</v>
      </c>
      <c r="D143" s="344">
        <f>IF(F142+SUM(E$99:E142)=D$92,F142,D$92-SUM(E$99:E142))</f>
        <v>0</v>
      </c>
      <c r="E143" s="481">
        <f t="shared" si="25"/>
        <v>0</v>
      </c>
      <c r="F143" s="482">
        <f t="shared" si="26"/>
        <v>0</v>
      </c>
      <c r="G143" s="482">
        <f t="shared" si="27"/>
        <v>0</v>
      </c>
      <c r="H143" s="483">
        <f t="shared" si="28"/>
        <v>0</v>
      </c>
      <c r="I143" s="539">
        <f t="shared" si="29"/>
        <v>0</v>
      </c>
      <c r="J143" s="475">
        <f t="shared" si="31"/>
        <v>0</v>
      </c>
      <c r="K143" s="475"/>
      <c r="L143" s="484"/>
      <c r="M143" s="475">
        <f t="shared" si="32"/>
        <v>0</v>
      </c>
      <c r="N143" s="484"/>
      <c r="O143" s="475">
        <f t="shared" si="33"/>
        <v>0</v>
      </c>
      <c r="P143" s="475">
        <f t="shared" si="34"/>
        <v>0</v>
      </c>
    </row>
    <row r="144" spans="2:16" ht="12.5">
      <c r="B144" s="160" t="str">
        <f t="shared" si="22"/>
        <v/>
      </c>
      <c r="C144" s="469">
        <f>IF(D93="","-",+C143+1)</f>
        <v>2064</v>
      </c>
      <c r="D144" s="344">
        <f>IF(F143+SUM(E$99:E143)=D$92,F143,D$92-SUM(E$99:E143))</f>
        <v>0</v>
      </c>
      <c r="E144" s="481">
        <f t="shared" si="25"/>
        <v>0</v>
      </c>
      <c r="F144" s="482">
        <f t="shared" si="26"/>
        <v>0</v>
      </c>
      <c r="G144" s="482">
        <f t="shared" si="27"/>
        <v>0</v>
      </c>
      <c r="H144" s="483">
        <f t="shared" si="28"/>
        <v>0</v>
      </c>
      <c r="I144" s="539">
        <f t="shared" si="29"/>
        <v>0</v>
      </c>
      <c r="J144" s="475">
        <f t="shared" si="31"/>
        <v>0</v>
      </c>
      <c r="K144" s="475"/>
      <c r="L144" s="484"/>
      <c r="M144" s="475">
        <f t="shared" si="32"/>
        <v>0</v>
      </c>
      <c r="N144" s="484"/>
      <c r="O144" s="475">
        <f t="shared" si="33"/>
        <v>0</v>
      </c>
      <c r="P144" s="475">
        <f t="shared" si="34"/>
        <v>0</v>
      </c>
    </row>
    <row r="145" spans="2:16" ht="12.5">
      <c r="B145" s="160" t="str">
        <f t="shared" si="22"/>
        <v/>
      </c>
      <c r="C145" s="469">
        <f>IF(D93="","-",+C144+1)</f>
        <v>2065</v>
      </c>
      <c r="D145" s="344">
        <f>IF(F144+SUM(E$99:E144)=D$92,F144,D$92-SUM(E$99:E144))</f>
        <v>0</v>
      </c>
      <c r="E145" s="481">
        <f t="shared" si="25"/>
        <v>0</v>
      </c>
      <c r="F145" s="482">
        <f t="shared" si="26"/>
        <v>0</v>
      </c>
      <c r="G145" s="482">
        <f t="shared" si="27"/>
        <v>0</v>
      </c>
      <c r="H145" s="483">
        <f t="shared" si="28"/>
        <v>0</v>
      </c>
      <c r="I145" s="539">
        <f t="shared" si="29"/>
        <v>0</v>
      </c>
      <c r="J145" s="475">
        <f t="shared" si="31"/>
        <v>0</v>
      </c>
      <c r="K145" s="475"/>
      <c r="L145" s="484"/>
      <c r="M145" s="475">
        <f t="shared" si="32"/>
        <v>0</v>
      </c>
      <c r="N145" s="484"/>
      <c r="O145" s="475">
        <f t="shared" si="33"/>
        <v>0</v>
      </c>
      <c r="P145" s="475">
        <f t="shared" si="34"/>
        <v>0</v>
      </c>
    </row>
    <row r="146" spans="2:16" ht="12.5">
      <c r="B146" s="160" t="str">
        <f t="shared" si="22"/>
        <v/>
      </c>
      <c r="C146" s="469">
        <f>IF(D93="","-",+C145+1)</f>
        <v>2066</v>
      </c>
      <c r="D146" s="344">
        <f>IF(F145+SUM(E$99:E145)=D$92,F145,D$92-SUM(E$99:E145))</f>
        <v>0</v>
      </c>
      <c r="E146" s="481">
        <f t="shared" si="25"/>
        <v>0</v>
      </c>
      <c r="F146" s="482">
        <f t="shared" si="26"/>
        <v>0</v>
      </c>
      <c r="G146" s="482">
        <f t="shared" si="27"/>
        <v>0</v>
      </c>
      <c r="H146" s="483">
        <f t="shared" si="28"/>
        <v>0</v>
      </c>
      <c r="I146" s="539">
        <f t="shared" si="29"/>
        <v>0</v>
      </c>
      <c r="J146" s="475">
        <f t="shared" si="31"/>
        <v>0</v>
      </c>
      <c r="K146" s="475"/>
      <c r="L146" s="484"/>
      <c r="M146" s="475">
        <f t="shared" si="32"/>
        <v>0</v>
      </c>
      <c r="N146" s="484"/>
      <c r="O146" s="475">
        <f t="shared" si="33"/>
        <v>0</v>
      </c>
      <c r="P146" s="475">
        <f t="shared" si="34"/>
        <v>0</v>
      </c>
    </row>
    <row r="147" spans="2:16" ht="12.5">
      <c r="B147" s="160" t="str">
        <f t="shared" si="22"/>
        <v/>
      </c>
      <c r="C147" s="469">
        <f>IF(D93="","-",+C146+1)</f>
        <v>2067</v>
      </c>
      <c r="D147" s="344">
        <f>IF(F146+SUM(E$99:E146)=D$92,F146,D$92-SUM(E$99:E146))</f>
        <v>0</v>
      </c>
      <c r="E147" s="481">
        <f t="shared" si="25"/>
        <v>0</v>
      </c>
      <c r="F147" s="482">
        <f t="shared" si="26"/>
        <v>0</v>
      </c>
      <c r="G147" s="482">
        <f t="shared" si="27"/>
        <v>0</v>
      </c>
      <c r="H147" s="483">
        <f t="shared" si="28"/>
        <v>0</v>
      </c>
      <c r="I147" s="539">
        <f t="shared" si="29"/>
        <v>0</v>
      </c>
      <c r="J147" s="475">
        <f t="shared" si="31"/>
        <v>0</v>
      </c>
      <c r="K147" s="475"/>
      <c r="L147" s="484"/>
      <c r="M147" s="475">
        <f t="shared" si="32"/>
        <v>0</v>
      </c>
      <c r="N147" s="484"/>
      <c r="O147" s="475">
        <f t="shared" si="33"/>
        <v>0</v>
      </c>
      <c r="P147" s="475">
        <f t="shared" si="34"/>
        <v>0</v>
      </c>
    </row>
    <row r="148" spans="2:16" ht="12.5">
      <c r="B148" s="160" t="str">
        <f t="shared" si="22"/>
        <v/>
      </c>
      <c r="C148" s="469">
        <f>IF(D93="","-",+C147+1)</f>
        <v>2068</v>
      </c>
      <c r="D148" s="344">
        <f>IF(F147+SUM(E$99:E147)=D$92,F147,D$92-SUM(E$99:E147))</f>
        <v>0</v>
      </c>
      <c r="E148" s="481">
        <f t="shared" si="25"/>
        <v>0</v>
      </c>
      <c r="F148" s="482">
        <f t="shared" si="26"/>
        <v>0</v>
      </c>
      <c r="G148" s="482">
        <f t="shared" si="27"/>
        <v>0</v>
      </c>
      <c r="H148" s="483">
        <f t="shared" si="28"/>
        <v>0</v>
      </c>
      <c r="I148" s="539">
        <f t="shared" si="29"/>
        <v>0</v>
      </c>
      <c r="J148" s="475">
        <f t="shared" si="31"/>
        <v>0</v>
      </c>
      <c r="K148" s="475"/>
      <c r="L148" s="484"/>
      <c r="M148" s="475">
        <f t="shared" si="32"/>
        <v>0</v>
      </c>
      <c r="N148" s="484"/>
      <c r="O148" s="475">
        <f t="shared" si="33"/>
        <v>0</v>
      </c>
      <c r="P148" s="475">
        <f t="shared" si="34"/>
        <v>0</v>
      </c>
    </row>
    <row r="149" spans="2:16" ht="12.5">
      <c r="B149" s="160" t="str">
        <f t="shared" si="22"/>
        <v/>
      </c>
      <c r="C149" s="469">
        <f>IF(D93="","-",+C148+1)</f>
        <v>2069</v>
      </c>
      <c r="D149" s="344">
        <f>IF(F148+SUM(E$99:E148)=D$92,F148,D$92-SUM(E$99:E148))</f>
        <v>0</v>
      </c>
      <c r="E149" s="481">
        <f t="shared" si="25"/>
        <v>0</v>
      </c>
      <c r="F149" s="482">
        <f t="shared" si="26"/>
        <v>0</v>
      </c>
      <c r="G149" s="482">
        <f t="shared" si="27"/>
        <v>0</v>
      </c>
      <c r="H149" s="483">
        <f t="shared" si="28"/>
        <v>0</v>
      </c>
      <c r="I149" s="539">
        <f t="shared" si="29"/>
        <v>0</v>
      </c>
      <c r="J149" s="475">
        <f t="shared" si="31"/>
        <v>0</v>
      </c>
      <c r="K149" s="475"/>
      <c r="L149" s="484"/>
      <c r="M149" s="475">
        <f t="shared" si="32"/>
        <v>0</v>
      </c>
      <c r="N149" s="484"/>
      <c r="O149" s="475">
        <f t="shared" si="33"/>
        <v>0</v>
      </c>
      <c r="P149" s="475">
        <f t="shared" si="34"/>
        <v>0</v>
      </c>
    </row>
    <row r="150" spans="2:16" ht="12.5">
      <c r="B150" s="160" t="str">
        <f t="shared" si="22"/>
        <v/>
      </c>
      <c r="C150" s="469">
        <f>IF(D93="","-",+C149+1)</f>
        <v>2070</v>
      </c>
      <c r="D150" s="344">
        <f>IF(F149+SUM(E$99:E149)=D$92,F149,D$92-SUM(E$99:E149))</f>
        <v>0</v>
      </c>
      <c r="E150" s="481">
        <f t="shared" si="25"/>
        <v>0</v>
      </c>
      <c r="F150" s="482">
        <f t="shared" si="26"/>
        <v>0</v>
      </c>
      <c r="G150" s="482">
        <f t="shared" si="27"/>
        <v>0</v>
      </c>
      <c r="H150" s="483">
        <f t="shared" si="28"/>
        <v>0</v>
      </c>
      <c r="I150" s="539">
        <f t="shared" si="29"/>
        <v>0</v>
      </c>
      <c r="J150" s="475">
        <f t="shared" si="31"/>
        <v>0</v>
      </c>
      <c r="K150" s="475"/>
      <c r="L150" s="484"/>
      <c r="M150" s="475">
        <f t="shared" si="32"/>
        <v>0</v>
      </c>
      <c r="N150" s="484"/>
      <c r="O150" s="475">
        <f t="shared" si="33"/>
        <v>0</v>
      </c>
      <c r="P150" s="475">
        <f t="shared" si="34"/>
        <v>0</v>
      </c>
    </row>
    <row r="151" spans="2:16" ht="12.5">
      <c r="B151" s="160" t="str">
        <f t="shared" si="22"/>
        <v/>
      </c>
      <c r="C151" s="469">
        <f>IF(D93="","-",+C150+1)</f>
        <v>2071</v>
      </c>
      <c r="D151" s="344">
        <f>IF(F150+SUM(E$99:E150)=D$92,F150,D$92-SUM(E$99:E150))</f>
        <v>0</v>
      </c>
      <c r="E151" s="481">
        <f t="shared" si="25"/>
        <v>0</v>
      </c>
      <c r="F151" s="482">
        <f t="shared" si="26"/>
        <v>0</v>
      </c>
      <c r="G151" s="482">
        <f t="shared" si="27"/>
        <v>0</v>
      </c>
      <c r="H151" s="483">
        <f t="shared" si="28"/>
        <v>0</v>
      </c>
      <c r="I151" s="539">
        <f t="shared" si="29"/>
        <v>0</v>
      </c>
      <c r="J151" s="475">
        <f t="shared" si="31"/>
        <v>0</v>
      </c>
      <c r="K151" s="475"/>
      <c r="L151" s="484"/>
      <c r="M151" s="475">
        <f t="shared" si="32"/>
        <v>0</v>
      </c>
      <c r="N151" s="484"/>
      <c r="O151" s="475">
        <f t="shared" si="33"/>
        <v>0</v>
      </c>
      <c r="P151" s="475">
        <f t="shared" si="34"/>
        <v>0</v>
      </c>
    </row>
    <row r="152" spans="2:16" ht="12.5">
      <c r="B152" s="160" t="str">
        <f t="shared" si="22"/>
        <v/>
      </c>
      <c r="C152" s="469">
        <f>IF(D93="","-",+C151+1)</f>
        <v>2072</v>
      </c>
      <c r="D152" s="344">
        <f>IF(F151+SUM(E$99:E151)=D$92,F151,D$92-SUM(E$99:E151))</f>
        <v>0</v>
      </c>
      <c r="E152" s="481">
        <f t="shared" si="25"/>
        <v>0</v>
      </c>
      <c r="F152" s="482">
        <f t="shared" si="26"/>
        <v>0</v>
      </c>
      <c r="G152" s="482">
        <f t="shared" si="27"/>
        <v>0</v>
      </c>
      <c r="H152" s="483">
        <f t="shared" si="28"/>
        <v>0</v>
      </c>
      <c r="I152" s="539">
        <f t="shared" si="29"/>
        <v>0</v>
      </c>
      <c r="J152" s="475">
        <f t="shared" si="31"/>
        <v>0</v>
      </c>
      <c r="K152" s="475"/>
      <c r="L152" s="484"/>
      <c r="M152" s="475">
        <f t="shared" si="32"/>
        <v>0</v>
      </c>
      <c r="N152" s="484"/>
      <c r="O152" s="475">
        <f t="shared" si="33"/>
        <v>0</v>
      </c>
      <c r="P152" s="475">
        <f t="shared" si="34"/>
        <v>0</v>
      </c>
    </row>
    <row r="153" spans="2:16" ht="12.5">
      <c r="B153" s="160" t="str">
        <f t="shared" si="22"/>
        <v/>
      </c>
      <c r="C153" s="469">
        <f>IF(D93="","-",+C152+1)</f>
        <v>2073</v>
      </c>
      <c r="D153" s="344">
        <f>IF(F152+SUM(E$99:E152)=D$92,F152,D$92-SUM(E$99:E152))</f>
        <v>0</v>
      </c>
      <c r="E153" s="481">
        <f t="shared" si="25"/>
        <v>0</v>
      </c>
      <c r="F153" s="482">
        <f t="shared" si="26"/>
        <v>0</v>
      </c>
      <c r="G153" s="482">
        <f t="shared" si="27"/>
        <v>0</v>
      </c>
      <c r="H153" s="483">
        <f t="shared" si="28"/>
        <v>0</v>
      </c>
      <c r="I153" s="539">
        <f t="shared" si="29"/>
        <v>0</v>
      </c>
      <c r="J153" s="475">
        <f t="shared" si="31"/>
        <v>0</v>
      </c>
      <c r="K153" s="475"/>
      <c r="L153" s="484"/>
      <c r="M153" s="475">
        <f t="shared" si="32"/>
        <v>0</v>
      </c>
      <c r="N153" s="484"/>
      <c r="O153" s="475">
        <f t="shared" si="33"/>
        <v>0</v>
      </c>
      <c r="P153" s="475">
        <f t="shared" si="34"/>
        <v>0</v>
      </c>
    </row>
    <row r="154" spans="2:16" ht="13" thickBot="1">
      <c r="B154" s="160" t="str">
        <f t="shared" si="22"/>
        <v/>
      </c>
      <c r="C154" s="486">
        <f>IF(D93="","-",+C153+1)</f>
        <v>2074</v>
      </c>
      <c r="D154" s="540">
        <f>IF(F153+SUM(E$99:E153)=D$92,F153,D$92-SUM(E$99:E153))</f>
        <v>0</v>
      </c>
      <c r="E154" s="488">
        <f t="shared" si="25"/>
        <v>0</v>
      </c>
      <c r="F154" s="487">
        <f t="shared" si="26"/>
        <v>0</v>
      </c>
      <c r="G154" s="487">
        <f t="shared" si="27"/>
        <v>0</v>
      </c>
      <c r="H154" s="609">
        <f t="shared" ref="H154" si="35">+J$94*G154+E154</f>
        <v>0</v>
      </c>
      <c r="I154" s="610">
        <f t="shared" ref="I154" si="36">+J$95*G154+E154</f>
        <v>0</v>
      </c>
      <c r="J154" s="492">
        <f t="shared" si="31"/>
        <v>0</v>
      </c>
      <c r="K154" s="475"/>
      <c r="L154" s="491"/>
      <c r="M154" s="492">
        <f t="shared" si="32"/>
        <v>0</v>
      </c>
      <c r="N154" s="491"/>
      <c r="O154" s="492">
        <f t="shared" si="33"/>
        <v>0</v>
      </c>
      <c r="P154" s="492">
        <f t="shared" si="34"/>
        <v>0</v>
      </c>
    </row>
    <row r="155" spans="2:16" ht="12.5">
      <c r="C155" s="344" t="s">
        <v>77</v>
      </c>
      <c r="D155" s="345"/>
      <c r="E155" s="345">
        <f>SUM(E99:E154)</f>
        <v>5058588.62</v>
      </c>
      <c r="F155" s="345"/>
      <c r="G155" s="345"/>
      <c r="H155" s="345">
        <f>SUM(H99:H154)</f>
        <v>17563737.21010717</v>
      </c>
      <c r="I155" s="345">
        <f>SUM(I99:I154)</f>
        <v>17563737.21010717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19" priority="1" stopIfTrue="1" operator="equal">
      <formula>$I$10</formula>
    </cfRule>
  </conditionalFormatting>
  <conditionalFormatting sqref="C99:C154">
    <cfRule type="cellIs" dxfId="18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P162"/>
  <sheetViews>
    <sheetView topLeftCell="A60" zoomScale="86" zoomScaleNormal="86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"&amp;RIGHT(MID(CELL("filename",$A$1),FIND("]",CELL("filename",$A$1))+1,256),2)&amp;" of "&amp;COUNT('P.001:P.xyz - blank'!$P$3)-1</f>
        <v>PSO Project 28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319649.69765873061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319649.69765873061</v>
      </c>
      <c r="O6" s="231"/>
      <c r="P6" s="231"/>
    </row>
    <row r="7" spans="1:16" ht="13.5" thickBot="1">
      <c r="C7" s="428" t="s">
        <v>46</v>
      </c>
      <c r="D7" s="615" t="s">
        <v>331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C9" s="437" t="s">
        <v>48</v>
      </c>
      <c r="D9" s="438" t="s">
        <v>334</v>
      </c>
      <c r="E9" s="616" t="s">
        <v>335</v>
      </c>
      <c r="F9" s="439"/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2394352.8200000003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2020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6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63009.284736842113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2020</v>
      </c>
      <c r="D17" s="617">
        <v>0</v>
      </c>
      <c r="E17" s="618">
        <v>19964.285714285714</v>
      </c>
      <c r="F17" s="619">
        <v>1657035.7142857143</v>
      </c>
      <c r="G17" s="618">
        <v>109448.17204091245</v>
      </c>
      <c r="H17" s="620">
        <v>109448.17204091245</v>
      </c>
      <c r="I17" s="472">
        <f>H17-G17</f>
        <v>0</v>
      </c>
      <c r="J17" s="472"/>
      <c r="K17" s="551">
        <f>+G17</f>
        <v>109448.17204091245</v>
      </c>
      <c r="L17" s="474">
        <f t="shared" ref="L17:L18" si="0">IF(K17&lt;&gt;0,+G17-K17,0)</f>
        <v>0</v>
      </c>
      <c r="M17" s="551">
        <f>+H17</f>
        <v>109448.17204091245</v>
      </c>
      <c r="N17" s="474">
        <f t="shared" ref="N17:N72" si="1">IF(M17&lt;&gt;0,+H17-M17,0)</f>
        <v>0</v>
      </c>
      <c r="O17" s="475">
        <f t="shared" ref="O17:O72" si="2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2021</v>
      </c>
      <c r="D18" s="470">
        <v>2325985.7142857141</v>
      </c>
      <c r="E18" s="477">
        <v>54556.976744186046</v>
      </c>
      <c r="F18" s="470">
        <v>2271428.737541528</v>
      </c>
      <c r="G18" s="477">
        <v>302407.38707255269</v>
      </c>
      <c r="H18" s="478">
        <v>302407.38707255269</v>
      </c>
      <c r="I18" s="472">
        <f>H18-G18</f>
        <v>0</v>
      </c>
      <c r="J18" s="472"/>
      <c r="K18" s="625">
        <f>+G18</f>
        <v>302407.38707255269</v>
      </c>
      <c r="L18" s="625">
        <f t="shared" si="0"/>
        <v>0</v>
      </c>
      <c r="M18" s="625">
        <f>+H18</f>
        <v>302407.38707255269</v>
      </c>
      <c r="N18" s="475">
        <f t="shared" si="1"/>
        <v>0</v>
      </c>
      <c r="O18" s="475">
        <f t="shared" si="2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2022</v>
      </c>
      <c r="D19" s="470">
        <v>2462567.7375415284</v>
      </c>
      <c r="E19" s="477">
        <v>60406.880952380954</v>
      </c>
      <c r="F19" s="470">
        <v>2402160.8565891474</v>
      </c>
      <c r="G19" s="477">
        <v>322643.1060760754</v>
      </c>
      <c r="H19" s="478">
        <v>322643.1060760754</v>
      </c>
      <c r="I19" s="472">
        <f t="shared" ref="I19:I71" si="3">H19-G19</f>
        <v>0</v>
      </c>
      <c r="J19" s="472"/>
      <c r="K19" s="625">
        <f>+G19</f>
        <v>322643.1060760754</v>
      </c>
      <c r="L19" s="625">
        <f t="shared" ref="L19" si="4">IF(K19&lt;&gt;0,+G19-K19,0)</f>
        <v>0</v>
      </c>
      <c r="M19" s="625">
        <f>+H19</f>
        <v>322643.1060760754</v>
      </c>
      <c r="N19" s="475">
        <f t="shared" si="1"/>
        <v>0</v>
      </c>
      <c r="O19" s="475">
        <f t="shared" si="2"/>
        <v>0</v>
      </c>
      <c r="P19" s="241"/>
    </row>
    <row r="20" spans="2:16" ht="12.5">
      <c r="B20" s="160" t="str">
        <f t="shared" ref="B20:B72" si="5">IF(D20=F19,"","IU")</f>
        <v>IU</v>
      </c>
      <c r="C20" s="469">
        <f>IF(D11="","-",+C19+1)</f>
        <v>2023</v>
      </c>
      <c r="D20" s="470">
        <v>2401460.3765891474</v>
      </c>
      <c r="E20" s="477">
        <v>65035.603076923078</v>
      </c>
      <c r="F20" s="470">
        <v>2336424.7735122242</v>
      </c>
      <c r="G20" s="477">
        <v>347790.10300118127</v>
      </c>
      <c r="H20" s="478">
        <v>347790.10300118127</v>
      </c>
      <c r="I20" s="472">
        <f t="shared" si="3"/>
        <v>0</v>
      </c>
      <c r="J20" s="472"/>
      <c r="K20" s="625">
        <f>+G20</f>
        <v>347790.10300118127</v>
      </c>
      <c r="L20" s="625">
        <f t="shared" ref="L20" si="6">IF(K20&lt;&gt;0,+G20-K20,0)</f>
        <v>0</v>
      </c>
      <c r="M20" s="625">
        <f>+H20</f>
        <v>347790.10300118127</v>
      </c>
      <c r="N20" s="475">
        <f t="shared" si="1"/>
        <v>0</v>
      </c>
      <c r="O20" s="475">
        <f t="shared" si="2"/>
        <v>0</v>
      </c>
      <c r="P20" s="241"/>
    </row>
    <row r="21" spans="2:16" ht="12.5">
      <c r="B21" s="160" t="str">
        <f t="shared" si="5"/>
        <v>IU</v>
      </c>
      <c r="C21" s="469">
        <f>IF(D11="","-",+C20+1)</f>
        <v>2024</v>
      </c>
      <c r="D21" s="470">
        <v>2194389.0735122245</v>
      </c>
      <c r="E21" s="477">
        <v>61393.662051282059</v>
      </c>
      <c r="F21" s="470">
        <v>2132995.4114609426</v>
      </c>
      <c r="G21" s="477">
        <v>319649.69765873061</v>
      </c>
      <c r="H21" s="478">
        <v>319649.69765873061</v>
      </c>
      <c r="I21" s="472">
        <f t="shared" si="3"/>
        <v>0</v>
      </c>
      <c r="J21" s="472"/>
      <c r="K21" s="625">
        <f>+G21</f>
        <v>319649.69765873061</v>
      </c>
      <c r="L21" s="625">
        <f t="shared" ref="L21" si="7">IF(K21&lt;&gt;0,+G21-K21,0)</f>
        <v>0</v>
      </c>
      <c r="M21" s="625">
        <f>+H21</f>
        <v>319649.69765873061</v>
      </c>
      <c r="N21" s="475">
        <f t="shared" ref="N21" si="8">IF(M21&lt;&gt;0,+H21-M21,0)</f>
        <v>0</v>
      </c>
      <c r="O21" s="475">
        <f t="shared" ref="O21" si="9">+N21-L21</f>
        <v>0</v>
      </c>
      <c r="P21" s="241"/>
    </row>
    <row r="22" spans="2:16" ht="12.5">
      <c r="B22" s="160" t="str">
        <f t="shared" si="5"/>
        <v/>
      </c>
      <c r="C22" s="469">
        <f>IF(D11="","-",+C21+1)</f>
        <v>2025</v>
      </c>
      <c r="D22" s="480">
        <f>IF(F21+SUM(E$17:E21)=D$10,F21,D$10-SUM(E$17:E21))</f>
        <v>2132995.4114609426</v>
      </c>
      <c r="E22" s="481">
        <f t="shared" ref="E22:E71" si="10">IF(+I$14&lt;F21,I$14,D22)</f>
        <v>63009.284736842113</v>
      </c>
      <c r="F22" s="482">
        <f t="shared" ref="F22:F71" si="11">+D22-E22</f>
        <v>2069986.1267241004</v>
      </c>
      <c r="G22" s="483">
        <f t="shared" ref="G22:G71" si="12">(D22+F22)/2*I$12+E22</f>
        <v>302033.23901020031</v>
      </c>
      <c r="H22" s="452">
        <f t="shared" ref="H22:H71" si="13">+(D22+F22)/2*I$13+E22</f>
        <v>302033.23901020031</v>
      </c>
      <c r="I22" s="472">
        <f t="shared" si="3"/>
        <v>0</v>
      </c>
      <c r="J22" s="472"/>
      <c r="K22" s="484"/>
      <c r="L22" s="475">
        <f t="shared" ref="L22:L72" si="14">IF(K22&lt;&gt;0,+G22-K22,0)</f>
        <v>0</v>
      </c>
      <c r="M22" s="484"/>
      <c r="N22" s="475">
        <f t="shared" si="1"/>
        <v>0</v>
      </c>
      <c r="O22" s="475">
        <f t="shared" si="2"/>
        <v>0</v>
      </c>
      <c r="P22" s="241"/>
    </row>
    <row r="23" spans="2:16" ht="12.5">
      <c r="B23" s="160" t="str">
        <f t="shared" si="5"/>
        <v/>
      </c>
      <c r="C23" s="469">
        <f>IF(D11="","-",+C22+1)</f>
        <v>2026</v>
      </c>
      <c r="D23" s="480">
        <f>IF(F22+SUM(E$17:E22)=D$10,F22,D$10-SUM(E$17:E22))</f>
        <v>2069986.1267241004</v>
      </c>
      <c r="E23" s="481">
        <f t="shared" si="10"/>
        <v>63009.284736842113</v>
      </c>
      <c r="F23" s="482">
        <f t="shared" si="11"/>
        <v>2006976.8419872583</v>
      </c>
      <c r="G23" s="483">
        <f t="shared" si="12"/>
        <v>294866.55114497611</v>
      </c>
      <c r="H23" s="452">
        <f t="shared" si="13"/>
        <v>294866.55114497611</v>
      </c>
      <c r="I23" s="472">
        <f t="shared" si="3"/>
        <v>0</v>
      </c>
      <c r="J23" s="472"/>
      <c r="K23" s="484"/>
      <c r="L23" s="475">
        <f t="shared" si="14"/>
        <v>0</v>
      </c>
      <c r="M23" s="484"/>
      <c r="N23" s="475">
        <f t="shared" si="1"/>
        <v>0</v>
      </c>
      <c r="O23" s="475">
        <f t="shared" si="2"/>
        <v>0</v>
      </c>
      <c r="P23" s="241"/>
    </row>
    <row r="24" spans="2:16" ht="12.5">
      <c r="B24" s="160" t="str">
        <f t="shared" si="5"/>
        <v/>
      </c>
      <c r="C24" s="469">
        <f>IF(D11="","-",+C23+1)</f>
        <v>2027</v>
      </c>
      <c r="D24" s="480">
        <f>IF(F23+SUM(E$17:E23)=D$10,F23,D$10-SUM(E$17:E23))</f>
        <v>2006976.8419872583</v>
      </c>
      <c r="E24" s="481">
        <f t="shared" si="10"/>
        <v>63009.284736842113</v>
      </c>
      <c r="F24" s="482">
        <f t="shared" si="11"/>
        <v>1943967.5572504161</v>
      </c>
      <c r="G24" s="483">
        <f t="shared" si="12"/>
        <v>287699.86327975197</v>
      </c>
      <c r="H24" s="452">
        <f t="shared" si="13"/>
        <v>287699.86327975197</v>
      </c>
      <c r="I24" s="472">
        <f t="shared" si="3"/>
        <v>0</v>
      </c>
      <c r="J24" s="472"/>
      <c r="K24" s="484"/>
      <c r="L24" s="475">
        <f t="shared" si="14"/>
        <v>0</v>
      </c>
      <c r="M24" s="484"/>
      <c r="N24" s="475">
        <f t="shared" si="1"/>
        <v>0</v>
      </c>
      <c r="O24" s="475">
        <f t="shared" si="2"/>
        <v>0</v>
      </c>
      <c r="P24" s="241"/>
    </row>
    <row r="25" spans="2:16" ht="12.5">
      <c r="B25" s="160" t="str">
        <f t="shared" si="5"/>
        <v/>
      </c>
      <c r="C25" s="469">
        <f>IF(D11="","-",+C24+1)</f>
        <v>2028</v>
      </c>
      <c r="D25" s="480">
        <f>IF(F24+SUM(E$17:E24)=D$10,F24,D$10-SUM(E$17:E24))</f>
        <v>1943967.5572504161</v>
      </c>
      <c r="E25" s="481">
        <f t="shared" si="10"/>
        <v>63009.284736842113</v>
      </c>
      <c r="F25" s="482">
        <f t="shared" si="11"/>
        <v>1880958.272513574</v>
      </c>
      <c r="G25" s="483">
        <f t="shared" si="12"/>
        <v>280533.17541452777</v>
      </c>
      <c r="H25" s="452">
        <f t="shared" si="13"/>
        <v>280533.17541452777</v>
      </c>
      <c r="I25" s="472">
        <f t="shared" si="3"/>
        <v>0</v>
      </c>
      <c r="J25" s="472"/>
      <c r="K25" s="484"/>
      <c r="L25" s="475">
        <f t="shared" si="14"/>
        <v>0</v>
      </c>
      <c r="M25" s="484"/>
      <c r="N25" s="475">
        <f t="shared" si="1"/>
        <v>0</v>
      </c>
      <c r="O25" s="475">
        <f t="shared" si="2"/>
        <v>0</v>
      </c>
      <c r="P25" s="241"/>
    </row>
    <row r="26" spans="2:16" ht="12.5">
      <c r="B26" s="160" t="str">
        <f t="shared" si="5"/>
        <v/>
      </c>
      <c r="C26" s="469">
        <f>IF(D11="","-",+C25+1)</f>
        <v>2029</v>
      </c>
      <c r="D26" s="480">
        <f>IF(F25+SUM(E$17:E25)=D$10,F25,D$10-SUM(E$17:E25))</f>
        <v>1880958.272513574</v>
      </c>
      <c r="E26" s="481">
        <f t="shared" si="10"/>
        <v>63009.284736842113</v>
      </c>
      <c r="F26" s="482">
        <f t="shared" si="11"/>
        <v>1817948.9877767318</v>
      </c>
      <c r="G26" s="483">
        <f t="shared" si="12"/>
        <v>273366.48754930362</v>
      </c>
      <c r="H26" s="452">
        <f t="shared" si="13"/>
        <v>273366.48754930362</v>
      </c>
      <c r="I26" s="472">
        <f t="shared" si="3"/>
        <v>0</v>
      </c>
      <c r="J26" s="472"/>
      <c r="K26" s="484"/>
      <c r="L26" s="475">
        <f t="shared" si="14"/>
        <v>0</v>
      </c>
      <c r="M26" s="484"/>
      <c r="N26" s="475">
        <f t="shared" si="1"/>
        <v>0</v>
      </c>
      <c r="O26" s="475">
        <f t="shared" si="2"/>
        <v>0</v>
      </c>
      <c r="P26" s="241"/>
    </row>
    <row r="27" spans="2:16" ht="12.5">
      <c r="B27" s="160" t="str">
        <f t="shared" si="5"/>
        <v/>
      </c>
      <c r="C27" s="469">
        <f>IF(D11="","-",+C26+1)</f>
        <v>2030</v>
      </c>
      <c r="D27" s="480">
        <f>IF(F26+SUM(E$17:E26)=D$10,F26,D$10-SUM(E$17:E26))</f>
        <v>1817948.9877767318</v>
      </c>
      <c r="E27" s="481">
        <f t="shared" si="10"/>
        <v>63009.284736842113</v>
      </c>
      <c r="F27" s="482">
        <f t="shared" si="11"/>
        <v>1754939.7030398897</v>
      </c>
      <c r="G27" s="483">
        <f t="shared" si="12"/>
        <v>266199.79968407948</v>
      </c>
      <c r="H27" s="452">
        <f t="shared" si="13"/>
        <v>266199.79968407948</v>
      </c>
      <c r="I27" s="472">
        <f t="shared" si="3"/>
        <v>0</v>
      </c>
      <c r="J27" s="472"/>
      <c r="K27" s="484"/>
      <c r="L27" s="475">
        <f t="shared" si="14"/>
        <v>0</v>
      </c>
      <c r="M27" s="484"/>
      <c r="N27" s="475">
        <f t="shared" si="1"/>
        <v>0</v>
      </c>
      <c r="O27" s="475">
        <f t="shared" si="2"/>
        <v>0</v>
      </c>
      <c r="P27" s="241"/>
    </row>
    <row r="28" spans="2:16" ht="12.5">
      <c r="B28" s="160" t="str">
        <f t="shared" si="5"/>
        <v/>
      </c>
      <c r="C28" s="469">
        <f>IF(D11="","-",+C27+1)</f>
        <v>2031</v>
      </c>
      <c r="D28" s="480">
        <f>IF(F27+SUM(E$17:E27)=D$10,F27,D$10-SUM(E$17:E27))</f>
        <v>1754939.7030398897</v>
      </c>
      <c r="E28" s="481">
        <f t="shared" si="10"/>
        <v>63009.284736842113</v>
      </c>
      <c r="F28" s="482">
        <f t="shared" si="11"/>
        <v>1691930.4183030475</v>
      </c>
      <c r="G28" s="483">
        <f t="shared" si="12"/>
        <v>259033.11181885534</v>
      </c>
      <c r="H28" s="452">
        <f t="shared" si="13"/>
        <v>259033.11181885534</v>
      </c>
      <c r="I28" s="472">
        <f t="shared" si="3"/>
        <v>0</v>
      </c>
      <c r="J28" s="472"/>
      <c r="K28" s="484"/>
      <c r="L28" s="475">
        <f t="shared" si="14"/>
        <v>0</v>
      </c>
      <c r="M28" s="484"/>
      <c r="N28" s="475">
        <f t="shared" si="1"/>
        <v>0</v>
      </c>
      <c r="O28" s="475">
        <f t="shared" si="2"/>
        <v>0</v>
      </c>
      <c r="P28" s="241"/>
    </row>
    <row r="29" spans="2:16" ht="12.5">
      <c r="B29" s="160" t="str">
        <f t="shared" si="5"/>
        <v/>
      </c>
      <c r="C29" s="469">
        <f>IF(D11="","-",+C28+1)</f>
        <v>2032</v>
      </c>
      <c r="D29" s="480">
        <f>IF(F28+SUM(E$17:E28)=D$10,F28,D$10-SUM(E$17:E28))</f>
        <v>1691930.4183030475</v>
      </c>
      <c r="E29" s="481">
        <f t="shared" si="10"/>
        <v>63009.284736842113</v>
      </c>
      <c r="F29" s="482">
        <f t="shared" si="11"/>
        <v>1628921.1335662054</v>
      </c>
      <c r="G29" s="483">
        <f t="shared" si="12"/>
        <v>251866.42395363114</v>
      </c>
      <c r="H29" s="452">
        <f t="shared" si="13"/>
        <v>251866.42395363114</v>
      </c>
      <c r="I29" s="472">
        <f t="shared" si="3"/>
        <v>0</v>
      </c>
      <c r="J29" s="472"/>
      <c r="K29" s="484"/>
      <c r="L29" s="475">
        <f t="shared" si="14"/>
        <v>0</v>
      </c>
      <c r="M29" s="484"/>
      <c r="N29" s="475">
        <f t="shared" si="1"/>
        <v>0</v>
      </c>
      <c r="O29" s="475">
        <f t="shared" si="2"/>
        <v>0</v>
      </c>
      <c r="P29" s="241"/>
    </row>
    <row r="30" spans="2:16" ht="12.5">
      <c r="B30" s="160" t="str">
        <f t="shared" si="5"/>
        <v/>
      </c>
      <c r="C30" s="469">
        <f>IF(D11="","-",+C29+1)</f>
        <v>2033</v>
      </c>
      <c r="D30" s="480">
        <f>IF(F29+SUM(E$17:E29)=D$10,F29,D$10-SUM(E$17:E29))</f>
        <v>1628921.1335662054</v>
      </c>
      <c r="E30" s="481">
        <f t="shared" si="10"/>
        <v>63009.284736842113</v>
      </c>
      <c r="F30" s="482">
        <f t="shared" si="11"/>
        <v>1565911.8488293632</v>
      </c>
      <c r="G30" s="483">
        <f t="shared" si="12"/>
        <v>244699.73608840702</v>
      </c>
      <c r="H30" s="452">
        <f t="shared" si="13"/>
        <v>244699.73608840702</v>
      </c>
      <c r="I30" s="472">
        <f t="shared" si="3"/>
        <v>0</v>
      </c>
      <c r="J30" s="472"/>
      <c r="K30" s="484"/>
      <c r="L30" s="475">
        <f t="shared" si="14"/>
        <v>0</v>
      </c>
      <c r="M30" s="484"/>
      <c r="N30" s="475">
        <f t="shared" si="1"/>
        <v>0</v>
      </c>
      <c r="O30" s="475">
        <f t="shared" si="2"/>
        <v>0</v>
      </c>
      <c r="P30" s="241"/>
    </row>
    <row r="31" spans="2:16" ht="12.5">
      <c r="B31" s="160" t="str">
        <f t="shared" si="5"/>
        <v/>
      </c>
      <c r="C31" s="469">
        <f>IF(D11="","-",+C30+1)</f>
        <v>2034</v>
      </c>
      <c r="D31" s="480">
        <f>IF(F30+SUM(E$17:E30)=D$10,F30,D$10-SUM(E$17:E30))</f>
        <v>1565911.8488293632</v>
      </c>
      <c r="E31" s="481">
        <f t="shared" si="10"/>
        <v>63009.284736842113</v>
      </c>
      <c r="F31" s="482">
        <f t="shared" si="11"/>
        <v>1502902.5640925211</v>
      </c>
      <c r="G31" s="483">
        <f t="shared" si="12"/>
        <v>237533.04822318282</v>
      </c>
      <c r="H31" s="452">
        <f t="shared" si="13"/>
        <v>237533.04822318282</v>
      </c>
      <c r="I31" s="472">
        <f t="shared" si="3"/>
        <v>0</v>
      </c>
      <c r="J31" s="472"/>
      <c r="K31" s="484"/>
      <c r="L31" s="475">
        <f t="shared" si="14"/>
        <v>0</v>
      </c>
      <c r="M31" s="484"/>
      <c r="N31" s="475">
        <f t="shared" si="1"/>
        <v>0</v>
      </c>
      <c r="O31" s="475">
        <f t="shared" si="2"/>
        <v>0</v>
      </c>
      <c r="P31" s="241"/>
    </row>
    <row r="32" spans="2:16" ht="12.5">
      <c r="B32" s="160" t="str">
        <f t="shared" si="5"/>
        <v/>
      </c>
      <c r="C32" s="469">
        <f>IF(D11="","-",+C31+1)</f>
        <v>2035</v>
      </c>
      <c r="D32" s="480">
        <f>IF(F31+SUM(E$17:E31)=D$10,F31,D$10-SUM(E$17:E31))</f>
        <v>1502902.5640925211</v>
      </c>
      <c r="E32" s="481">
        <f t="shared" si="10"/>
        <v>63009.284736842113</v>
      </c>
      <c r="F32" s="482">
        <f t="shared" si="11"/>
        <v>1439893.2793556789</v>
      </c>
      <c r="G32" s="483">
        <f t="shared" si="12"/>
        <v>230366.36035795871</v>
      </c>
      <c r="H32" s="452">
        <f t="shared" si="13"/>
        <v>230366.36035795871</v>
      </c>
      <c r="I32" s="472">
        <f t="shared" si="3"/>
        <v>0</v>
      </c>
      <c r="J32" s="472"/>
      <c r="K32" s="484"/>
      <c r="L32" s="475">
        <f t="shared" si="14"/>
        <v>0</v>
      </c>
      <c r="M32" s="484"/>
      <c r="N32" s="475">
        <f t="shared" si="1"/>
        <v>0</v>
      </c>
      <c r="O32" s="475">
        <f t="shared" si="2"/>
        <v>0</v>
      </c>
      <c r="P32" s="241"/>
    </row>
    <row r="33" spans="2:16" ht="12.5">
      <c r="B33" s="160" t="str">
        <f t="shared" si="5"/>
        <v/>
      </c>
      <c r="C33" s="469">
        <f>IF(D11="","-",+C32+1)</f>
        <v>2036</v>
      </c>
      <c r="D33" s="480">
        <f>IF(F32+SUM(E$17:E32)=D$10,F32,D$10-SUM(E$17:E32))</f>
        <v>1439893.2793556789</v>
      </c>
      <c r="E33" s="481">
        <f t="shared" si="10"/>
        <v>63009.284736842113</v>
      </c>
      <c r="F33" s="482">
        <f t="shared" si="11"/>
        <v>1376883.9946188368</v>
      </c>
      <c r="G33" s="483">
        <f t="shared" si="12"/>
        <v>223199.67249273451</v>
      </c>
      <c r="H33" s="452">
        <f t="shared" si="13"/>
        <v>223199.67249273451</v>
      </c>
      <c r="I33" s="472">
        <f t="shared" si="3"/>
        <v>0</v>
      </c>
      <c r="J33" s="472"/>
      <c r="K33" s="484"/>
      <c r="L33" s="475">
        <f t="shared" si="14"/>
        <v>0</v>
      </c>
      <c r="M33" s="484"/>
      <c r="N33" s="475">
        <f t="shared" si="1"/>
        <v>0</v>
      </c>
      <c r="O33" s="475">
        <f t="shared" si="2"/>
        <v>0</v>
      </c>
      <c r="P33" s="241"/>
    </row>
    <row r="34" spans="2:16" ht="12.5">
      <c r="B34" s="160" t="str">
        <f t="shared" si="5"/>
        <v/>
      </c>
      <c r="C34" s="469">
        <f>IF(D11="","-",+C33+1)</f>
        <v>2037</v>
      </c>
      <c r="D34" s="480">
        <f>IF(F33+SUM(E$17:E33)=D$10,F33,D$10-SUM(E$17:E33))</f>
        <v>1376883.9946188368</v>
      </c>
      <c r="E34" s="481">
        <f t="shared" si="10"/>
        <v>63009.284736842113</v>
      </c>
      <c r="F34" s="482">
        <f t="shared" si="11"/>
        <v>1313874.7098819946</v>
      </c>
      <c r="G34" s="483">
        <f t="shared" si="12"/>
        <v>216032.98462751036</v>
      </c>
      <c r="H34" s="452">
        <f t="shared" si="13"/>
        <v>216032.98462751036</v>
      </c>
      <c r="I34" s="472">
        <f t="shared" si="3"/>
        <v>0</v>
      </c>
      <c r="J34" s="472"/>
      <c r="K34" s="484"/>
      <c r="L34" s="475">
        <f t="shared" si="14"/>
        <v>0</v>
      </c>
      <c r="M34" s="484"/>
      <c r="N34" s="475">
        <f t="shared" si="1"/>
        <v>0</v>
      </c>
      <c r="O34" s="475">
        <f t="shared" si="2"/>
        <v>0</v>
      </c>
      <c r="P34" s="241"/>
    </row>
    <row r="35" spans="2:16" ht="12.5">
      <c r="B35" s="160" t="str">
        <f t="shared" si="5"/>
        <v/>
      </c>
      <c r="C35" s="469">
        <f>IF(D11="","-",+C34+1)</f>
        <v>2038</v>
      </c>
      <c r="D35" s="480">
        <f>IF(F34+SUM(E$17:E34)=D$10,F34,D$10-SUM(E$17:E34))</f>
        <v>1313874.7098819946</v>
      </c>
      <c r="E35" s="481">
        <f t="shared" si="10"/>
        <v>63009.284736842113</v>
      </c>
      <c r="F35" s="482">
        <f t="shared" si="11"/>
        <v>1250865.4251451525</v>
      </c>
      <c r="G35" s="483">
        <f t="shared" si="12"/>
        <v>208866.29676228619</v>
      </c>
      <c r="H35" s="452">
        <f t="shared" si="13"/>
        <v>208866.29676228619</v>
      </c>
      <c r="I35" s="472">
        <f t="shared" si="3"/>
        <v>0</v>
      </c>
      <c r="J35" s="472"/>
      <c r="K35" s="484"/>
      <c r="L35" s="475">
        <f t="shared" si="14"/>
        <v>0</v>
      </c>
      <c r="M35" s="484"/>
      <c r="N35" s="475">
        <f t="shared" si="1"/>
        <v>0</v>
      </c>
      <c r="O35" s="475">
        <f t="shared" si="2"/>
        <v>0</v>
      </c>
      <c r="P35" s="241"/>
    </row>
    <row r="36" spans="2:16" ht="12.5">
      <c r="B36" s="160" t="str">
        <f t="shared" si="5"/>
        <v/>
      </c>
      <c r="C36" s="469">
        <f>IF(D11="","-",+C35+1)</f>
        <v>2039</v>
      </c>
      <c r="D36" s="480">
        <f>IF(F35+SUM(E$17:E35)=D$10,F35,D$10-SUM(E$17:E35))</f>
        <v>1250865.4251451525</v>
      </c>
      <c r="E36" s="481">
        <f t="shared" si="10"/>
        <v>63009.284736842113</v>
      </c>
      <c r="F36" s="482">
        <f t="shared" si="11"/>
        <v>1187856.1404083103</v>
      </c>
      <c r="G36" s="483">
        <f t="shared" si="12"/>
        <v>201699.60889706205</v>
      </c>
      <c r="H36" s="452">
        <f t="shared" si="13"/>
        <v>201699.60889706205</v>
      </c>
      <c r="I36" s="472">
        <f t="shared" si="3"/>
        <v>0</v>
      </c>
      <c r="J36" s="472"/>
      <c r="K36" s="484"/>
      <c r="L36" s="475">
        <f t="shared" si="14"/>
        <v>0</v>
      </c>
      <c r="M36" s="484"/>
      <c r="N36" s="475">
        <f t="shared" si="1"/>
        <v>0</v>
      </c>
      <c r="O36" s="475">
        <f t="shared" si="2"/>
        <v>0</v>
      </c>
      <c r="P36" s="241"/>
    </row>
    <row r="37" spans="2:16" ht="12.5">
      <c r="B37" s="160" t="str">
        <f t="shared" si="5"/>
        <v/>
      </c>
      <c r="C37" s="469">
        <f>IF(D11="","-",+C36+1)</f>
        <v>2040</v>
      </c>
      <c r="D37" s="480">
        <f>IF(F36+SUM(E$17:E36)=D$10,F36,D$10-SUM(E$17:E36))</f>
        <v>1187856.1404083103</v>
      </c>
      <c r="E37" s="481">
        <f t="shared" si="10"/>
        <v>63009.284736842113</v>
      </c>
      <c r="F37" s="482">
        <f t="shared" si="11"/>
        <v>1124846.8556714682</v>
      </c>
      <c r="G37" s="483">
        <f t="shared" si="12"/>
        <v>194532.92103183788</v>
      </c>
      <c r="H37" s="452">
        <f t="shared" si="13"/>
        <v>194532.92103183788</v>
      </c>
      <c r="I37" s="472">
        <f t="shared" si="3"/>
        <v>0</v>
      </c>
      <c r="J37" s="472"/>
      <c r="K37" s="484"/>
      <c r="L37" s="475">
        <f t="shared" si="14"/>
        <v>0</v>
      </c>
      <c r="M37" s="484"/>
      <c r="N37" s="475">
        <f t="shared" si="1"/>
        <v>0</v>
      </c>
      <c r="O37" s="475">
        <f t="shared" si="2"/>
        <v>0</v>
      </c>
      <c r="P37" s="241"/>
    </row>
    <row r="38" spans="2:16" ht="12.5">
      <c r="B38" s="160" t="str">
        <f t="shared" si="5"/>
        <v/>
      </c>
      <c r="C38" s="469">
        <f>IF(D11="","-",+C37+1)</f>
        <v>2041</v>
      </c>
      <c r="D38" s="480">
        <f>IF(F37+SUM(E$17:E37)=D$10,F37,D$10-SUM(E$17:E37))</f>
        <v>1124846.8556714682</v>
      </c>
      <c r="E38" s="481">
        <f t="shared" si="10"/>
        <v>63009.284736842113</v>
      </c>
      <c r="F38" s="482">
        <f t="shared" si="11"/>
        <v>1061837.570934626</v>
      </c>
      <c r="G38" s="483">
        <f t="shared" si="12"/>
        <v>187366.23316661373</v>
      </c>
      <c r="H38" s="452">
        <f t="shared" si="13"/>
        <v>187366.23316661373</v>
      </c>
      <c r="I38" s="472">
        <f t="shared" si="3"/>
        <v>0</v>
      </c>
      <c r="J38" s="472"/>
      <c r="K38" s="484"/>
      <c r="L38" s="475">
        <f t="shared" si="14"/>
        <v>0</v>
      </c>
      <c r="M38" s="484"/>
      <c r="N38" s="475">
        <f t="shared" si="1"/>
        <v>0</v>
      </c>
      <c r="O38" s="475">
        <f t="shared" si="2"/>
        <v>0</v>
      </c>
      <c r="P38" s="241"/>
    </row>
    <row r="39" spans="2:16" ht="12.5">
      <c r="B39" s="160" t="str">
        <f t="shared" si="5"/>
        <v/>
      </c>
      <c r="C39" s="469">
        <f>IF(D11="","-",+C38+1)</f>
        <v>2042</v>
      </c>
      <c r="D39" s="480">
        <f>IF(F38+SUM(E$17:E38)=D$10,F38,D$10-SUM(E$17:E38))</f>
        <v>1061837.570934626</v>
      </c>
      <c r="E39" s="481">
        <f t="shared" si="10"/>
        <v>63009.284736842113</v>
      </c>
      <c r="F39" s="482">
        <f t="shared" si="11"/>
        <v>998828.28619778389</v>
      </c>
      <c r="G39" s="483">
        <f t="shared" si="12"/>
        <v>180199.54530138956</v>
      </c>
      <c r="H39" s="452">
        <f t="shared" si="13"/>
        <v>180199.54530138956</v>
      </c>
      <c r="I39" s="472">
        <f t="shared" si="3"/>
        <v>0</v>
      </c>
      <c r="J39" s="472"/>
      <c r="K39" s="484"/>
      <c r="L39" s="475">
        <f t="shared" si="14"/>
        <v>0</v>
      </c>
      <c r="M39" s="484"/>
      <c r="N39" s="475">
        <f t="shared" si="1"/>
        <v>0</v>
      </c>
      <c r="O39" s="475">
        <f t="shared" si="2"/>
        <v>0</v>
      </c>
      <c r="P39" s="241"/>
    </row>
    <row r="40" spans="2:16" ht="12.5">
      <c r="B40" s="160" t="str">
        <f t="shared" si="5"/>
        <v/>
      </c>
      <c r="C40" s="469">
        <f>IF(D11="","-",+C39+1)</f>
        <v>2043</v>
      </c>
      <c r="D40" s="480">
        <f>IF(F39+SUM(E$17:E39)=D$10,F39,D$10-SUM(E$17:E39))</f>
        <v>998828.28619778389</v>
      </c>
      <c r="E40" s="481">
        <f t="shared" si="10"/>
        <v>63009.284736842113</v>
      </c>
      <c r="F40" s="482">
        <f t="shared" si="11"/>
        <v>935819.00146094174</v>
      </c>
      <c r="G40" s="483">
        <f t="shared" si="12"/>
        <v>173032.85743616539</v>
      </c>
      <c r="H40" s="452">
        <f t="shared" si="13"/>
        <v>173032.85743616539</v>
      </c>
      <c r="I40" s="472">
        <f t="shared" si="3"/>
        <v>0</v>
      </c>
      <c r="J40" s="472"/>
      <c r="K40" s="484"/>
      <c r="L40" s="475">
        <f t="shared" si="14"/>
        <v>0</v>
      </c>
      <c r="M40" s="484"/>
      <c r="N40" s="475">
        <f t="shared" si="1"/>
        <v>0</v>
      </c>
      <c r="O40" s="475">
        <f t="shared" si="2"/>
        <v>0</v>
      </c>
      <c r="P40" s="241"/>
    </row>
    <row r="41" spans="2:16" ht="12.5">
      <c r="B41" s="160" t="str">
        <f t="shared" si="5"/>
        <v/>
      </c>
      <c r="C41" s="469">
        <f>IF(D11="","-",+C40+1)</f>
        <v>2044</v>
      </c>
      <c r="D41" s="480">
        <f>IF(F40+SUM(E$17:E40)=D$10,F40,D$10-SUM(E$17:E40))</f>
        <v>935819.00146094174</v>
      </c>
      <c r="E41" s="481">
        <f t="shared" si="10"/>
        <v>63009.284736842113</v>
      </c>
      <c r="F41" s="482">
        <f t="shared" si="11"/>
        <v>872809.71672409959</v>
      </c>
      <c r="G41" s="483">
        <f t="shared" si="12"/>
        <v>165866.16957094122</v>
      </c>
      <c r="H41" s="452">
        <f t="shared" si="13"/>
        <v>165866.16957094122</v>
      </c>
      <c r="I41" s="472">
        <f t="shared" si="3"/>
        <v>0</v>
      </c>
      <c r="J41" s="472"/>
      <c r="K41" s="484"/>
      <c r="L41" s="475">
        <f t="shared" si="14"/>
        <v>0</v>
      </c>
      <c r="M41" s="484"/>
      <c r="N41" s="475">
        <f t="shared" si="1"/>
        <v>0</v>
      </c>
      <c r="O41" s="475">
        <f t="shared" si="2"/>
        <v>0</v>
      </c>
      <c r="P41" s="241"/>
    </row>
    <row r="42" spans="2:16" ht="12.5">
      <c r="B42" s="160" t="str">
        <f t="shared" si="5"/>
        <v/>
      </c>
      <c r="C42" s="469">
        <f>IF(D11="","-",+C41+1)</f>
        <v>2045</v>
      </c>
      <c r="D42" s="480">
        <f>IF(F41+SUM(E$17:E41)=D$10,F41,D$10-SUM(E$17:E41))</f>
        <v>872809.71672409959</v>
      </c>
      <c r="E42" s="481">
        <f t="shared" si="10"/>
        <v>63009.284736842113</v>
      </c>
      <c r="F42" s="482">
        <f t="shared" si="11"/>
        <v>809800.43198725744</v>
      </c>
      <c r="G42" s="483">
        <f t="shared" si="12"/>
        <v>158699.48170571707</v>
      </c>
      <c r="H42" s="452">
        <f t="shared" si="13"/>
        <v>158699.48170571707</v>
      </c>
      <c r="I42" s="472">
        <f t="shared" si="3"/>
        <v>0</v>
      </c>
      <c r="J42" s="472"/>
      <c r="K42" s="484"/>
      <c r="L42" s="475">
        <f t="shared" si="14"/>
        <v>0</v>
      </c>
      <c r="M42" s="484"/>
      <c r="N42" s="475">
        <f t="shared" si="1"/>
        <v>0</v>
      </c>
      <c r="O42" s="475">
        <f t="shared" si="2"/>
        <v>0</v>
      </c>
      <c r="P42" s="241"/>
    </row>
    <row r="43" spans="2:16" ht="12.5">
      <c r="B43" s="160" t="str">
        <f t="shared" si="5"/>
        <v/>
      </c>
      <c r="C43" s="469">
        <f>IF(D11="","-",+C42+1)</f>
        <v>2046</v>
      </c>
      <c r="D43" s="480">
        <f>IF(F42+SUM(E$17:E42)=D$10,F42,D$10-SUM(E$17:E42))</f>
        <v>809800.43198725744</v>
      </c>
      <c r="E43" s="481">
        <f t="shared" si="10"/>
        <v>63009.284736842113</v>
      </c>
      <c r="F43" s="482">
        <f t="shared" si="11"/>
        <v>746791.14725041529</v>
      </c>
      <c r="G43" s="483">
        <f t="shared" si="12"/>
        <v>151532.7938404929</v>
      </c>
      <c r="H43" s="452">
        <f t="shared" si="13"/>
        <v>151532.7938404929</v>
      </c>
      <c r="I43" s="472">
        <f t="shared" si="3"/>
        <v>0</v>
      </c>
      <c r="J43" s="472"/>
      <c r="K43" s="484"/>
      <c r="L43" s="475">
        <f t="shared" si="14"/>
        <v>0</v>
      </c>
      <c r="M43" s="484"/>
      <c r="N43" s="475">
        <f t="shared" si="1"/>
        <v>0</v>
      </c>
      <c r="O43" s="475">
        <f t="shared" si="2"/>
        <v>0</v>
      </c>
      <c r="P43" s="241"/>
    </row>
    <row r="44" spans="2:16" ht="12.5">
      <c r="B44" s="160" t="str">
        <f t="shared" si="5"/>
        <v/>
      </c>
      <c r="C44" s="469">
        <f>IF(D11="","-",+C43+1)</f>
        <v>2047</v>
      </c>
      <c r="D44" s="480">
        <f>IF(F43+SUM(E$17:E43)=D$10,F43,D$10-SUM(E$17:E43))</f>
        <v>746791.14725041529</v>
      </c>
      <c r="E44" s="481">
        <f t="shared" si="10"/>
        <v>63009.284736842113</v>
      </c>
      <c r="F44" s="482">
        <f t="shared" si="11"/>
        <v>683781.86251357314</v>
      </c>
      <c r="G44" s="483">
        <f t="shared" si="12"/>
        <v>144366.10597526876</v>
      </c>
      <c r="H44" s="452">
        <f t="shared" si="13"/>
        <v>144366.10597526876</v>
      </c>
      <c r="I44" s="472">
        <f t="shared" si="3"/>
        <v>0</v>
      </c>
      <c r="J44" s="472"/>
      <c r="K44" s="484"/>
      <c r="L44" s="475">
        <f t="shared" si="14"/>
        <v>0</v>
      </c>
      <c r="M44" s="484"/>
      <c r="N44" s="475">
        <f t="shared" si="1"/>
        <v>0</v>
      </c>
      <c r="O44" s="475">
        <f t="shared" si="2"/>
        <v>0</v>
      </c>
      <c r="P44" s="241"/>
    </row>
    <row r="45" spans="2:16" ht="12.5">
      <c r="B45" s="160" t="str">
        <f t="shared" si="5"/>
        <v/>
      </c>
      <c r="C45" s="469">
        <f>IF(D11="","-",+C44+1)</f>
        <v>2048</v>
      </c>
      <c r="D45" s="480">
        <f>IF(F44+SUM(E$17:E44)=D$10,F44,D$10-SUM(E$17:E44))</f>
        <v>683781.86251357314</v>
      </c>
      <c r="E45" s="481">
        <f t="shared" si="10"/>
        <v>63009.284736842113</v>
      </c>
      <c r="F45" s="482">
        <f t="shared" si="11"/>
        <v>620772.57777673099</v>
      </c>
      <c r="G45" s="483">
        <f t="shared" si="12"/>
        <v>137199.41811004459</v>
      </c>
      <c r="H45" s="452">
        <f t="shared" si="13"/>
        <v>137199.41811004459</v>
      </c>
      <c r="I45" s="472">
        <f t="shared" si="3"/>
        <v>0</v>
      </c>
      <c r="J45" s="472"/>
      <c r="K45" s="484"/>
      <c r="L45" s="475">
        <f t="shared" si="14"/>
        <v>0</v>
      </c>
      <c r="M45" s="484"/>
      <c r="N45" s="475">
        <f t="shared" si="1"/>
        <v>0</v>
      </c>
      <c r="O45" s="475">
        <f t="shared" si="2"/>
        <v>0</v>
      </c>
      <c r="P45" s="241"/>
    </row>
    <row r="46" spans="2:16" ht="12.5">
      <c r="B46" s="160" t="str">
        <f t="shared" si="5"/>
        <v/>
      </c>
      <c r="C46" s="469">
        <f>IF(D11="","-",+C45+1)</f>
        <v>2049</v>
      </c>
      <c r="D46" s="480">
        <f>IF(F45+SUM(E$17:E45)=D$10,F45,D$10-SUM(E$17:E45))</f>
        <v>620772.57777673099</v>
      </c>
      <c r="E46" s="481">
        <f t="shared" si="10"/>
        <v>63009.284736842113</v>
      </c>
      <c r="F46" s="482">
        <f t="shared" si="11"/>
        <v>557763.29303988884</v>
      </c>
      <c r="G46" s="483">
        <f t="shared" si="12"/>
        <v>130032.73024482041</v>
      </c>
      <c r="H46" s="452">
        <f t="shared" si="13"/>
        <v>130032.73024482041</v>
      </c>
      <c r="I46" s="472">
        <f t="shared" si="3"/>
        <v>0</v>
      </c>
      <c r="J46" s="472"/>
      <c r="K46" s="484"/>
      <c r="L46" s="475">
        <f t="shared" si="14"/>
        <v>0</v>
      </c>
      <c r="M46" s="484"/>
      <c r="N46" s="475">
        <f t="shared" si="1"/>
        <v>0</v>
      </c>
      <c r="O46" s="475">
        <f t="shared" si="2"/>
        <v>0</v>
      </c>
      <c r="P46" s="241"/>
    </row>
    <row r="47" spans="2:16" ht="12.5">
      <c r="B47" s="160" t="str">
        <f t="shared" si="5"/>
        <v/>
      </c>
      <c r="C47" s="469">
        <f>IF(D11="","-",+C46+1)</f>
        <v>2050</v>
      </c>
      <c r="D47" s="480">
        <f>IF(F46+SUM(E$17:E46)=D$10,F46,D$10-SUM(E$17:E46))</f>
        <v>557763.29303988884</v>
      </c>
      <c r="E47" s="481">
        <f t="shared" si="10"/>
        <v>63009.284736842113</v>
      </c>
      <c r="F47" s="482">
        <f t="shared" si="11"/>
        <v>494754.00830304675</v>
      </c>
      <c r="G47" s="483">
        <f t="shared" si="12"/>
        <v>122866.04237959627</v>
      </c>
      <c r="H47" s="452">
        <f t="shared" si="13"/>
        <v>122866.04237959627</v>
      </c>
      <c r="I47" s="472">
        <f t="shared" si="3"/>
        <v>0</v>
      </c>
      <c r="J47" s="472"/>
      <c r="K47" s="484"/>
      <c r="L47" s="475">
        <f t="shared" si="14"/>
        <v>0</v>
      </c>
      <c r="M47" s="484"/>
      <c r="N47" s="475">
        <f t="shared" si="1"/>
        <v>0</v>
      </c>
      <c r="O47" s="475">
        <f t="shared" si="2"/>
        <v>0</v>
      </c>
      <c r="P47" s="241"/>
    </row>
    <row r="48" spans="2:16" ht="12.5">
      <c r="B48" s="160" t="str">
        <f t="shared" si="5"/>
        <v/>
      </c>
      <c r="C48" s="469">
        <f>IF(D11="","-",+C47+1)</f>
        <v>2051</v>
      </c>
      <c r="D48" s="480">
        <f>IF(F47+SUM(E$17:E47)=D$10,F47,D$10-SUM(E$17:E47))</f>
        <v>494754.00830304675</v>
      </c>
      <c r="E48" s="481">
        <f t="shared" si="10"/>
        <v>63009.284736842113</v>
      </c>
      <c r="F48" s="482">
        <f t="shared" si="11"/>
        <v>431744.72356620466</v>
      </c>
      <c r="G48" s="483">
        <f t="shared" si="12"/>
        <v>115699.35451437211</v>
      </c>
      <c r="H48" s="452">
        <f t="shared" si="13"/>
        <v>115699.35451437211</v>
      </c>
      <c r="I48" s="472">
        <f t="shared" si="3"/>
        <v>0</v>
      </c>
      <c r="J48" s="472"/>
      <c r="K48" s="484"/>
      <c r="L48" s="475">
        <f t="shared" si="14"/>
        <v>0</v>
      </c>
      <c r="M48" s="484"/>
      <c r="N48" s="475">
        <f t="shared" si="1"/>
        <v>0</v>
      </c>
      <c r="O48" s="475">
        <f t="shared" si="2"/>
        <v>0</v>
      </c>
      <c r="P48" s="241"/>
    </row>
    <row r="49" spans="2:16" ht="12.5">
      <c r="B49" s="160" t="str">
        <f t="shared" si="5"/>
        <v/>
      </c>
      <c r="C49" s="469">
        <f>IF(D11="","-",+C48+1)</f>
        <v>2052</v>
      </c>
      <c r="D49" s="480">
        <f>IF(F48+SUM(E$17:E48)=D$10,F48,D$10-SUM(E$17:E48))</f>
        <v>431744.72356620466</v>
      </c>
      <c r="E49" s="481">
        <f t="shared" si="10"/>
        <v>63009.284736842113</v>
      </c>
      <c r="F49" s="482">
        <f t="shared" si="11"/>
        <v>368735.43882936257</v>
      </c>
      <c r="G49" s="483">
        <f t="shared" si="12"/>
        <v>108532.66664914796</v>
      </c>
      <c r="H49" s="452">
        <f t="shared" si="13"/>
        <v>108532.66664914796</v>
      </c>
      <c r="I49" s="472">
        <f t="shared" si="3"/>
        <v>0</v>
      </c>
      <c r="J49" s="472"/>
      <c r="K49" s="484"/>
      <c r="L49" s="475">
        <f t="shared" si="14"/>
        <v>0</v>
      </c>
      <c r="M49" s="484"/>
      <c r="N49" s="475">
        <f t="shared" si="1"/>
        <v>0</v>
      </c>
      <c r="O49" s="475">
        <f t="shared" si="2"/>
        <v>0</v>
      </c>
      <c r="P49" s="241"/>
    </row>
    <row r="50" spans="2:16" ht="12.5">
      <c r="B50" s="160" t="str">
        <f t="shared" si="5"/>
        <v/>
      </c>
      <c r="C50" s="469">
        <f>IF(D11="","-",+C49+1)</f>
        <v>2053</v>
      </c>
      <c r="D50" s="480">
        <f>IF(F49+SUM(E$17:E49)=D$10,F49,D$10-SUM(E$17:E49))</f>
        <v>368735.43882936257</v>
      </c>
      <c r="E50" s="481">
        <f t="shared" si="10"/>
        <v>63009.284736842113</v>
      </c>
      <c r="F50" s="482">
        <f t="shared" si="11"/>
        <v>305726.15409252048</v>
      </c>
      <c r="G50" s="483">
        <f t="shared" si="12"/>
        <v>101365.97878392381</v>
      </c>
      <c r="H50" s="452">
        <f t="shared" si="13"/>
        <v>101365.97878392381</v>
      </c>
      <c r="I50" s="472">
        <f t="shared" si="3"/>
        <v>0</v>
      </c>
      <c r="J50" s="472"/>
      <c r="K50" s="484"/>
      <c r="L50" s="475">
        <f t="shared" si="14"/>
        <v>0</v>
      </c>
      <c r="M50" s="484"/>
      <c r="N50" s="475">
        <f t="shared" si="1"/>
        <v>0</v>
      </c>
      <c r="O50" s="475">
        <f t="shared" si="2"/>
        <v>0</v>
      </c>
      <c r="P50" s="241"/>
    </row>
    <row r="51" spans="2:16" ht="12.5">
      <c r="B51" s="160" t="str">
        <f t="shared" si="5"/>
        <v/>
      </c>
      <c r="C51" s="469">
        <f>IF(D11="","-",+C50+1)</f>
        <v>2054</v>
      </c>
      <c r="D51" s="480">
        <f>IF(F50+SUM(E$17:E50)=D$10,F50,D$10-SUM(E$17:E50))</f>
        <v>305726.15409252048</v>
      </c>
      <c r="E51" s="481">
        <f t="shared" si="10"/>
        <v>63009.284736842113</v>
      </c>
      <c r="F51" s="482">
        <f t="shared" si="11"/>
        <v>242716.86935567835</v>
      </c>
      <c r="G51" s="483">
        <f t="shared" si="12"/>
        <v>94199.29091869964</v>
      </c>
      <c r="H51" s="452">
        <f t="shared" si="13"/>
        <v>94199.29091869964</v>
      </c>
      <c r="I51" s="472">
        <f t="shared" si="3"/>
        <v>0</v>
      </c>
      <c r="J51" s="472"/>
      <c r="K51" s="484"/>
      <c r="L51" s="475">
        <f t="shared" si="14"/>
        <v>0</v>
      </c>
      <c r="M51" s="484"/>
      <c r="N51" s="475">
        <f t="shared" si="1"/>
        <v>0</v>
      </c>
      <c r="O51" s="475">
        <f t="shared" si="2"/>
        <v>0</v>
      </c>
      <c r="P51" s="241"/>
    </row>
    <row r="52" spans="2:16" ht="12.5">
      <c r="B52" s="160" t="str">
        <f t="shared" si="5"/>
        <v/>
      </c>
      <c r="C52" s="469">
        <f>IF(D11="","-",+C51+1)</f>
        <v>2055</v>
      </c>
      <c r="D52" s="480">
        <f>IF(F51+SUM(E$17:E51)=D$10,F51,D$10-SUM(E$17:E51))</f>
        <v>242716.86935567835</v>
      </c>
      <c r="E52" s="481">
        <f t="shared" si="10"/>
        <v>63009.284736842113</v>
      </c>
      <c r="F52" s="482">
        <f t="shared" si="11"/>
        <v>179707.58461883623</v>
      </c>
      <c r="G52" s="483">
        <f t="shared" si="12"/>
        <v>87032.603053475497</v>
      </c>
      <c r="H52" s="452">
        <f t="shared" si="13"/>
        <v>87032.603053475497</v>
      </c>
      <c r="I52" s="472">
        <f t="shared" si="3"/>
        <v>0</v>
      </c>
      <c r="J52" s="472"/>
      <c r="K52" s="484"/>
      <c r="L52" s="475">
        <f t="shared" si="14"/>
        <v>0</v>
      </c>
      <c r="M52" s="484"/>
      <c r="N52" s="475">
        <f t="shared" si="1"/>
        <v>0</v>
      </c>
      <c r="O52" s="475">
        <f t="shared" si="2"/>
        <v>0</v>
      </c>
      <c r="P52" s="241"/>
    </row>
    <row r="53" spans="2:16" ht="12.5">
      <c r="B53" s="160" t="str">
        <f t="shared" si="5"/>
        <v/>
      </c>
      <c r="C53" s="469">
        <f>IF(D11="","-",+C52+1)</f>
        <v>2056</v>
      </c>
      <c r="D53" s="480">
        <f>IF(F52+SUM(E$17:E52)=D$10,F52,D$10-SUM(E$17:E52))</f>
        <v>179707.58461883623</v>
      </c>
      <c r="E53" s="481">
        <f t="shared" si="10"/>
        <v>63009.284736842113</v>
      </c>
      <c r="F53" s="482">
        <f t="shared" si="11"/>
        <v>116698.29988199411</v>
      </c>
      <c r="G53" s="483">
        <f t="shared" si="12"/>
        <v>79865.915188251325</v>
      </c>
      <c r="H53" s="452">
        <f t="shared" si="13"/>
        <v>79865.915188251325</v>
      </c>
      <c r="I53" s="472">
        <f t="shared" si="3"/>
        <v>0</v>
      </c>
      <c r="J53" s="472"/>
      <c r="K53" s="484"/>
      <c r="L53" s="475">
        <f t="shared" si="14"/>
        <v>0</v>
      </c>
      <c r="M53" s="484"/>
      <c r="N53" s="475">
        <f t="shared" si="1"/>
        <v>0</v>
      </c>
      <c r="O53" s="475">
        <f t="shared" si="2"/>
        <v>0</v>
      </c>
      <c r="P53" s="241"/>
    </row>
    <row r="54" spans="2:16" ht="12.5">
      <c r="B54" s="160" t="str">
        <f t="shared" si="5"/>
        <v/>
      </c>
      <c r="C54" s="469">
        <f>IF(D11="","-",+C53+1)</f>
        <v>2057</v>
      </c>
      <c r="D54" s="480">
        <f>IF(F53+SUM(E$17:E53)=D$10,F53,D$10-SUM(E$17:E53))</f>
        <v>116698.29988199411</v>
      </c>
      <c r="E54" s="481">
        <f t="shared" si="10"/>
        <v>63009.284736842113</v>
      </c>
      <c r="F54" s="482">
        <f t="shared" si="11"/>
        <v>53689.015145152</v>
      </c>
      <c r="G54" s="483">
        <f t="shared" si="12"/>
        <v>72699.227323027182</v>
      </c>
      <c r="H54" s="452">
        <f t="shared" si="13"/>
        <v>72699.227323027182</v>
      </c>
      <c r="I54" s="472">
        <f t="shared" si="3"/>
        <v>0</v>
      </c>
      <c r="J54" s="472"/>
      <c r="K54" s="484"/>
      <c r="L54" s="475">
        <f t="shared" si="14"/>
        <v>0</v>
      </c>
      <c r="M54" s="484"/>
      <c r="N54" s="475">
        <f t="shared" si="1"/>
        <v>0</v>
      </c>
      <c r="O54" s="475">
        <f t="shared" si="2"/>
        <v>0</v>
      </c>
      <c r="P54" s="241"/>
    </row>
    <row r="55" spans="2:16" ht="12.5">
      <c r="B55" s="160" t="str">
        <f t="shared" si="5"/>
        <v/>
      </c>
      <c r="C55" s="469">
        <f>IF(D11="","-",+C54+1)</f>
        <v>2058</v>
      </c>
      <c r="D55" s="480">
        <f>IF(F54+SUM(E$17:E54)=D$10,F54,D$10-SUM(E$17:E54))</f>
        <v>53689.015145152</v>
      </c>
      <c r="E55" s="481">
        <f t="shared" si="10"/>
        <v>53689.015145152</v>
      </c>
      <c r="F55" s="482">
        <f t="shared" si="11"/>
        <v>0</v>
      </c>
      <c r="G55" s="483">
        <f t="shared" si="12"/>
        <v>56742.314471938495</v>
      </c>
      <c r="H55" s="452">
        <f t="shared" si="13"/>
        <v>56742.314471938495</v>
      </c>
      <c r="I55" s="472">
        <f t="shared" si="3"/>
        <v>0</v>
      </c>
      <c r="J55" s="472"/>
      <c r="K55" s="484"/>
      <c r="L55" s="475">
        <f t="shared" si="14"/>
        <v>0</v>
      </c>
      <c r="M55" s="484"/>
      <c r="N55" s="475">
        <f t="shared" si="1"/>
        <v>0</v>
      </c>
      <c r="O55" s="475">
        <f t="shared" si="2"/>
        <v>0</v>
      </c>
      <c r="P55" s="241"/>
    </row>
    <row r="56" spans="2:16" ht="12.5">
      <c r="B56" s="160" t="str">
        <f t="shared" si="5"/>
        <v/>
      </c>
      <c r="C56" s="469">
        <f>IF(D11="","-",+C55+1)</f>
        <v>2059</v>
      </c>
      <c r="D56" s="480">
        <f>IF(F55+SUM(E$17:E55)=D$10,F55,D$10-SUM(E$17:E55))</f>
        <v>0</v>
      </c>
      <c r="E56" s="481">
        <f t="shared" si="10"/>
        <v>0</v>
      </c>
      <c r="F56" s="482">
        <f t="shared" si="11"/>
        <v>0</v>
      </c>
      <c r="G56" s="483">
        <f t="shared" si="12"/>
        <v>0</v>
      </c>
      <c r="H56" s="452">
        <f t="shared" si="13"/>
        <v>0</v>
      </c>
      <c r="I56" s="472">
        <f t="shared" si="3"/>
        <v>0</v>
      </c>
      <c r="J56" s="472"/>
      <c r="K56" s="484"/>
      <c r="L56" s="475">
        <f t="shared" si="14"/>
        <v>0</v>
      </c>
      <c r="M56" s="484"/>
      <c r="N56" s="475">
        <f t="shared" si="1"/>
        <v>0</v>
      </c>
      <c r="O56" s="475">
        <f t="shared" si="2"/>
        <v>0</v>
      </c>
      <c r="P56" s="241"/>
    </row>
    <row r="57" spans="2:16" ht="12.5">
      <c r="B57" s="160" t="str">
        <f t="shared" si="5"/>
        <v/>
      </c>
      <c r="C57" s="469">
        <f>IF(D11="","-",+C56+1)</f>
        <v>2060</v>
      </c>
      <c r="D57" s="480">
        <f>IF(F56+SUM(E$17:E56)=D$10,F56,D$10-SUM(E$17:E56))</f>
        <v>0</v>
      </c>
      <c r="E57" s="481">
        <f t="shared" si="10"/>
        <v>0</v>
      </c>
      <c r="F57" s="482">
        <f t="shared" si="11"/>
        <v>0</v>
      </c>
      <c r="G57" s="483">
        <f t="shared" si="12"/>
        <v>0</v>
      </c>
      <c r="H57" s="452">
        <f t="shared" si="13"/>
        <v>0</v>
      </c>
      <c r="I57" s="472">
        <f t="shared" si="3"/>
        <v>0</v>
      </c>
      <c r="J57" s="472"/>
      <c r="K57" s="484"/>
      <c r="L57" s="475">
        <f t="shared" si="14"/>
        <v>0</v>
      </c>
      <c r="M57" s="484"/>
      <c r="N57" s="475">
        <f t="shared" si="1"/>
        <v>0</v>
      </c>
      <c r="O57" s="475">
        <f t="shared" si="2"/>
        <v>0</v>
      </c>
      <c r="P57" s="241"/>
    </row>
    <row r="58" spans="2:16" ht="12.5">
      <c r="B58" s="160" t="str">
        <f t="shared" si="5"/>
        <v/>
      </c>
      <c r="C58" s="469">
        <f>IF(D11="","-",+C57+1)</f>
        <v>2061</v>
      </c>
      <c r="D58" s="480">
        <f>IF(F57+SUM(E$17:E57)=D$10,F57,D$10-SUM(E$17:E57))</f>
        <v>0</v>
      </c>
      <c r="E58" s="481">
        <f t="shared" si="10"/>
        <v>0</v>
      </c>
      <c r="F58" s="482">
        <f t="shared" si="11"/>
        <v>0</v>
      </c>
      <c r="G58" s="483">
        <f t="shared" si="12"/>
        <v>0</v>
      </c>
      <c r="H58" s="452">
        <f t="shared" si="13"/>
        <v>0</v>
      </c>
      <c r="I58" s="472">
        <f t="shared" si="3"/>
        <v>0</v>
      </c>
      <c r="J58" s="472"/>
      <c r="K58" s="484"/>
      <c r="L58" s="475">
        <f t="shared" si="14"/>
        <v>0</v>
      </c>
      <c r="M58" s="484"/>
      <c r="N58" s="475">
        <f t="shared" si="1"/>
        <v>0</v>
      </c>
      <c r="O58" s="475">
        <f t="shared" si="2"/>
        <v>0</v>
      </c>
      <c r="P58" s="241"/>
    </row>
    <row r="59" spans="2:16" ht="12.5">
      <c r="B59" s="160" t="str">
        <f t="shared" si="5"/>
        <v/>
      </c>
      <c r="C59" s="469">
        <f>IF(D11="","-",+C58+1)</f>
        <v>2062</v>
      </c>
      <c r="D59" s="480">
        <f>IF(F58+SUM(E$17:E58)=D$10,F58,D$10-SUM(E$17:E58))</f>
        <v>0</v>
      </c>
      <c r="E59" s="481">
        <f t="shared" si="10"/>
        <v>0</v>
      </c>
      <c r="F59" s="482">
        <f t="shared" si="11"/>
        <v>0</v>
      </c>
      <c r="G59" s="483">
        <f t="shared" si="12"/>
        <v>0</v>
      </c>
      <c r="H59" s="452">
        <f t="shared" si="13"/>
        <v>0</v>
      </c>
      <c r="I59" s="472">
        <f t="shared" si="3"/>
        <v>0</v>
      </c>
      <c r="J59" s="472"/>
      <c r="K59" s="484"/>
      <c r="L59" s="475">
        <f t="shared" si="14"/>
        <v>0</v>
      </c>
      <c r="M59" s="484"/>
      <c r="N59" s="475">
        <f t="shared" si="1"/>
        <v>0</v>
      </c>
      <c r="O59" s="475">
        <f t="shared" si="2"/>
        <v>0</v>
      </c>
      <c r="P59" s="241"/>
    </row>
    <row r="60" spans="2:16" ht="12.5">
      <c r="B60" s="160" t="str">
        <f t="shared" si="5"/>
        <v/>
      </c>
      <c r="C60" s="469">
        <f>IF(D11="","-",+C59+1)</f>
        <v>2063</v>
      </c>
      <c r="D60" s="480">
        <f>IF(F59+SUM(E$17:E59)=D$10,F59,D$10-SUM(E$17:E59))</f>
        <v>0</v>
      </c>
      <c r="E60" s="481">
        <f t="shared" si="10"/>
        <v>0</v>
      </c>
      <c r="F60" s="482">
        <f t="shared" si="11"/>
        <v>0</v>
      </c>
      <c r="G60" s="483">
        <f t="shared" si="12"/>
        <v>0</v>
      </c>
      <c r="H60" s="452">
        <f t="shared" si="13"/>
        <v>0</v>
      </c>
      <c r="I60" s="472">
        <f t="shared" si="3"/>
        <v>0</v>
      </c>
      <c r="J60" s="472"/>
      <c r="K60" s="484"/>
      <c r="L60" s="475">
        <f t="shared" si="14"/>
        <v>0</v>
      </c>
      <c r="M60" s="484"/>
      <c r="N60" s="475">
        <f t="shared" si="1"/>
        <v>0</v>
      </c>
      <c r="O60" s="475">
        <f t="shared" si="2"/>
        <v>0</v>
      </c>
      <c r="P60" s="241"/>
    </row>
    <row r="61" spans="2:16" ht="12.5">
      <c r="B61" s="160" t="str">
        <f t="shared" si="5"/>
        <v/>
      </c>
      <c r="C61" s="469">
        <f>IF(D11="","-",+C60+1)</f>
        <v>2064</v>
      </c>
      <c r="D61" s="480">
        <f>IF(F60+SUM(E$17:E60)=D$10,F60,D$10-SUM(E$17:E60))</f>
        <v>0</v>
      </c>
      <c r="E61" s="481">
        <f t="shared" si="10"/>
        <v>0</v>
      </c>
      <c r="F61" s="482">
        <f t="shared" si="11"/>
        <v>0</v>
      </c>
      <c r="G61" s="483">
        <f t="shared" si="12"/>
        <v>0</v>
      </c>
      <c r="H61" s="452">
        <f t="shared" si="13"/>
        <v>0</v>
      </c>
      <c r="I61" s="472">
        <f t="shared" si="3"/>
        <v>0</v>
      </c>
      <c r="J61" s="472"/>
      <c r="K61" s="484"/>
      <c r="L61" s="475">
        <f t="shared" si="14"/>
        <v>0</v>
      </c>
      <c r="M61" s="484"/>
      <c r="N61" s="475">
        <f t="shared" si="1"/>
        <v>0</v>
      </c>
      <c r="O61" s="475">
        <f t="shared" si="2"/>
        <v>0</v>
      </c>
      <c r="P61" s="241"/>
    </row>
    <row r="62" spans="2:16" ht="12.5">
      <c r="B62" s="160" t="str">
        <f t="shared" si="5"/>
        <v/>
      </c>
      <c r="C62" s="469">
        <f>IF(D11="","-",+C61+1)</f>
        <v>2065</v>
      </c>
      <c r="D62" s="480">
        <f>IF(F61+SUM(E$17:E61)=D$10,F61,D$10-SUM(E$17:E61))</f>
        <v>0</v>
      </c>
      <c r="E62" s="481">
        <f t="shared" si="10"/>
        <v>0</v>
      </c>
      <c r="F62" s="482">
        <f t="shared" si="11"/>
        <v>0</v>
      </c>
      <c r="G62" s="483">
        <f t="shared" si="12"/>
        <v>0</v>
      </c>
      <c r="H62" s="452">
        <f t="shared" si="13"/>
        <v>0</v>
      </c>
      <c r="I62" s="472">
        <f t="shared" si="3"/>
        <v>0</v>
      </c>
      <c r="J62" s="472"/>
      <c r="K62" s="484"/>
      <c r="L62" s="475">
        <f t="shared" si="14"/>
        <v>0</v>
      </c>
      <c r="M62" s="484"/>
      <c r="N62" s="475">
        <f t="shared" si="1"/>
        <v>0</v>
      </c>
      <c r="O62" s="475">
        <f t="shared" si="2"/>
        <v>0</v>
      </c>
      <c r="P62" s="241"/>
    </row>
    <row r="63" spans="2:16" ht="12.5">
      <c r="B63" s="160" t="str">
        <f t="shared" si="5"/>
        <v/>
      </c>
      <c r="C63" s="469">
        <f>IF(D11="","-",+C62+1)</f>
        <v>2066</v>
      </c>
      <c r="D63" s="480">
        <f>IF(F62+SUM(E$17:E62)=D$10,F62,D$10-SUM(E$17:E62))</f>
        <v>0</v>
      </c>
      <c r="E63" s="481">
        <f t="shared" si="10"/>
        <v>0</v>
      </c>
      <c r="F63" s="482">
        <f t="shared" si="11"/>
        <v>0</v>
      </c>
      <c r="G63" s="483">
        <f t="shared" si="12"/>
        <v>0</v>
      </c>
      <c r="H63" s="452">
        <f t="shared" si="13"/>
        <v>0</v>
      </c>
      <c r="I63" s="472">
        <f t="shared" si="3"/>
        <v>0</v>
      </c>
      <c r="J63" s="472"/>
      <c r="K63" s="484"/>
      <c r="L63" s="475">
        <f t="shared" si="14"/>
        <v>0</v>
      </c>
      <c r="M63" s="484"/>
      <c r="N63" s="475">
        <f t="shared" si="1"/>
        <v>0</v>
      </c>
      <c r="O63" s="475">
        <f t="shared" si="2"/>
        <v>0</v>
      </c>
      <c r="P63" s="241"/>
    </row>
    <row r="64" spans="2:16" ht="12.5">
      <c r="B64" s="160" t="str">
        <f t="shared" si="5"/>
        <v/>
      </c>
      <c r="C64" s="469">
        <f>IF(D11="","-",+C63+1)</f>
        <v>2067</v>
      </c>
      <c r="D64" s="480">
        <f>IF(F63+SUM(E$17:E63)=D$10,F63,D$10-SUM(E$17:E63))</f>
        <v>0</v>
      </c>
      <c r="E64" s="481">
        <f t="shared" si="10"/>
        <v>0</v>
      </c>
      <c r="F64" s="482">
        <f t="shared" si="11"/>
        <v>0</v>
      </c>
      <c r="G64" s="483">
        <f t="shared" si="12"/>
        <v>0</v>
      </c>
      <c r="H64" s="452">
        <f t="shared" si="13"/>
        <v>0</v>
      </c>
      <c r="I64" s="472">
        <f t="shared" si="3"/>
        <v>0</v>
      </c>
      <c r="J64" s="472"/>
      <c r="K64" s="484"/>
      <c r="L64" s="475">
        <f t="shared" si="14"/>
        <v>0</v>
      </c>
      <c r="M64" s="484"/>
      <c r="N64" s="475">
        <f t="shared" si="1"/>
        <v>0</v>
      </c>
      <c r="O64" s="475">
        <f t="shared" si="2"/>
        <v>0</v>
      </c>
      <c r="P64" s="241"/>
    </row>
    <row r="65" spans="2:16" ht="12.5">
      <c r="B65" s="160" t="str">
        <f t="shared" si="5"/>
        <v/>
      </c>
      <c r="C65" s="469">
        <f>IF(D11="","-",+C64+1)</f>
        <v>2068</v>
      </c>
      <c r="D65" s="480">
        <f>IF(F64+SUM(E$17:E64)=D$10,F64,D$10-SUM(E$17:E64))</f>
        <v>0</v>
      </c>
      <c r="E65" s="481">
        <f t="shared" si="10"/>
        <v>0</v>
      </c>
      <c r="F65" s="482">
        <f t="shared" si="11"/>
        <v>0</v>
      </c>
      <c r="G65" s="483">
        <f t="shared" si="12"/>
        <v>0</v>
      </c>
      <c r="H65" s="452">
        <f t="shared" si="13"/>
        <v>0</v>
      </c>
      <c r="I65" s="472">
        <f t="shared" si="3"/>
        <v>0</v>
      </c>
      <c r="J65" s="472"/>
      <c r="K65" s="484"/>
      <c r="L65" s="475">
        <f t="shared" si="14"/>
        <v>0</v>
      </c>
      <c r="M65" s="484"/>
      <c r="N65" s="475">
        <f t="shared" si="1"/>
        <v>0</v>
      </c>
      <c r="O65" s="475">
        <f t="shared" si="2"/>
        <v>0</v>
      </c>
      <c r="P65" s="241"/>
    </row>
    <row r="66" spans="2:16" ht="12.5">
      <c r="B66" s="160" t="str">
        <f t="shared" si="5"/>
        <v/>
      </c>
      <c r="C66" s="469">
        <f>IF(D11="","-",+C65+1)</f>
        <v>2069</v>
      </c>
      <c r="D66" s="480">
        <f>IF(F65+SUM(E$17:E65)=D$10,F65,D$10-SUM(E$17:E65))</f>
        <v>0</v>
      </c>
      <c r="E66" s="481">
        <f t="shared" si="10"/>
        <v>0</v>
      </c>
      <c r="F66" s="482">
        <f t="shared" si="11"/>
        <v>0</v>
      </c>
      <c r="G66" s="483">
        <f t="shared" si="12"/>
        <v>0</v>
      </c>
      <c r="H66" s="452">
        <f t="shared" si="13"/>
        <v>0</v>
      </c>
      <c r="I66" s="472">
        <f t="shared" si="3"/>
        <v>0</v>
      </c>
      <c r="J66" s="472"/>
      <c r="K66" s="484"/>
      <c r="L66" s="475">
        <f t="shared" si="14"/>
        <v>0</v>
      </c>
      <c r="M66" s="484"/>
      <c r="N66" s="475">
        <f t="shared" si="1"/>
        <v>0</v>
      </c>
      <c r="O66" s="475">
        <f t="shared" si="2"/>
        <v>0</v>
      </c>
      <c r="P66" s="241"/>
    </row>
    <row r="67" spans="2:16" ht="12.5">
      <c r="B67" s="160" t="str">
        <f t="shared" si="5"/>
        <v/>
      </c>
      <c r="C67" s="469">
        <f>IF(D11="","-",+C66+1)</f>
        <v>2070</v>
      </c>
      <c r="D67" s="480">
        <f>IF(F66+SUM(E$17:E66)=D$10,F66,D$10-SUM(E$17:E66))</f>
        <v>0</v>
      </c>
      <c r="E67" s="481">
        <f t="shared" si="10"/>
        <v>0</v>
      </c>
      <c r="F67" s="482">
        <f t="shared" si="11"/>
        <v>0</v>
      </c>
      <c r="G67" s="483">
        <f t="shared" si="12"/>
        <v>0</v>
      </c>
      <c r="H67" s="452">
        <f t="shared" si="13"/>
        <v>0</v>
      </c>
      <c r="I67" s="472">
        <f t="shared" si="3"/>
        <v>0</v>
      </c>
      <c r="J67" s="472"/>
      <c r="K67" s="484"/>
      <c r="L67" s="475">
        <f t="shared" si="14"/>
        <v>0</v>
      </c>
      <c r="M67" s="484"/>
      <c r="N67" s="475">
        <f t="shared" si="1"/>
        <v>0</v>
      </c>
      <c r="O67" s="475">
        <f t="shared" si="2"/>
        <v>0</v>
      </c>
      <c r="P67" s="241"/>
    </row>
    <row r="68" spans="2:16" ht="12.5">
      <c r="B68" s="160" t="str">
        <f t="shared" si="5"/>
        <v/>
      </c>
      <c r="C68" s="469">
        <f>IF(D11="","-",+C67+1)</f>
        <v>2071</v>
      </c>
      <c r="D68" s="480">
        <f>IF(F67+SUM(E$17:E67)=D$10,F67,D$10-SUM(E$17:E67))</f>
        <v>0</v>
      </c>
      <c r="E68" s="481">
        <f t="shared" si="10"/>
        <v>0</v>
      </c>
      <c r="F68" s="482">
        <f t="shared" si="11"/>
        <v>0</v>
      </c>
      <c r="G68" s="483">
        <f t="shared" si="12"/>
        <v>0</v>
      </c>
      <c r="H68" s="452">
        <f t="shared" si="13"/>
        <v>0</v>
      </c>
      <c r="I68" s="472">
        <f t="shared" si="3"/>
        <v>0</v>
      </c>
      <c r="J68" s="472"/>
      <c r="K68" s="484"/>
      <c r="L68" s="475">
        <f t="shared" si="14"/>
        <v>0</v>
      </c>
      <c r="M68" s="484"/>
      <c r="N68" s="475">
        <f t="shared" si="1"/>
        <v>0</v>
      </c>
      <c r="O68" s="475">
        <f t="shared" si="2"/>
        <v>0</v>
      </c>
      <c r="P68" s="241"/>
    </row>
    <row r="69" spans="2:16" ht="12.5">
      <c r="B69" s="160" t="str">
        <f t="shared" si="5"/>
        <v/>
      </c>
      <c r="C69" s="469">
        <f>IF(D11="","-",+C68+1)</f>
        <v>2072</v>
      </c>
      <c r="D69" s="480">
        <f>IF(F68+SUM(E$17:E68)=D$10,F68,D$10-SUM(E$17:E68))</f>
        <v>0</v>
      </c>
      <c r="E69" s="481">
        <f t="shared" si="10"/>
        <v>0</v>
      </c>
      <c r="F69" s="482">
        <f t="shared" si="11"/>
        <v>0</v>
      </c>
      <c r="G69" s="483">
        <f t="shared" si="12"/>
        <v>0</v>
      </c>
      <c r="H69" s="452">
        <f t="shared" si="13"/>
        <v>0</v>
      </c>
      <c r="I69" s="472">
        <f t="shared" si="3"/>
        <v>0</v>
      </c>
      <c r="J69" s="472"/>
      <c r="K69" s="484"/>
      <c r="L69" s="475">
        <f t="shared" si="14"/>
        <v>0</v>
      </c>
      <c r="M69" s="484"/>
      <c r="N69" s="475">
        <f t="shared" si="1"/>
        <v>0</v>
      </c>
      <c r="O69" s="475">
        <f t="shared" si="2"/>
        <v>0</v>
      </c>
      <c r="P69" s="241"/>
    </row>
    <row r="70" spans="2:16" ht="12.5">
      <c r="B70" s="160" t="str">
        <f t="shared" si="5"/>
        <v/>
      </c>
      <c r="C70" s="469">
        <f>IF(D11="","-",+C69+1)</f>
        <v>2073</v>
      </c>
      <c r="D70" s="480">
        <f>IF(F69+SUM(E$17:E69)=D$10,F69,D$10-SUM(E$17:E69))</f>
        <v>0</v>
      </c>
      <c r="E70" s="481">
        <f t="shared" si="10"/>
        <v>0</v>
      </c>
      <c r="F70" s="482">
        <f t="shared" si="11"/>
        <v>0</v>
      </c>
      <c r="G70" s="483">
        <f t="shared" si="12"/>
        <v>0</v>
      </c>
      <c r="H70" s="452">
        <f t="shared" si="13"/>
        <v>0</v>
      </c>
      <c r="I70" s="472">
        <f t="shared" si="3"/>
        <v>0</v>
      </c>
      <c r="J70" s="472"/>
      <c r="K70" s="484"/>
      <c r="L70" s="475">
        <f t="shared" si="14"/>
        <v>0</v>
      </c>
      <c r="M70" s="484"/>
      <c r="N70" s="475">
        <f t="shared" si="1"/>
        <v>0</v>
      </c>
      <c r="O70" s="475">
        <f t="shared" si="2"/>
        <v>0</v>
      </c>
      <c r="P70" s="241"/>
    </row>
    <row r="71" spans="2:16" ht="12.5">
      <c r="B71" s="160" t="str">
        <f t="shared" si="5"/>
        <v/>
      </c>
      <c r="C71" s="469">
        <f>IF(D11="","-",+C70+1)</f>
        <v>2074</v>
      </c>
      <c r="D71" s="480">
        <f>IF(F70+SUM(E$17:E70)=D$10,F70,D$10-SUM(E$17:E70))</f>
        <v>0</v>
      </c>
      <c r="E71" s="481">
        <f t="shared" si="10"/>
        <v>0</v>
      </c>
      <c r="F71" s="482">
        <f t="shared" si="11"/>
        <v>0</v>
      </c>
      <c r="G71" s="483">
        <f t="shared" si="12"/>
        <v>0</v>
      </c>
      <c r="H71" s="452">
        <f t="shared" si="13"/>
        <v>0</v>
      </c>
      <c r="I71" s="472">
        <f t="shared" si="3"/>
        <v>0</v>
      </c>
      <c r="J71" s="472"/>
      <c r="K71" s="484"/>
      <c r="L71" s="475">
        <f t="shared" si="14"/>
        <v>0</v>
      </c>
      <c r="M71" s="484"/>
      <c r="N71" s="475">
        <f t="shared" si="1"/>
        <v>0</v>
      </c>
      <c r="O71" s="475">
        <f t="shared" si="2"/>
        <v>0</v>
      </c>
      <c r="P71" s="241"/>
    </row>
    <row r="72" spans="2:16" ht="13" thickBot="1">
      <c r="B72" s="160" t="str">
        <f t="shared" si="5"/>
        <v/>
      </c>
      <c r="C72" s="486">
        <f>IF(D11="","-",+C71+1)</f>
        <v>2075</v>
      </c>
      <c r="D72" s="608">
        <f>IF(F71+SUM(E$17:E71)=D$10,F71,D$10-SUM(E$17:E71))</f>
        <v>0</v>
      </c>
      <c r="E72" s="488">
        <f>IF(+I$14&lt;F71,I$14,D72)</f>
        <v>0</v>
      </c>
      <c r="F72" s="487">
        <f>+D72-E72</f>
        <v>0</v>
      </c>
      <c r="G72" s="541">
        <f>(D72+F72)/2*I$12+E72</f>
        <v>0</v>
      </c>
      <c r="H72" s="432">
        <f>+(D72+F72)/2*I$13+E72</f>
        <v>0</v>
      </c>
      <c r="I72" s="490">
        <f>H72-G72</f>
        <v>0</v>
      </c>
      <c r="J72" s="472"/>
      <c r="K72" s="491"/>
      <c r="L72" s="492">
        <f t="shared" si="14"/>
        <v>0</v>
      </c>
      <c r="M72" s="491"/>
      <c r="N72" s="492">
        <f t="shared" si="1"/>
        <v>0</v>
      </c>
      <c r="O72" s="492">
        <f t="shared" si="2"/>
        <v>0</v>
      </c>
      <c r="P72" s="241"/>
    </row>
    <row r="73" spans="2:16" ht="12.5">
      <c r="C73" s="344" t="s">
        <v>77</v>
      </c>
      <c r="D73" s="345"/>
      <c r="E73" s="345">
        <f>SUM(E17:E72)</f>
        <v>2394352.8199999994</v>
      </c>
      <c r="F73" s="345"/>
      <c r="G73" s="345">
        <f>SUM(G17:G72)</f>
        <v>7641766.4748196434</v>
      </c>
      <c r="H73" s="345">
        <f>SUM(H17:H72)</f>
        <v>7641766.4748196434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13" t="str">
        <f ca="1">P1</f>
        <v>PSO Project 28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319649.69765873061</v>
      </c>
      <c r="N87" s="505">
        <f>IF(J92&lt;D11,0,VLOOKUP(J92,C17:O72,11))</f>
        <v>319649.69765873061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355360.96797922737</v>
      </c>
      <c r="N88" s="509">
        <f>IF(J92&lt;D11,0,VLOOKUP(J92,C99:P154,7))</f>
        <v>355360.96797922737</v>
      </c>
      <c r="O88" s="510">
        <f>+N88-M88</f>
        <v>0</v>
      </c>
      <c r="P88" s="231"/>
    </row>
    <row r="89" spans="1:16" ht="13.5" thickBot="1">
      <c r="C89" s="428" t="s">
        <v>92</v>
      </c>
      <c r="D89" s="511" t="s">
        <v>331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35711.270320496755</v>
      </c>
      <c r="N89" s="514">
        <f>+N88-N87</f>
        <v>35711.270320496755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D9</f>
        <v>TP2015118</v>
      </c>
      <c r="E91" s="519" t="str">
        <f>E9</f>
        <v xml:space="preserve">  SPP Project ID = 30809</v>
      </c>
      <c r="F91" s="519"/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523">
        <f>D10</f>
        <v>2394352.8200000003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D11</f>
        <v>2020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D12</f>
        <v>6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63009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2020</v>
      </c>
      <c r="D99" s="581">
        <v>0</v>
      </c>
      <c r="E99" s="604">
        <v>0</v>
      </c>
      <c r="F99" s="581">
        <v>2529408</v>
      </c>
      <c r="G99" s="604">
        <v>1264704</v>
      </c>
      <c r="H99" s="584">
        <v>145816.89418304947</v>
      </c>
      <c r="I99" s="603">
        <v>145816.89418304947</v>
      </c>
      <c r="J99" s="475">
        <f>+I99-H99</f>
        <v>0</v>
      </c>
      <c r="K99" s="475"/>
      <c r="L99" s="474">
        <f>+H99</f>
        <v>145816.89418304947</v>
      </c>
      <c r="M99" s="474">
        <f t="shared" ref="M99" si="15">IF(L99&lt;&gt;0,+H99-L99,0)</f>
        <v>0</v>
      </c>
      <c r="N99" s="474">
        <f>+I99</f>
        <v>145816.89418304947</v>
      </c>
      <c r="O99" s="474">
        <f t="shared" ref="O99:O130" si="16">IF(N99&lt;&gt;0,+I99-N99,0)</f>
        <v>0</v>
      </c>
      <c r="P99" s="474">
        <f t="shared" ref="P99:P130" si="17">+O99-M99</f>
        <v>0</v>
      </c>
    </row>
    <row r="100" spans="1:16" ht="12.5">
      <c r="B100" s="160" t="str">
        <f>IF(D100=F99,"","IU")</f>
        <v>IU</v>
      </c>
      <c r="C100" s="469">
        <f>IF(D93="","-",+C99+1)</f>
        <v>2021</v>
      </c>
      <c r="D100" s="581">
        <v>2537089</v>
      </c>
      <c r="E100" s="582">
        <v>61880</v>
      </c>
      <c r="F100" s="583">
        <v>2475209</v>
      </c>
      <c r="G100" s="583">
        <v>2506149</v>
      </c>
      <c r="H100" s="602">
        <v>347061.69446301</v>
      </c>
      <c r="I100" s="603">
        <v>347061.69446301</v>
      </c>
      <c r="J100" s="475">
        <f t="shared" ref="J100:J130" si="18">+I100-H100</f>
        <v>0</v>
      </c>
      <c r="K100" s="475"/>
      <c r="L100" s="473">
        <f>H100</f>
        <v>347061.69446301</v>
      </c>
      <c r="M100" s="346">
        <f>IF(L100&lt;&gt;0,+H100-L100,0)</f>
        <v>0</v>
      </c>
      <c r="N100" s="473">
        <f>I100</f>
        <v>347061.69446301</v>
      </c>
      <c r="O100" s="475">
        <f t="shared" si="16"/>
        <v>0</v>
      </c>
      <c r="P100" s="475">
        <f t="shared" si="17"/>
        <v>0</v>
      </c>
    </row>
    <row r="101" spans="1:16" ht="12.5">
      <c r="B101" s="160" t="str">
        <f t="shared" ref="B101:B154" si="19">IF(D101=F100,"","IU")</f>
        <v>IU</v>
      </c>
      <c r="C101" s="469">
        <f>IF(D93="","-",+C100+1)</f>
        <v>2022</v>
      </c>
      <c r="D101" s="581">
        <v>2332914</v>
      </c>
      <c r="E101" s="582">
        <v>61405</v>
      </c>
      <c r="F101" s="583">
        <v>2271509</v>
      </c>
      <c r="G101" s="583">
        <v>2302211.5</v>
      </c>
      <c r="H101" s="602">
        <v>315068.77055082901</v>
      </c>
      <c r="I101" s="603">
        <v>315068.77055082901</v>
      </c>
      <c r="J101" s="475">
        <f t="shared" si="18"/>
        <v>0</v>
      </c>
      <c r="K101" s="475"/>
      <c r="L101" s="473">
        <f>H101</f>
        <v>315068.77055082901</v>
      </c>
      <c r="M101" s="346">
        <f>IF(L101&lt;&gt;0,+H101-L101,0)</f>
        <v>0</v>
      </c>
      <c r="N101" s="473">
        <f>I101</f>
        <v>315068.77055082901</v>
      </c>
      <c r="O101" s="475">
        <f t="shared" ref="O101" si="20">IF(N101&lt;&gt;0,+I101-N101,0)</f>
        <v>0</v>
      </c>
      <c r="P101" s="475">
        <f t="shared" si="17"/>
        <v>0</v>
      </c>
    </row>
    <row r="102" spans="1:16" ht="12.5">
      <c r="B102" s="160" t="str">
        <f t="shared" si="19"/>
        <v>IU</v>
      </c>
      <c r="C102" s="469">
        <f>IF(D93="","-",+C101+1)</f>
        <v>2023</v>
      </c>
      <c r="D102" s="581">
        <v>2271067.8200000003</v>
      </c>
      <c r="E102" s="582">
        <v>63009</v>
      </c>
      <c r="F102" s="583">
        <v>2208058.8200000003</v>
      </c>
      <c r="G102" s="583">
        <v>2239563.3200000003</v>
      </c>
      <c r="H102" s="602">
        <v>318827.71817469696</v>
      </c>
      <c r="I102" s="603">
        <v>318827.71817469696</v>
      </c>
      <c r="J102" s="475">
        <f t="shared" si="18"/>
        <v>0</v>
      </c>
      <c r="K102" s="475"/>
      <c r="L102" s="473">
        <f>H102</f>
        <v>318827.71817469696</v>
      </c>
      <c r="M102" s="346">
        <f>IF(L102&lt;&gt;0,+H102-L102,0)</f>
        <v>0</v>
      </c>
      <c r="N102" s="473">
        <f>I102</f>
        <v>318827.71817469696</v>
      </c>
      <c r="O102" s="475">
        <f t="shared" ref="O102" si="21">IF(N102&lt;&gt;0,+I102-N102,0)</f>
        <v>0</v>
      </c>
      <c r="P102" s="475">
        <f t="shared" si="17"/>
        <v>0</v>
      </c>
    </row>
    <row r="103" spans="1:16" ht="12.5">
      <c r="B103" s="160" t="str">
        <f t="shared" si="19"/>
        <v/>
      </c>
      <c r="C103" s="469">
        <f>IF(D93="","-",+C102+1)</f>
        <v>2024</v>
      </c>
      <c r="D103" s="344">
        <f>IF(F102+SUM(E$99:E102)=D$92,F102,D$92-SUM(E$99:E102))</f>
        <v>2208058.8200000003</v>
      </c>
      <c r="E103" s="481">
        <f t="shared" ref="E103:E154" si="22">IF(+J$96&lt;F102,J$96,D103)</f>
        <v>63009</v>
      </c>
      <c r="F103" s="482">
        <f t="shared" ref="F103:F154" si="23">+D103-E103</f>
        <v>2145049.8200000003</v>
      </c>
      <c r="G103" s="482">
        <f t="shared" ref="G103:G154" si="24">+(F103+D103)/2</f>
        <v>2176554.3200000003</v>
      </c>
      <c r="H103" s="483">
        <f t="shared" ref="H103:H153" si="25">(D103+F103)/2*J$94+E103</f>
        <v>355360.96797922737</v>
      </c>
      <c r="I103" s="539">
        <f t="shared" ref="I103:I153" si="26">+J$95*G103+E103</f>
        <v>355360.96797922737</v>
      </c>
      <c r="J103" s="475">
        <f t="shared" si="18"/>
        <v>0</v>
      </c>
      <c r="K103" s="475"/>
      <c r="L103" s="484"/>
      <c r="M103" s="475">
        <f t="shared" ref="M103:M130" si="27">IF(L103&lt;&gt;0,+H103-L103,0)</f>
        <v>0</v>
      </c>
      <c r="N103" s="484"/>
      <c r="O103" s="475">
        <f t="shared" si="16"/>
        <v>0</v>
      </c>
      <c r="P103" s="475">
        <f t="shared" si="17"/>
        <v>0</v>
      </c>
    </row>
    <row r="104" spans="1:16" ht="12.5">
      <c r="B104" s="160" t="str">
        <f t="shared" si="19"/>
        <v/>
      </c>
      <c r="C104" s="469">
        <f>IF(D93="","-",+C103+1)</f>
        <v>2025</v>
      </c>
      <c r="D104" s="344">
        <f>IF(F103+SUM(E$99:E103)=D$92,F103,D$92-SUM(E$99:E103))</f>
        <v>2145049.8200000003</v>
      </c>
      <c r="E104" s="481">
        <f t="shared" si="22"/>
        <v>63009</v>
      </c>
      <c r="F104" s="482">
        <f t="shared" si="23"/>
        <v>2082040.8200000003</v>
      </c>
      <c r="G104" s="482">
        <f t="shared" si="24"/>
        <v>2113545.3200000003</v>
      </c>
      <c r="H104" s="483">
        <f t="shared" si="25"/>
        <v>346897.6803961253</v>
      </c>
      <c r="I104" s="539">
        <f t="shared" si="26"/>
        <v>346897.6803961253</v>
      </c>
      <c r="J104" s="475">
        <f t="shared" si="18"/>
        <v>0</v>
      </c>
      <c r="K104" s="475"/>
      <c r="L104" s="484"/>
      <c r="M104" s="475">
        <f t="shared" si="27"/>
        <v>0</v>
      </c>
      <c r="N104" s="484"/>
      <c r="O104" s="475">
        <f t="shared" si="16"/>
        <v>0</v>
      </c>
      <c r="P104" s="475">
        <f t="shared" si="17"/>
        <v>0</v>
      </c>
    </row>
    <row r="105" spans="1:16" ht="12.5">
      <c r="B105" s="160" t="str">
        <f t="shared" si="19"/>
        <v/>
      </c>
      <c r="C105" s="469">
        <f>IF(D93="","-",+C104+1)</f>
        <v>2026</v>
      </c>
      <c r="D105" s="344">
        <f>IF(F104+SUM(E$99:E104)=D$92,F104,D$92-SUM(E$99:E104))</f>
        <v>2082040.8200000003</v>
      </c>
      <c r="E105" s="481">
        <f t="shared" si="22"/>
        <v>63009</v>
      </c>
      <c r="F105" s="482">
        <f t="shared" si="23"/>
        <v>2019031.8200000003</v>
      </c>
      <c r="G105" s="482">
        <f t="shared" si="24"/>
        <v>2050536.3200000003</v>
      </c>
      <c r="H105" s="483">
        <f t="shared" si="25"/>
        <v>338434.39281302324</v>
      </c>
      <c r="I105" s="539">
        <f t="shared" si="26"/>
        <v>338434.39281302324</v>
      </c>
      <c r="J105" s="475">
        <f t="shared" si="18"/>
        <v>0</v>
      </c>
      <c r="K105" s="475"/>
      <c r="L105" s="484"/>
      <c r="M105" s="475">
        <f t="shared" si="27"/>
        <v>0</v>
      </c>
      <c r="N105" s="484"/>
      <c r="O105" s="475">
        <f t="shared" si="16"/>
        <v>0</v>
      </c>
      <c r="P105" s="475">
        <f t="shared" si="17"/>
        <v>0</v>
      </c>
    </row>
    <row r="106" spans="1:16" ht="12.5">
      <c r="B106" s="160" t="str">
        <f t="shared" si="19"/>
        <v/>
      </c>
      <c r="C106" s="469">
        <f>IF(D93="","-",+C105+1)</f>
        <v>2027</v>
      </c>
      <c r="D106" s="344">
        <f>IF(F105+SUM(E$99:E105)=D$92,F105,D$92-SUM(E$99:E105))</f>
        <v>2019031.8200000003</v>
      </c>
      <c r="E106" s="481">
        <f t="shared" si="22"/>
        <v>63009</v>
      </c>
      <c r="F106" s="482">
        <f t="shared" si="23"/>
        <v>1956022.8200000003</v>
      </c>
      <c r="G106" s="482">
        <f t="shared" si="24"/>
        <v>1987527.3200000003</v>
      </c>
      <c r="H106" s="483">
        <f t="shared" si="25"/>
        <v>329971.10522992117</v>
      </c>
      <c r="I106" s="539">
        <f t="shared" si="26"/>
        <v>329971.10522992117</v>
      </c>
      <c r="J106" s="475">
        <f t="shared" si="18"/>
        <v>0</v>
      </c>
      <c r="K106" s="475"/>
      <c r="L106" s="484"/>
      <c r="M106" s="475">
        <f t="shared" si="27"/>
        <v>0</v>
      </c>
      <c r="N106" s="484"/>
      <c r="O106" s="475">
        <f t="shared" si="16"/>
        <v>0</v>
      </c>
      <c r="P106" s="475">
        <f t="shared" si="17"/>
        <v>0</v>
      </c>
    </row>
    <row r="107" spans="1:16" ht="12.5">
      <c r="B107" s="160" t="str">
        <f t="shared" si="19"/>
        <v/>
      </c>
      <c r="C107" s="469">
        <f>IF(D93="","-",+C106+1)</f>
        <v>2028</v>
      </c>
      <c r="D107" s="344">
        <f>IF(F106+SUM(E$99:E106)=D$92,F106,D$92-SUM(E$99:E106))</f>
        <v>1956022.8200000003</v>
      </c>
      <c r="E107" s="481">
        <f t="shared" si="22"/>
        <v>63009</v>
      </c>
      <c r="F107" s="482">
        <f t="shared" si="23"/>
        <v>1893013.8200000003</v>
      </c>
      <c r="G107" s="482">
        <f t="shared" si="24"/>
        <v>1924518.3200000003</v>
      </c>
      <c r="H107" s="483">
        <f t="shared" si="25"/>
        <v>321507.81764681917</v>
      </c>
      <c r="I107" s="539">
        <f t="shared" si="26"/>
        <v>321507.81764681917</v>
      </c>
      <c r="J107" s="475">
        <f t="shared" si="18"/>
        <v>0</v>
      </c>
      <c r="K107" s="475"/>
      <c r="L107" s="484"/>
      <c r="M107" s="475">
        <f t="shared" si="27"/>
        <v>0</v>
      </c>
      <c r="N107" s="484"/>
      <c r="O107" s="475">
        <f t="shared" si="16"/>
        <v>0</v>
      </c>
      <c r="P107" s="475">
        <f t="shared" si="17"/>
        <v>0</v>
      </c>
    </row>
    <row r="108" spans="1:16" ht="12.5">
      <c r="B108" s="160" t="str">
        <f t="shared" si="19"/>
        <v/>
      </c>
      <c r="C108" s="469">
        <f>IF(D93="","-",+C107+1)</f>
        <v>2029</v>
      </c>
      <c r="D108" s="344">
        <f>IF(F107+SUM(E$99:E107)=D$92,F107,D$92-SUM(E$99:E107))</f>
        <v>1893013.8200000003</v>
      </c>
      <c r="E108" s="481">
        <f t="shared" si="22"/>
        <v>63009</v>
      </c>
      <c r="F108" s="482">
        <f t="shared" si="23"/>
        <v>1830004.8200000003</v>
      </c>
      <c r="G108" s="482">
        <f t="shared" si="24"/>
        <v>1861509.3200000003</v>
      </c>
      <c r="H108" s="483">
        <f t="shared" si="25"/>
        <v>313044.53006371704</v>
      </c>
      <c r="I108" s="539">
        <f t="shared" si="26"/>
        <v>313044.53006371704</v>
      </c>
      <c r="J108" s="475">
        <f t="shared" si="18"/>
        <v>0</v>
      </c>
      <c r="K108" s="475"/>
      <c r="L108" s="484"/>
      <c r="M108" s="475">
        <f t="shared" si="27"/>
        <v>0</v>
      </c>
      <c r="N108" s="484"/>
      <c r="O108" s="475">
        <f t="shared" si="16"/>
        <v>0</v>
      </c>
      <c r="P108" s="475">
        <f t="shared" si="17"/>
        <v>0</v>
      </c>
    </row>
    <row r="109" spans="1:16" ht="12.5">
      <c r="B109" s="160" t="str">
        <f t="shared" si="19"/>
        <v/>
      </c>
      <c r="C109" s="469">
        <f>IF(D93="","-",+C108+1)</f>
        <v>2030</v>
      </c>
      <c r="D109" s="344">
        <f>IF(F108+SUM(E$99:E108)=D$92,F108,D$92-SUM(E$99:E108))</f>
        <v>1830004.8200000003</v>
      </c>
      <c r="E109" s="481">
        <f t="shared" si="22"/>
        <v>63009</v>
      </c>
      <c r="F109" s="482">
        <f t="shared" si="23"/>
        <v>1766995.8200000003</v>
      </c>
      <c r="G109" s="482">
        <f t="shared" si="24"/>
        <v>1798500.3200000003</v>
      </c>
      <c r="H109" s="483">
        <f t="shared" si="25"/>
        <v>304581.24248061504</v>
      </c>
      <c r="I109" s="539">
        <f t="shared" si="26"/>
        <v>304581.24248061504</v>
      </c>
      <c r="J109" s="475">
        <f t="shared" si="18"/>
        <v>0</v>
      </c>
      <c r="K109" s="475"/>
      <c r="L109" s="484"/>
      <c r="M109" s="475">
        <f t="shared" si="27"/>
        <v>0</v>
      </c>
      <c r="N109" s="484"/>
      <c r="O109" s="475">
        <f t="shared" si="16"/>
        <v>0</v>
      </c>
      <c r="P109" s="475">
        <f t="shared" si="17"/>
        <v>0</v>
      </c>
    </row>
    <row r="110" spans="1:16" ht="12.5">
      <c r="B110" s="160" t="str">
        <f t="shared" si="19"/>
        <v/>
      </c>
      <c r="C110" s="469">
        <f>IF(D93="","-",+C109+1)</f>
        <v>2031</v>
      </c>
      <c r="D110" s="344">
        <f>IF(F109+SUM(E$99:E109)=D$92,F109,D$92-SUM(E$99:E109))</f>
        <v>1766995.8200000003</v>
      </c>
      <c r="E110" s="481">
        <f t="shared" si="22"/>
        <v>63009</v>
      </c>
      <c r="F110" s="482">
        <f t="shared" si="23"/>
        <v>1703986.8200000003</v>
      </c>
      <c r="G110" s="482">
        <f t="shared" si="24"/>
        <v>1735491.3200000003</v>
      </c>
      <c r="H110" s="483">
        <f t="shared" si="25"/>
        <v>296117.95489751297</v>
      </c>
      <c r="I110" s="539">
        <f t="shared" si="26"/>
        <v>296117.95489751297</v>
      </c>
      <c r="J110" s="475">
        <f t="shared" si="18"/>
        <v>0</v>
      </c>
      <c r="K110" s="475"/>
      <c r="L110" s="484"/>
      <c r="M110" s="475">
        <f t="shared" si="27"/>
        <v>0</v>
      </c>
      <c r="N110" s="484"/>
      <c r="O110" s="475">
        <f t="shared" si="16"/>
        <v>0</v>
      </c>
      <c r="P110" s="475">
        <f t="shared" si="17"/>
        <v>0</v>
      </c>
    </row>
    <row r="111" spans="1:16" ht="12.5">
      <c r="B111" s="160" t="str">
        <f t="shared" si="19"/>
        <v/>
      </c>
      <c r="C111" s="469">
        <f>IF(D93="","-",+C110+1)</f>
        <v>2032</v>
      </c>
      <c r="D111" s="344">
        <f>IF(F110+SUM(E$99:E110)=D$92,F110,D$92-SUM(E$99:E110))</f>
        <v>1703986.8200000003</v>
      </c>
      <c r="E111" s="481">
        <f t="shared" si="22"/>
        <v>63009</v>
      </c>
      <c r="F111" s="482">
        <f t="shared" si="23"/>
        <v>1640977.8200000003</v>
      </c>
      <c r="G111" s="482">
        <f t="shared" si="24"/>
        <v>1672482.3200000003</v>
      </c>
      <c r="H111" s="483">
        <f t="shared" si="25"/>
        <v>287654.66731441091</v>
      </c>
      <c r="I111" s="539">
        <f t="shared" si="26"/>
        <v>287654.66731441091</v>
      </c>
      <c r="J111" s="475">
        <f t="shared" si="18"/>
        <v>0</v>
      </c>
      <c r="K111" s="475"/>
      <c r="L111" s="484"/>
      <c r="M111" s="475">
        <f t="shared" si="27"/>
        <v>0</v>
      </c>
      <c r="N111" s="484"/>
      <c r="O111" s="475">
        <f t="shared" si="16"/>
        <v>0</v>
      </c>
      <c r="P111" s="475">
        <f t="shared" si="17"/>
        <v>0</v>
      </c>
    </row>
    <row r="112" spans="1:16" ht="12.5">
      <c r="B112" s="160" t="str">
        <f t="shared" si="19"/>
        <v/>
      </c>
      <c r="C112" s="469">
        <f>IF(D93="","-",+C111+1)</f>
        <v>2033</v>
      </c>
      <c r="D112" s="344">
        <f>IF(F111+SUM(E$99:E111)=D$92,F111,D$92-SUM(E$99:E111))</f>
        <v>1640977.8200000003</v>
      </c>
      <c r="E112" s="481">
        <f t="shared" si="22"/>
        <v>63009</v>
      </c>
      <c r="F112" s="482">
        <f t="shared" si="23"/>
        <v>1577968.8200000003</v>
      </c>
      <c r="G112" s="482">
        <f t="shared" si="24"/>
        <v>1609473.3200000003</v>
      </c>
      <c r="H112" s="483">
        <f t="shared" si="25"/>
        <v>279191.3797313089</v>
      </c>
      <c r="I112" s="539">
        <f t="shared" si="26"/>
        <v>279191.3797313089</v>
      </c>
      <c r="J112" s="475">
        <f t="shared" si="18"/>
        <v>0</v>
      </c>
      <c r="K112" s="475"/>
      <c r="L112" s="484"/>
      <c r="M112" s="475">
        <f t="shared" si="27"/>
        <v>0</v>
      </c>
      <c r="N112" s="484"/>
      <c r="O112" s="475">
        <f t="shared" si="16"/>
        <v>0</v>
      </c>
      <c r="P112" s="475">
        <f t="shared" si="17"/>
        <v>0</v>
      </c>
    </row>
    <row r="113" spans="2:16" ht="12.5">
      <c r="B113" s="160" t="str">
        <f t="shared" si="19"/>
        <v/>
      </c>
      <c r="C113" s="469">
        <f>IF(D93="","-",+C112+1)</f>
        <v>2034</v>
      </c>
      <c r="D113" s="344">
        <f>IF(F112+SUM(E$99:E112)=D$92,F112,D$92-SUM(E$99:E112))</f>
        <v>1577968.8200000003</v>
      </c>
      <c r="E113" s="481">
        <f t="shared" si="22"/>
        <v>63009</v>
      </c>
      <c r="F113" s="482">
        <f t="shared" si="23"/>
        <v>1514959.8200000003</v>
      </c>
      <c r="G113" s="482">
        <f t="shared" si="24"/>
        <v>1546464.3200000003</v>
      </c>
      <c r="H113" s="483">
        <f t="shared" si="25"/>
        <v>270728.09214820678</v>
      </c>
      <c r="I113" s="539">
        <f t="shared" si="26"/>
        <v>270728.09214820678</v>
      </c>
      <c r="J113" s="475">
        <f t="shared" si="18"/>
        <v>0</v>
      </c>
      <c r="K113" s="475"/>
      <c r="L113" s="484"/>
      <c r="M113" s="475">
        <f t="shared" si="27"/>
        <v>0</v>
      </c>
      <c r="N113" s="484"/>
      <c r="O113" s="475">
        <f t="shared" si="16"/>
        <v>0</v>
      </c>
      <c r="P113" s="475">
        <f t="shared" si="17"/>
        <v>0</v>
      </c>
    </row>
    <row r="114" spans="2:16" ht="12.5">
      <c r="B114" s="160" t="str">
        <f t="shared" si="19"/>
        <v/>
      </c>
      <c r="C114" s="469">
        <f>IF(D93="","-",+C113+1)</f>
        <v>2035</v>
      </c>
      <c r="D114" s="344">
        <f>IF(F113+SUM(E$99:E113)=D$92,F113,D$92-SUM(E$99:E113))</f>
        <v>1514959.8200000003</v>
      </c>
      <c r="E114" s="481">
        <f t="shared" si="22"/>
        <v>63009</v>
      </c>
      <c r="F114" s="482">
        <f t="shared" si="23"/>
        <v>1451950.8200000003</v>
      </c>
      <c r="G114" s="482">
        <f t="shared" si="24"/>
        <v>1483455.3200000003</v>
      </c>
      <c r="H114" s="483">
        <f t="shared" si="25"/>
        <v>262264.80456510477</v>
      </c>
      <c r="I114" s="539">
        <f t="shared" si="26"/>
        <v>262264.80456510477</v>
      </c>
      <c r="J114" s="475">
        <f t="shared" si="18"/>
        <v>0</v>
      </c>
      <c r="K114" s="475"/>
      <c r="L114" s="484"/>
      <c r="M114" s="475">
        <f t="shared" si="27"/>
        <v>0</v>
      </c>
      <c r="N114" s="484"/>
      <c r="O114" s="475">
        <f t="shared" si="16"/>
        <v>0</v>
      </c>
      <c r="P114" s="475">
        <f t="shared" si="17"/>
        <v>0</v>
      </c>
    </row>
    <row r="115" spans="2:16" ht="12.5">
      <c r="B115" s="160" t="str">
        <f t="shared" si="19"/>
        <v/>
      </c>
      <c r="C115" s="469">
        <f>IF(D93="","-",+C114+1)</f>
        <v>2036</v>
      </c>
      <c r="D115" s="344">
        <f>IF(F114+SUM(E$99:E114)=D$92,F114,D$92-SUM(E$99:E114))</f>
        <v>1451950.8200000003</v>
      </c>
      <c r="E115" s="481">
        <f t="shared" si="22"/>
        <v>63009</v>
      </c>
      <c r="F115" s="482">
        <f t="shared" si="23"/>
        <v>1388941.8200000003</v>
      </c>
      <c r="G115" s="482">
        <f t="shared" si="24"/>
        <v>1420446.3200000003</v>
      </c>
      <c r="H115" s="483">
        <f t="shared" si="25"/>
        <v>253801.51698200271</v>
      </c>
      <c r="I115" s="539">
        <f t="shared" si="26"/>
        <v>253801.51698200271</v>
      </c>
      <c r="J115" s="475">
        <f t="shared" si="18"/>
        <v>0</v>
      </c>
      <c r="K115" s="475"/>
      <c r="L115" s="484"/>
      <c r="M115" s="475">
        <f t="shared" si="27"/>
        <v>0</v>
      </c>
      <c r="N115" s="484"/>
      <c r="O115" s="475">
        <f t="shared" si="16"/>
        <v>0</v>
      </c>
      <c r="P115" s="475">
        <f t="shared" si="17"/>
        <v>0</v>
      </c>
    </row>
    <row r="116" spans="2:16" ht="12.5">
      <c r="B116" s="160" t="str">
        <f t="shared" si="19"/>
        <v/>
      </c>
      <c r="C116" s="469">
        <f>IF(D93="","-",+C115+1)</f>
        <v>2037</v>
      </c>
      <c r="D116" s="344">
        <f>IF(F115+SUM(E$99:E115)=D$92,F115,D$92-SUM(E$99:E115))</f>
        <v>1388941.8200000003</v>
      </c>
      <c r="E116" s="481">
        <f t="shared" si="22"/>
        <v>63009</v>
      </c>
      <c r="F116" s="482">
        <f t="shared" si="23"/>
        <v>1325932.8200000003</v>
      </c>
      <c r="G116" s="482">
        <f t="shared" si="24"/>
        <v>1357437.3200000003</v>
      </c>
      <c r="H116" s="483">
        <f t="shared" si="25"/>
        <v>245338.22939890064</v>
      </c>
      <c r="I116" s="539">
        <f t="shared" si="26"/>
        <v>245338.22939890064</v>
      </c>
      <c r="J116" s="475">
        <f t="shared" si="18"/>
        <v>0</v>
      </c>
      <c r="K116" s="475"/>
      <c r="L116" s="484"/>
      <c r="M116" s="475">
        <f t="shared" si="27"/>
        <v>0</v>
      </c>
      <c r="N116" s="484"/>
      <c r="O116" s="475">
        <f t="shared" si="16"/>
        <v>0</v>
      </c>
      <c r="P116" s="475">
        <f t="shared" si="17"/>
        <v>0</v>
      </c>
    </row>
    <row r="117" spans="2:16" ht="12.5">
      <c r="B117" s="160" t="str">
        <f t="shared" si="19"/>
        <v/>
      </c>
      <c r="C117" s="469">
        <f>IF(D93="","-",+C116+1)</f>
        <v>2038</v>
      </c>
      <c r="D117" s="344">
        <f>IF(F116+SUM(E$99:E116)=D$92,F116,D$92-SUM(E$99:E116))</f>
        <v>1325932.8200000003</v>
      </c>
      <c r="E117" s="481">
        <f t="shared" si="22"/>
        <v>63009</v>
      </c>
      <c r="F117" s="482">
        <f t="shared" si="23"/>
        <v>1262923.8200000003</v>
      </c>
      <c r="G117" s="482">
        <f t="shared" si="24"/>
        <v>1294428.3200000003</v>
      </c>
      <c r="H117" s="483">
        <f t="shared" si="25"/>
        <v>236874.94181579861</v>
      </c>
      <c r="I117" s="539">
        <f t="shared" si="26"/>
        <v>236874.94181579861</v>
      </c>
      <c r="J117" s="475">
        <f t="shared" si="18"/>
        <v>0</v>
      </c>
      <c r="K117" s="475"/>
      <c r="L117" s="484"/>
      <c r="M117" s="475">
        <f t="shared" si="27"/>
        <v>0</v>
      </c>
      <c r="N117" s="484"/>
      <c r="O117" s="475">
        <f t="shared" si="16"/>
        <v>0</v>
      </c>
      <c r="P117" s="475">
        <f t="shared" si="17"/>
        <v>0</v>
      </c>
    </row>
    <row r="118" spans="2:16" ht="12.5">
      <c r="B118" s="160" t="str">
        <f t="shared" si="19"/>
        <v/>
      </c>
      <c r="C118" s="469">
        <f>IF(D93="","-",+C117+1)</f>
        <v>2039</v>
      </c>
      <c r="D118" s="344">
        <f>IF(F117+SUM(E$99:E117)=D$92,F117,D$92-SUM(E$99:E117))</f>
        <v>1262923.8200000003</v>
      </c>
      <c r="E118" s="481">
        <f t="shared" si="22"/>
        <v>63009</v>
      </c>
      <c r="F118" s="482">
        <f t="shared" si="23"/>
        <v>1199914.8200000003</v>
      </c>
      <c r="G118" s="482">
        <f t="shared" si="24"/>
        <v>1231419.3200000003</v>
      </c>
      <c r="H118" s="483">
        <f t="shared" si="25"/>
        <v>228411.65423269654</v>
      </c>
      <c r="I118" s="539">
        <f t="shared" si="26"/>
        <v>228411.65423269654</v>
      </c>
      <c r="J118" s="475">
        <f t="shared" si="18"/>
        <v>0</v>
      </c>
      <c r="K118" s="475"/>
      <c r="L118" s="484"/>
      <c r="M118" s="475">
        <f t="shared" si="27"/>
        <v>0</v>
      </c>
      <c r="N118" s="484"/>
      <c r="O118" s="475">
        <f t="shared" si="16"/>
        <v>0</v>
      </c>
      <c r="P118" s="475">
        <f t="shared" si="17"/>
        <v>0</v>
      </c>
    </row>
    <row r="119" spans="2:16" ht="12.5">
      <c r="B119" s="160" t="str">
        <f t="shared" si="19"/>
        <v/>
      </c>
      <c r="C119" s="469">
        <f>IF(D93="","-",+C118+1)</f>
        <v>2040</v>
      </c>
      <c r="D119" s="344">
        <f>IF(F118+SUM(E$99:E118)=D$92,F118,D$92-SUM(E$99:E118))</f>
        <v>1199914.8200000003</v>
      </c>
      <c r="E119" s="481">
        <f t="shared" si="22"/>
        <v>63009</v>
      </c>
      <c r="F119" s="482">
        <f t="shared" si="23"/>
        <v>1136905.8200000003</v>
      </c>
      <c r="G119" s="482">
        <f t="shared" si="24"/>
        <v>1168410.3200000003</v>
      </c>
      <c r="H119" s="483">
        <f t="shared" si="25"/>
        <v>219948.36664959448</v>
      </c>
      <c r="I119" s="539">
        <f t="shared" si="26"/>
        <v>219948.36664959448</v>
      </c>
      <c r="J119" s="475">
        <f t="shared" si="18"/>
        <v>0</v>
      </c>
      <c r="K119" s="475"/>
      <c r="L119" s="484"/>
      <c r="M119" s="475">
        <f t="shared" si="27"/>
        <v>0</v>
      </c>
      <c r="N119" s="484"/>
      <c r="O119" s="475">
        <f t="shared" si="16"/>
        <v>0</v>
      </c>
      <c r="P119" s="475">
        <f t="shared" si="17"/>
        <v>0</v>
      </c>
    </row>
    <row r="120" spans="2:16" ht="12.5">
      <c r="B120" s="160" t="str">
        <f t="shared" si="19"/>
        <v/>
      </c>
      <c r="C120" s="469">
        <f>IF(D93="","-",+C119+1)</f>
        <v>2041</v>
      </c>
      <c r="D120" s="344">
        <f>IF(F119+SUM(E$99:E119)=D$92,F119,D$92-SUM(E$99:E119))</f>
        <v>1136905.8200000003</v>
      </c>
      <c r="E120" s="481">
        <f t="shared" si="22"/>
        <v>63009</v>
      </c>
      <c r="F120" s="482">
        <f t="shared" si="23"/>
        <v>1073896.8200000003</v>
      </c>
      <c r="G120" s="482">
        <f t="shared" si="24"/>
        <v>1105401.3200000003</v>
      </c>
      <c r="H120" s="483">
        <f t="shared" si="25"/>
        <v>211485.07906649244</v>
      </c>
      <c r="I120" s="539">
        <f t="shared" si="26"/>
        <v>211485.07906649244</v>
      </c>
      <c r="J120" s="475">
        <f t="shared" si="18"/>
        <v>0</v>
      </c>
      <c r="K120" s="475"/>
      <c r="L120" s="484"/>
      <c r="M120" s="475">
        <f t="shared" si="27"/>
        <v>0</v>
      </c>
      <c r="N120" s="484"/>
      <c r="O120" s="475">
        <f t="shared" si="16"/>
        <v>0</v>
      </c>
      <c r="P120" s="475">
        <f t="shared" si="17"/>
        <v>0</v>
      </c>
    </row>
    <row r="121" spans="2:16" ht="12.5">
      <c r="B121" s="160" t="str">
        <f t="shared" si="19"/>
        <v/>
      </c>
      <c r="C121" s="469">
        <f>IF(D93="","-",+C120+1)</f>
        <v>2042</v>
      </c>
      <c r="D121" s="344">
        <f>IF(F120+SUM(E$99:E120)=D$92,F120,D$92-SUM(E$99:E120))</f>
        <v>1073896.8200000003</v>
      </c>
      <c r="E121" s="481">
        <f t="shared" si="22"/>
        <v>63009</v>
      </c>
      <c r="F121" s="482">
        <f t="shared" si="23"/>
        <v>1010887.8200000003</v>
      </c>
      <c r="G121" s="482">
        <f t="shared" si="24"/>
        <v>1042392.3200000003</v>
      </c>
      <c r="H121" s="483">
        <f t="shared" si="25"/>
        <v>203021.79148339038</v>
      </c>
      <c r="I121" s="539">
        <f t="shared" si="26"/>
        <v>203021.79148339038</v>
      </c>
      <c r="J121" s="475">
        <f t="shared" si="18"/>
        <v>0</v>
      </c>
      <c r="K121" s="475"/>
      <c r="L121" s="484"/>
      <c r="M121" s="475">
        <f t="shared" si="27"/>
        <v>0</v>
      </c>
      <c r="N121" s="484"/>
      <c r="O121" s="475">
        <f t="shared" si="16"/>
        <v>0</v>
      </c>
      <c r="P121" s="475">
        <f t="shared" si="17"/>
        <v>0</v>
      </c>
    </row>
    <row r="122" spans="2:16" ht="12.5">
      <c r="B122" s="160" t="str">
        <f t="shared" si="19"/>
        <v/>
      </c>
      <c r="C122" s="469">
        <f>IF(D93="","-",+C121+1)</f>
        <v>2043</v>
      </c>
      <c r="D122" s="344">
        <f>IF(F121+SUM(E$99:E121)=D$92,F121,D$92-SUM(E$99:E121))</f>
        <v>1010887.8200000003</v>
      </c>
      <c r="E122" s="481">
        <f t="shared" si="22"/>
        <v>63009</v>
      </c>
      <c r="F122" s="482">
        <f t="shared" si="23"/>
        <v>947878.8200000003</v>
      </c>
      <c r="G122" s="482">
        <f t="shared" si="24"/>
        <v>979383.3200000003</v>
      </c>
      <c r="H122" s="483">
        <f t="shared" si="25"/>
        <v>194558.50390028834</v>
      </c>
      <c r="I122" s="539">
        <f t="shared" si="26"/>
        <v>194558.50390028834</v>
      </c>
      <c r="J122" s="475">
        <f t="shared" si="18"/>
        <v>0</v>
      </c>
      <c r="K122" s="475"/>
      <c r="L122" s="484"/>
      <c r="M122" s="475">
        <f t="shared" si="27"/>
        <v>0</v>
      </c>
      <c r="N122" s="484"/>
      <c r="O122" s="475">
        <f t="shared" si="16"/>
        <v>0</v>
      </c>
      <c r="P122" s="475">
        <f t="shared" si="17"/>
        <v>0</v>
      </c>
    </row>
    <row r="123" spans="2:16" ht="12.5">
      <c r="B123" s="160" t="str">
        <f t="shared" si="19"/>
        <v/>
      </c>
      <c r="C123" s="469">
        <f>IF(D93="","-",+C122+1)</f>
        <v>2044</v>
      </c>
      <c r="D123" s="344">
        <f>IF(F122+SUM(E$99:E122)=D$92,F122,D$92-SUM(E$99:E122))</f>
        <v>947878.8200000003</v>
      </c>
      <c r="E123" s="481">
        <f t="shared" si="22"/>
        <v>63009</v>
      </c>
      <c r="F123" s="482">
        <f t="shared" si="23"/>
        <v>884869.8200000003</v>
      </c>
      <c r="G123" s="482">
        <f t="shared" si="24"/>
        <v>916374.3200000003</v>
      </c>
      <c r="H123" s="483">
        <f t="shared" si="25"/>
        <v>186095.21631718628</v>
      </c>
      <c r="I123" s="539">
        <f t="shared" si="26"/>
        <v>186095.21631718628</v>
      </c>
      <c r="J123" s="475">
        <f t="shared" si="18"/>
        <v>0</v>
      </c>
      <c r="K123" s="475"/>
      <c r="L123" s="484"/>
      <c r="M123" s="475">
        <f t="shared" si="27"/>
        <v>0</v>
      </c>
      <c r="N123" s="484"/>
      <c r="O123" s="475">
        <f t="shared" si="16"/>
        <v>0</v>
      </c>
      <c r="P123" s="475">
        <f t="shared" si="17"/>
        <v>0</v>
      </c>
    </row>
    <row r="124" spans="2:16" ht="12.5">
      <c r="B124" s="160" t="str">
        <f t="shared" si="19"/>
        <v/>
      </c>
      <c r="C124" s="469">
        <f>IF(D93="","-",+C123+1)</f>
        <v>2045</v>
      </c>
      <c r="D124" s="344">
        <f>IF(F123+SUM(E$99:E123)=D$92,F123,D$92-SUM(E$99:E123))</f>
        <v>884869.8200000003</v>
      </c>
      <c r="E124" s="481">
        <f t="shared" si="22"/>
        <v>63009</v>
      </c>
      <c r="F124" s="482">
        <f t="shared" si="23"/>
        <v>821860.8200000003</v>
      </c>
      <c r="G124" s="482">
        <f t="shared" si="24"/>
        <v>853365.3200000003</v>
      </c>
      <c r="H124" s="483">
        <f t="shared" si="25"/>
        <v>177631.92873408424</v>
      </c>
      <c r="I124" s="539">
        <f t="shared" si="26"/>
        <v>177631.92873408424</v>
      </c>
      <c r="J124" s="475">
        <f t="shared" si="18"/>
        <v>0</v>
      </c>
      <c r="K124" s="475"/>
      <c r="L124" s="484"/>
      <c r="M124" s="475">
        <f t="shared" si="27"/>
        <v>0</v>
      </c>
      <c r="N124" s="484"/>
      <c r="O124" s="475">
        <f t="shared" si="16"/>
        <v>0</v>
      </c>
      <c r="P124" s="475">
        <f t="shared" si="17"/>
        <v>0</v>
      </c>
    </row>
    <row r="125" spans="2:16" ht="12.5">
      <c r="B125" s="160" t="str">
        <f t="shared" si="19"/>
        <v/>
      </c>
      <c r="C125" s="469">
        <f>IF(D93="","-",+C124+1)</f>
        <v>2046</v>
      </c>
      <c r="D125" s="344">
        <f>IF(F124+SUM(E$99:E124)=D$92,F124,D$92-SUM(E$99:E124))</f>
        <v>821860.8200000003</v>
      </c>
      <c r="E125" s="481">
        <f t="shared" si="22"/>
        <v>63009</v>
      </c>
      <c r="F125" s="482">
        <f t="shared" si="23"/>
        <v>758851.8200000003</v>
      </c>
      <c r="G125" s="482">
        <f t="shared" si="24"/>
        <v>790356.3200000003</v>
      </c>
      <c r="H125" s="483">
        <f t="shared" si="25"/>
        <v>169168.64115098218</v>
      </c>
      <c r="I125" s="539">
        <f t="shared" si="26"/>
        <v>169168.64115098218</v>
      </c>
      <c r="J125" s="475">
        <f t="shared" si="18"/>
        <v>0</v>
      </c>
      <c r="K125" s="475"/>
      <c r="L125" s="484"/>
      <c r="M125" s="475">
        <f t="shared" si="27"/>
        <v>0</v>
      </c>
      <c r="N125" s="484"/>
      <c r="O125" s="475">
        <f t="shared" si="16"/>
        <v>0</v>
      </c>
      <c r="P125" s="475">
        <f t="shared" si="17"/>
        <v>0</v>
      </c>
    </row>
    <row r="126" spans="2:16" ht="12.5">
      <c r="B126" s="160" t="str">
        <f t="shared" si="19"/>
        <v/>
      </c>
      <c r="C126" s="469">
        <f>IF(D93="","-",+C125+1)</f>
        <v>2047</v>
      </c>
      <c r="D126" s="344">
        <f>IF(F125+SUM(E$99:E125)=D$92,F125,D$92-SUM(E$99:E125))</f>
        <v>758851.8200000003</v>
      </c>
      <c r="E126" s="481">
        <f t="shared" si="22"/>
        <v>63009</v>
      </c>
      <c r="F126" s="482">
        <f t="shared" si="23"/>
        <v>695842.8200000003</v>
      </c>
      <c r="G126" s="482">
        <f t="shared" si="24"/>
        <v>727347.3200000003</v>
      </c>
      <c r="H126" s="483">
        <f t="shared" si="25"/>
        <v>160705.35356788011</v>
      </c>
      <c r="I126" s="539">
        <f t="shared" si="26"/>
        <v>160705.35356788011</v>
      </c>
      <c r="J126" s="475">
        <f t="shared" si="18"/>
        <v>0</v>
      </c>
      <c r="K126" s="475"/>
      <c r="L126" s="484"/>
      <c r="M126" s="475">
        <f t="shared" si="27"/>
        <v>0</v>
      </c>
      <c r="N126" s="484"/>
      <c r="O126" s="475">
        <f t="shared" si="16"/>
        <v>0</v>
      </c>
      <c r="P126" s="475">
        <f t="shared" si="17"/>
        <v>0</v>
      </c>
    </row>
    <row r="127" spans="2:16" ht="12.5">
      <c r="B127" s="160" t="str">
        <f t="shared" si="19"/>
        <v/>
      </c>
      <c r="C127" s="469">
        <f>IF(D93="","-",+C126+1)</f>
        <v>2048</v>
      </c>
      <c r="D127" s="344">
        <f>IF(F126+SUM(E$99:E126)=D$92,F126,D$92-SUM(E$99:E126))</f>
        <v>695842.8200000003</v>
      </c>
      <c r="E127" s="481">
        <f t="shared" si="22"/>
        <v>63009</v>
      </c>
      <c r="F127" s="482">
        <f t="shared" si="23"/>
        <v>632833.8200000003</v>
      </c>
      <c r="G127" s="482">
        <f t="shared" si="24"/>
        <v>664338.3200000003</v>
      </c>
      <c r="H127" s="483">
        <f t="shared" si="25"/>
        <v>152242.06598477805</v>
      </c>
      <c r="I127" s="539">
        <f t="shared" si="26"/>
        <v>152242.06598477805</v>
      </c>
      <c r="J127" s="475">
        <f t="shared" si="18"/>
        <v>0</v>
      </c>
      <c r="K127" s="475"/>
      <c r="L127" s="484"/>
      <c r="M127" s="475">
        <f t="shared" si="27"/>
        <v>0</v>
      </c>
      <c r="N127" s="484"/>
      <c r="O127" s="475">
        <f t="shared" si="16"/>
        <v>0</v>
      </c>
      <c r="P127" s="475">
        <f t="shared" si="17"/>
        <v>0</v>
      </c>
    </row>
    <row r="128" spans="2:16" ht="12.5">
      <c r="B128" s="160" t="str">
        <f t="shared" si="19"/>
        <v/>
      </c>
      <c r="C128" s="469">
        <f>IF(D93="","-",+C127+1)</f>
        <v>2049</v>
      </c>
      <c r="D128" s="344">
        <f>IF(F127+SUM(E$99:E127)=D$92,F127,D$92-SUM(E$99:E127))</f>
        <v>632833.8200000003</v>
      </c>
      <c r="E128" s="481">
        <f t="shared" si="22"/>
        <v>63009</v>
      </c>
      <c r="F128" s="482">
        <f t="shared" si="23"/>
        <v>569824.8200000003</v>
      </c>
      <c r="G128" s="482">
        <f t="shared" si="24"/>
        <v>601329.3200000003</v>
      </c>
      <c r="H128" s="483">
        <f t="shared" si="25"/>
        <v>143778.77840167601</v>
      </c>
      <c r="I128" s="539">
        <f t="shared" si="26"/>
        <v>143778.77840167601</v>
      </c>
      <c r="J128" s="475">
        <f t="shared" si="18"/>
        <v>0</v>
      </c>
      <c r="K128" s="475"/>
      <c r="L128" s="484"/>
      <c r="M128" s="475">
        <f t="shared" si="27"/>
        <v>0</v>
      </c>
      <c r="N128" s="484"/>
      <c r="O128" s="475">
        <f t="shared" si="16"/>
        <v>0</v>
      </c>
      <c r="P128" s="475">
        <f t="shared" si="17"/>
        <v>0</v>
      </c>
    </row>
    <row r="129" spans="2:16" ht="12.5">
      <c r="B129" s="160" t="str">
        <f t="shared" si="19"/>
        <v/>
      </c>
      <c r="C129" s="469">
        <f>IF(D93="","-",+C128+1)</f>
        <v>2050</v>
      </c>
      <c r="D129" s="344">
        <f>IF(F128+SUM(E$99:E128)=D$92,F128,D$92-SUM(E$99:E128))</f>
        <v>569824.8200000003</v>
      </c>
      <c r="E129" s="481">
        <f t="shared" si="22"/>
        <v>63009</v>
      </c>
      <c r="F129" s="482">
        <f t="shared" si="23"/>
        <v>506815.8200000003</v>
      </c>
      <c r="G129" s="482">
        <f t="shared" si="24"/>
        <v>538320.3200000003</v>
      </c>
      <c r="H129" s="483">
        <f t="shared" si="25"/>
        <v>135315.49081857398</v>
      </c>
      <c r="I129" s="539">
        <f t="shared" si="26"/>
        <v>135315.49081857398</v>
      </c>
      <c r="J129" s="475">
        <f t="shared" si="18"/>
        <v>0</v>
      </c>
      <c r="K129" s="475"/>
      <c r="L129" s="484"/>
      <c r="M129" s="475">
        <f t="shared" si="27"/>
        <v>0</v>
      </c>
      <c r="N129" s="484"/>
      <c r="O129" s="475">
        <f t="shared" si="16"/>
        <v>0</v>
      </c>
      <c r="P129" s="475">
        <f t="shared" si="17"/>
        <v>0</v>
      </c>
    </row>
    <row r="130" spans="2:16" ht="12.5">
      <c r="B130" s="160" t="str">
        <f t="shared" si="19"/>
        <v/>
      </c>
      <c r="C130" s="469">
        <f>IF(D93="","-",+C129+1)</f>
        <v>2051</v>
      </c>
      <c r="D130" s="344">
        <f>IF(F129+SUM(E$99:E129)=D$92,F129,D$92-SUM(E$99:E129))</f>
        <v>506815.8200000003</v>
      </c>
      <c r="E130" s="481">
        <f t="shared" si="22"/>
        <v>63009</v>
      </c>
      <c r="F130" s="482">
        <f t="shared" si="23"/>
        <v>443806.8200000003</v>
      </c>
      <c r="G130" s="482">
        <f t="shared" si="24"/>
        <v>475311.3200000003</v>
      </c>
      <c r="H130" s="483">
        <f t="shared" si="25"/>
        <v>126852.20323547191</v>
      </c>
      <c r="I130" s="539">
        <f t="shared" si="26"/>
        <v>126852.20323547191</v>
      </c>
      <c r="J130" s="475">
        <f t="shared" si="18"/>
        <v>0</v>
      </c>
      <c r="K130" s="475"/>
      <c r="L130" s="484"/>
      <c r="M130" s="475">
        <f t="shared" si="27"/>
        <v>0</v>
      </c>
      <c r="N130" s="484"/>
      <c r="O130" s="475">
        <f t="shared" si="16"/>
        <v>0</v>
      </c>
      <c r="P130" s="475">
        <f t="shared" si="17"/>
        <v>0</v>
      </c>
    </row>
    <row r="131" spans="2:16" ht="12.5">
      <c r="B131" s="160" t="str">
        <f t="shared" si="19"/>
        <v/>
      </c>
      <c r="C131" s="469">
        <f>IF(D93="","-",+C130+1)</f>
        <v>2052</v>
      </c>
      <c r="D131" s="344">
        <f>IF(F130+SUM(E$99:E130)=D$92,F130,D$92-SUM(E$99:E130))</f>
        <v>443806.8200000003</v>
      </c>
      <c r="E131" s="481">
        <f t="shared" si="22"/>
        <v>63009</v>
      </c>
      <c r="F131" s="482">
        <f t="shared" si="23"/>
        <v>380797.8200000003</v>
      </c>
      <c r="G131" s="482">
        <f t="shared" si="24"/>
        <v>412302.3200000003</v>
      </c>
      <c r="H131" s="483">
        <f t="shared" si="25"/>
        <v>118388.91565236985</v>
      </c>
      <c r="I131" s="539">
        <f t="shared" si="26"/>
        <v>118388.91565236985</v>
      </c>
      <c r="J131" s="475">
        <f t="shared" ref="J131:J154" si="28">+I541-H541</f>
        <v>0</v>
      </c>
      <c r="K131" s="475"/>
      <c r="L131" s="484"/>
      <c r="M131" s="475">
        <f t="shared" ref="M131:M154" si="29">IF(L541&lt;&gt;0,+H541-L541,0)</f>
        <v>0</v>
      </c>
      <c r="N131" s="484"/>
      <c r="O131" s="475">
        <f t="shared" ref="O131:O154" si="30">IF(N541&lt;&gt;0,+I541-N541,0)</f>
        <v>0</v>
      </c>
      <c r="P131" s="475">
        <f t="shared" ref="P131:P154" si="31">+O541-M541</f>
        <v>0</v>
      </c>
    </row>
    <row r="132" spans="2:16" ht="12.5">
      <c r="B132" s="160" t="str">
        <f t="shared" si="19"/>
        <v/>
      </c>
      <c r="C132" s="469">
        <f>IF(D93="","-",+C131+1)</f>
        <v>2053</v>
      </c>
      <c r="D132" s="344">
        <f>IF(F131+SUM(E$99:E131)=D$92,F131,D$92-SUM(E$99:E131))</f>
        <v>380797.8200000003</v>
      </c>
      <c r="E132" s="481">
        <f t="shared" si="22"/>
        <v>63009</v>
      </c>
      <c r="F132" s="482">
        <f t="shared" si="23"/>
        <v>317788.8200000003</v>
      </c>
      <c r="G132" s="482">
        <f t="shared" si="24"/>
        <v>349293.3200000003</v>
      </c>
      <c r="H132" s="483">
        <f t="shared" si="25"/>
        <v>109925.6280692678</v>
      </c>
      <c r="I132" s="539">
        <f t="shared" si="26"/>
        <v>109925.6280692678</v>
      </c>
      <c r="J132" s="475">
        <f t="shared" si="28"/>
        <v>0</v>
      </c>
      <c r="K132" s="475"/>
      <c r="L132" s="484"/>
      <c r="M132" s="475">
        <f t="shared" si="29"/>
        <v>0</v>
      </c>
      <c r="N132" s="484"/>
      <c r="O132" s="475">
        <f t="shared" si="30"/>
        <v>0</v>
      </c>
      <c r="P132" s="475">
        <f t="shared" si="31"/>
        <v>0</v>
      </c>
    </row>
    <row r="133" spans="2:16" ht="12.5">
      <c r="B133" s="160" t="str">
        <f t="shared" si="19"/>
        <v/>
      </c>
      <c r="C133" s="469">
        <f>IF(D93="","-",+C132+1)</f>
        <v>2054</v>
      </c>
      <c r="D133" s="344">
        <f>IF(F132+SUM(E$99:E132)=D$92,F132,D$92-SUM(E$99:E132))</f>
        <v>317788.8200000003</v>
      </c>
      <c r="E133" s="481">
        <f t="shared" si="22"/>
        <v>63009</v>
      </c>
      <c r="F133" s="482">
        <f t="shared" si="23"/>
        <v>254779.8200000003</v>
      </c>
      <c r="G133" s="482">
        <f t="shared" si="24"/>
        <v>286284.3200000003</v>
      </c>
      <c r="H133" s="483">
        <f t="shared" si="25"/>
        <v>101462.34048616575</v>
      </c>
      <c r="I133" s="539">
        <f t="shared" si="26"/>
        <v>101462.34048616575</v>
      </c>
      <c r="J133" s="475">
        <f t="shared" si="28"/>
        <v>0</v>
      </c>
      <c r="K133" s="475"/>
      <c r="L133" s="484"/>
      <c r="M133" s="475">
        <f t="shared" si="29"/>
        <v>0</v>
      </c>
      <c r="N133" s="484"/>
      <c r="O133" s="475">
        <f t="shared" si="30"/>
        <v>0</v>
      </c>
      <c r="P133" s="475">
        <f t="shared" si="31"/>
        <v>0</v>
      </c>
    </row>
    <row r="134" spans="2:16" ht="12.5">
      <c r="B134" s="160" t="str">
        <f t="shared" si="19"/>
        <v/>
      </c>
      <c r="C134" s="469">
        <f>IF(D93="","-",+C133+1)</f>
        <v>2055</v>
      </c>
      <c r="D134" s="344">
        <f>IF(F133+SUM(E$99:E133)=D$92,F133,D$92-SUM(E$99:E133))</f>
        <v>254779.8200000003</v>
      </c>
      <c r="E134" s="481">
        <f t="shared" si="22"/>
        <v>63009</v>
      </c>
      <c r="F134" s="482">
        <f t="shared" si="23"/>
        <v>191770.8200000003</v>
      </c>
      <c r="G134" s="482">
        <f t="shared" si="24"/>
        <v>223275.3200000003</v>
      </c>
      <c r="H134" s="483">
        <f t="shared" si="25"/>
        <v>92999.052903063683</v>
      </c>
      <c r="I134" s="539">
        <f t="shared" si="26"/>
        <v>92999.052903063683</v>
      </c>
      <c r="J134" s="475">
        <f t="shared" si="28"/>
        <v>0</v>
      </c>
      <c r="K134" s="475"/>
      <c r="L134" s="484"/>
      <c r="M134" s="475">
        <f t="shared" si="29"/>
        <v>0</v>
      </c>
      <c r="N134" s="484"/>
      <c r="O134" s="475">
        <f t="shared" si="30"/>
        <v>0</v>
      </c>
      <c r="P134" s="475">
        <f t="shared" si="31"/>
        <v>0</v>
      </c>
    </row>
    <row r="135" spans="2:16" ht="12.5">
      <c r="B135" s="160" t="str">
        <f t="shared" si="19"/>
        <v/>
      </c>
      <c r="C135" s="469">
        <f>IF(D93="","-",+C134+1)</f>
        <v>2056</v>
      </c>
      <c r="D135" s="344">
        <f>IF(F134+SUM(E$99:E134)=D$92,F134,D$92-SUM(E$99:E134))</f>
        <v>191770.8200000003</v>
      </c>
      <c r="E135" s="481">
        <f t="shared" si="22"/>
        <v>63009</v>
      </c>
      <c r="F135" s="482">
        <f t="shared" si="23"/>
        <v>128761.8200000003</v>
      </c>
      <c r="G135" s="482">
        <f t="shared" si="24"/>
        <v>160266.3200000003</v>
      </c>
      <c r="H135" s="483">
        <f t="shared" si="25"/>
        <v>84535.765319961632</v>
      </c>
      <c r="I135" s="539">
        <f t="shared" si="26"/>
        <v>84535.765319961632</v>
      </c>
      <c r="J135" s="475">
        <f t="shared" si="28"/>
        <v>0</v>
      </c>
      <c r="K135" s="475"/>
      <c r="L135" s="484"/>
      <c r="M135" s="475">
        <f t="shared" si="29"/>
        <v>0</v>
      </c>
      <c r="N135" s="484"/>
      <c r="O135" s="475">
        <f t="shared" si="30"/>
        <v>0</v>
      </c>
      <c r="P135" s="475">
        <f t="shared" si="31"/>
        <v>0</v>
      </c>
    </row>
    <row r="136" spans="2:16" ht="12.5">
      <c r="B136" s="160" t="str">
        <f t="shared" si="19"/>
        <v/>
      </c>
      <c r="C136" s="469">
        <f>IF(D93="","-",+C135+1)</f>
        <v>2057</v>
      </c>
      <c r="D136" s="344">
        <f>IF(F135+SUM(E$99:E135)=D$92,F135,D$92-SUM(E$99:E135))</f>
        <v>128761.8200000003</v>
      </c>
      <c r="E136" s="481">
        <f t="shared" si="22"/>
        <v>63009</v>
      </c>
      <c r="F136" s="482">
        <f t="shared" si="23"/>
        <v>65752.820000000298</v>
      </c>
      <c r="G136" s="482">
        <f t="shared" si="24"/>
        <v>97257.320000000298</v>
      </c>
      <c r="H136" s="483">
        <f t="shared" si="25"/>
        <v>76072.477736859582</v>
      </c>
      <c r="I136" s="539">
        <f t="shared" si="26"/>
        <v>76072.477736859582</v>
      </c>
      <c r="J136" s="475">
        <f t="shared" si="28"/>
        <v>0</v>
      </c>
      <c r="K136" s="475"/>
      <c r="L136" s="484"/>
      <c r="M136" s="475">
        <f t="shared" si="29"/>
        <v>0</v>
      </c>
      <c r="N136" s="484"/>
      <c r="O136" s="475">
        <f t="shared" si="30"/>
        <v>0</v>
      </c>
      <c r="P136" s="475">
        <f t="shared" si="31"/>
        <v>0</v>
      </c>
    </row>
    <row r="137" spans="2:16" ht="12.5">
      <c r="B137" s="160" t="str">
        <f t="shared" si="19"/>
        <v/>
      </c>
      <c r="C137" s="469">
        <f>IF(D93="","-",+C136+1)</f>
        <v>2058</v>
      </c>
      <c r="D137" s="344">
        <f>IF(F136+SUM(E$99:E136)=D$92,F136,D$92-SUM(E$99:E136))</f>
        <v>65752.820000000298</v>
      </c>
      <c r="E137" s="481">
        <f t="shared" si="22"/>
        <v>63009</v>
      </c>
      <c r="F137" s="482">
        <f t="shared" si="23"/>
        <v>2743.820000000298</v>
      </c>
      <c r="G137" s="482">
        <f t="shared" si="24"/>
        <v>34248.320000000298</v>
      </c>
      <c r="H137" s="483">
        <f t="shared" si="25"/>
        <v>67609.190153757532</v>
      </c>
      <c r="I137" s="539">
        <f t="shared" si="26"/>
        <v>67609.190153757532</v>
      </c>
      <c r="J137" s="475">
        <f t="shared" si="28"/>
        <v>0</v>
      </c>
      <c r="K137" s="475"/>
      <c r="L137" s="484"/>
      <c r="M137" s="475">
        <f t="shared" si="29"/>
        <v>0</v>
      </c>
      <c r="N137" s="484"/>
      <c r="O137" s="475">
        <f t="shared" si="30"/>
        <v>0</v>
      </c>
      <c r="P137" s="475">
        <f t="shared" si="31"/>
        <v>0</v>
      </c>
    </row>
    <row r="138" spans="2:16" ht="12.5">
      <c r="B138" s="160" t="str">
        <f t="shared" si="19"/>
        <v/>
      </c>
      <c r="C138" s="469">
        <f>IF(D93="","-",+C137+1)</f>
        <v>2059</v>
      </c>
      <c r="D138" s="344">
        <f>IF(F137+SUM(E$99:E137)=D$92,F137,D$92-SUM(E$99:E137))</f>
        <v>2743.820000000298</v>
      </c>
      <c r="E138" s="481">
        <f t="shared" si="22"/>
        <v>2743.820000000298</v>
      </c>
      <c r="F138" s="482">
        <f t="shared" si="23"/>
        <v>0</v>
      </c>
      <c r="G138" s="482">
        <f t="shared" si="24"/>
        <v>1371.910000000149</v>
      </c>
      <c r="H138" s="483">
        <f t="shared" si="25"/>
        <v>2928.0931811035498</v>
      </c>
      <c r="I138" s="539">
        <f t="shared" si="26"/>
        <v>2928.0931811035498</v>
      </c>
      <c r="J138" s="475">
        <f t="shared" si="28"/>
        <v>0</v>
      </c>
      <c r="K138" s="475"/>
      <c r="L138" s="484"/>
      <c r="M138" s="475">
        <f t="shared" si="29"/>
        <v>0</v>
      </c>
      <c r="N138" s="484"/>
      <c r="O138" s="475">
        <f t="shared" si="30"/>
        <v>0</v>
      </c>
      <c r="P138" s="475">
        <f t="shared" si="31"/>
        <v>0</v>
      </c>
    </row>
    <row r="139" spans="2:16" ht="12.5">
      <c r="B139" s="160" t="str">
        <f t="shared" si="19"/>
        <v/>
      </c>
      <c r="C139" s="469">
        <f>IF(D93="","-",+C138+1)</f>
        <v>2060</v>
      </c>
      <c r="D139" s="344">
        <f>IF(F138+SUM(E$99:E138)=D$92,F138,D$92-SUM(E$99:E138))</f>
        <v>0</v>
      </c>
      <c r="E139" s="481">
        <f t="shared" si="22"/>
        <v>0</v>
      </c>
      <c r="F139" s="482">
        <f t="shared" si="23"/>
        <v>0</v>
      </c>
      <c r="G139" s="482">
        <f t="shared" si="24"/>
        <v>0</v>
      </c>
      <c r="H139" s="483">
        <f t="shared" si="25"/>
        <v>0</v>
      </c>
      <c r="I139" s="539">
        <f t="shared" si="26"/>
        <v>0</v>
      </c>
      <c r="J139" s="475">
        <f t="shared" si="28"/>
        <v>0</v>
      </c>
      <c r="K139" s="475"/>
      <c r="L139" s="484"/>
      <c r="M139" s="475">
        <f t="shared" si="29"/>
        <v>0</v>
      </c>
      <c r="N139" s="484"/>
      <c r="O139" s="475">
        <f t="shared" si="30"/>
        <v>0</v>
      </c>
      <c r="P139" s="475">
        <f t="shared" si="31"/>
        <v>0</v>
      </c>
    </row>
    <row r="140" spans="2:16" ht="12.5">
      <c r="B140" s="160" t="str">
        <f t="shared" si="19"/>
        <v/>
      </c>
      <c r="C140" s="469">
        <f>IF(D93="","-",+C139+1)</f>
        <v>2061</v>
      </c>
      <c r="D140" s="344">
        <f>IF(F139+SUM(E$99:E139)=D$92,F139,D$92-SUM(E$99:E139))</f>
        <v>0</v>
      </c>
      <c r="E140" s="481">
        <f t="shared" si="22"/>
        <v>0</v>
      </c>
      <c r="F140" s="482">
        <f t="shared" si="23"/>
        <v>0</v>
      </c>
      <c r="G140" s="482">
        <f t="shared" si="24"/>
        <v>0</v>
      </c>
      <c r="H140" s="483">
        <f t="shared" si="25"/>
        <v>0</v>
      </c>
      <c r="I140" s="539">
        <f t="shared" si="26"/>
        <v>0</v>
      </c>
      <c r="J140" s="475">
        <f t="shared" si="28"/>
        <v>0</v>
      </c>
      <c r="K140" s="475"/>
      <c r="L140" s="484"/>
      <c r="M140" s="475">
        <f t="shared" si="29"/>
        <v>0</v>
      </c>
      <c r="N140" s="484"/>
      <c r="O140" s="475">
        <f t="shared" si="30"/>
        <v>0</v>
      </c>
      <c r="P140" s="475">
        <f t="shared" si="31"/>
        <v>0</v>
      </c>
    </row>
    <row r="141" spans="2:16" ht="12.5">
      <c r="B141" s="160" t="str">
        <f t="shared" si="19"/>
        <v/>
      </c>
      <c r="C141" s="469">
        <f>IF(D93="","-",+C140+1)</f>
        <v>2062</v>
      </c>
      <c r="D141" s="344">
        <f>IF(F140+SUM(E$99:E140)=D$92,F140,D$92-SUM(E$99:E140))</f>
        <v>0</v>
      </c>
      <c r="E141" s="481">
        <f t="shared" si="22"/>
        <v>0</v>
      </c>
      <c r="F141" s="482">
        <f t="shared" si="23"/>
        <v>0</v>
      </c>
      <c r="G141" s="482">
        <f t="shared" si="24"/>
        <v>0</v>
      </c>
      <c r="H141" s="483">
        <f t="shared" si="25"/>
        <v>0</v>
      </c>
      <c r="I141" s="539">
        <f t="shared" si="26"/>
        <v>0</v>
      </c>
      <c r="J141" s="475">
        <f t="shared" si="28"/>
        <v>0</v>
      </c>
      <c r="K141" s="475"/>
      <c r="L141" s="484"/>
      <c r="M141" s="475">
        <f t="shared" si="29"/>
        <v>0</v>
      </c>
      <c r="N141" s="484"/>
      <c r="O141" s="475">
        <f t="shared" si="30"/>
        <v>0</v>
      </c>
      <c r="P141" s="475">
        <f t="shared" si="31"/>
        <v>0</v>
      </c>
    </row>
    <row r="142" spans="2:16" ht="12.5">
      <c r="B142" s="160" t="str">
        <f t="shared" si="19"/>
        <v/>
      </c>
      <c r="C142" s="469">
        <f>IF(D93="","-",+C141+1)</f>
        <v>2063</v>
      </c>
      <c r="D142" s="344">
        <f>IF(F141+SUM(E$99:E141)=D$92,F141,D$92-SUM(E$99:E141))</f>
        <v>0</v>
      </c>
      <c r="E142" s="481">
        <f t="shared" si="22"/>
        <v>0</v>
      </c>
      <c r="F142" s="482">
        <f t="shared" si="23"/>
        <v>0</v>
      </c>
      <c r="G142" s="482">
        <f t="shared" si="24"/>
        <v>0</v>
      </c>
      <c r="H142" s="483">
        <f t="shared" si="25"/>
        <v>0</v>
      </c>
      <c r="I142" s="539">
        <f t="shared" si="26"/>
        <v>0</v>
      </c>
      <c r="J142" s="475">
        <f t="shared" si="28"/>
        <v>0</v>
      </c>
      <c r="K142" s="475"/>
      <c r="L142" s="484"/>
      <c r="M142" s="475">
        <f t="shared" si="29"/>
        <v>0</v>
      </c>
      <c r="N142" s="484"/>
      <c r="O142" s="475">
        <f t="shared" si="30"/>
        <v>0</v>
      </c>
      <c r="P142" s="475">
        <f t="shared" si="31"/>
        <v>0</v>
      </c>
    </row>
    <row r="143" spans="2:16" ht="12.5">
      <c r="B143" s="160" t="str">
        <f t="shared" si="19"/>
        <v/>
      </c>
      <c r="C143" s="469">
        <f>IF(D93="","-",+C142+1)</f>
        <v>2064</v>
      </c>
      <c r="D143" s="344">
        <f>IF(F142+SUM(E$99:E142)=D$92,F142,D$92-SUM(E$99:E142))</f>
        <v>0</v>
      </c>
      <c r="E143" s="481">
        <f t="shared" si="22"/>
        <v>0</v>
      </c>
      <c r="F143" s="482">
        <f t="shared" si="23"/>
        <v>0</v>
      </c>
      <c r="G143" s="482">
        <f t="shared" si="24"/>
        <v>0</v>
      </c>
      <c r="H143" s="483">
        <f t="shared" si="25"/>
        <v>0</v>
      </c>
      <c r="I143" s="539">
        <f t="shared" si="26"/>
        <v>0</v>
      </c>
      <c r="J143" s="475">
        <f t="shared" si="28"/>
        <v>0</v>
      </c>
      <c r="K143" s="475"/>
      <c r="L143" s="484"/>
      <c r="M143" s="475">
        <f t="shared" si="29"/>
        <v>0</v>
      </c>
      <c r="N143" s="484"/>
      <c r="O143" s="475">
        <f t="shared" si="30"/>
        <v>0</v>
      </c>
      <c r="P143" s="475">
        <f t="shared" si="31"/>
        <v>0</v>
      </c>
    </row>
    <row r="144" spans="2:16" ht="12.5">
      <c r="B144" s="160" t="str">
        <f t="shared" si="19"/>
        <v/>
      </c>
      <c r="C144" s="469">
        <f>IF(D93="","-",+C143+1)</f>
        <v>2065</v>
      </c>
      <c r="D144" s="344">
        <f>IF(F143+SUM(E$99:E143)=D$92,F143,D$92-SUM(E$99:E143))</f>
        <v>0</v>
      </c>
      <c r="E144" s="481">
        <f t="shared" si="22"/>
        <v>0</v>
      </c>
      <c r="F144" s="482">
        <f t="shared" si="23"/>
        <v>0</v>
      </c>
      <c r="G144" s="482">
        <f t="shared" si="24"/>
        <v>0</v>
      </c>
      <c r="H144" s="483">
        <f t="shared" si="25"/>
        <v>0</v>
      </c>
      <c r="I144" s="539">
        <f t="shared" si="26"/>
        <v>0</v>
      </c>
      <c r="J144" s="475">
        <f t="shared" si="28"/>
        <v>0</v>
      </c>
      <c r="K144" s="475"/>
      <c r="L144" s="484"/>
      <c r="M144" s="475">
        <f t="shared" si="29"/>
        <v>0</v>
      </c>
      <c r="N144" s="484"/>
      <c r="O144" s="475">
        <f t="shared" si="30"/>
        <v>0</v>
      </c>
      <c r="P144" s="475">
        <f t="shared" si="31"/>
        <v>0</v>
      </c>
    </row>
    <row r="145" spans="2:16" ht="12.5">
      <c r="B145" s="160" t="str">
        <f t="shared" si="19"/>
        <v/>
      </c>
      <c r="C145" s="469">
        <f>IF(D93="","-",+C144+1)</f>
        <v>2066</v>
      </c>
      <c r="D145" s="344">
        <f>IF(F144+SUM(E$99:E144)=D$92,F144,D$92-SUM(E$99:E144))</f>
        <v>0</v>
      </c>
      <c r="E145" s="481">
        <f t="shared" si="22"/>
        <v>0</v>
      </c>
      <c r="F145" s="482">
        <f t="shared" si="23"/>
        <v>0</v>
      </c>
      <c r="G145" s="482">
        <f t="shared" si="24"/>
        <v>0</v>
      </c>
      <c r="H145" s="483">
        <f t="shared" si="25"/>
        <v>0</v>
      </c>
      <c r="I145" s="539">
        <f t="shared" si="26"/>
        <v>0</v>
      </c>
      <c r="J145" s="475">
        <f t="shared" si="28"/>
        <v>0</v>
      </c>
      <c r="K145" s="475"/>
      <c r="L145" s="484"/>
      <c r="M145" s="475">
        <f t="shared" si="29"/>
        <v>0</v>
      </c>
      <c r="N145" s="484"/>
      <c r="O145" s="475">
        <f t="shared" si="30"/>
        <v>0</v>
      </c>
      <c r="P145" s="475">
        <f t="shared" si="31"/>
        <v>0</v>
      </c>
    </row>
    <row r="146" spans="2:16" ht="12.5">
      <c r="B146" s="160" t="str">
        <f t="shared" si="19"/>
        <v/>
      </c>
      <c r="C146" s="469">
        <f>IF(D93="","-",+C145+1)</f>
        <v>2067</v>
      </c>
      <c r="D146" s="344">
        <f>IF(F145+SUM(E$99:E145)=D$92,F145,D$92-SUM(E$99:E145))</f>
        <v>0</v>
      </c>
      <c r="E146" s="481">
        <f t="shared" si="22"/>
        <v>0</v>
      </c>
      <c r="F146" s="482">
        <f t="shared" si="23"/>
        <v>0</v>
      </c>
      <c r="G146" s="482">
        <f t="shared" si="24"/>
        <v>0</v>
      </c>
      <c r="H146" s="483">
        <f t="shared" si="25"/>
        <v>0</v>
      </c>
      <c r="I146" s="539">
        <f t="shared" si="26"/>
        <v>0</v>
      </c>
      <c r="J146" s="475">
        <f t="shared" si="28"/>
        <v>0</v>
      </c>
      <c r="K146" s="475"/>
      <c r="L146" s="484"/>
      <c r="M146" s="475">
        <f t="shared" si="29"/>
        <v>0</v>
      </c>
      <c r="N146" s="484"/>
      <c r="O146" s="475">
        <f t="shared" si="30"/>
        <v>0</v>
      </c>
      <c r="P146" s="475">
        <f t="shared" si="31"/>
        <v>0</v>
      </c>
    </row>
    <row r="147" spans="2:16" ht="12.5">
      <c r="B147" s="160" t="str">
        <f t="shared" si="19"/>
        <v/>
      </c>
      <c r="C147" s="469">
        <f>IF(D93="","-",+C146+1)</f>
        <v>2068</v>
      </c>
      <c r="D147" s="344">
        <f>IF(F146+SUM(E$99:E146)=D$92,F146,D$92-SUM(E$99:E146))</f>
        <v>0</v>
      </c>
      <c r="E147" s="481">
        <f t="shared" si="22"/>
        <v>0</v>
      </c>
      <c r="F147" s="482">
        <f t="shared" si="23"/>
        <v>0</v>
      </c>
      <c r="G147" s="482">
        <f t="shared" si="24"/>
        <v>0</v>
      </c>
      <c r="H147" s="483">
        <f t="shared" si="25"/>
        <v>0</v>
      </c>
      <c r="I147" s="539">
        <f t="shared" si="26"/>
        <v>0</v>
      </c>
      <c r="J147" s="475">
        <f t="shared" si="28"/>
        <v>0</v>
      </c>
      <c r="K147" s="475"/>
      <c r="L147" s="484"/>
      <c r="M147" s="475">
        <f t="shared" si="29"/>
        <v>0</v>
      </c>
      <c r="N147" s="484"/>
      <c r="O147" s="475">
        <f t="shared" si="30"/>
        <v>0</v>
      </c>
      <c r="P147" s="475">
        <f t="shared" si="31"/>
        <v>0</v>
      </c>
    </row>
    <row r="148" spans="2:16" ht="12.5">
      <c r="B148" s="160" t="str">
        <f t="shared" si="19"/>
        <v/>
      </c>
      <c r="C148" s="469">
        <f>IF(D93="","-",+C147+1)</f>
        <v>2069</v>
      </c>
      <c r="D148" s="344">
        <f>IF(F147+SUM(E$99:E147)=D$92,F147,D$92-SUM(E$99:E147))</f>
        <v>0</v>
      </c>
      <c r="E148" s="481">
        <f t="shared" si="22"/>
        <v>0</v>
      </c>
      <c r="F148" s="482">
        <f t="shared" si="23"/>
        <v>0</v>
      </c>
      <c r="G148" s="482">
        <f t="shared" si="24"/>
        <v>0</v>
      </c>
      <c r="H148" s="483">
        <f t="shared" si="25"/>
        <v>0</v>
      </c>
      <c r="I148" s="539">
        <f t="shared" si="26"/>
        <v>0</v>
      </c>
      <c r="J148" s="475">
        <f t="shared" si="28"/>
        <v>0</v>
      </c>
      <c r="K148" s="475"/>
      <c r="L148" s="484"/>
      <c r="M148" s="475">
        <f t="shared" si="29"/>
        <v>0</v>
      </c>
      <c r="N148" s="484"/>
      <c r="O148" s="475">
        <f t="shared" si="30"/>
        <v>0</v>
      </c>
      <c r="P148" s="475">
        <f t="shared" si="31"/>
        <v>0</v>
      </c>
    </row>
    <row r="149" spans="2:16" ht="12.5">
      <c r="B149" s="160" t="str">
        <f t="shared" si="19"/>
        <v/>
      </c>
      <c r="C149" s="469">
        <f>IF(D93="","-",+C148+1)</f>
        <v>2070</v>
      </c>
      <c r="D149" s="344">
        <f>IF(F148+SUM(E$99:E148)=D$92,F148,D$92-SUM(E$99:E148))</f>
        <v>0</v>
      </c>
      <c r="E149" s="481">
        <f t="shared" si="22"/>
        <v>0</v>
      </c>
      <c r="F149" s="482">
        <f t="shared" si="23"/>
        <v>0</v>
      </c>
      <c r="G149" s="482">
        <f t="shared" si="24"/>
        <v>0</v>
      </c>
      <c r="H149" s="483">
        <f t="shared" si="25"/>
        <v>0</v>
      </c>
      <c r="I149" s="539">
        <f t="shared" si="26"/>
        <v>0</v>
      </c>
      <c r="J149" s="475">
        <f t="shared" si="28"/>
        <v>0</v>
      </c>
      <c r="K149" s="475"/>
      <c r="L149" s="484"/>
      <c r="M149" s="475">
        <f t="shared" si="29"/>
        <v>0</v>
      </c>
      <c r="N149" s="484"/>
      <c r="O149" s="475">
        <f t="shared" si="30"/>
        <v>0</v>
      </c>
      <c r="P149" s="475">
        <f t="shared" si="31"/>
        <v>0</v>
      </c>
    </row>
    <row r="150" spans="2:16" ht="12.5">
      <c r="B150" s="160" t="str">
        <f t="shared" si="19"/>
        <v/>
      </c>
      <c r="C150" s="469">
        <f>IF(D93="","-",+C149+1)</f>
        <v>2071</v>
      </c>
      <c r="D150" s="344">
        <f>IF(F149+SUM(E$99:E149)=D$92,F149,D$92-SUM(E$99:E149))</f>
        <v>0</v>
      </c>
      <c r="E150" s="481">
        <f t="shared" si="22"/>
        <v>0</v>
      </c>
      <c r="F150" s="482">
        <f t="shared" si="23"/>
        <v>0</v>
      </c>
      <c r="G150" s="482">
        <f t="shared" si="24"/>
        <v>0</v>
      </c>
      <c r="H150" s="483">
        <f t="shared" si="25"/>
        <v>0</v>
      </c>
      <c r="I150" s="539">
        <f t="shared" si="26"/>
        <v>0</v>
      </c>
      <c r="J150" s="475">
        <f t="shared" si="28"/>
        <v>0</v>
      </c>
      <c r="K150" s="475"/>
      <c r="L150" s="484"/>
      <c r="M150" s="475">
        <f t="shared" si="29"/>
        <v>0</v>
      </c>
      <c r="N150" s="484"/>
      <c r="O150" s="475">
        <f t="shared" si="30"/>
        <v>0</v>
      </c>
      <c r="P150" s="475">
        <f t="shared" si="31"/>
        <v>0</v>
      </c>
    </row>
    <row r="151" spans="2:16" ht="12.5">
      <c r="B151" s="160" t="str">
        <f t="shared" si="19"/>
        <v/>
      </c>
      <c r="C151" s="469">
        <f>IF(D93="","-",+C150+1)</f>
        <v>2072</v>
      </c>
      <c r="D151" s="344">
        <f>IF(F150+SUM(E$99:E150)=D$92,F150,D$92-SUM(E$99:E150))</f>
        <v>0</v>
      </c>
      <c r="E151" s="481">
        <f t="shared" si="22"/>
        <v>0</v>
      </c>
      <c r="F151" s="482">
        <f t="shared" si="23"/>
        <v>0</v>
      </c>
      <c r="G151" s="482">
        <f t="shared" si="24"/>
        <v>0</v>
      </c>
      <c r="H151" s="483">
        <f t="shared" si="25"/>
        <v>0</v>
      </c>
      <c r="I151" s="539">
        <f t="shared" si="26"/>
        <v>0</v>
      </c>
      <c r="J151" s="475">
        <f t="shared" si="28"/>
        <v>0</v>
      </c>
      <c r="K151" s="475"/>
      <c r="L151" s="484"/>
      <c r="M151" s="475">
        <f t="shared" si="29"/>
        <v>0</v>
      </c>
      <c r="N151" s="484"/>
      <c r="O151" s="475">
        <f t="shared" si="30"/>
        <v>0</v>
      </c>
      <c r="P151" s="475">
        <f t="shared" si="31"/>
        <v>0</v>
      </c>
    </row>
    <row r="152" spans="2:16" ht="12.5">
      <c r="B152" s="160" t="str">
        <f t="shared" si="19"/>
        <v/>
      </c>
      <c r="C152" s="469">
        <f>IF(D93="","-",+C151+1)</f>
        <v>2073</v>
      </c>
      <c r="D152" s="344">
        <f>IF(F151+SUM(E$99:E151)=D$92,F151,D$92-SUM(E$99:E151))</f>
        <v>0</v>
      </c>
      <c r="E152" s="481">
        <f t="shared" si="22"/>
        <v>0</v>
      </c>
      <c r="F152" s="482">
        <f t="shared" si="23"/>
        <v>0</v>
      </c>
      <c r="G152" s="482">
        <f t="shared" si="24"/>
        <v>0</v>
      </c>
      <c r="H152" s="483">
        <f t="shared" si="25"/>
        <v>0</v>
      </c>
      <c r="I152" s="539">
        <f t="shared" si="26"/>
        <v>0</v>
      </c>
      <c r="J152" s="475">
        <f t="shared" si="28"/>
        <v>0</v>
      </c>
      <c r="K152" s="475"/>
      <c r="L152" s="484"/>
      <c r="M152" s="475">
        <f t="shared" si="29"/>
        <v>0</v>
      </c>
      <c r="N152" s="484"/>
      <c r="O152" s="475">
        <f t="shared" si="30"/>
        <v>0</v>
      </c>
      <c r="P152" s="475">
        <f t="shared" si="31"/>
        <v>0</v>
      </c>
    </row>
    <row r="153" spans="2:16" ht="12.5">
      <c r="B153" s="160" t="str">
        <f t="shared" si="19"/>
        <v/>
      </c>
      <c r="C153" s="469">
        <f>IF(D93="","-",+C152+1)</f>
        <v>2074</v>
      </c>
      <c r="D153" s="344">
        <f>IF(F152+SUM(E$99:E152)=D$92,F152,D$92-SUM(E$99:E152))</f>
        <v>0</v>
      </c>
      <c r="E153" s="481">
        <f t="shared" si="22"/>
        <v>0</v>
      </c>
      <c r="F153" s="482">
        <f t="shared" si="23"/>
        <v>0</v>
      </c>
      <c r="G153" s="482">
        <f t="shared" si="24"/>
        <v>0</v>
      </c>
      <c r="H153" s="483">
        <f t="shared" si="25"/>
        <v>0</v>
      </c>
      <c r="I153" s="539">
        <f t="shared" si="26"/>
        <v>0</v>
      </c>
      <c r="J153" s="475">
        <f t="shared" si="28"/>
        <v>0</v>
      </c>
      <c r="K153" s="475"/>
      <c r="L153" s="484"/>
      <c r="M153" s="475">
        <f t="shared" si="29"/>
        <v>0</v>
      </c>
      <c r="N153" s="484"/>
      <c r="O153" s="475">
        <f t="shared" si="30"/>
        <v>0</v>
      </c>
      <c r="P153" s="475">
        <f t="shared" si="31"/>
        <v>0</v>
      </c>
    </row>
    <row r="154" spans="2:16" ht="13" thickBot="1">
      <c r="B154" s="160" t="str">
        <f t="shared" si="19"/>
        <v/>
      </c>
      <c r="C154" s="486">
        <f>IF(D93="","-",+C153+1)</f>
        <v>2075</v>
      </c>
      <c r="D154" s="540">
        <f>IF(F153+SUM(E$99:E153)=D$92,F153,D$92-SUM(E$99:E153))</f>
        <v>0</v>
      </c>
      <c r="E154" s="488">
        <f t="shared" si="22"/>
        <v>0</v>
      </c>
      <c r="F154" s="487">
        <f t="shared" si="23"/>
        <v>0</v>
      </c>
      <c r="G154" s="487">
        <f t="shared" si="24"/>
        <v>0</v>
      </c>
      <c r="H154" s="609">
        <f t="shared" ref="H154" si="32">+J$94*G154+E154</f>
        <v>0</v>
      </c>
      <c r="I154" s="610">
        <f t="shared" ref="I154" si="33">+J$95*G154+E154</f>
        <v>0</v>
      </c>
      <c r="J154" s="492">
        <f t="shared" si="28"/>
        <v>0</v>
      </c>
      <c r="K154" s="475"/>
      <c r="L154" s="491"/>
      <c r="M154" s="492">
        <f t="shared" si="29"/>
        <v>0</v>
      </c>
      <c r="N154" s="491"/>
      <c r="O154" s="492">
        <f t="shared" si="30"/>
        <v>0</v>
      </c>
      <c r="P154" s="492">
        <f t="shared" si="31"/>
        <v>0</v>
      </c>
    </row>
    <row r="155" spans="2:16" ht="12.5">
      <c r="C155" s="344" t="s">
        <v>77</v>
      </c>
      <c r="D155" s="345"/>
      <c r="E155" s="345">
        <f>SUM(E99:E154)</f>
        <v>2394352.8200000003</v>
      </c>
      <c r="F155" s="345"/>
      <c r="G155" s="345"/>
      <c r="H155" s="345">
        <f>SUM(H99:H154)</f>
        <v>8531680.9378799256</v>
      </c>
      <c r="I155" s="345">
        <f>SUM(I99:I154)</f>
        <v>8531680.9378799256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149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conditionalFormatting sqref="C17:C72">
    <cfRule type="cellIs" dxfId="17" priority="1" stopIfTrue="1" operator="equal">
      <formula>$I$10</formula>
    </cfRule>
  </conditionalFormatting>
  <conditionalFormatting sqref="C99:C154">
    <cfRule type="cellIs" dxfId="16" priority="2" stopIfTrue="1" operator="equal">
      <formula>$J$92</formula>
    </cfRule>
  </conditionalFormatting>
  <pageMargins left="0.5" right="0.25" top="1" bottom="0.25" header="0.25" footer="0.5"/>
  <pageSetup scale="47" orientation="landscape" r:id="rId1"/>
  <headerFooter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0" max="16383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162"/>
  <sheetViews>
    <sheetView zoomScale="80" zoomScaleNormal="80" workbookViewId="0">
      <selection activeCell="Q18" sqref="Q18:V52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630"/>
      <c r="C1" s="630"/>
      <c r="D1" s="631"/>
      <c r="E1" s="630"/>
      <c r="F1" s="632"/>
      <c r="G1" s="630"/>
      <c r="H1" s="633"/>
      <c r="K1" s="19"/>
      <c r="L1" s="19"/>
      <c r="M1" s="19"/>
      <c r="P1" s="414" t="str">
        <f ca="1">"PSO Project "&amp;RIGHT(MID(CELL("filename",$A$1),FIND("]",CELL("filename",$A$1))+1,256),2)&amp;" of "&amp;COUNT('P.001:P.xyz - blank'!$P$3)-1</f>
        <v>PSO Project 29 of 35</v>
      </c>
    </row>
    <row r="2" spans="1:16" ht="17.5">
      <c r="B2" s="630"/>
      <c r="C2" s="630"/>
      <c r="D2" s="631"/>
      <c r="E2" s="630"/>
      <c r="F2" s="630"/>
      <c r="G2" s="630"/>
      <c r="H2" s="633"/>
      <c r="I2" s="630"/>
      <c r="J2" s="630"/>
      <c r="K2" s="630"/>
      <c r="L2" s="630"/>
      <c r="M2" s="630"/>
      <c r="N2" s="630"/>
      <c r="P2" s="117" t="s">
        <v>150</v>
      </c>
    </row>
    <row r="3" spans="1:16" ht="18">
      <c r="B3" s="634" t="s">
        <v>42</v>
      </c>
      <c r="C3" s="635" t="s">
        <v>43</v>
      </c>
      <c r="D3" s="631"/>
      <c r="E3" s="630"/>
      <c r="F3" s="630"/>
      <c r="G3" s="630"/>
      <c r="H3" s="633"/>
      <c r="I3" s="633"/>
      <c r="J3" s="636"/>
      <c r="K3" s="633"/>
      <c r="L3" s="633"/>
      <c r="M3" s="633"/>
      <c r="N3" s="633"/>
      <c r="O3" s="630"/>
      <c r="P3" s="108">
        <v>1</v>
      </c>
    </row>
    <row r="4" spans="1:16" ht="16" thickBot="1">
      <c r="C4" s="637"/>
      <c r="D4" s="631"/>
      <c r="E4" s="630"/>
      <c r="F4" s="630"/>
      <c r="G4" s="630"/>
      <c r="H4" s="633"/>
      <c r="I4" s="633"/>
      <c r="J4" s="636"/>
      <c r="K4" s="633"/>
      <c r="L4" s="633"/>
      <c r="M4" s="633"/>
      <c r="N4" s="633"/>
      <c r="O4" s="630"/>
      <c r="P4" s="630"/>
    </row>
    <row r="5" spans="1:16" ht="15.5">
      <c r="C5" s="21" t="s">
        <v>44</v>
      </c>
      <c r="D5" s="631"/>
      <c r="E5" s="630"/>
      <c r="F5" s="630"/>
      <c r="G5" s="418"/>
      <c r="H5" s="630" t="s">
        <v>45</v>
      </c>
      <c r="I5" s="630"/>
      <c r="J5" s="630"/>
      <c r="K5" s="23" t="s">
        <v>279</v>
      </c>
      <c r="L5" s="24"/>
      <c r="M5" s="638"/>
      <c r="N5" s="422">
        <f>VLOOKUP(I10,C17:I72,5)</f>
        <v>2647.5540591081362</v>
      </c>
      <c r="P5" s="630"/>
    </row>
    <row r="6" spans="1:16" ht="15.5">
      <c r="C6" s="8"/>
      <c r="D6" s="631"/>
      <c r="E6" s="630"/>
      <c r="F6" s="630"/>
      <c r="G6" s="630"/>
      <c r="H6" s="423"/>
      <c r="I6" s="423"/>
      <c r="J6" s="424"/>
      <c r="K6" s="29" t="s">
        <v>280</v>
      </c>
      <c r="L6" s="426"/>
      <c r="M6" s="630"/>
      <c r="N6" s="427">
        <f>VLOOKUP(I10,C17:I72,6)</f>
        <v>2647.5540591081362</v>
      </c>
      <c r="O6" s="630"/>
      <c r="P6" s="630"/>
    </row>
    <row r="7" spans="1:16" ht="13.5" thickBot="1">
      <c r="C7" s="639" t="s">
        <v>46</v>
      </c>
      <c r="D7" s="613" t="s">
        <v>343</v>
      </c>
      <c r="E7" s="630"/>
      <c r="F7" s="630"/>
      <c r="G7" s="630"/>
      <c r="H7" s="633"/>
      <c r="I7" s="633"/>
      <c r="J7" s="636"/>
      <c r="K7" s="430" t="s">
        <v>47</v>
      </c>
      <c r="L7" s="640"/>
      <c r="M7" s="640"/>
      <c r="N7" s="641">
        <f>+N6-N5</f>
        <v>0</v>
      </c>
      <c r="O7" s="630"/>
      <c r="P7" s="630"/>
    </row>
    <row r="8" spans="1:16" ht="13.5" thickBot="1">
      <c r="C8" s="642"/>
      <c r="D8" s="99"/>
      <c r="E8" s="643"/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30"/>
    </row>
    <row r="9" spans="1:16" ht="13.5" thickBot="1">
      <c r="C9" s="644" t="s">
        <v>48</v>
      </c>
      <c r="D9" s="106" t="s">
        <v>344</v>
      </c>
      <c r="E9" s="645" t="s">
        <v>345</v>
      </c>
      <c r="F9" s="646"/>
      <c r="G9" s="646"/>
      <c r="H9" s="646"/>
      <c r="I9" s="647"/>
      <c r="J9" s="648"/>
      <c r="P9" s="630"/>
    </row>
    <row r="10" spans="1:16" ht="13">
      <c r="C10" s="649" t="s">
        <v>226</v>
      </c>
      <c r="D10" s="444">
        <v>37862.589999999997</v>
      </c>
      <c r="E10" s="630" t="s">
        <v>51</v>
      </c>
      <c r="G10" s="631"/>
      <c r="H10" s="631"/>
      <c r="I10" s="650">
        <v>2024</v>
      </c>
      <c r="J10" s="648"/>
      <c r="K10" s="636" t="s">
        <v>52</v>
      </c>
      <c r="O10" s="630"/>
      <c r="P10" s="630"/>
    </row>
    <row r="11" spans="1:16">
      <c r="C11" s="651" t="s">
        <v>53</v>
      </c>
      <c r="D11" s="47">
        <v>2022</v>
      </c>
      <c r="E11" s="651" t="s">
        <v>54</v>
      </c>
      <c r="F11" s="631"/>
      <c r="I11" s="652">
        <v>0</v>
      </c>
      <c r="J11" s="65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630"/>
      <c r="P11" s="630"/>
    </row>
    <row r="12" spans="1:16">
      <c r="C12" s="651" t="s">
        <v>55</v>
      </c>
      <c r="D12" s="444">
        <v>6</v>
      </c>
      <c r="E12" s="651" t="s">
        <v>56</v>
      </c>
      <c r="F12" s="631"/>
      <c r="I12" s="654">
        <v>0.10781124580725182</v>
      </c>
      <c r="J12" s="632"/>
      <c r="K12" t="s">
        <v>57</v>
      </c>
      <c r="O12" s="630"/>
      <c r="P12" s="630"/>
    </row>
    <row r="13" spans="1:16">
      <c r="C13" s="651" t="s">
        <v>58</v>
      </c>
      <c r="D13" s="652">
        <v>42</v>
      </c>
      <c r="E13" s="651" t="s">
        <v>59</v>
      </c>
      <c r="F13" s="631"/>
      <c r="I13" s="654">
        <v>0.10781124580725182</v>
      </c>
      <c r="J13" s="632"/>
      <c r="K13" s="636" t="s">
        <v>60</v>
      </c>
      <c r="L13" s="632"/>
      <c r="M13" s="632"/>
      <c r="N13" s="632"/>
      <c r="O13" s="630"/>
      <c r="P13" s="630"/>
    </row>
    <row r="14" spans="1:16" ht="13" thickBot="1">
      <c r="C14" s="651" t="s">
        <v>61</v>
      </c>
      <c r="D14" s="47" t="s">
        <v>62</v>
      </c>
      <c r="E14" s="630" t="s">
        <v>63</v>
      </c>
      <c r="F14" s="631"/>
      <c r="I14" s="655">
        <f>IF(D10=0,0,D10/D13)</f>
        <v>901.49023809523806</v>
      </c>
      <c r="J14" s="636"/>
      <c r="K14" s="636"/>
      <c r="L14" s="636"/>
      <c r="M14" s="636"/>
      <c r="N14" s="636"/>
      <c r="O14" s="630"/>
      <c r="P14" s="630"/>
    </row>
    <row r="15" spans="1:16" ht="39">
      <c r="C15" s="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53" t="s">
        <v>67</v>
      </c>
      <c r="J15" s="55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630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462" t="s">
        <v>73</v>
      </c>
      <c r="H16" s="463" t="s">
        <v>74</v>
      </c>
      <c r="I16" s="57" t="s">
        <v>104</v>
      </c>
      <c r="J16" s="5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630"/>
    </row>
    <row r="17" spans="2:16" ht="13" thickBot="1">
      <c r="B17" s="9"/>
      <c r="C17" s="656">
        <f>IF(D11= "","-",D11)</f>
        <v>2022</v>
      </c>
      <c r="D17" s="617">
        <v>0</v>
      </c>
      <c r="E17" s="618">
        <v>20314.791666666668</v>
      </c>
      <c r="F17" s="619">
        <v>1442350.2083333333</v>
      </c>
      <c r="G17" s="618">
        <v>98065.578092049604</v>
      </c>
      <c r="H17" s="620">
        <v>98065.578092049604</v>
      </c>
      <c r="I17" s="660">
        <f>H17-G17</f>
        <v>0</v>
      </c>
      <c r="J17" s="660"/>
      <c r="K17" s="661">
        <f>+G17</f>
        <v>98065.578092049604</v>
      </c>
      <c r="L17" s="662">
        <f t="shared" ref="L17:L72" si="0">IF(K17&lt;&gt;0,+G17-K17,0)</f>
        <v>0</v>
      </c>
      <c r="M17" s="661">
        <f>+H17</f>
        <v>98065.578092049604</v>
      </c>
      <c r="N17" s="662">
        <f t="shared" ref="N17:N72" si="1">IF(M17&lt;&gt;0,+H17-M17,0)</f>
        <v>0</v>
      </c>
      <c r="O17" s="663">
        <f t="shared" ref="O17:O72" si="2">+N17-L17</f>
        <v>0</v>
      </c>
      <c r="P17" s="630"/>
    </row>
    <row r="18" spans="2:16" ht="13" thickBot="1">
      <c r="B18" s="9" t="str">
        <f>IF(D18=F17,"","IU")</f>
        <v>IU</v>
      </c>
      <c r="C18" s="656">
        <f>IF(D11="","-",+C17+1)</f>
        <v>2023</v>
      </c>
      <c r="D18" s="617">
        <v>17547.798333333329</v>
      </c>
      <c r="E18" s="618">
        <v>901.49023809523806</v>
      </c>
      <c r="F18" s="619">
        <v>16646.308095238091</v>
      </c>
      <c r="G18" s="618">
        <v>2744.7448447602601</v>
      </c>
      <c r="H18" s="620">
        <v>2744.7448447602601</v>
      </c>
      <c r="I18" s="660">
        <f>H18-G18</f>
        <v>0</v>
      </c>
      <c r="J18" s="660"/>
      <c r="K18" s="661">
        <f t="shared" ref="K18:K19" si="3">+G18</f>
        <v>2744.7448447602601</v>
      </c>
      <c r="L18" s="662">
        <f t="shared" ref="L18:L19" si="4">IF(K18&lt;&gt;0,+G18-K18,0)</f>
        <v>0</v>
      </c>
      <c r="M18" s="661">
        <f t="shared" ref="M18:M19" si="5">+H18</f>
        <v>2744.7448447602601</v>
      </c>
      <c r="N18" s="662">
        <f t="shared" ref="N18:N19" si="6">IF(M18&lt;&gt;0,+H18-M18,0)</f>
        <v>0</v>
      </c>
      <c r="O18" s="663">
        <f t="shared" ref="O18:O19" si="7">+N18-L18</f>
        <v>0</v>
      </c>
      <c r="P18" s="630"/>
    </row>
    <row r="19" spans="2:16">
      <c r="B19" s="9" t="str">
        <f>IF(D19=F18,"","IU")</f>
        <v/>
      </c>
      <c r="C19" s="656">
        <f>IF(D11="","-",+C18+1)</f>
        <v>2024</v>
      </c>
      <c r="D19" s="617">
        <v>16646.308095238091</v>
      </c>
      <c r="E19" s="618">
        <v>901.49023809523806</v>
      </c>
      <c r="F19" s="619">
        <v>15744.817857142854</v>
      </c>
      <c r="G19" s="618">
        <v>2647.5540591081362</v>
      </c>
      <c r="H19" s="620">
        <v>2647.5540591081362</v>
      </c>
      <c r="I19" s="660">
        <f t="shared" ref="I19:I71" si="8">H19-G19</f>
        <v>0</v>
      </c>
      <c r="J19" s="660"/>
      <c r="K19" s="661">
        <f t="shared" si="3"/>
        <v>2647.5540591081362</v>
      </c>
      <c r="L19" s="662">
        <f t="shared" si="4"/>
        <v>0</v>
      </c>
      <c r="M19" s="661">
        <f t="shared" si="5"/>
        <v>2647.5540591081362</v>
      </c>
      <c r="N19" s="662">
        <f t="shared" si="6"/>
        <v>0</v>
      </c>
      <c r="O19" s="663">
        <f t="shared" si="7"/>
        <v>0</v>
      </c>
      <c r="P19" s="630"/>
    </row>
    <row r="20" spans="2:16">
      <c r="B20" s="9" t="str">
        <f t="shared" ref="B20:B72" si="9">IF(D20=F19,"","IU")</f>
        <v/>
      </c>
      <c r="C20" s="656">
        <f>IF(D11="","-",+C19+1)</f>
        <v>2025</v>
      </c>
      <c r="D20" s="658">
        <f>IF(F19+SUM(E$17:E19)=D$10,F19,D$10-SUM(E$17:E19))</f>
        <v>15744.817857142854</v>
      </c>
      <c r="E20" s="69">
        <f t="shared" ref="E20:E71" si="10">IF(+I$14&lt;F19,I$14,D20)</f>
        <v>901.49023809523806</v>
      </c>
      <c r="F20" s="658">
        <f t="shared" ref="F20:F71" si="11">+D20-E20</f>
        <v>14843.327619047617</v>
      </c>
      <c r="G20" s="664">
        <f t="shared" ref="G20:G71" si="12">(D20+F20)/2*I$12+E20</f>
        <v>2550.3632734560124</v>
      </c>
      <c r="H20" s="659">
        <f t="shared" ref="H20:H71" si="13">+(D20+F20)/2*I$13+E20</f>
        <v>2550.3632734560124</v>
      </c>
      <c r="I20" s="660">
        <f t="shared" si="8"/>
        <v>0</v>
      </c>
      <c r="J20" s="660"/>
      <c r="K20" s="132"/>
      <c r="L20" s="663">
        <f t="shared" si="0"/>
        <v>0</v>
      </c>
      <c r="M20" s="132"/>
      <c r="N20" s="663">
        <f t="shared" si="1"/>
        <v>0</v>
      </c>
      <c r="O20" s="663">
        <f t="shared" si="2"/>
        <v>0</v>
      </c>
      <c r="P20" s="630"/>
    </row>
    <row r="21" spans="2:16">
      <c r="B21" s="9" t="str">
        <f t="shared" si="9"/>
        <v/>
      </c>
      <c r="C21" s="656">
        <f>IF(D11="","-",+C20+1)</f>
        <v>2026</v>
      </c>
      <c r="D21" s="658">
        <f>IF(F20+SUM(E$17:E20)=D$10,F20,D$10-SUM(E$17:E20))</f>
        <v>14843.327619047617</v>
      </c>
      <c r="E21" s="69">
        <f t="shared" si="10"/>
        <v>901.49023809523806</v>
      </c>
      <c r="F21" s="658">
        <f t="shared" si="11"/>
        <v>13941.83738095238</v>
      </c>
      <c r="G21" s="664">
        <f t="shared" si="12"/>
        <v>2453.1724878038885</v>
      </c>
      <c r="H21" s="659">
        <f t="shared" si="13"/>
        <v>2453.1724878038885</v>
      </c>
      <c r="I21" s="660">
        <f t="shared" si="8"/>
        <v>0</v>
      </c>
      <c r="J21" s="660"/>
      <c r="K21" s="132"/>
      <c r="L21" s="663">
        <f t="shared" si="0"/>
        <v>0</v>
      </c>
      <c r="M21" s="132"/>
      <c r="N21" s="663">
        <f t="shared" si="1"/>
        <v>0</v>
      </c>
      <c r="O21" s="663">
        <f t="shared" si="2"/>
        <v>0</v>
      </c>
      <c r="P21" s="630"/>
    </row>
    <row r="22" spans="2:16">
      <c r="B22" s="9" t="str">
        <f t="shared" si="9"/>
        <v/>
      </c>
      <c r="C22" s="656">
        <f>IF(D11="","-",+C21+1)</f>
        <v>2027</v>
      </c>
      <c r="D22" s="658">
        <f>IF(F21+SUM(E$17:E21)=D$10,F21,D$10-SUM(E$17:E21))</f>
        <v>13941.83738095238</v>
      </c>
      <c r="E22" s="69">
        <f t="shared" si="10"/>
        <v>901.49023809523806</v>
      </c>
      <c r="F22" s="658">
        <f t="shared" si="11"/>
        <v>13040.347142857143</v>
      </c>
      <c r="G22" s="664">
        <f t="shared" si="12"/>
        <v>2355.9817021517651</v>
      </c>
      <c r="H22" s="659">
        <f t="shared" si="13"/>
        <v>2355.9817021517651</v>
      </c>
      <c r="I22" s="660">
        <f t="shared" si="8"/>
        <v>0</v>
      </c>
      <c r="J22" s="660"/>
      <c r="K22" s="132"/>
      <c r="L22" s="663">
        <f t="shared" si="0"/>
        <v>0</v>
      </c>
      <c r="M22" s="132"/>
      <c r="N22" s="663">
        <f t="shared" si="1"/>
        <v>0</v>
      </c>
      <c r="O22" s="663">
        <f t="shared" si="2"/>
        <v>0</v>
      </c>
      <c r="P22" s="630"/>
    </row>
    <row r="23" spans="2:16">
      <c r="B23" s="9" t="str">
        <f t="shared" si="9"/>
        <v/>
      </c>
      <c r="C23" s="656">
        <f>IF(D11="","-",+C22+1)</f>
        <v>2028</v>
      </c>
      <c r="D23" s="658">
        <f>IF(F22+SUM(E$17:E22)=D$10,F22,D$10-SUM(E$17:E22))</f>
        <v>13040.347142857143</v>
      </c>
      <c r="E23" s="69">
        <f t="shared" si="10"/>
        <v>901.49023809523806</v>
      </c>
      <c r="F23" s="658">
        <f t="shared" si="11"/>
        <v>12138.856904761906</v>
      </c>
      <c r="G23" s="664">
        <f t="shared" si="12"/>
        <v>2258.7909164996418</v>
      </c>
      <c r="H23" s="659">
        <f t="shared" si="13"/>
        <v>2258.7909164996418</v>
      </c>
      <c r="I23" s="660">
        <f t="shared" si="8"/>
        <v>0</v>
      </c>
      <c r="J23" s="660"/>
      <c r="K23" s="132"/>
      <c r="L23" s="663">
        <f t="shared" si="0"/>
        <v>0</v>
      </c>
      <c r="M23" s="132"/>
      <c r="N23" s="663">
        <f t="shared" si="1"/>
        <v>0</v>
      </c>
      <c r="O23" s="663">
        <f t="shared" si="2"/>
        <v>0</v>
      </c>
      <c r="P23" s="630"/>
    </row>
    <row r="24" spans="2:16">
      <c r="B24" s="9" t="str">
        <f t="shared" si="9"/>
        <v/>
      </c>
      <c r="C24" s="656">
        <f>IF(D11="","-",+C23+1)</f>
        <v>2029</v>
      </c>
      <c r="D24" s="658">
        <f>IF(F23+SUM(E$17:E23)=D$10,F23,D$10-SUM(E$17:E23))</f>
        <v>12138.856904761906</v>
      </c>
      <c r="E24" s="69">
        <f t="shared" si="10"/>
        <v>901.49023809523806</v>
      </c>
      <c r="F24" s="658">
        <f t="shared" si="11"/>
        <v>11237.366666666669</v>
      </c>
      <c r="G24" s="664">
        <f t="shared" si="12"/>
        <v>2161.6001308475179</v>
      </c>
      <c r="H24" s="659">
        <f t="shared" si="13"/>
        <v>2161.6001308475179</v>
      </c>
      <c r="I24" s="660">
        <f t="shared" si="8"/>
        <v>0</v>
      </c>
      <c r="J24" s="660"/>
      <c r="K24" s="132"/>
      <c r="L24" s="663">
        <f t="shared" si="0"/>
        <v>0</v>
      </c>
      <c r="M24" s="132"/>
      <c r="N24" s="663">
        <f t="shared" si="1"/>
        <v>0</v>
      </c>
      <c r="O24" s="663">
        <f t="shared" si="2"/>
        <v>0</v>
      </c>
      <c r="P24" s="630"/>
    </row>
    <row r="25" spans="2:16">
      <c r="B25" s="9" t="str">
        <f t="shared" si="9"/>
        <v/>
      </c>
      <c r="C25" s="656">
        <f>IF(D11="","-",+C24+1)</f>
        <v>2030</v>
      </c>
      <c r="D25" s="658">
        <f>IF(F24+SUM(E$17:E24)=D$10,F24,D$10-SUM(E$17:E24))</f>
        <v>11237.366666666669</v>
      </c>
      <c r="E25" s="69">
        <f t="shared" si="10"/>
        <v>901.49023809523806</v>
      </c>
      <c r="F25" s="658">
        <f t="shared" si="11"/>
        <v>10335.876428571431</v>
      </c>
      <c r="G25" s="664">
        <f t="shared" si="12"/>
        <v>2064.4093451953945</v>
      </c>
      <c r="H25" s="659">
        <f t="shared" si="13"/>
        <v>2064.4093451953945</v>
      </c>
      <c r="I25" s="660">
        <f t="shared" si="8"/>
        <v>0</v>
      </c>
      <c r="J25" s="660"/>
      <c r="K25" s="132"/>
      <c r="L25" s="663">
        <f t="shared" si="0"/>
        <v>0</v>
      </c>
      <c r="M25" s="132"/>
      <c r="N25" s="663">
        <f t="shared" si="1"/>
        <v>0</v>
      </c>
      <c r="O25" s="663">
        <f t="shared" si="2"/>
        <v>0</v>
      </c>
      <c r="P25" s="630"/>
    </row>
    <row r="26" spans="2:16">
      <c r="B26" s="9" t="str">
        <f t="shared" si="9"/>
        <v/>
      </c>
      <c r="C26" s="656">
        <f>IF(D11="","-",+C25+1)</f>
        <v>2031</v>
      </c>
      <c r="D26" s="658">
        <f>IF(F25+SUM(E$17:E25)=D$10,F25,D$10-SUM(E$17:E25))</f>
        <v>10335.876428571431</v>
      </c>
      <c r="E26" s="69">
        <f t="shared" si="10"/>
        <v>901.49023809523806</v>
      </c>
      <c r="F26" s="658">
        <f t="shared" si="11"/>
        <v>9434.3861904761943</v>
      </c>
      <c r="G26" s="664">
        <f t="shared" si="12"/>
        <v>1967.2185595432709</v>
      </c>
      <c r="H26" s="659">
        <f t="shared" si="13"/>
        <v>1967.2185595432709</v>
      </c>
      <c r="I26" s="660">
        <f t="shared" si="8"/>
        <v>0</v>
      </c>
      <c r="J26" s="660"/>
      <c r="K26" s="132"/>
      <c r="L26" s="663">
        <f t="shared" si="0"/>
        <v>0</v>
      </c>
      <c r="M26" s="132"/>
      <c r="N26" s="663">
        <f t="shared" si="1"/>
        <v>0</v>
      </c>
      <c r="O26" s="663">
        <f t="shared" si="2"/>
        <v>0</v>
      </c>
      <c r="P26" s="630"/>
    </row>
    <row r="27" spans="2:16">
      <c r="B27" s="9" t="str">
        <f t="shared" si="9"/>
        <v/>
      </c>
      <c r="C27" s="656">
        <f>IF(D11="","-",+C26+1)</f>
        <v>2032</v>
      </c>
      <c r="D27" s="658">
        <f>IF(F26+SUM(E$17:E26)=D$10,F26,D$10-SUM(E$17:E26))</f>
        <v>9434.3861904761943</v>
      </c>
      <c r="E27" s="69">
        <f t="shared" si="10"/>
        <v>901.49023809523806</v>
      </c>
      <c r="F27" s="658">
        <f t="shared" si="11"/>
        <v>8532.8959523809572</v>
      </c>
      <c r="G27" s="664">
        <f t="shared" si="12"/>
        <v>1870.0277738911473</v>
      </c>
      <c r="H27" s="659">
        <f t="shared" si="13"/>
        <v>1870.0277738911473</v>
      </c>
      <c r="I27" s="660">
        <f t="shared" si="8"/>
        <v>0</v>
      </c>
      <c r="J27" s="660"/>
      <c r="K27" s="132"/>
      <c r="L27" s="663">
        <f t="shared" si="0"/>
        <v>0</v>
      </c>
      <c r="M27" s="132"/>
      <c r="N27" s="663">
        <f t="shared" si="1"/>
        <v>0</v>
      </c>
      <c r="O27" s="663">
        <f t="shared" si="2"/>
        <v>0</v>
      </c>
      <c r="P27" s="630"/>
    </row>
    <row r="28" spans="2:16">
      <c r="B28" s="9" t="str">
        <f t="shared" si="9"/>
        <v/>
      </c>
      <c r="C28" s="656">
        <f>IF(D11="","-",+C27+1)</f>
        <v>2033</v>
      </c>
      <c r="D28" s="658">
        <f>IF(F27+SUM(E$17:E27)=D$10,F27,D$10-SUM(E$17:E27))</f>
        <v>8532.8959523809572</v>
      </c>
      <c r="E28" s="69">
        <f t="shared" si="10"/>
        <v>901.49023809523806</v>
      </c>
      <c r="F28" s="658">
        <f t="shared" si="11"/>
        <v>7631.4057142857191</v>
      </c>
      <c r="G28" s="664">
        <f t="shared" si="12"/>
        <v>1772.8369882390239</v>
      </c>
      <c r="H28" s="659">
        <f t="shared" si="13"/>
        <v>1772.8369882390239</v>
      </c>
      <c r="I28" s="660">
        <f t="shared" si="8"/>
        <v>0</v>
      </c>
      <c r="J28" s="660"/>
      <c r="K28" s="132"/>
      <c r="L28" s="663">
        <f t="shared" si="0"/>
        <v>0</v>
      </c>
      <c r="M28" s="132"/>
      <c r="N28" s="663">
        <f t="shared" si="1"/>
        <v>0</v>
      </c>
      <c r="O28" s="663">
        <f t="shared" si="2"/>
        <v>0</v>
      </c>
      <c r="P28" s="630"/>
    </row>
    <row r="29" spans="2:16">
      <c r="B29" s="9" t="str">
        <f t="shared" si="9"/>
        <v/>
      </c>
      <c r="C29" s="656">
        <f>IF(D11="","-",+C28+1)</f>
        <v>2034</v>
      </c>
      <c r="D29" s="658">
        <f>IF(F28+SUM(E$17:E28)=D$10,F28,D$10-SUM(E$17:E28))</f>
        <v>7631.4057142857191</v>
      </c>
      <c r="E29" s="69">
        <f t="shared" si="10"/>
        <v>901.49023809523806</v>
      </c>
      <c r="F29" s="658">
        <f t="shared" si="11"/>
        <v>6729.9154761904811</v>
      </c>
      <c r="G29" s="664">
        <f t="shared" si="12"/>
        <v>1675.6462025869</v>
      </c>
      <c r="H29" s="659">
        <f t="shared" si="13"/>
        <v>1675.6462025869</v>
      </c>
      <c r="I29" s="660">
        <f t="shared" si="8"/>
        <v>0</v>
      </c>
      <c r="J29" s="660"/>
      <c r="K29" s="132"/>
      <c r="L29" s="663">
        <f t="shared" si="0"/>
        <v>0</v>
      </c>
      <c r="M29" s="132"/>
      <c r="N29" s="663">
        <f t="shared" si="1"/>
        <v>0</v>
      </c>
      <c r="O29" s="663">
        <f t="shared" si="2"/>
        <v>0</v>
      </c>
      <c r="P29" s="630"/>
    </row>
    <row r="30" spans="2:16">
      <c r="B30" s="9" t="str">
        <f t="shared" si="9"/>
        <v/>
      </c>
      <c r="C30" s="656">
        <f>IF(D11="","-",+C29+1)</f>
        <v>2035</v>
      </c>
      <c r="D30" s="658">
        <f>IF(F29+SUM(E$17:E29)=D$10,F29,D$10-SUM(E$17:E29))</f>
        <v>6729.9154761904811</v>
      </c>
      <c r="E30" s="69">
        <f t="shared" si="10"/>
        <v>901.49023809523806</v>
      </c>
      <c r="F30" s="658">
        <f t="shared" si="11"/>
        <v>5828.425238095243</v>
      </c>
      <c r="G30" s="664">
        <f t="shared" si="12"/>
        <v>1578.4554169347764</v>
      </c>
      <c r="H30" s="659">
        <f t="shared" si="13"/>
        <v>1578.4554169347764</v>
      </c>
      <c r="I30" s="660">
        <f t="shared" si="8"/>
        <v>0</v>
      </c>
      <c r="J30" s="660"/>
      <c r="K30" s="132"/>
      <c r="L30" s="663">
        <f t="shared" si="0"/>
        <v>0</v>
      </c>
      <c r="M30" s="132"/>
      <c r="N30" s="663">
        <f t="shared" si="1"/>
        <v>0</v>
      </c>
      <c r="O30" s="663">
        <f t="shared" si="2"/>
        <v>0</v>
      </c>
      <c r="P30" s="630"/>
    </row>
    <row r="31" spans="2:16">
      <c r="B31" s="9" t="str">
        <f t="shared" si="9"/>
        <v/>
      </c>
      <c r="C31" s="656">
        <f>IF(D11="","-",+C30+1)</f>
        <v>2036</v>
      </c>
      <c r="D31" s="658">
        <f>IF(F30+SUM(E$17:E30)=D$10,F30,D$10-SUM(E$17:E30))</f>
        <v>5828.425238095243</v>
      </c>
      <c r="E31" s="69">
        <f t="shared" si="10"/>
        <v>901.49023809523806</v>
      </c>
      <c r="F31" s="658">
        <f t="shared" si="11"/>
        <v>4926.9350000000049</v>
      </c>
      <c r="G31" s="664">
        <f t="shared" si="12"/>
        <v>1481.2646312826528</v>
      </c>
      <c r="H31" s="659">
        <f t="shared" si="13"/>
        <v>1481.2646312826528</v>
      </c>
      <c r="I31" s="660">
        <f t="shared" si="8"/>
        <v>0</v>
      </c>
      <c r="J31" s="660"/>
      <c r="K31" s="132"/>
      <c r="L31" s="663">
        <f t="shared" si="0"/>
        <v>0</v>
      </c>
      <c r="M31" s="132"/>
      <c r="N31" s="663">
        <f t="shared" si="1"/>
        <v>0</v>
      </c>
      <c r="O31" s="663">
        <f t="shared" si="2"/>
        <v>0</v>
      </c>
      <c r="P31" s="630"/>
    </row>
    <row r="32" spans="2:16">
      <c r="B32" s="9" t="str">
        <f t="shared" si="9"/>
        <v/>
      </c>
      <c r="C32" s="656">
        <f>IF(D11="","-",+C31+1)</f>
        <v>2037</v>
      </c>
      <c r="D32" s="658">
        <f>IF(F31+SUM(E$17:E31)=D$10,F31,D$10-SUM(E$17:E31))</f>
        <v>4926.9350000000049</v>
      </c>
      <c r="E32" s="69">
        <f t="shared" si="10"/>
        <v>901.49023809523806</v>
      </c>
      <c r="F32" s="658">
        <f t="shared" si="11"/>
        <v>4025.4447619047669</v>
      </c>
      <c r="G32" s="664">
        <f t="shared" si="12"/>
        <v>1384.0738456305289</v>
      </c>
      <c r="H32" s="659">
        <f t="shared" si="13"/>
        <v>1384.0738456305289</v>
      </c>
      <c r="I32" s="660">
        <f t="shared" si="8"/>
        <v>0</v>
      </c>
      <c r="J32" s="660"/>
      <c r="K32" s="132"/>
      <c r="L32" s="663">
        <f t="shared" si="0"/>
        <v>0</v>
      </c>
      <c r="M32" s="132"/>
      <c r="N32" s="663">
        <f t="shared" si="1"/>
        <v>0</v>
      </c>
      <c r="O32" s="663">
        <f t="shared" si="2"/>
        <v>0</v>
      </c>
      <c r="P32" s="630"/>
    </row>
    <row r="33" spans="2:16">
      <c r="B33" s="9" t="str">
        <f t="shared" si="9"/>
        <v/>
      </c>
      <c r="C33" s="656">
        <f>IF(D11="","-",+C32+1)</f>
        <v>2038</v>
      </c>
      <c r="D33" s="658">
        <f>IF(F32+SUM(E$17:E32)=D$10,F32,D$10-SUM(E$17:E32))</f>
        <v>4025.4447619047669</v>
      </c>
      <c r="E33" s="69">
        <f t="shared" si="10"/>
        <v>901.49023809523806</v>
      </c>
      <c r="F33" s="658">
        <f t="shared" si="11"/>
        <v>3123.9545238095288</v>
      </c>
      <c r="G33" s="664">
        <f t="shared" si="12"/>
        <v>1286.8830599784053</v>
      </c>
      <c r="H33" s="659">
        <f t="shared" si="13"/>
        <v>1286.8830599784053</v>
      </c>
      <c r="I33" s="660">
        <f t="shared" si="8"/>
        <v>0</v>
      </c>
      <c r="J33" s="660"/>
      <c r="K33" s="132"/>
      <c r="L33" s="663">
        <f t="shared" si="0"/>
        <v>0</v>
      </c>
      <c r="M33" s="132"/>
      <c r="N33" s="663">
        <f t="shared" si="1"/>
        <v>0</v>
      </c>
      <c r="O33" s="663">
        <f t="shared" si="2"/>
        <v>0</v>
      </c>
      <c r="P33" s="630"/>
    </row>
    <row r="34" spans="2:16">
      <c r="B34" s="9" t="str">
        <f t="shared" si="9"/>
        <v/>
      </c>
      <c r="C34" s="656">
        <f>IF(D11="","-",+C33+1)</f>
        <v>2039</v>
      </c>
      <c r="D34" s="658">
        <f>IF(F33+SUM(E$17:E33)=D$10,F33,D$10-SUM(E$17:E33))</f>
        <v>3123.9545238095288</v>
      </c>
      <c r="E34" s="69">
        <f t="shared" si="10"/>
        <v>901.49023809523806</v>
      </c>
      <c r="F34" s="658">
        <f t="shared" si="11"/>
        <v>2222.4642857142908</v>
      </c>
      <c r="G34" s="664">
        <f t="shared" si="12"/>
        <v>1189.6922743262817</v>
      </c>
      <c r="H34" s="659">
        <f t="shared" si="13"/>
        <v>1189.6922743262817</v>
      </c>
      <c r="I34" s="660">
        <f t="shared" si="8"/>
        <v>0</v>
      </c>
      <c r="J34" s="660"/>
      <c r="K34" s="132"/>
      <c r="L34" s="663">
        <f t="shared" si="0"/>
        <v>0</v>
      </c>
      <c r="M34" s="132"/>
      <c r="N34" s="663">
        <f t="shared" si="1"/>
        <v>0</v>
      </c>
      <c r="O34" s="663">
        <f t="shared" si="2"/>
        <v>0</v>
      </c>
      <c r="P34" s="630"/>
    </row>
    <row r="35" spans="2:16">
      <c r="B35" s="9" t="str">
        <f t="shared" si="9"/>
        <v/>
      </c>
      <c r="C35" s="656">
        <f>IF(D11="","-",+C34+1)</f>
        <v>2040</v>
      </c>
      <c r="D35" s="658">
        <f>IF(F34+SUM(E$17:E34)=D$10,F34,D$10-SUM(E$17:E34))</f>
        <v>2222.4642857142908</v>
      </c>
      <c r="E35" s="69">
        <f t="shared" si="10"/>
        <v>901.49023809523806</v>
      </c>
      <c r="F35" s="658">
        <f t="shared" si="11"/>
        <v>1320.9740476190527</v>
      </c>
      <c r="G35" s="664">
        <f t="shared" si="12"/>
        <v>1092.5014886741581</v>
      </c>
      <c r="H35" s="659">
        <f t="shared" si="13"/>
        <v>1092.5014886741581</v>
      </c>
      <c r="I35" s="660">
        <f t="shared" si="8"/>
        <v>0</v>
      </c>
      <c r="J35" s="660"/>
      <c r="K35" s="132"/>
      <c r="L35" s="663">
        <f t="shared" si="0"/>
        <v>0</v>
      </c>
      <c r="M35" s="132"/>
      <c r="N35" s="663">
        <f t="shared" si="1"/>
        <v>0</v>
      </c>
      <c r="O35" s="663">
        <f t="shared" si="2"/>
        <v>0</v>
      </c>
      <c r="P35" s="630"/>
    </row>
    <row r="36" spans="2:16">
      <c r="B36" s="9" t="str">
        <f t="shared" si="9"/>
        <v/>
      </c>
      <c r="C36" s="656">
        <f>IF(D11="","-",+C35+1)</f>
        <v>2041</v>
      </c>
      <c r="D36" s="658">
        <f>IF(F35+SUM(E$17:E35)=D$10,F35,D$10-SUM(E$17:E35))</f>
        <v>1320.9740476190527</v>
      </c>
      <c r="E36" s="69">
        <f t="shared" si="10"/>
        <v>901.49023809523806</v>
      </c>
      <c r="F36" s="658">
        <f t="shared" si="11"/>
        <v>419.48380952381467</v>
      </c>
      <c r="G36" s="664">
        <f t="shared" si="12"/>
        <v>995.31070302203432</v>
      </c>
      <c r="H36" s="659">
        <f t="shared" si="13"/>
        <v>995.31070302203432</v>
      </c>
      <c r="I36" s="660">
        <f t="shared" si="8"/>
        <v>0</v>
      </c>
      <c r="J36" s="660"/>
      <c r="K36" s="132"/>
      <c r="L36" s="663">
        <f t="shared" si="0"/>
        <v>0</v>
      </c>
      <c r="M36" s="132"/>
      <c r="N36" s="663">
        <f t="shared" si="1"/>
        <v>0</v>
      </c>
      <c r="O36" s="663">
        <f t="shared" si="2"/>
        <v>0</v>
      </c>
      <c r="P36" s="630"/>
    </row>
    <row r="37" spans="2:16">
      <c r="B37" s="9" t="str">
        <f t="shared" si="9"/>
        <v/>
      </c>
      <c r="C37" s="656">
        <f>IF(D11="","-",+C36+1)</f>
        <v>2042</v>
      </c>
      <c r="D37" s="658">
        <f>IF(F36+SUM(E$17:E36)=D$10,F36,D$10-SUM(E$17:E36))</f>
        <v>419.48380952381467</v>
      </c>
      <c r="E37" s="69">
        <f t="shared" si="10"/>
        <v>419.48380952381467</v>
      </c>
      <c r="F37" s="658">
        <f t="shared" si="11"/>
        <v>0</v>
      </c>
      <c r="G37" s="664">
        <f t="shared" si="12"/>
        <v>442.09634557418184</v>
      </c>
      <c r="H37" s="659">
        <f t="shared" si="13"/>
        <v>442.09634557418184</v>
      </c>
      <c r="I37" s="660">
        <f t="shared" si="8"/>
        <v>0</v>
      </c>
      <c r="J37" s="660"/>
      <c r="K37" s="132"/>
      <c r="L37" s="663">
        <f t="shared" si="0"/>
        <v>0</v>
      </c>
      <c r="M37" s="132"/>
      <c r="N37" s="663">
        <f t="shared" si="1"/>
        <v>0</v>
      </c>
      <c r="O37" s="663">
        <f t="shared" si="2"/>
        <v>0</v>
      </c>
      <c r="P37" s="630"/>
    </row>
    <row r="38" spans="2:16">
      <c r="B38" s="9" t="str">
        <f t="shared" si="9"/>
        <v/>
      </c>
      <c r="C38" s="656">
        <f>IF(D11="","-",+C37+1)</f>
        <v>2043</v>
      </c>
      <c r="D38" s="658">
        <f>IF(F37+SUM(E$17:E37)=D$10,F37,D$10-SUM(E$17:E37))</f>
        <v>0</v>
      </c>
      <c r="E38" s="69">
        <f t="shared" si="10"/>
        <v>0</v>
      </c>
      <c r="F38" s="658">
        <f t="shared" si="11"/>
        <v>0</v>
      </c>
      <c r="G38" s="664">
        <f t="shared" si="12"/>
        <v>0</v>
      </c>
      <c r="H38" s="659">
        <f t="shared" si="13"/>
        <v>0</v>
      </c>
      <c r="I38" s="660">
        <f t="shared" si="8"/>
        <v>0</v>
      </c>
      <c r="J38" s="660"/>
      <c r="K38" s="132"/>
      <c r="L38" s="663">
        <f t="shared" si="0"/>
        <v>0</v>
      </c>
      <c r="M38" s="132"/>
      <c r="N38" s="663">
        <f t="shared" si="1"/>
        <v>0</v>
      </c>
      <c r="O38" s="663">
        <f t="shared" si="2"/>
        <v>0</v>
      </c>
      <c r="P38" s="630"/>
    </row>
    <row r="39" spans="2:16">
      <c r="B39" s="9" t="str">
        <f t="shared" si="9"/>
        <v/>
      </c>
      <c r="C39" s="656">
        <f>IF(D11="","-",+C38+1)</f>
        <v>2044</v>
      </c>
      <c r="D39" s="658">
        <f>IF(F38+SUM(E$17:E38)=D$10,F38,D$10-SUM(E$17:E38))</f>
        <v>0</v>
      </c>
      <c r="E39" s="69">
        <f t="shared" si="10"/>
        <v>0</v>
      </c>
      <c r="F39" s="658">
        <f t="shared" si="11"/>
        <v>0</v>
      </c>
      <c r="G39" s="664">
        <f t="shared" si="12"/>
        <v>0</v>
      </c>
      <c r="H39" s="659">
        <f t="shared" si="13"/>
        <v>0</v>
      </c>
      <c r="I39" s="660">
        <f t="shared" si="8"/>
        <v>0</v>
      </c>
      <c r="J39" s="660"/>
      <c r="K39" s="132"/>
      <c r="L39" s="663">
        <f t="shared" si="0"/>
        <v>0</v>
      </c>
      <c r="M39" s="132"/>
      <c r="N39" s="663">
        <f t="shared" si="1"/>
        <v>0</v>
      </c>
      <c r="O39" s="663">
        <f t="shared" si="2"/>
        <v>0</v>
      </c>
      <c r="P39" s="630"/>
    </row>
    <row r="40" spans="2:16">
      <c r="B40" s="9" t="str">
        <f t="shared" si="9"/>
        <v/>
      </c>
      <c r="C40" s="656">
        <f>IF(D11="","-",+C39+1)</f>
        <v>2045</v>
      </c>
      <c r="D40" s="658">
        <f>IF(F39+SUM(E$17:E39)=D$10,F39,D$10-SUM(E$17:E39))</f>
        <v>0</v>
      </c>
      <c r="E40" s="69">
        <f t="shared" si="10"/>
        <v>0</v>
      </c>
      <c r="F40" s="658">
        <f t="shared" si="11"/>
        <v>0</v>
      </c>
      <c r="G40" s="664">
        <f t="shared" si="12"/>
        <v>0</v>
      </c>
      <c r="H40" s="659">
        <f t="shared" si="13"/>
        <v>0</v>
      </c>
      <c r="I40" s="660">
        <f t="shared" si="8"/>
        <v>0</v>
      </c>
      <c r="J40" s="660"/>
      <c r="K40" s="132"/>
      <c r="L40" s="663">
        <f t="shared" si="0"/>
        <v>0</v>
      </c>
      <c r="M40" s="132"/>
      <c r="N40" s="663">
        <f t="shared" si="1"/>
        <v>0</v>
      </c>
      <c r="O40" s="663">
        <f t="shared" si="2"/>
        <v>0</v>
      </c>
      <c r="P40" s="630"/>
    </row>
    <row r="41" spans="2:16">
      <c r="B41" s="9" t="str">
        <f t="shared" si="9"/>
        <v/>
      </c>
      <c r="C41" s="656">
        <f>IF(D11="","-",+C40+1)</f>
        <v>2046</v>
      </c>
      <c r="D41" s="658">
        <f>IF(F40+SUM(E$17:E40)=D$10,F40,D$10-SUM(E$17:E40))</f>
        <v>0</v>
      </c>
      <c r="E41" s="69">
        <f t="shared" si="10"/>
        <v>0</v>
      </c>
      <c r="F41" s="658">
        <f t="shared" si="11"/>
        <v>0</v>
      </c>
      <c r="G41" s="664">
        <f t="shared" si="12"/>
        <v>0</v>
      </c>
      <c r="H41" s="659">
        <f t="shared" si="13"/>
        <v>0</v>
      </c>
      <c r="I41" s="660">
        <f t="shared" si="8"/>
        <v>0</v>
      </c>
      <c r="J41" s="660"/>
      <c r="K41" s="132"/>
      <c r="L41" s="663">
        <f t="shared" si="0"/>
        <v>0</v>
      </c>
      <c r="M41" s="132"/>
      <c r="N41" s="663">
        <f t="shared" si="1"/>
        <v>0</v>
      </c>
      <c r="O41" s="663">
        <f t="shared" si="2"/>
        <v>0</v>
      </c>
      <c r="P41" s="630"/>
    </row>
    <row r="42" spans="2:16">
      <c r="B42" s="9" t="str">
        <f t="shared" si="9"/>
        <v/>
      </c>
      <c r="C42" s="656">
        <f>IF(D11="","-",+C41+1)</f>
        <v>2047</v>
      </c>
      <c r="D42" s="658">
        <f>IF(F41+SUM(E$17:E41)=D$10,F41,D$10-SUM(E$17:E41))</f>
        <v>0</v>
      </c>
      <c r="E42" s="69">
        <f t="shared" si="10"/>
        <v>0</v>
      </c>
      <c r="F42" s="658">
        <f t="shared" si="11"/>
        <v>0</v>
      </c>
      <c r="G42" s="664">
        <f t="shared" si="12"/>
        <v>0</v>
      </c>
      <c r="H42" s="659">
        <f t="shared" si="13"/>
        <v>0</v>
      </c>
      <c r="I42" s="660">
        <f t="shared" si="8"/>
        <v>0</v>
      </c>
      <c r="J42" s="660"/>
      <c r="K42" s="132"/>
      <c r="L42" s="663">
        <f t="shared" si="0"/>
        <v>0</v>
      </c>
      <c r="M42" s="132"/>
      <c r="N42" s="663">
        <f t="shared" si="1"/>
        <v>0</v>
      </c>
      <c r="O42" s="663">
        <f t="shared" si="2"/>
        <v>0</v>
      </c>
      <c r="P42" s="630"/>
    </row>
    <row r="43" spans="2:16">
      <c r="B43" s="9" t="str">
        <f t="shared" si="9"/>
        <v/>
      </c>
      <c r="C43" s="656">
        <f>IF(D11="","-",+C42+1)</f>
        <v>2048</v>
      </c>
      <c r="D43" s="658">
        <f>IF(F42+SUM(E$17:E42)=D$10,F42,D$10-SUM(E$17:E42))</f>
        <v>0</v>
      </c>
      <c r="E43" s="69">
        <f t="shared" si="10"/>
        <v>0</v>
      </c>
      <c r="F43" s="658">
        <f t="shared" si="11"/>
        <v>0</v>
      </c>
      <c r="G43" s="664">
        <f t="shared" si="12"/>
        <v>0</v>
      </c>
      <c r="H43" s="659">
        <f t="shared" si="13"/>
        <v>0</v>
      </c>
      <c r="I43" s="660">
        <f t="shared" si="8"/>
        <v>0</v>
      </c>
      <c r="J43" s="660"/>
      <c r="K43" s="132"/>
      <c r="L43" s="663">
        <f t="shared" si="0"/>
        <v>0</v>
      </c>
      <c r="M43" s="132"/>
      <c r="N43" s="663">
        <f t="shared" si="1"/>
        <v>0</v>
      </c>
      <c r="O43" s="663">
        <f t="shared" si="2"/>
        <v>0</v>
      </c>
      <c r="P43" s="630"/>
    </row>
    <row r="44" spans="2:16">
      <c r="B44" s="9" t="str">
        <f t="shared" si="9"/>
        <v/>
      </c>
      <c r="C44" s="656">
        <f>IF(D11="","-",+C43+1)</f>
        <v>2049</v>
      </c>
      <c r="D44" s="658">
        <f>IF(F43+SUM(E$17:E43)=D$10,F43,D$10-SUM(E$17:E43))</f>
        <v>0</v>
      </c>
      <c r="E44" s="69">
        <f t="shared" si="10"/>
        <v>0</v>
      </c>
      <c r="F44" s="658">
        <f t="shared" si="11"/>
        <v>0</v>
      </c>
      <c r="G44" s="664">
        <f t="shared" si="12"/>
        <v>0</v>
      </c>
      <c r="H44" s="659">
        <f t="shared" si="13"/>
        <v>0</v>
      </c>
      <c r="I44" s="660">
        <f t="shared" si="8"/>
        <v>0</v>
      </c>
      <c r="J44" s="660"/>
      <c r="K44" s="132"/>
      <c r="L44" s="663">
        <f t="shared" si="0"/>
        <v>0</v>
      </c>
      <c r="M44" s="132"/>
      <c r="N44" s="663">
        <f t="shared" si="1"/>
        <v>0</v>
      </c>
      <c r="O44" s="663">
        <f t="shared" si="2"/>
        <v>0</v>
      </c>
      <c r="P44" s="630"/>
    </row>
    <row r="45" spans="2:16">
      <c r="B45" s="9" t="str">
        <f t="shared" si="9"/>
        <v/>
      </c>
      <c r="C45" s="656">
        <f>IF(D11="","-",+C44+1)</f>
        <v>2050</v>
      </c>
      <c r="D45" s="658">
        <f>IF(F44+SUM(E$17:E44)=D$10,F44,D$10-SUM(E$17:E44))</f>
        <v>0</v>
      </c>
      <c r="E45" s="69">
        <f t="shared" si="10"/>
        <v>0</v>
      </c>
      <c r="F45" s="658">
        <f t="shared" si="11"/>
        <v>0</v>
      </c>
      <c r="G45" s="664">
        <f t="shared" si="12"/>
        <v>0</v>
      </c>
      <c r="H45" s="659">
        <f t="shared" si="13"/>
        <v>0</v>
      </c>
      <c r="I45" s="660">
        <f t="shared" si="8"/>
        <v>0</v>
      </c>
      <c r="J45" s="660"/>
      <c r="K45" s="132"/>
      <c r="L45" s="663">
        <f t="shared" si="0"/>
        <v>0</v>
      </c>
      <c r="M45" s="132"/>
      <c r="N45" s="663">
        <f t="shared" si="1"/>
        <v>0</v>
      </c>
      <c r="O45" s="663">
        <f t="shared" si="2"/>
        <v>0</v>
      </c>
      <c r="P45" s="630"/>
    </row>
    <row r="46" spans="2:16">
      <c r="B46" s="9" t="str">
        <f t="shared" si="9"/>
        <v/>
      </c>
      <c r="C46" s="656">
        <f>IF(D11="","-",+C45+1)</f>
        <v>2051</v>
      </c>
      <c r="D46" s="658">
        <f>IF(F45+SUM(E$17:E45)=D$10,F45,D$10-SUM(E$17:E45))</f>
        <v>0</v>
      </c>
      <c r="E46" s="69">
        <f t="shared" si="10"/>
        <v>0</v>
      </c>
      <c r="F46" s="658">
        <f t="shared" si="11"/>
        <v>0</v>
      </c>
      <c r="G46" s="664">
        <f t="shared" si="12"/>
        <v>0</v>
      </c>
      <c r="H46" s="659">
        <f t="shared" si="13"/>
        <v>0</v>
      </c>
      <c r="I46" s="660">
        <f t="shared" si="8"/>
        <v>0</v>
      </c>
      <c r="J46" s="660"/>
      <c r="K46" s="132"/>
      <c r="L46" s="663">
        <f t="shared" si="0"/>
        <v>0</v>
      </c>
      <c r="M46" s="132"/>
      <c r="N46" s="663">
        <f t="shared" si="1"/>
        <v>0</v>
      </c>
      <c r="O46" s="663">
        <f t="shared" si="2"/>
        <v>0</v>
      </c>
      <c r="P46" s="630"/>
    </row>
    <row r="47" spans="2:16">
      <c r="B47" s="9" t="str">
        <f t="shared" si="9"/>
        <v/>
      </c>
      <c r="C47" s="656">
        <f>IF(D11="","-",+C46+1)</f>
        <v>2052</v>
      </c>
      <c r="D47" s="658">
        <f>IF(F46+SUM(E$17:E46)=D$10,F46,D$10-SUM(E$17:E46))</f>
        <v>0</v>
      </c>
      <c r="E47" s="69">
        <f t="shared" si="10"/>
        <v>0</v>
      </c>
      <c r="F47" s="658">
        <f t="shared" si="11"/>
        <v>0</v>
      </c>
      <c r="G47" s="664">
        <f t="shared" si="12"/>
        <v>0</v>
      </c>
      <c r="H47" s="659">
        <f t="shared" si="13"/>
        <v>0</v>
      </c>
      <c r="I47" s="660">
        <f t="shared" si="8"/>
        <v>0</v>
      </c>
      <c r="J47" s="660"/>
      <c r="K47" s="132"/>
      <c r="L47" s="663">
        <f t="shared" si="0"/>
        <v>0</v>
      </c>
      <c r="M47" s="132"/>
      <c r="N47" s="663">
        <f t="shared" si="1"/>
        <v>0</v>
      </c>
      <c r="O47" s="663">
        <f t="shared" si="2"/>
        <v>0</v>
      </c>
      <c r="P47" s="630"/>
    </row>
    <row r="48" spans="2:16">
      <c r="B48" s="9" t="str">
        <f t="shared" si="9"/>
        <v/>
      </c>
      <c r="C48" s="656">
        <f>IF(D11="","-",+C47+1)</f>
        <v>2053</v>
      </c>
      <c r="D48" s="658">
        <f>IF(F47+SUM(E$17:E47)=D$10,F47,D$10-SUM(E$17:E47))</f>
        <v>0</v>
      </c>
      <c r="E48" s="69">
        <f t="shared" si="10"/>
        <v>0</v>
      </c>
      <c r="F48" s="658">
        <f t="shared" si="11"/>
        <v>0</v>
      </c>
      <c r="G48" s="664">
        <f t="shared" si="12"/>
        <v>0</v>
      </c>
      <c r="H48" s="659">
        <f t="shared" si="13"/>
        <v>0</v>
      </c>
      <c r="I48" s="660">
        <f t="shared" si="8"/>
        <v>0</v>
      </c>
      <c r="J48" s="660"/>
      <c r="K48" s="132"/>
      <c r="L48" s="663">
        <f t="shared" si="0"/>
        <v>0</v>
      </c>
      <c r="M48" s="132"/>
      <c r="N48" s="663">
        <f t="shared" si="1"/>
        <v>0</v>
      </c>
      <c r="O48" s="663">
        <f t="shared" si="2"/>
        <v>0</v>
      </c>
      <c r="P48" s="630"/>
    </row>
    <row r="49" spans="2:16">
      <c r="B49" s="9" t="str">
        <f t="shared" si="9"/>
        <v/>
      </c>
      <c r="C49" s="656">
        <f>IF(D11="","-",+C48+1)</f>
        <v>2054</v>
      </c>
      <c r="D49" s="658">
        <f>IF(F48+SUM(E$17:E48)=D$10,F48,D$10-SUM(E$17:E48))</f>
        <v>0</v>
      </c>
      <c r="E49" s="69">
        <f t="shared" si="10"/>
        <v>0</v>
      </c>
      <c r="F49" s="658">
        <f t="shared" si="11"/>
        <v>0</v>
      </c>
      <c r="G49" s="664">
        <f t="shared" si="12"/>
        <v>0</v>
      </c>
      <c r="H49" s="659">
        <f t="shared" si="13"/>
        <v>0</v>
      </c>
      <c r="I49" s="660">
        <f t="shared" si="8"/>
        <v>0</v>
      </c>
      <c r="J49" s="660"/>
      <c r="K49" s="132"/>
      <c r="L49" s="663">
        <f t="shared" si="0"/>
        <v>0</v>
      </c>
      <c r="M49" s="132"/>
      <c r="N49" s="663">
        <f t="shared" si="1"/>
        <v>0</v>
      </c>
      <c r="O49" s="663">
        <f t="shared" si="2"/>
        <v>0</v>
      </c>
      <c r="P49" s="630"/>
    </row>
    <row r="50" spans="2:16">
      <c r="B50" s="9" t="str">
        <f t="shared" si="9"/>
        <v/>
      </c>
      <c r="C50" s="656">
        <f>IF(D11="","-",+C49+1)</f>
        <v>2055</v>
      </c>
      <c r="D50" s="658">
        <f>IF(F49+SUM(E$17:E49)=D$10,F49,D$10-SUM(E$17:E49))</f>
        <v>0</v>
      </c>
      <c r="E50" s="69">
        <f t="shared" si="10"/>
        <v>0</v>
      </c>
      <c r="F50" s="658">
        <f t="shared" si="11"/>
        <v>0</v>
      </c>
      <c r="G50" s="664">
        <f t="shared" si="12"/>
        <v>0</v>
      </c>
      <c r="H50" s="659">
        <f t="shared" si="13"/>
        <v>0</v>
      </c>
      <c r="I50" s="660">
        <f t="shared" si="8"/>
        <v>0</v>
      </c>
      <c r="J50" s="660"/>
      <c r="K50" s="132"/>
      <c r="L50" s="663">
        <f t="shared" si="0"/>
        <v>0</v>
      </c>
      <c r="M50" s="132"/>
      <c r="N50" s="663">
        <f t="shared" si="1"/>
        <v>0</v>
      </c>
      <c r="O50" s="663">
        <f t="shared" si="2"/>
        <v>0</v>
      </c>
      <c r="P50" s="630"/>
    </row>
    <row r="51" spans="2:16">
      <c r="B51" s="9" t="str">
        <f t="shared" si="9"/>
        <v/>
      </c>
      <c r="C51" s="656">
        <f>IF(D11="","-",+C50+1)</f>
        <v>2056</v>
      </c>
      <c r="D51" s="658">
        <f>IF(F50+SUM(E$17:E50)=D$10,F50,D$10-SUM(E$17:E50))</f>
        <v>0</v>
      </c>
      <c r="E51" s="69">
        <f t="shared" si="10"/>
        <v>0</v>
      </c>
      <c r="F51" s="658">
        <f t="shared" si="11"/>
        <v>0</v>
      </c>
      <c r="G51" s="664">
        <f t="shared" si="12"/>
        <v>0</v>
      </c>
      <c r="H51" s="659">
        <f t="shared" si="13"/>
        <v>0</v>
      </c>
      <c r="I51" s="660">
        <f t="shared" si="8"/>
        <v>0</v>
      </c>
      <c r="J51" s="660"/>
      <c r="K51" s="132"/>
      <c r="L51" s="663">
        <f t="shared" si="0"/>
        <v>0</v>
      </c>
      <c r="M51" s="132"/>
      <c r="N51" s="663">
        <f t="shared" si="1"/>
        <v>0</v>
      </c>
      <c r="O51" s="663">
        <f t="shared" si="2"/>
        <v>0</v>
      </c>
      <c r="P51" s="630"/>
    </row>
    <row r="52" spans="2:16">
      <c r="B52" s="9" t="str">
        <f t="shared" si="9"/>
        <v/>
      </c>
      <c r="C52" s="656">
        <f>IF(D11="","-",+C51+1)</f>
        <v>2057</v>
      </c>
      <c r="D52" s="658">
        <f>IF(F51+SUM(E$17:E51)=D$10,F51,D$10-SUM(E$17:E51))</f>
        <v>0</v>
      </c>
      <c r="E52" s="69">
        <f t="shared" si="10"/>
        <v>0</v>
      </c>
      <c r="F52" s="658">
        <f t="shared" si="11"/>
        <v>0</v>
      </c>
      <c r="G52" s="664">
        <f t="shared" si="12"/>
        <v>0</v>
      </c>
      <c r="H52" s="659">
        <f t="shared" si="13"/>
        <v>0</v>
      </c>
      <c r="I52" s="660">
        <f t="shared" si="8"/>
        <v>0</v>
      </c>
      <c r="J52" s="660"/>
      <c r="K52" s="132"/>
      <c r="L52" s="663">
        <f t="shared" si="0"/>
        <v>0</v>
      </c>
      <c r="M52" s="132"/>
      <c r="N52" s="663">
        <f t="shared" si="1"/>
        <v>0</v>
      </c>
      <c r="O52" s="663">
        <f t="shared" si="2"/>
        <v>0</v>
      </c>
      <c r="P52" s="630"/>
    </row>
    <row r="53" spans="2:16">
      <c r="B53" s="9" t="str">
        <f t="shared" si="9"/>
        <v/>
      </c>
      <c r="C53" s="656">
        <f>IF(D11="","-",+C52+1)</f>
        <v>2058</v>
      </c>
      <c r="D53" s="658">
        <f>IF(F52+SUM(E$17:E52)=D$10,F52,D$10-SUM(E$17:E52))</f>
        <v>0</v>
      </c>
      <c r="E53" s="69">
        <f t="shared" si="10"/>
        <v>0</v>
      </c>
      <c r="F53" s="658">
        <f t="shared" si="11"/>
        <v>0</v>
      </c>
      <c r="G53" s="664">
        <f t="shared" si="12"/>
        <v>0</v>
      </c>
      <c r="H53" s="659">
        <f t="shared" si="13"/>
        <v>0</v>
      </c>
      <c r="I53" s="660">
        <f t="shared" si="8"/>
        <v>0</v>
      </c>
      <c r="J53" s="660"/>
      <c r="K53" s="132"/>
      <c r="L53" s="663">
        <f t="shared" si="0"/>
        <v>0</v>
      </c>
      <c r="M53" s="132"/>
      <c r="N53" s="663">
        <f t="shared" si="1"/>
        <v>0</v>
      </c>
      <c r="O53" s="663">
        <f t="shared" si="2"/>
        <v>0</v>
      </c>
      <c r="P53" s="630"/>
    </row>
    <row r="54" spans="2:16">
      <c r="B54" s="9" t="str">
        <f t="shared" si="9"/>
        <v/>
      </c>
      <c r="C54" s="656">
        <f>IF(D11="","-",+C53+1)</f>
        <v>2059</v>
      </c>
      <c r="D54" s="658">
        <f>IF(F53+SUM(E$17:E53)=D$10,F53,D$10-SUM(E$17:E53))</f>
        <v>0</v>
      </c>
      <c r="E54" s="69">
        <f t="shared" si="10"/>
        <v>0</v>
      </c>
      <c r="F54" s="658">
        <f t="shared" si="11"/>
        <v>0</v>
      </c>
      <c r="G54" s="664">
        <f t="shared" si="12"/>
        <v>0</v>
      </c>
      <c r="H54" s="659">
        <f t="shared" si="13"/>
        <v>0</v>
      </c>
      <c r="I54" s="660">
        <f t="shared" si="8"/>
        <v>0</v>
      </c>
      <c r="J54" s="660"/>
      <c r="K54" s="132"/>
      <c r="L54" s="663">
        <f t="shared" si="0"/>
        <v>0</v>
      </c>
      <c r="M54" s="132"/>
      <c r="N54" s="663">
        <f t="shared" si="1"/>
        <v>0</v>
      </c>
      <c r="O54" s="663">
        <f t="shared" si="2"/>
        <v>0</v>
      </c>
      <c r="P54" s="630"/>
    </row>
    <row r="55" spans="2:16">
      <c r="B55" s="9" t="str">
        <f t="shared" si="9"/>
        <v/>
      </c>
      <c r="C55" s="656">
        <f>IF(D11="","-",+C54+1)</f>
        <v>2060</v>
      </c>
      <c r="D55" s="658">
        <f>IF(F54+SUM(E$17:E54)=D$10,F54,D$10-SUM(E$17:E54))</f>
        <v>0</v>
      </c>
      <c r="E55" s="69">
        <f t="shared" si="10"/>
        <v>0</v>
      </c>
      <c r="F55" s="658">
        <f t="shared" si="11"/>
        <v>0</v>
      </c>
      <c r="G55" s="664">
        <f t="shared" si="12"/>
        <v>0</v>
      </c>
      <c r="H55" s="659">
        <f t="shared" si="13"/>
        <v>0</v>
      </c>
      <c r="I55" s="660">
        <f t="shared" si="8"/>
        <v>0</v>
      </c>
      <c r="J55" s="660"/>
      <c r="K55" s="132"/>
      <c r="L55" s="663">
        <f t="shared" si="0"/>
        <v>0</v>
      </c>
      <c r="M55" s="132"/>
      <c r="N55" s="663">
        <f t="shared" si="1"/>
        <v>0</v>
      </c>
      <c r="O55" s="663">
        <f t="shared" si="2"/>
        <v>0</v>
      </c>
      <c r="P55" s="630"/>
    </row>
    <row r="56" spans="2:16">
      <c r="B56" s="9" t="str">
        <f t="shared" si="9"/>
        <v/>
      </c>
      <c r="C56" s="656">
        <f>IF(D11="","-",+C55+1)</f>
        <v>2061</v>
      </c>
      <c r="D56" s="658">
        <f>IF(F55+SUM(E$17:E55)=D$10,F55,D$10-SUM(E$17:E55))</f>
        <v>0</v>
      </c>
      <c r="E56" s="69">
        <f t="shared" si="10"/>
        <v>0</v>
      </c>
      <c r="F56" s="658">
        <f t="shared" si="11"/>
        <v>0</v>
      </c>
      <c r="G56" s="664">
        <f t="shared" si="12"/>
        <v>0</v>
      </c>
      <c r="H56" s="659">
        <f t="shared" si="13"/>
        <v>0</v>
      </c>
      <c r="I56" s="660">
        <f t="shared" si="8"/>
        <v>0</v>
      </c>
      <c r="J56" s="660"/>
      <c r="K56" s="132"/>
      <c r="L56" s="663">
        <f t="shared" si="0"/>
        <v>0</v>
      </c>
      <c r="M56" s="132"/>
      <c r="N56" s="663">
        <f t="shared" si="1"/>
        <v>0</v>
      </c>
      <c r="O56" s="663">
        <f t="shared" si="2"/>
        <v>0</v>
      </c>
      <c r="P56" s="630"/>
    </row>
    <row r="57" spans="2:16">
      <c r="B57" s="9" t="str">
        <f t="shared" si="9"/>
        <v/>
      </c>
      <c r="C57" s="656">
        <f>IF(D11="","-",+C56+1)</f>
        <v>2062</v>
      </c>
      <c r="D57" s="658">
        <f>IF(F56+SUM(E$17:E56)=D$10,F56,D$10-SUM(E$17:E56))</f>
        <v>0</v>
      </c>
      <c r="E57" s="69">
        <f t="shared" si="10"/>
        <v>0</v>
      </c>
      <c r="F57" s="658">
        <f t="shared" si="11"/>
        <v>0</v>
      </c>
      <c r="G57" s="664">
        <f t="shared" si="12"/>
        <v>0</v>
      </c>
      <c r="H57" s="659">
        <f t="shared" si="13"/>
        <v>0</v>
      </c>
      <c r="I57" s="660">
        <f t="shared" si="8"/>
        <v>0</v>
      </c>
      <c r="J57" s="660"/>
      <c r="K57" s="132"/>
      <c r="L57" s="663">
        <f t="shared" si="0"/>
        <v>0</v>
      </c>
      <c r="M57" s="132"/>
      <c r="N57" s="663">
        <f t="shared" si="1"/>
        <v>0</v>
      </c>
      <c r="O57" s="663">
        <f t="shared" si="2"/>
        <v>0</v>
      </c>
      <c r="P57" s="630"/>
    </row>
    <row r="58" spans="2:16">
      <c r="B58" s="9" t="str">
        <f t="shared" si="9"/>
        <v/>
      </c>
      <c r="C58" s="656">
        <f>IF(D11="","-",+C57+1)</f>
        <v>2063</v>
      </c>
      <c r="D58" s="658">
        <f>IF(F57+SUM(E$17:E57)=D$10,F57,D$10-SUM(E$17:E57))</f>
        <v>0</v>
      </c>
      <c r="E58" s="69">
        <f t="shared" si="10"/>
        <v>0</v>
      </c>
      <c r="F58" s="658">
        <f t="shared" si="11"/>
        <v>0</v>
      </c>
      <c r="G58" s="664">
        <f t="shared" si="12"/>
        <v>0</v>
      </c>
      <c r="H58" s="659">
        <f t="shared" si="13"/>
        <v>0</v>
      </c>
      <c r="I58" s="660">
        <f t="shared" si="8"/>
        <v>0</v>
      </c>
      <c r="J58" s="660"/>
      <c r="K58" s="132"/>
      <c r="L58" s="663">
        <f t="shared" si="0"/>
        <v>0</v>
      </c>
      <c r="M58" s="132"/>
      <c r="N58" s="663">
        <f t="shared" si="1"/>
        <v>0</v>
      </c>
      <c r="O58" s="663">
        <f t="shared" si="2"/>
        <v>0</v>
      </c>
      <c r="P58" s="630"/>
    </row>
    <row r="59" spans="2:16">
      <c r="B59" s="9" t="str">
        <f t="shared" si="9"/>
        <v/>
      </c>
      <c r="C59" s="656">
        <f>IF(D11="","-",+C58+1)</f>
        <v>2064</v>
      </c>
      <c r="D59" s="658">
        <f>IF(F58+SUM(E$17:E58)=D$10,F58,D$10-SUM(E$17:E58))</f>
        <v>0</v>
      </c>
      <c r="E59" s="69">
        <f t="shared" si="10"/>
        <v>0</v>
      </c>
      <c r="F59" s="658">
        <f t="shared" si="11"/>
        <v>0</v>
      </c>
      <c r="G59" s="664">
        <f t="shared" si="12"/>
        <v>0</v>
      </c>
      <c r="H59" s="659">
        <f t="shared" si="13"/>
        <v>0</v>
      </c>
      <c r="I59" s="660">
        <f t="shared" si="8"/>
        <v>0</v>
      </c>
      <c r="J59" s="660"/>
      <c r="K59" s="132"/>
      <c r="L59" s="663">
        <f t="shared" si="0"/>
        <v>0</v>
      </c>
      <c r="M59" s="132"/>
      <c r="N59" s="663">
        <f t="shared" si="1"/>
        <v>0</v>
      </c>
      <c r="O59" s="663">
        <f t="shared" si="2"/>
        <v>0</v>
      </c>
      <c r="P59" s="630"/>
    </row>
    <row r="60" spans="2:16">
      <c r="B60" s="9" t="str">
        <f t="shared" si="9"/>
        <v/>
      </c>
      <c r="C60" s="656">
        <f>IF(D11="","-",+C59+1)</f>
        <v>2065</v>
      </c>
      <c r="D60" s="658">
        <f>IF(F59+SUM(E$17:E59)=D$10,F59,D$10-SUM(E$17:E59))</f>
        <v>0</v>
      </c>
      <c r="E60" s="69">
        <f t="shared" si="10"/>
        <v>0</v>
      </c>
      <c r="F60" s="658">
        <f t="shared" si="11"/>
        <v>0</v>
      </c>
      <c r="G60" s="664">
        <f t="shared" si="12"/>
        <v>0</v>
      </c>
      <c r="H60" s="659">
        <f t="shared" si="13"/>
        <v>0</v>
      </c>
      <c r="I60" s="660">
        <f t="shared" si="8"/>
        <v>0</v>
      </c>
      <c r="J60" s="660"/>
      <c r="K60" s="132"/>
      <c r="L60" s="663">
        <f t="shared" si="0"/>
        <v>0</v>
      </c>
      <c r="M60" s="132"/>
      <c r="N60" s="663">
        <f t="shared" si="1"/>
        <v>0</v>
      </c>
      <c r="O60" s="663">
        <f t="shared" si="2"/>
        <v>0</v>
      </c>
      <c r="P60" s="630"/>
    </row>
    <row r="61" spans="2:16">
      <c r="B61" s="9" t="str">
        <f t="shared" si="9"/>
        <v/>
      </c>
      <c r="C61" s="656">
        <f>IF(D11="","-",+C60+1)</f>
        <v>2066</v>
      </c>
      <c r="D61" s="658">
        <f>IF(F60+SUM(E$17:E60)=D$10,F60,D$10-SUM(E$17:E60))</f>
        <v>0</v>
      </c>
      <c r="E61" s="69">
        <f t="shared" si="10"/>
        <v>0</v>
      </c>
      <c r="F61" s="658">
        <f t="shared" si="11"/>
        <v>0</v>
      </c>
      <c r="G61" s="664">
        <f t="shared" si="12"/>
        <v>0</v>
      </c>
      <c r="H61" s="659">
        <f t="shared" si="13"/>
        <v>0</v>
      </c>
      <c r="I61" s="660">
        <f t="shared" si="8"/>
        <v>0</v>
      </c>
      <c r="J61" s="660"/>
      <c r="K61" s="132"/>
      <c r="L61" s="663">
        <f t="shared" si="0"/>
        <v>0</v>
      </c>
      <c r="M61" s="132"/>
      <c r="N61" s="663">
        <f t="shared" si="1"/>
        <v>0</v>
      </c>
      <c r="O61" s="663">
        <f t="shared" si="2"/>
        <v>0</v>
      </c>
      <c r="P61" s="630"/>
    </row>
    <row r="62" spans="2:16">
      <c r="B62" s="9" t="str">
        <f t="shared" si="9"/>
        <v/>
      </c>
      <c r="C62" s="656">
        <f>IF(D11="","-",+C61+1)</f>
        <v>2067</v>
      </c>
      <c r="D62" s="658">
        <f>IF(F61+SUM(E$17:E61)=D$10,F61,D$10-SUM(E$17:E61))</f>
        <v>0</v>
      </c>
      <c r="E62" s="69">
        <f t="shared" si="10"/>
        <v>0</v>
      </c>
      <c r="F62" s="658">
        <f t="shared" si="11"/>
        <v>0</v>
      </c>
      <c r="G62" s="664">
        <f t="shared" si="12"/>
        <v>0</v>
      </c>
      <c r="H62" s="659">
        <f t="shared" si="13"/>
        <v>0</v>
      </c>
      <c r="I62" s="660">
        <f t="shared" si="8"/>
        <v>0</v>
      </c>
      <c r="J62" s="660"/>
      <c r="K62" s="132"/>
      <c r="L62" s="663">
        <f t="shared" si="0"/>
        <v>0</v>
      </c>
      <c r="M62" s="132"/>
      <c r="N62" s="663">
        <f t="shared" si="1"/>
        <v>0</v>
      </c>
      <c r="O62" s="663">
        <f t="shared" si="2"/>
        <v>0</v>
      </c>
      <c r="P62" s="630"/>
    </row>
    <row r="63" spans="2:16">
      <c r="B63" s="9" t="str">
        <f t="shared" si="9"/>
        <v/>
      </c>
      <c r="C63" s="656">
        <f>IF(D11="","-",+C62+1)</f>
        <v>2068</v>
      </c>
      <c r="D63" s="658">
        <f>IF(F62+SUM(E$17:E62)=D$10,F62,D$10-SUM(E$17:E62))</f>
        <v>0</v>
      </c>
      <c r="E63" s="69">
        <f t="shared" si="10"/>
        <v>0</v>
      </c>
      <c r="F63" s="658">
        <f t="shared" si="11"/>
        <v>0</v>
      </c>
      <c r="G63" s="664">
        <f t="shared" si="12"/>
        <v>0</v>
      </c>
      <c r="H63" s="659">
        <f t="shared" si="13"/>
        <v>0</v>
      </c>
      <c r="I63" s="660">
        <f t="shared" si="8"/>
        <v>0</v>
      </c>
      <c r="J63" s="660"/>
      <c r="K63" s="132"/>
      <c r="L63" s="663">
        <f t="shared" si="0"/>
        <v>0</v>
      </c>
      <c r="M63" s="132"/>
      <c r="N63" s="663">
        <f t="shared" si="1"/>
        <v>0</v>
      </c>
      <c r="O63" s="663">
        <f t="shared" si="2"/>
        <v>0</v>
      </c>
      <c r="P63" s="630"/>
    </row>
    <row r="64" spans="2:16">
      <c r="B64" s="9" t="str">
        <f t="shared" si="9"/>
        <v/>
      </c>
      <c r="C64" s="656">
        <f>IF(D11="","-",+C63+1)</f>
        <v>2069</v>
      </c>
      <c r="D64" s="658">
        <f>IF(F63+SUM(E$17:E63)=D$10,F63,D$10-SUM(E$17:E63))</f>
        <v>0</v>
      </c>
      <c r="E64" s="69">
        <f t="shared" si="10"/>
        <v>0</v>
      </c>
      <c r="F64" s="658">
        <f t="shared" si="11"/>
        <v>0</v>
      </c>
      <c r="G64" s="664">
        <f t="shared" si="12"/>
        <v>0</v>
      </c>
      <c r="H64" s="659">
        <f t="shared" si="13"/>
        <v>0</v>
      </c>
      <c r="I64" s="660">
        <f t="shared" si="8"/>
        <v>0</v>
      </c>
      <c r="J64" s="660"/>
      <c r="K64" s="132"/>
      <c r="L64" s="663">
        <f t="shared" si="0"/>
        <v>0</v>
      </c>
      <c r="M64" s="132"/>
      <c r="N64" s="663">
        <f t="shared" si="1"/>
        <v>0</v>
      </c>
      <c r="O64" s="663">
        <f t="shared" si="2"/>
        <v>0</v>
      </c>
      <c r="P64" s="630"/>
    </row>
    <row r="65" spans="2:16">
      <c r="B65" s="9" t="str">
        <f t="shared" si="9"/>
        <v/>
      </c>
      <c r="C65" s="656">
        <f>IF(D11="","-",+C64+1)</f>
        <v>2070</v>
      </c>
      <c r="D65" s="658">
        <f>IF(F64+SUM(E$17:E64)=D$10,F64,D$10-SUM(E$17:E64))</f>
        <v>0</v>
      </c>
      <c r="E65" s="69">
        <f t="shared" si="10"/>
        <v>0</v>
      </c>
      <c r="F65" s="658">
        <f t="shared" si="11"/>
        <v>0</v>
      </c>
      <c r="G65" s="664">
        <f t="shared" si="12"/>
        <v>0</v>
      </c>
      <c r="H65" s="659">
        <f t="shared" si="13"/>
        <v>0</v>
      </c>
      <c r="I65" s="660">
        <f t="shared" si="8"/>
        <v>0</v>
      </c>
      <c r="J65" s="660"/>
      <c r="K65" s="132"/>
      <c r="L65" s="663">
        <f t="shared" si="0"/>
        <v>0</v>
      </c>
      <c r="M65" s="132"/>
      <c r="N65" s="663">
        <f t="shared" si="1"/>
        <v>0</v>
      </c>
      <c r="O65" s="663">
        <f t="shared" si="2"/>
        <v>0</v>
      </c>
      <c r="P65" s="630"/>
    </row>
    <row r="66" spans="2:16">
      <c r="B66" s="9" t="str">
        <f t="shared" si="9"/>
        <v/>
      </c>
      <c r="C66" s="656">
        <f>IF(D11="","-",+C65+1)</f>
        <v>2071</v>
      </c>
      <c r="D66" s="658">
        <f>IF(F65+SUM(E$17:E65)=D$10,F65,D$10-SUM(E$17:E65))</f>
        <v>0</v>
      </c>
      <c r="E66" s="69">
        <f t="shared" si="10"/>
        <v>0</v>
      </c>
      <c r="F66" s="658">
        <f t="shared" si="11"/>
        <v>0</v>
      </c>
      <c r="G66" s="664">
        <f t="shared" si="12"/>
        <v>0</v>
      </c>
      <c r="H66" s="659">
        <f t="shared" si="13"/>
        <v>0</v>
      </c>
      <c r="I66" s="660">
        <f t="shared" si="8"/>
        <v>0</v>
      </c>
      <c r="J66" s="660"/>
      <c r="K66" s="132"/>
      <c r="L66" s="663">
        <f t="shared" si="0"/>
        <v>0</v>
      </c>
      <c r="M66" s="132"/>
      <c r="N66" s="663">
        <f t="shared" si="1"/>
        <v>0</v>
      </c>
      <c r="O66" s="663">
        <f t="shared" si="2"/>
        <v>0</v>
      </c>
      <c r="P66" s="630"/>
    </row>
    <row r="67" spans="2:16">
      <c r="B67" s="9" t="str">
        <f t="shared" si="9"/>
        <v/>
      </c>
      <c r="C67" s="656">
        <f>IF(D11="","-",+C66+1)</f>
        <v>2072</v>
      </c>
      <c r="D67" s="658">
        <f>IF(F66+SUM(E$17:E66)=D$10,F66,D$10-SUM(E$17:E66))</f>
        <v>0</v>
      </c>
      <c r="E67" s="69">
        <f t="shared" si="10"/>
        <v>0</v>
      </c>
      <c r="F67" s="658">
        <f t="shared" si="11"/>
        <v>0</v>
      </c>
      <c r="G67" s="664">
        <f t="shared" si="12"/>
        <v>0</v>
      </c>
      <c r="H67" s="659">
        <f t="shared" si="13"/>
        <v>0</v>
      </c>
      <c r="I67" s="660">
        <f t="shared" si="8"/>
        <v>0</v>
      </c>
      <c r="J67" s="660"/>
      <c r="K67" s="132"/>
      <c r="L67" s="663">
        <f t="shared" si="0"/>
        <v>0</v>
      </c>
      <c r="M67" s="132"/>
      <c r="N67" s="663">
        <f t="shared" si="1"/>
        <v>0</v>
      </c>
      <c r="O67" s="663">
        <f t="shared" si="2"/>
        <v>0</v>
      </c>
      <c r="P67" s="630"/>
    </row>
    <row r="68" spans="2:16">
      <c r="B68" s="9" t="str">
        <f t="shared" si="9"/>
        <v/>
      </c>
      <c r="C68" s="656">
        <f>IF(D11="","-",+C67+1)</f>
        <v>2073</v>
      </c>
      <c r="D68" s="658">
        <f>IF(F67+SUM(E$17:E67)=D$10,F67,D$10-SUM(E$17:E67))</f>
        <v>0</v>
      </c>
      <c r="E68" s="69">
        <f t="shared" si="10"/>
        <v>0</v>
      </c>
      <c r="F68" s="658">
        <f t="shared" si="11"/>
        <v>0</v>
      </c>
      <c r="G68" s="664">
        <f t="shared" si="12"/>
        <v>0</v>
      </c>
      <c r="H68" s="659">
        <f t="shared" si="13"/>
        <v>0</v>
      </c>
      <c r="I68" s="660">
        <f t="shared" si="8"/>
        <v>0</v>
      </c>
      <c r="J68" s="660"/>
      <c r="K68" s="132"/>
      <c r="L68" s="663">
        <f t="shared" si="0"/>
        <v>0</v>
      </c>
      <c r="M68" s="132"/>
      <c r="N68" s="663">
        <f t="shared" si="1"/>
        <v>0</v>
      </c>
      <c r="O68" s="663">
        <f t="shared" si="2"/>
        <v>0</v>
      </c>
      <c r="P68" s="630"/>
    </row>
    <row r="69" spans="2:16">
      <c r="B69" s="9" t="str">
        <f t="shared" si="9"/>
        <v/>
      </c>
      <c r="C69" s="656">
        <f>IF(D11="","-",+C68+1)</f>
        <v>2074</v>
      </c>
      <c r="D69" s="658">
        <f>IF(F68+SUM(E$17:E68)=D$10,F68,D$10-SUM(E$17:E68))</f>
        <v>0</v>
      </c>
      <c r="E69" s="69">
        <f t="shared" si="10"/>
        <v>0</v>
      </c>
      <c r="F69" s="658">
        <f t="shared" si="11"/>
        <v>0</v>
      </c>
      <c r="G69" s="664">
        <f t="shared" si="12"/>
        <v>0</v>
      </c>
      <c r="H69" s="659">
        <f t="shared" si="13"/>
        <v>0</v>
      </c>
      <c r="I69" s="660">
        <f t="shared" si="8"/>
        <v>0</v>
      </c>
      <c r="J69" s="660"/>
      <c r="K69" s="132"/>
      <c r="L69" s="663">
        <f t="shared" si="0"/>
        <v>0</v>
      </c>
      <c r="M69" s="132"/>
      <c r="N69" s="663">
        <f t="shared" si="1"/>
        <v>0</v>
      </c>
      <c r="O69" s="663">
        <f t="shared" si="2"/>
        <v>0</v>
      </c>
      <c r="P69" s="630"/>
    </row>
    <row r="70" spans="2:16">
      <c r="B70" s="9" t="str">
        <f t="shared" si="9"/>
        <v/>
      </c>
      <c r="C70" s="656">
        <f>IF(D11="","-",+C69+1)</f>
        <v>2075</v>
      </c>
      <c r="D70" s="658">
        <f>IF(F69+SUM(E$17:E69)=D$10,F69,D$10-SUM(E$17:E69))</f>
        <v>0</v>
      </c>
      <c r="E70" s="69">
        <f t="shared" si="10"/>
        <v>0</v>
      </c>
      <c r="F70" s="658">
        <f t="shared" si="11"/>
        <v>0</v>
      </c>
      <c r="G70" s="664">
        <f t="shared" si="12"/>
        <v>0</v>
      </c>
      <c r="H70" s="659">
        <f t="shared" si="13"/>
        <v>0</v>
      </c>
      <c r="I70" s="660">
        <f t="shared" si="8"/>
        <v>0</v>
      </c>
      <c r="J70" s="660"/>
      <c r="K70" s="132"/>
      <c r="L70" s="663">
        <f t="shared" si="0"/>
        <v>0</v>
      </c>
      <c r="M70" s="132"/>
      <c r="N70" s="663">
        <f t="shared" si="1"/>
        <v>0</v>
      </c>
      <c r="O70" s="663">
        <f t="shared" si="2"/>
        <v>0</v>
      </c>
      <c r="P70" s="630"/>
    </row>
    <row r="71" spans="2:16">
      <c r="B71" s="9" t="str">
        <f t="shared" si="9"/>
        <v/>
      </c>
      <c r="C71" s="656">
        <f>IF(D11="","-",+C70+1)</f>
        <v>2076</v>
      </c>
      <c r="D71" s="658">
        <f>IF(F70+SUM(E$17:E70)=D$10,F70,D$10-SUM(E$17:E70))</f>
        <v>0</v>
      </c>
      <c r="E71" s="69">
        <f t="shared" si="10"/>
        <v>0</v>
      </c>
      <c r="F71" s="658">
        <f t="shared" si="11"/>
        <v>0</v>
      </c>
      <c r="G71" s="664">
        <f t="shared" si="12"/>
        <v>0</v>
      </c>
      <c r="H71" s="659">
        <f t="shared" si="13"/>
        <v>0</v>
      </c>
      <c r="I71" s="660">
        <f t="shared" si="8"/>
        <v>0</v>
      </c>
      <c r="J71" s="660"/>
      <c r="K71" s="132"/>
      <c r="L71" s="663">
        <f t="shared" si="0"/>
        <v>0</v>
      </c>
      <c r="M71" s="132"/>
      <c r="N71" s="663">
        <f t="shared" si="1"/>
        <v>0</v>
      </c>
      <c r="O71" s="663">
        <f t="shared" si="2"/>
        <v>0</v>
      </c>
      <c r="P71" s="630"/>
    </row>
    <row r="72" spans="2:16" ht="13" thickBot="1">
      <c r="B72" s="9" t="str">
        <f t="shared" si="9"/>
        <v/>
      </c>
      <c r="C72" s="665">
        <f>IF(D11="","-",+C71+1)</f>
        <v>2077</v>
      </c>
      <c r="D72" s="666">
        <f>IF(F71+SUM(E$17:E71)=D$10,F71,D$10-SUM(E$17:E71))</f>
        <v>0</v>
      </c>
      <c r="E72" s="488">
        <f>IF(+I$14&lt;F71,I$14,D72)</f>
        <v>0</v>
      </c>
      <c r="F72" s="666">
        <f>+D72-E72</f>
        <v>0</v>
      </c>
      <c r="G72" s="667">
        <f>(D72+F72)/2*I$12+E72</f>
        <v>0</v>
      </c>
      <c r="H72" s="641">
        <f>+(D72+F72)/2*I$13+E72</f>
        <v>0</v>
      </c>
      <c r="I72" s="668">
        <f>H72-G72</f>
        <v>0</v>
      </c>
      <c r="J72" s="660"/>
      <c r="K72" s="133"/>
      <c r="L72" s="669">
        <f t="shared" si="0"/>
        <v>0</v>
      </c>
      <c r="M72" s="133"/>
      <c r="N72" s="669">
        <f t="shared" si="1"/>
        <v>0</v>
      </c>
      <c r="O72" s="669">
        <f t="shared" si="2"/>
        <v>0</v>
      </c>
      <c r="P72" s="630"/>
    </row>
    <row r="73" spans="2:16">
      <c r="C73" s="657" t="s">
        <v>77</v>
      </c>
      <c r="D73" s="636"/>
      <c r="E73" s="636">
        <f>SUM(E17:E72)</f>
        <v>37862.590000000011</v>
      </c>
      <c r="F73" s="636"/>
      <c r="G73" s="636">
        <f>SUM(G17:G72)</f>
        <v>134038.20214155561</v>
      </c>
      <c r="H73" s="636">
        <f>SUM(H17:H72)</f>
        <v>134038.20214155561</v>
      </c>
      <c r="I73" s="636">
        <f>SUM(I17:I72)</f>
        <v>0</v>
      </c>
      <c r="J73" s="636"/>
      <c r="K73" s="636"/>
      <c r="L73" s="636"/>
      <c r="M73" s="636"/>
      <c r="N73" s="636"/>
      <c r="O73" s="630"/>
      <c r="P73" s="630"/>
    </row>
    <row r="74" spans="2:16">
      <c r="D74" s="631"/>
      <c r="E74" s="630"/>
      <c r="F74" s="630"/>
      <c r="G74" s="630"/>
      <c r="H74" s="633"/>
      <c r="I74" s="633"/>
      <c r="J74" s="636"/>
      <c r="K74" s="633"/>
      <c r="L74" s="633"/>
      <c r="M74" s="633"/>
      <c r="N74" s="633"/>
      <c r="O74" s="630"/>
      <c r="P74" s="630"/>
    </row>
    <row r="75" spans="2:16" ht="13">
      <c r="C75" s="642" t="s">
        <v>106</v>
      </c>
      <c r="D75" s="631"/>
      <c r="E75" s="630"/>
      <c r="F75" s="630"/>
      <c r="G75" s="630"/>
      <c r="H75" s="633"/>
      <c r="I75" s="633"/>
      <c r="J75" s="636"/>
      <c r="K75" s="633"/>
      <c r="L75" s="633"/>
      <c r="M75" s="633"/>
      <c r="N75" s="633"/>
      <c r="O75" s="630"/>
      <c r="P75" s="630"/>
    </row>
    <row r="76" spans="2:16" ht="13">
      <c r="C76" s="639" t="s">
        <v>78</v>
      </c>
      <c r="D76" s="631"/>
      <c r="E76" s="630"/>
      <c r="F76" s="630"/>
      <c r="G76" s="630"/>
      <c r="H76" s="633"/>
      <c r="I76" s="633"/>
      <c r="J76" s="636"/>
      <c r="K76" s="633"/>
      <c r="L76" s="633"/>
      <c r="M76" s="633"/>
      <c r="N76" s="633"/>
      <c r="O76" s="630"/>
      <c r="P76" s="630"/>
    </row>
    <row r="77" spans="2:16" ht="13">
      <c r="C77" s="639" t="s">
        <v>79</v>
      </c>
      <c r="D77" s="657"/>
      <c r="E77" s="657"/>
      <c r="F77" s="657"/>
      <c r="G77" s="636"/>
      <c r="H77" s="636"/>
      <c r="I77" s="670"/>
      <c r="J77" s="670"/>
      <c r="K77" s="670"/>
      <c r="L77" s="670"/>
      <c r="M77" s="670"/>
      <c r="N77" s="670"/>
      <c r="O77" s="630"/>
      <c r="P77" s="630"/>
    </row>
    <row r="78" spans="2:16" ht="13">
      <c r="C78" s="639"/>
      <c r="D78" s="657"/>
      <c r="E78" s="657"/>
      <c r="F78" s="657"/>
      <c r="G78" s="636"/>
      <c r="H78" s="636"/>
      <c r="I78" s="670"/>
      <c r="J78" s="670"/>
      <c r="K78" s="670"/>
      <c r="L78" s="670"/>
      <c r="M78" s="670"/>
      <c r="N78" s="670"/>
      <c r="O78" s="630"/>
      <c r="P78" s="630"/>
    </row>
    <row r="79" spans="2:16">
      <c r="B79" s="630"/>
      <c r="C79" s="630"/>
      <c r="D79" s="631"/>
      <c r="E79" s="630"/>
      <c r="F79" s="657"/>
      <c r="G79" s="630"/>
      <c r="H79" s="633"/>
      <c r="I79" s="630"/>
      <c r="J79" s="630"/>
      <c r="K79" s="630"/>
      <c r="L79" s="630"/>
      <c r="M79" s="630"/>
      <c r="N79" s="630"/>
      <c r="O79" s="630"/>
      <c r="P79" s="630"/>
    </row>
    <row r="80" spans="2:16" ht="17.5">
      <c r="B80" s="630"/>
      <c r="C80" s="671"/>
      <c r="D80" s="631"/>
      <c r="E80" s="630"/>
      <c r="F80" s="657"/>
      <c r="G80" s="630"/>
      <c r="H80" s="633"/>
      <c r="I80" s="630"/>
      <c r="J80" s="630"/>
      <c r="K80" s="630"/>
      <c r="L80" s="630"/>
      <c r="M80" s="630"/>
      <c r="N80" s="630"/>
      <c r="P80" s="111" t="s">
        <v>144</v>
      </c>
    </row>
    <row r="81" spans="1:16">
      <c r="B81" s="630"/>
      <c r="C81" s="630"/>
      <c r="D81" s="631"/>
      <c r="E81" s="630"/>
      <c r="F81" s="657"/>
      <c r="G81" s="630"/>
      <c r="H81" s="633"/>
      <c r="I81" s="630"/>
      <c r="J81" s="630"/>
      <c r="K81" s="630"/>
      <c r="L81" s="630"/>
      <c r="M81" s="630"/>
      <c r="N81" s="630"/>
      <c r="O81" s="630"/>
      <c r="P81" s="630"/>
    </row>
    <row r="82" spans="1:16">
      <c r="B82" s="630"/>
      <c r="C82" s="630"/>
      <c r="D82" s="631"/>
      <c r="E82" s="630"/>
      <c r="F82" s="657"/>
      <c r="G82" s="630"/>
      <c r="H82" s="633"/>
      <c r="I82" s="630"/>
      <c r="J82" s="630"/>
      <c r="K82" s="630"/>
      <c r="L82" s="630"/>
      <c r="M82" s="630"/>
      <c r="N82" s="630"/>
      <c r="O82" s="630"/>
      <c r="P82" s="630"/>
    </row>
    <row r="83" spans="1:16" ht="20">
      <c r="A83" s="110" t="s">
        <v>146</v>
      </c>
      <c r="B83" s="630"/>
      <c r="C83" s="630"/>
      <c r="D83" s="631"/>
      <c r="E83" s="630"/>
      <c r="F83" s="632"/>
      <c r="G83" s="632"/>
      <c r="H83" s="630"/>
      <c r="I83" s="633"/>
      <c r="L83" s="19"/>
      <c r="M83" s="19"/>
      <c r="P83" s="19" t="str">
        <f ca="1">P1</f>
        <v>PSO Project 29 of 35</v>
      </c>
    </row>
    <row r="84" spans="1:16" ht="17.5">
      <c r="B84" s="630"/>
      <c r="C84" s="630"/>
      <c r="D84" s="631"/>
      <c r="E84" s="630"/>
      <c r="F84" s="630"/>
      <c r="G84" s="630"/>
      <c r="H84" s="630"/>
      <c r="I84" s="633"/>
      <c r="J84" s="630"/>
      <c r="K84" s="630"/>
      <c r="L84" s="630"/>
      <c r="M84" s="630"/>
      <c r="P84" s="117" t="s">
        <v>151</v>
      </c>
    </row>
    <row r="85" spans="1:16" ht="17.5" thickBot="1">
      <c r="B85" s="634" t="s">
        <v>42</v>
      </c>
      <c r="C85" s="672" t="s">
        <v>91</v>
      </c>
      <c r="D85" s="631"/>
      <c r="E85" s="630"/>
      <c r="F85" s="630"/>
      <c r="G85" s="630"/>
      <c r="H85" s="630"/>
      <c r="I85" s="633"/>
      <c r="J85" s="633"/>
      <c r="K85" s="636"/>
      <c r="L85" s="633"/>
      <c r="M85" s="633"/>
      <c r="N85" s="633"/>
      <c r="O85" s="636"/>
      <c r="P85" s="630"/>
    </row>
    <row r="86" spans="1:16" ht="16" thickBot="1">
      <c r="C86" s="637"/>
      <c r="D86" s="631"/>
      <c r="E86" s="630"/>
      <c r="F86" s="630"/>
      <c r="G86" s="630"/>
      <c r="H86" s="630"/>
      <c r="I86" s="633"/>
      <c r="J86" s="633"/>
      <c r="K86" s="636"/>
      <c r="L86" s="673">
        <f>+J92</f>
        <v>2024</v>
      </c>
      <c r="M86" s="674" t="s">
        <v>8</v>
      </c>
      <c r="N86" s="675" t="s">
        <v>153</v>
      </c>
      <c r="O86" s="676" t="s">
        <v>10</v>
      </c>
      <c r="P86" s="630"/>
    </row>
    <row r="87" spans="1:16" ht="15.5">
      <c r="C87" s="107" t="s">
        <v>44</v>
      </c>
      <c r="D87" s="631"/>
      <c r="E87" s="630"/>
      <c r="F87" s="630"/>
      <c r="G87" s="630"/>
      <c r="H87" s="418"/>
      <c r="I87" s="630" t="s">
        <v>45</v>
      </c>
      <c r="J87" s="630"/>
      <c r="K87" s="122"/>
      <c r="L87" s="677" t="s">
        <v>154</v>
      </c>
      <c r="M87" s="505">
        <f>IF(J92&lt;D11,0,VLOOKUP(J92,C17:O72,9))</f>
        <v>2647.5540591081362</v>
      </c>
      <c r="N87" s="505">
        <f>IF(J92&lt;D11,0,VLOOKUP(J92,C17:O72,11))</f>
        <v>2647.5540591081362</v>
      </c>
      <c r="O87" s="678">
        <f>+N87-M87</f>
        <v>0</v>
      </c>
      <c r="P87" s="630"/>
    </row>
    <row r="88" spans="1:16" ht="15.5">
      <c r="C88" s="8"/>
      <c r="D88" s="631"/>
      <c r="E88" s="630"/>
      <c r="F88" s="630"/>
      <c r="G88" s="630"/>
      <c r="H88" s="630"/>
      <c r="I88" s="423"/>
      <c r="J88" s="423"/>
      <c r="K88" s="507"/>
      <c r="L88" s="679" t="s">
        <v>155</v>
      </c>
      <c r="M88" s="509">
        <f>IF(J92&lt;D11,0,VLOOKUP(J92,C99:P154,6))</f>
        <v>4837.306098680694</v>
      </c>
      <c r="N88" s="509">
        <f>IF(J92&lt;D11,0,VLOOKUP(J92,C99:P154,7))</f>
        <v>4837.306098680694</v>
      </c>
      <c r="O88" s="680">
        <f>+N88-M88</f>
        <v>0</v>
      </c>
      <c r="P88" s="630"/>
    </row>
    <row r="89" spans="1:16" ht="13.5" thickBot="1">
      <c r="C89" s="639" t="s">
        <v>92</v>
      </c>
      <c r="D89" s="113" t="s">
        <v>343</v>
      </c>
      <c r="E89" s="630"/>
      <c r="F89" s="630"/>
      <c r="G89" s="630"/>
      <c r="H89" s="630"/>
      <c r="I89" s="633"/>
      <c r="J89" s="633"/>
      <c r="K89" s="512"/>
      <c r="L89" s="681" t="s">
        <v>156</v>
      </c>
      <c r="M89" s="514">
        <f>+M88-M87</f>
        <v>2189.7520395725578</v>
      </c>
      <c r="N89" s="514">
        <f>+N88-N87</f>
        <v>2189.7520395725578</v>
      </c>
      <c r="O89" s="515">
        <f>+O88-O87</f>
        <v>0</v>
      </c>
      <c r="P89" s="630"/>
    </row>
    <row r="90" spans="1:16" ht="13.5" thickBot="1">
      <c r="C90" s="642"/>
      <c r="D90" s="79">
        <f>D8</f>
        <v>0</v>
      </c>
      <c r="E90" s="657"/>
      <c r="F90" s="657"/>
      <c r="G90" s="657"/>
      <c r="H90" s="643"/>
      <c r="I90" s="633"/>
      <c r="J90" s="633"/>
      <c r="K90" s="636"/>
      <c r="L90" s="633"/>
      <c r="M90" s="633"/>
      <c r="N90" s="633"/>
      <c r="O90" s="636"/>
      <c r="P90" s="630"/>
    </row>
    <row r="91" spans="1:16" ht="13.5" thickBot="1">
      <c r="C91" s="682" t="s">
        <v>93</v>
      </c>
      <c r="D91" s="683" t="str">
        <f>D9</f>
        <v>TP20033002</v>
      </c>
      <c r="E91" s="684" t="str">
        <f>E9</f>
        <v xml:space="preserve">  SPP Project ID = 81520</v>
      </c>
      <c r="F91" s="684"/>
      <c r="G91" s="684"/>
      <c r="H91" s="684"/>
      <c r="I91" s="684"/>
      <c r="J91" s="684"/>
    </row>
    <row r="92" spans="1:16" ht="13">
      <c r="C92" s="649" t="s">
        <v>226</v>
      </c>
      <c r="D92" s="685">
        <f>D10</f>
        <v>37862.589999999997</v>
      </c>
      <c r="E92" s="630" t="s">
        <v>94</v>
      </c>
      <c r="H92" s="631"/>
      <c r="I92" s="631"/>
      <c r="J92" s="446">
        <f>+'PSO.WS.G.BPU.ATRR.True-up'!M16</f>
        <v>2024</v>
      </c>
      <c r="K92" s="648"/>
      <c r="L92" s="636" t="s">
        <v>95</v>
      </c>
      <c r="P92" s="630"/>
    </row>
    <row r="93" spans="1:16">
      <c r="C93" s="651" t="s">
        <v>53</v>
      </c>
      <c r="D93" s="686">
        <f>+D11</f>
        <v>2022</v>
      </c>
      <c r="E93" s="651" t="s">
        <v>54</v>
      </c>
      <c r="F93" s="631"/>
      <c r="G93" s="631"/>
      <c r="J93" s="652">
        <v>0</v>
      </c>
      <c r="K93" s="653"/>
      <c r="L93" t="str">
        <f>"          INPUT TRUE-UP ARR (WITH &amp; WITHOUT INCENTIVES) FROM EACH PRIOR YEAR"</f>
        <v xml:space="preserve">          INPUT TRUE-UP ARR (WITH &amp; WITHOUT INCENTIVES) FROM EACH PRIOR YEAR</v>
      </c>
      <c r="P93" s="630"/>
    </row>
    <row r="94" spans="1:16">
      <c r="C94" s="651" t="s">
        <v>55</v>
      </c>
      <c r="D94" s="686">
        <f>+D12</f>
        <v>6</v>
      </c>
      <c r="E94" s="651" t="s">
        <v>56</v>
      </c>
      <c r="F94" s="631"/>
      <c r="G94" s="631"/>
      <c r="J94" s="654">
        <v>0.10781124580725182</v>
      </c>
      <c r="K94" s="632"/>
      <c r="L94" t="s">
        <v>96</v>
      </c>
      <c r="P94" s="630"/>
    </row>
    <row r="95" spans="1:16">
      <c r="C95" s="651" t="s">
        <v>58</v>
      </c>
      <c r="D95" s="652">
        <v>42</v>
      </c>
      <c r="E95" s="651" t="s">
        <v>59</v>
      </c>
      <c r="F95" s="631"/>
      <c r="G95" s="631"/>
      <c r="J95" s="654">
        <v>0.10781124580725182</v>
      </c>
      <c r="K95" s="632"/>
      <c r="L95" s="636" t="s">
        <v>60</v>
      </c>
      <c r="M95" s="632"/>
      <c r="N95" s="632"/>
      <c r="O95" s="632"/>
      <c r="P95" s="630"/>
    </row>
    <row r="96" spans="1:16" ht="13" thickBot="1">
      <c r="C96" s="651" t="s">
        <v>61</v>
      </c>
      <c r="D96" s="687" t="str">
        <f>+D14</f>
        <v>No</v>
      </c>
      <c r="E96" s="688" t="s">
        <v>63</v>
      </c>
      <c r="F96" s="689"/>
      <c r="G96" s="689"/>
      <c r="H96" s="92"/>
      <c r="I96" s="92"/>
      <c r="J96" s="641">
        <f>IF(D92=0,0,ROUND(D92/D95,0))</f>
        <v>901</v>
      </c>
      <c r="K96" s="636"/>
      <c r="L96" s="636"/>
      <c r="M96" s="636"/>
      <c r="N96" s="636"/>
      <c r="O96" s="636"/>
      <c r="P96" s="630"/>
    </row>
    <row r="97" spans="1:16" ht="39">
      <c r="A97" s="6"/>
      <c r="B97" s="6"/>
      <c r="C97" s="93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93" t="s">
        <v>98</v>
      </c>
      <c r="K97" s="95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533" t="s">
        <v>73</v>
      </c>
      <c r="I98" s="463" t="s">
        <v>74</v>
      </c>
      <c r="J98" s="57" t="s">
        <v>104</v>
      </c>
      <c r="K98" s="5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3" thickBot="1">
      <c r="C99" s="656">
        <f>IF(D93= "","-",D93)</f>
        <v>2022</v>
      </c>
      <c r="D99" s="132">
        <v>0</v>
      </c>
      <c r="E99" s="132">
        <v>0</v>
      </c>
      <c r="F99" s="132">
        <v>31450.100000000006</v>
      </c>
      <c r="G99" s="132">
        <v>15725.050000000003</v>
      </c>
      <c r="H99" s="132">
        <v>1695.3372308813255</v>
      </c>
      <c r="I99" s="132">
        <v>1695.3372308813255</v>
      </c>
      <c r="J99" s="663">
        <f>+I99-H99</f>
        <v>0</v>
      </c>
      <c r="K99" s="663"/>
      <c r="L99" s="662">
        <f>+H99</f>
        <v>1695.3372308813255</v>
      </c>
      <c r="M99" s="662">
        <f t="shared" ref="M99:M130" si="14">IF(L99&lt;&gt;0,+H99-L99,0)</f>
        <v>0</v>
      </c>
      <c r="N99" s="662">
        <f>+I99</f>
        <v>1695.3372308813255</v>
      </c>
      <c r="O99" s="662">
        <f t="shared" ref="O99:O130" si="15">IF(N99&lt;&gt;0,+I99-N99,0)</f>
        <v>0</v>
      </c>
      <c r="P99" s="662">
        <f t="shared" ref="P99:P130" si="16">+O99-M99</f>
        <v>0</v>
      </c>
    </row>
    <row r="100" spans="1:16">
      <c r="B100" s="9" t="str">
        <f>IF(D100=F99,"","IU")</f>
        <v>IU</v>
      </c>
      <c r="C100" s="656">
        <f>IF(D93="","-",+C99+1)</f>
        <v>2023</v>
      </c>
      <c r="D100" s="132">
        <v>37862.589999999997</v>
      </c>
      <c r="E100" s="132">
        <v>901</v>
      </c>
      <c r="F100" s="132">
        <v>36961.589999999997</v>
      </c>
      <c r="G100" s="132">
        <v>37412.089999999997</v>
      </c>
      <c r="H100" s="132">
        <v>4934.444031153027</v>
      </c>
      <c r="I100" s="132">
        <v>4934.444031153027</v>
      </c>
      <c r="J100" s="663">
        <f t="shared" ref="J100:J130" si="17">+I100-H100</f>
        <v>0</v>
      </c>
      <c r="K100" s="663"/>
      <c r="L100" s="662">
        <f>+H100</f>
        <v>4934.444031153027</v>
      </c>
      <c r="M100" s="662">
        <f t="shared" ref="M100" si="18">IF(L100&lt;&gt;0,+H100-L100,0)</f>
        <v>0</v>
      </c>
      <c r="N100" s="662">
        <f>+I100</f>
        <v>4934.444031153027</v>
      </c>
      <c r="O100" s="662">
        <f t="shared" ref="O100" si="19">IF(N100&lt;&gt;0,+I100-N100,0)</f>
        <v>0</v>
      </c>
      <c r="P100" s="662">
        <f t="shared" ref="P100" si="20">+O100-M100</f>
        <v>0</v>
      </c>
    </row>
    <row r="101" spans="1:16">
      <c r="B101" s="9" t="str">
        <f t="shared" ref="B101:B154" si="21">IF(D101=F100,"","IU")</f>
        <v/>
      </c>
      <c r="C101" s="656">
        <f>IF(D93="","-",+C100+1)</f>
        <v>2024</v>
      </c>
      <c r="D101" s="657">
        <f>IF(F100+SUM(E$99:E100)=D$92,F100,D$92-SUM(E$99:E100))</f>
        <v>36961.589999999997</v>
      </c>
      <c r="E101" s="481">
        <f t="shared" ref="E101:E154" si="22">IF(+J$96&lt;F100,J$96,D101)</f>
        <v>901</v>
      </c>
      <c r="F101" s="658">
        <f t="shared" ref="F101:F154" si="23">+D101-E101</f>
        <v>36060.589999999997</v>
      </c>
      <c r="G101" s="658">
        <f t="shared" ref="G101:G154" si="24">+(F101+D101)/2</f>
        <v>36511.089999999997</v>
      </c>
      <c r="H101" s="694">
        <f t="shared" ref="H101:H154" si="25">+J$94*G101+E101</f>
        <v>4837.306098680694</v>
      </c>
      <c r="I101" s="695">
        <f t="shared" ref="I101:I154" si="26">+J$95*G101+E101</f>
        <v>4837.306098680694</v>
      </c>
      <c r="J101" s="663">
        <f t="shared" si="17"/>
        <v>0</v>
      </c>
      <c r="K101" s="663"/>
      <c r="L101" s="132"/>
      <c r="M101" s="663">
        <f t="shared" si="14"/>
        <v>0</v>
      </c>
      <c r="N101" s="132"/>
      <c r="O101" s="663">
        <f t="shared" si="15"/>
        <v>0</v>
      </c>
      <c r="P101" s="663">
        <f t="shared" si="16"/>
        <v>0</v>
      </c>
    </row>
    <row r="102" spans="1:16">
      <c r="B102" s="9" t="str">
        <f t="shared" si="21"/>
        <v/>
      </c>
      <c r="C102" s="656">
        <f>IF(D93="","-",+C101+1)</f>
        <v>2025</v>
      </c>
      <c r="D102" s="657">
        <f>IF(F101+SUM(E$99:E101)=D$92,F101,D$92-SUM(E$99:E101))</f>
        <v>36060.589999999997</v>
      </c>
      <c r="E102" s="481">
        <f t="shared" si="22"/>
        <v>901</v>
      </c>
      <c r="F102" s="658">
        <f t="shared" si="23"/>
        <v>35159.589999999997</v>
      </c>
      <c r="G102" s="658">
        <f t="shared" si="24"/>
        <v>35610.089999999997</v>
      </c>
      <c r="H102" s="694">
        <f t="shared" si="25"/>
        <v>4740.1681662083593</v>
      </c>
      <c r="I102" s="695">
        <f t="shared" si="26"/>
        <v>4740.1681662083593</v>
      </c>
      <c r="J102" s="663">
        <f t="shared" si="17"/>
        <v>0</v>
      </c>
      <c r="K102" s="663"/>
      <c r="L102" s="132"/>
      <c r="M102" s="663">
        <f t="shared" si="14"/>
        <v>0</v>
      </c>
      <c r="N102" s="132"/>
      <c r="O102" s="663">
        <f t="shared" si="15"/>
        <v>0</v>
      </c>
      <c r="P102" s="663">
        <f t="shared" si="16"/>
        <v>0</v>
      </c>
    </row>
    <row r="103" spans="1:16">
      <c r="B103" s="9" t="str">
        <f t="shared" si="21"/>
        <v/>
      </c>
      <c r="C103" s="656">
        <f>IF(D93="","-",+C102+1)</f>
        <v>2026</v>
      </c>
      <c r="D103" s="657">
        <f>IF(F102+SUM(E$99:E102)=D$92,F102,D$92-SUM(E$99:E102))</f>
        <v>35159.589999999997</v>
      </c>
      <c r="E103" s="481">
        <f t="shared" si="22"/>
        <v>901</v>
      </c>
      <c r="F103" s="658">
        <f t="shared" si="23"/>
        <v>34258.589999999997</v>
      </c>
      <c r="G103" s="658">
        <f t="shared" si="24"/>
        <v>34709.089999999997</v>
      </c>
      <c r="H103" s="694">
        <f t="shared" si="25"/>
        <v>4643.0302337360263</v>
      </c>
      <c r="I103" s="695">
        <f t="shared" si="26"/>
        <v>4643.0302337360263</v>
      </c>
      <c r="J103" s="663">
        <f t="shared" si="17"/>
        <v>0</v>
      </c>
      <c r="K103" s="663"/>
      <c r="L103" s="132"/>
      <c r="M103" s="663">
        <f t="shared" si="14"/>
        <v>0</v>
      </c>
      <c r="N103" s="132"/>
      <c r="O103" s="663">
        <f t="shared" si="15"/>
        <v>0</v>
      </c>
      <c r="P103" s="663">
        <f t="shared" si="16"/>
        <v>0</v>
      </c>
    </row>
    <row r="104" spans="1:16">
      <c r="B104" s="9" t="str">
        <f t="shared" si="21"/>
        <v/>
      </c>
      <c r="C104" s="656">
        <f>IF(D93="","-",+C103+1)</f>
        <v>2027</v>
      </c>
      <c r="D104" s="657">
        <f>IF(F103+SUM(E$99:E103)=D$92,F103,D$92-SUM(E$99:E103))</f>
        <v>34258.589999999997</v>
      </c>
      <c r="E104" s="481">
        <f t="shared" si="22"/>
        <v>901</v>
      </c>
      <c r="F104" s="658">
        <f t="shared" si="23"/>
        <v>33357.589999999997</v>
      </c>
      <c r="G104" s="658">
        <f t="shared" si="24"/>
        <v>33808.089999999997</v>
      </c>
      <c r="H104" s="694">
        <f t="shared" si="25"/>
        <v>4545.8923012636915</v>
      </c>
      <c r="I104" s="695">
        <f t="shared" si="26"/>
        <v>4545.8923012636915</v>
      </c>
      <c r="J104" s="663">
        <f t="shared" si="17"/>
        <v>0</v>
      </c>
      <c r="K104" s="663"/>
      <c r="L104" s="132"/>
      <c r="M104" s="663">
        <f t="shared" si="14"/>
        <v>0</v>
      </c>
      <c r="N104" s="132"/>
      <c r="O104" s="663">
        <f t="shared" si="15"/>
        <v>0</v>
      </c>
      <c r="P104" s="663">
        <f t="shared" si="16"/>
        <v>0</v>
      </c>
    </row>
    <row r="105" spans="1:16">
      <c r="B105" s="9" t="str">
        <f t="shared" si="21"/>
        <v/>
      </c>
      <c r="C105" s="656">
        <f>IF(D93="","-",+C104+1)</f>
        <v>2028</v>
      </c>
      <c r="D105" s="657">
        <f>IF(F104+SUM(E$99:E104)=D$92,F104,D$92-SUM(E$99:E104))</f>
        <v>33357.589999999997</v>
      </c>
      <c r="E105" s="481">
        <f t="shared" si="22"/>
        <v>901</v>
      </c>
      <c r="F105" s="658">
        <f t="shared" si="23"/>
        <v>32456.589999999997</v>
      </c>
      <c r="G105" s="658">
        <f t="shared" si="24"/>
        <v>32907.089999999997</v>
      </c>
      <c r="H105" s="694">
        <f t="shared" si="25"/>
        <v>4448.7543687913585</v>
      </c>
      <c r="I105" s="695">
        <f t="shared" si="26"/>
        <v>4448.7543687913585</v>
      </c>
      <c r="J105" s="663">
        <f t="shared" si="17"/>
        <v>0</v>
      </c>
      <c r="K105" s="663"/>
      <c r="L105" s="132"/>
      <c r="M105" s="663">
        <f t="shared" si="14"/>
        <v>0</v>
      </c>
      <c r="N105" s="132"/>
      <c r="O105" s="663">
        <f t="shared" si="15"/>
        <v>0</v>
      </c>
      <c r="P105" s="663">
        <f t="shared" si="16"/>
        <v>0</v>
      </c>
    </row>
    <row r="106" spans="1:16">
      <c r="B106" s="9" t="str">
        <f t="shared" si="21"/>
        <v/>
      </c>
      <c r="C106" s="656">
        <f>IF(D93="","-",+C105+1)</f>
        <v>2029</v>
      </c>
      <c r="D106" s="657">
        <f>IF(F105+SUM(E$99:E105)=D$92,F105,D$92-SUM(E$99:E105))</f>
        <v>32456.589999999997</v>
      </c>
      <c r="E106" s="481">
        <f t="shared" si="22"/>
        <v>901</v>
      </c>
      <c r="F106" s="658">
        <f t="shared" si="23"/>
        <v>31555.589999999997</v>
      </c>
      <c r="G106" s="658">
        <f t="shared" si="24"/>
        <v>32006.089999999997</v>
      </c>
      <c r="H106" s="694">
        <f t="shared" si="25"/>
        <v>4351.6164363190237</v>
      </c>
      <c r="I106" s="695">
        <f t="shared" si="26"/>
        <v>4351.6164363190237</v>
      </c>
      <c r="J106" s="663">
        <f t="shared" si="17"/>
        <v>0</v>
      </c>
      <c r="K106" s="663"/>
      <c r="L106" s="132"/>
      <c r="M106" s="663">
        <f t="shared" si="14"/>
        <v>0</v>
      </c>
      <c r="N106" s="132"/>
      <c r="O106" s="663">
        <f t="shared" si="15"/>
        <v>0</v>
      </c>
      <c r="P106" s="663">
        <f t="shared" si="16"/>
        <v>0</v>
      </c>
    </row>
    <row r="107" spans="1:16">
      <c r="B107" s="9" t="str">
        <f t="shared" si="21"/>
        <v/>
      </c>
      <c r="C107" s="656">
        <f>IF(D93="","-",+C106+1)</f>
        <v>2030</v>
      </c>
      <c r="D107" s="657">
        <f>IF(F106+SUM(E$99:E106)=D$92,F106,D$92-SUM(E$99:E106))</f>
        <v>31555.589999999997</v>
      </c>
      <c r="E107" s="481">
        <f t="shared" si="22"/>
        <v>901</v>
      </c>
      <c r="F107" s="658">
        <f t="shared" si="23"/>
        <v>30654.589999999997</v>
      </c>
      <c r="G107" s="658">
        <f t="shared" si="24"/>
        <v>31105.089999999997</v>
      </c>
      <c r="H107" s="694">
        <f t="shared" si="25"/>
        <v>4254.4785038466907</v>
      </c>
      <c r="I107" s="695">
        <f t="shared" si="26"/>
        <v>4254.4785038466907</v>
      </c>
      <c r="J107" s="663">
        <f t="shared" si="17"/>
        <v>0</v>
      </c>
      <c r="K107" s="663"/>
      <c r="L107" s="132"/>
      <c r="M107" s="663">
        <f t="shared" si="14"/>
        <v>0</v>
      </c>
      <c r="N107" s="132"/>
      <c r="O107" s="663">
        <f t="shared" si="15"/>
        <v>0</v>
      </c>
      <c r="P107" s="663">
        <f t="shared" si="16"/>
        <v>0</v>
      </c>
    </row>
    <row r="108" spans="1:16">
      <c r="B108" s="9" t="str">
        <f t="shared" si="21"/>
        <v/>
      </c>
      <c r="C108" s="656">
        <f>IF(D93="","-",+C107+1)</f>
        <v>2031</v>
      </c>
      <c r="D108" s="657">
        <f>IF(F107+SUM(E$99:E107)=D$92,F107,D$92-SUM(E$99:E107))</f>
        <v>30654.589999999997</v>
      </c>
      <c r="E108" s="481">
        <f t="shared" si="22"/>
        <v>901</v>
      </c>
      <c r="F108" s="658">
        <f t="shared" si="23"/>
        <v>29753.589999999997</v>
      </c>
      <c r="G108" s="658">
        <f t="shared" si="24"/>
        <v>30204.089999999997</v>
      </c>
      <c r="H108" s="694">
        <f t="shared" si="25"/>
        <v>4157.3405713743559</v>
      </c>
      <c r="I108" s="695">
        <f t="shared" si="26"/>
        <v>4157.3405713743559</v>
      </c>
      <c r="J108" s="663">
        <f t="shared" si="17"/>
        <v>0</v>
      </c>
      <c r="K108" s="663"/>
      <c r="L108" s="132"/>
      <c r="M108" s="663">
        <f t="shared" si="14"/>
        <v>0</v>
      </c>
      <c r="N108" s="132"/>
      <c r="O108" s="663">
        <f t="shared" si="15"/>
        <v>0</v>
      </c>
      <c r="P108" s="663">
        <f t="shared" si="16"/>
        <v>0</v>
      </c>
    </row>
    <row r="109" spans="1:16">
      <c r="B109" s="9" t="str">
        <f t="shared" si="21"/>
        <v/>
      </c>
      <c r="C109" s="656">
        <f>IF(D93="","-",+C108+1)</f>
        <v>2032</v>
      </c>
      <c r="D109" s="657">
        <f>IF(F108+SUM(E$99:E108)=D$92,F108,D$92-SUM(E$99:E108))</f>
        <v>29753.589999999997</v>
      </c>
      <c r="E109" s="481">
        <f t="shared" si="22"/>
        <v>901</v>
      </c>
      <c r="F109" s="658">
        <f t="shared" si="23"/>
        <v>28852.589999999997</v>
      </c>
      <c r="G109" s="658">
        <f t="shared" si="24"/>
        <v>29303.089999999997</v>
      </c>
      <c r="H109" s="694">
        <f t="shared" si="25"/>
        <v>4060.2026389020225</v>
      </c>
      <c r="I109" s="695">
        <f t="shared" si="26"/>
        <v>4060.2026389020225</v>
      </c>
      <c r="J109" s="663">
        <f t="shared" si="17"/>
        <v>0</v>
      </c>
      <c r="K109" s="663"/>
      <c r="L109" s="132"/>
      <c r="M109" s="663">
        <f t="shared" si="14"/>
        <v>0</v>
      </c>
      <c r="N109" s="132"/>
      <c r="O109" s="663">
        <f t="shared" si="15"/>
        <v>0</v>
      </c>
      <c r="P109" s="663">
        <f t="shared" si="16"/>
        <v>0</v>
      </c>
    </row>
    <row r="110" spans="1:16">
      <c r="B110" s="9" t="str">
        <f t="shared" si="21"/>
        <v/>
      </c>
      <c r="C110" s="656">
        <f>IF(D93="","-",+C109+1)</f>
        <v>2033</v>
      </c>
      <c r="D110" s="657">
        <f>IF(F109+SUM(E$99:E109)=D$92,F109,D$92-SUM(E$99:E109))</f>
        <v>28852.589999999997</v>
      </c>
      <c r="E110" s="481">
        <f t="shared" si="22"/>
        <v>901</v>
      </c>
      <c r="F110" s="658">
        <f t="shared" si="23"/>
        <v>27951.589999999997</v>
      </c>
      <c r="G110" s="658">
        <f t="shared" si="24"/>
        <v>28402.089999999997</v>
      </c>
      <c r="H110" s="694">
        <f t="shared" si="25"/>
        <v>3963.0647064296886</v>
      </c>
      <c r="I110" s="695">
        <f t="shared" si="26"/>
        <v>3963.0647064296886</v>
      </c>
      <c r="J110" s="663">
        <f t="shared" si="17"/>
        <v>0</v>
      </c>
      <c r="K110" s="663"/>
      <c r="L110" s="132"/>
      <c r="M110" s="663">
        <f t="shared" si="14"/>
        <v>0</v>
      </c>
      <c r="N110" s="132"/>
      <c r="O110" s="663">
        <f t="shared" si="15"/>
        <v>0</v>
      </c>
      <c r="P110" s="663">
        <f t="shared" si="16"/>
        <v>0</v>
      </c>
    </row>
    <row r="111" spans="1:16">
      <c r="B111" s="9" t="str">
        <f t="shared" si="21"/>
        <v/>
      </c>
      <c r="C111" s="656">
        <f>IF(D93="","-",+C110+1)</f>
        <v>2034</v>
      </c>
      <c r="D111" s="657">
        <f>IF(F110+SUM(E$99:E110)=D$92,F110,D$92-SUM(E$99:E110))</f>
        <v>27951.589999999997</v>
      </c>
      <c r="E111" s="481">
        <f t="shared" si="22"/>
        <v>901</v>
      </c>
      <c r="F111" s="658">
        <f t="shared" si="23"/>
        <v>27050.589999999997</v>
      </c>
      <c r="G111" s="658">
        <f t="shared" si="24"/>
        <v>27501.089999999997</v>
      </c>
      <c r="H111" s="694">
        <f t="shared" si="25"/>
        <v>3865.9267739573547</v>
      </c>
      <c r="I111" s="695">
        <f t="shared" si="26"/>
        <v>3865.9267739573547</v>
      </c>
      <c r="J111" s="663">
        <f t="shared" si="17"/>
        <v>0</v>
      </c>
      <c r="K111" s="663"/>
      <c r="L111" s="132"/>
      <c r="M111" s="663">
        <f t="shared" si="14"/>
        <v>0</v>
      </c>
      <c r="N111" s="132"/>
      <c r="O111" s="663">
        <f t="shared" si="15"/>
        <v>0</v>
      </c>
      <c r="P111" s="663">
        <f t="shared" si="16"/>
        <v>0</v>
      </c>
    </row>
    <row r="112" spans="1:16">
      <c r="B112" s="9" t="str">
        <f t="shared" si="21"/>
        <v/>
      </c>
      <c r="C112" s="656">
        <f>IF(D93="","-",+C111+1)</f>
        <v>2035</v>
      </c>
      <c r="D112" s="657">
        <f>IF(F111+SUM(E$99:E111)=D$92,F111,D$92-SUM(E$99:E111))</f>
        <v>27050.589999999997</v>
      </c>
      <c r="E112" s="481">
        <f t="shared" si="22"/>
        <v>901</v>
      </c>
      <c r="F112" s="658">
        <f t="shared" si="23"/>
        <v>26149.589999999997</v>
      </c>
      <c r="G112" s="658">
        <f t="shared" si="24"/>
        <v>26600.089999999997</v>
      </c>
      <c r="H112" s="694">
        <f t="shared" si="25"/>
        <v>3768.7888414850208</v>
      </c>
      <c r="I112" s="695">
        <f t="shared" si="26"/>
        <v>3768.7888414850208</v>
      </c>
      <c r="J112" s="663">
        <f t="shared" si="17"/>
        <v>0</v>
      </c>
      <c r="K112" s="663"/>
      <c r="L112" s="132"/>
      <c r="M112" s="663">
        <f t="shared" si="14"/>
        <v>0</v>
      </c>
      <c r="N112" s="132"/>
      <c r="O112" s="663">
        <f t="shared" si="15"/>
        <v>0</v>
      </c>
      <c r="P112" s="663">
        <f t="shared" si="16"/>
        <v>0</v>
      </c>
    </row>
    <row r="113" spans="2:16">
      <c r="B113" s="9" t="str">
        <f t="shared" si="21"/>
        <v/>
      </c>
      <c r="C113" s="656">
        <f>IF(D93="","-",+C112+1)</f>
        <v>2036</v>
      </c>
      <c r="D113" s="657">
        <f>IF(F112+SUM(E$99:E112)=D$92,F112,D$92-SUM(E$99:E112))</f>
        <v>26149.589999999997</v>
      </c>
      <c r="E113" s="481">
        <f t="shared" si="22"/>
        <v>901</v>
      </c>
      <c r="F113" s="658">
        <f t="shared" si="23"/>
        <v>25248.589999999997</v>
      </c>
      <c r="G113" s="658">
        <f t="shared" si="24"/>
        <v>25699.089999999997</v>
      </c>
      <c r="H113" s="694">
        <f t="shared" si="25"/>
        <v>3671.650909012687</v>
      </c>
      <c r="I113" s="695">
        <f t="shared" si="26"/>
        <v>3671.650909012687</v>
      </c>
      <c r="J113" s="663">
        <f t="shared" si="17"/>
        <v>0</v>
      </c>
      <c r="K113" s="663"/>
      <c r="L113" s="132"/>
      <c r="M113" s="663">
        <f t="shared" si="14"/>
        <v>0</v>
      </c>
      <c r="N113" s="132"/>
      <c r="O113" s="663">
        <f t="shared" si="15"/>
        <v>0</v>
      </c>
      <c r="P113" s="663">
        <f t="shared" si="16"/>
        <v>0</v>
      </c>
    </row>
    <row r="114" spans="2:16">
      <c r="B114" s="9" t="str">
        <f t="shared" si="21"/>
        <v/>
      </c>
      <c r="C114" s="656">
        <f>IF(D93="","-",+C113+1)</f>
        <v>2037</v>
      </c>
      <c r="D114" s="657">
        <f>IF(F113+SUM(E$99:E113)=D$92,F113,D$92-SUM(E$99:E113))</f>
        <v>25248.589999999997</v>
      </c>
      <c r="E114" s="481">
        <f t="shared" si="22"/>
        <v>901</v>
      </c>
      <c r="F114" s="658">
        <f t="shared" si="23"/>
        <v>24347.589999999997</v>
      </c>
      <c r="G114" s="658">
        <f t="shared" si="24"/>
        <v>24798.089999999997</v>
      </c>
      <c r="H114" s="694">
        <f t="shared" si="25"/>
        <v>3574.5129765403531</v>
      </c>
      <c r="I114" s="695">
        <f t="shared" si="26"/>
        <v>3574.5129765403531</v>
      </c>
      <c r="J114" s="663">
        <f t="shared" si="17"/>
        <v>0</v>
      </c>
      <c r="K114" s="663"/>
      <c r="L114" s="132"/>
      <c r="M114" s="663">
        <f t="shared" si="14"/>
        <v>0</v>
      </c>
      <c r="N114" s="132"/>
      <c r="O114" s="663">
        <f t="shared" si="15"/>
        <v>0</v>
      </c>
      <c r="P114" s="663">
        <f t="shared" si="16"/>
        <v>0</v>
      </c>
    </row>
    <row r="115" spans="2:16">
      <c r="B115" s="9" t="str">
        <f t="shared" si="21"/>
        <v/>
      </c>
      <c r="C115" s="656">
        <f>IF(D93="","-",+C114+1)</f>
        <v>2038</v>
      </c>
      <c r="D115" s="657">
        <f>IF(F114+SUM(E$99:E114)=D$92,F114,D$92-SUM(E$99:E114))</f>
        <v>24347.589999999997</v>
      </c>
      <c r="E115" s="481">
        <f t="shared" si="22"/>
        <v>901</v>
      </c>
      <c r="F115" s="658">
        <f t="shared" si="23"/>
        <v>23446.589999999997</v>
      </c>
      <c r="G115" s="658">
        <f t="shared" si="24"/>
        <v>23897.089999999997</v>
      </c>
      <c r="H115" s="694">
        <f t="shared" si="25"/>
        <v>3477.3750440680192</v>
      </c>
      <c r="I115" s="695">
        <f t="shared" si="26"/>
        <v>3477.3750440680192</v>
      </c>
      <c r="J115" s="663">
        <f t="shared" si="17"/>
        <v>0</v>
      </c>
      <c r="K115" s="663"/>
      <c r="L115" s="132"/>
      <c r="M115" s="663">
        <f t="shared" si="14"/>
        <v>0</v>
      </c>
      <c r="N115" s="132"/>
      <c r="O115" s="663">
        <f t="shared" si="15"/>
        <v>0</v>
      </c>
      <c r="P115" s="663">
        <f t="shared" si="16"/>
        <v>0</v>
      </c>
    </row>
    <row r="116" spans="2:16">
      <c r="B116" s="9" t="str">
        <f t="shared" si="21"/>
        <v/>
      </c>
      <c r="C116" s="656">
        <f>IF(D93="","-",+C115+1)</f>
        <v>2039</v>
      </c>
      <c r="D116" s="657">
        <f>IF(F115+SUM(E$99:E115)=D$92,F115,D$92-SUM(E$99:E115))</f>
        <v>23446.589999999997</v>
      </c>
      <c r="E116" s="481">
        <f t="shared" si="22"/>
        <v>901</v>
      </c>
      <c r="F116" s="658">
        <f t="shared" si="23"/>
        <v>22545.589999999997</v>
      </c>
      <c r="G116" s="658">
        <f t="shared" si="24"/>
        <v>22996.089999999997</v>
      </c>
      <c r="H116" s="694">
        <f t="shared" si="25"/>
        <v>3380.2371115956853</v>
      </c>
      <c r="I116" s="695">
        <f t="shared" si="26"/>
        <v>3380.2371115956853</v>
      </c>
      <c r="J116" s="663">
        <f t="shared" si="17"/>
        <v>0</v>
      </c>
      <c r="K116" s="663"/>
      <c r="L116" s="132"/>
      <c r="M116" s="663">
        <f t="shared" si="14"/>
        <v>0</v>
      </c>
      <c r="N116" s="132"/>
      <c r="O116" s="663">
        <f t="shared" si="15"/>
        <v>0</v>
      </c>
      <c r="P116" s="663">
        <f t="shared" si="16"/>
        <v>0</v>
      </c>
    </row>
    <row r="117" spans="2:16">
      <c r="B117" s="9" t="str">
        <f t="shared" si="21"/>
        <v/>
      </c>
      <c r="C117" s="656">
        <f>IF(D93="","-",+C116+1)</f>
        <v>2040</v>
      </c>
      <c r="D117" s="657">
        <f>IF(F116+SUM(E$99:E116)=D$92,F116,D$92-SUM(E$99:E116))</f>
        <v>22545.589999999997</v>
      </c>
      <c r="E117" s="481">
        <f t="shared" si="22"/>
        <v>901</v>
      </c>
      <c r="F117" s="658">
        <f t="shared" si="23"/>
        <v>21644.589999999997</v>
      </c>
      <c r="G117" s="658">
        <f t="shared" si="24"/>
        <v>22095.089999999997</v>
      </c>
      <c r="H117" s="694">
        <f t="shared" si="25"/>
        <v>3283.0991791233514</v>
      </c>
      <c r="I117" s="695">
        <f t="shared" si="26"/>
        <v>3283.0991791233514</v>
      </c>
      <c r="J117" s="663">
        <f t="shared" si="17"/>
        <v>0</v>
      </c>
      <c r="K117" s="663"/>
      <c r="L117" s="132"/>
      <c r="M117" s="663">
        <f t="shared" si="14"/>
        <v>0</v>
      </c>
      <c r="N117" s="132"/>
      <c r="O117" s="663">
        <f t="shared" si="15"/>
        <v>0</v>
      </c>
      <c r="P117" s="663">
        <f t="shared" si="16"/>
        <v>0</v>
      </c>
    </row>
    <row r="118" spans="2:16">
      <c r="B118" s="9" t="str">
        <f t="shared" si="21"/>
        <v/>
      </c>
      <c r="C118" s="656">
        <f>IF(D93="","-",+C117+1)</f>
        <v>2041</v>
      </c>
      <c r="D118" s="657">
        <f>IF(F117+SUM(E$99:E117)=D$92,F117,D$92-SUM(E$99:E117))</f>
        <v>21644.589999999997</v>
      </c>
      <c r="E118" s="481">
        <f t="shared" si="22"/>
        <v>901</v>
      </c>
      <c r="F118" s="658">
        <f t="shared" si="23"/>
        <v>20743.589999999997</v>
      </c>
      <c r="G118" s="658">
        <f t="shared" si="24"/>
        <v>21194.089999999997</v>
      </c>
      <c r="H118" s="694">
        <f t="shared" si="25"/>
        <v>3185.9612466510175</v>
      </c>
      <c r="I118" s="695">
        <f t="shared" si="26"/>
        <v>3185.9612466510175</v>
      </c>
      <c r="J118" s="663">
        <f t="shared" si="17"/>
        <v>0</v>
      </c>
      <c r="K118" s="663"/>
      <c r="L118" s="132"/>
      <c r="M118" s="663">
        <f t="shared" si="14"/>
        <v>0</v>
      </c>
      <c r="N118" s="132"/>
      <c r="O118" s="663">
        <f t="shared" si="15"/>
        <v>0</v>
      </c>
      <c r="P118" s="663">
        <f t="shared" si="16"/>
        <v>0</v>
      </c>
    </row>
    <row r="119" spans="2:16">
      <c r="B119" s="9" t="str">
        <f t="shared" si="21"/>
        <v/>
      </c>
      <c r="C119" s="656">
        <f>IF(D93="","-",+C118+1)</f>
        <v>2042</v>
      </c>
      <c r="D119" s="657">
        <f>IF(F118+SUM(E$99:E118)=D$92,F118,D$92-SUM(E$99:E118))</f>
        <v>20743.589999999997</v>
      </c>
      <c r="E119" s="481">
        <f t="shared" si="22"/>
        <v>901</v>
      </c>
      <c r="F119" s="658">
        <f t="shared" si="23"/>
        <v>19842.589999999997</v>
      </c>
      <c r="G119" s="658">
        <f t="shared" si="24"/>
        <v>20293.089999999997</v>
      </c>
      <c r="H119" s="694">
        <f t="shared" si="25"/>
        <v>3088.8233141786836</v>
      </c>
      <c r="I119" s="695">
        <f t="shared" si="26"/>
        <v>3088.8233141786836</v>
      </c>
      <c r="J119" s="663">
        <f t="shared" si="17"/>
        <v>0</v>
      </c>
      <c r="K119" s="663"/>
      <c r="L119" s="132"/>
      <c r="M119" s="663">
        <f t="shared" si="14"/>
        <v>0</v>
      </c>
      <c r="N119" s="132"/>
      <c r="O119" s="663">
        <f t="shared" si="15"/>
        <v>0</v>
      </c>
      <c r="P119" s="663">
        <f t="shared" si="16"/>
        <v>0</v>
      </c>
    </row>
    <row r="120" spans="2:16">
      <c r="B120" s="9" t="str">
        <f t="shared" si="21"/>
        <v/>
      </c>
      <c r="C120" s="656">
        <f>IF(D93="","-",+C119+1)</f>
        <v>2043</v>
      </c>
      <c r="D120" s="657">
        <f>IF(F119+SUM(E$99:E119)=D$92,F119,D$92-SUM(E$99:E119))</f>
        <v>19842.589999999997</v>
      </c>
      <c r="E120" s="481">
        <f t="shared" si="22"/>
        <v>901</v>
      </c>
      <c r="F120" s="658">
        <f t="shared" si="23"/>
        <v>18941.589999999997</v>
      </c>
      <c r="G120" s="658">
        <f t="shared" si="24"/>
        <v>19392.089999999997</v>
      </c>
      <c r="H120" s="694">
        <f t="shared" si="25"/>
        <v>2991.6853817063497</v>
      </c>
      <c r="I120" s="695">
        <f t="shared" si="26"/>
        <v>2991.6853817063497</v>
      </c>
      <c r="J120" s="663">
        <f t="shared" si="17"/>
        <v>0</v>
      </c>
      <c r="K120" s="663"/>
      <c r="L120" s="132"/>
      <c r="M120" s="663">
        <f t="shared" si="14"/>
        <v>0</v>
      </c>
      <c r="N120" s="132"/>
      <c r="O120" s="663">
        <f t="shared" si="15"/>
        <v>0</v>
      </c>
      <c r="P120" s="663">
        <f t="shared" si="16"/>
        <v>0</v>
      </c>
    </row>
    <row r="121" spans="2:16">
      <c r="B121" s="9" t="str">
        <f t="shared" si="21"/>
        <v/>
      </c>
      <c r="C121" s="656">
        <f>IF(D93="","-",+C120+1)</f>
        <v>2044</v>
      </c>
      <c r="D121" s="657">
        <f>IF(F120+SUM(E$99:E120)=D$92,F120,D$92-SUM(E$99:E120))</f>
        <v>18941.589999999997</v>
      </c>
      <c r="E121" s="481">
        <f t="shared" si="22"/>
        <v>901</v>
      </c>
      <c r="F121" s="658">
        <f t="shared" si="23"/>
        <v>18040.589999999997</v>
      </c>
      <c r="G121" s="658">
        <f t="shared" si="24"/>
        <v>18491.089999999997</v>
      </c>
      <c r="H121" s="694">
        <f t="shared" si="25"/>
        <v>2894.5474492340154</v>
      </c>
      <c r="I121" s="695">
        <f t="shared" si="26"/>
        <v>2894.5474492340154</v>
      </c>
      <c r="J121" s="663">
        <f t="shared" si="17"/>
        <v>0</v>
      </c>
      <c r="K121" s="663"/>
      <c r="L121" s="132"/>
      <c r="M121" s="663">
        <f t="shared" si="14"/>
        <v>0</v>
      </c>
      <c r="N121" s="132"/>
      <c r="O121" s="663">
        <f t="shared" si="15"/>
        <v>0</v>
      </c>
      <c r="P121" s="663">
        <f t="shared" si="16"/>
        <v>0</v>
      </c>
    </row>
    <row r="122" spans="2:16">
      <c r="B122" s="9" t="str">
        <f t="shared" si="21"/>
        <v/>
      </c>
      <c r="C122" s="656">
        <f>IF(D93="","-",+C121+1)</f>
        <v>2045</v>
      </c>
      <c r="D122" s="657">
        <f>IF(F121+SUM(E$99:E121)=D$92,F121,D$92-SUM(E$99:E121))</f>
        <v>18040.589999999997</v>
      </c>
      <c r="E122" s="481">
        <f t="shared" si="22"/>
        <v>901</v>
      </c>
      <c r="F122" s="658">
        <f t="shared" si="23"/>
        <v>17139.589999999997</v>
      </c>
      <c r="G122" s="658">
        <f t="shared" si="24"/>
        <v>17590.089999999997</v>
      </c>
      <c r="H122" s="694">
        <f t="shared" si="25"/>
        <v>2797.4095167616815</v>
      </c>
      <c r="I122" s="695">
        <f t="shared" si="26"/>
        <v>2797.4095167616815</v>
      </c>
      <c r="J122" s="663">
        <f t="shared" si="17"/>
        <v>0</v>
      </c>
      <c r="K122" s="663"/>
      <c r="L122" s="132"/>
      <c r="M122" s="663">
        <f t="shared" si="14"/>
        <v>0</v>
      </c>
      <c r="N122" s="132"/>
      <c r="O122" s="663">
        <f t="shared" si="15"/>
        <v>0</v>
      </c>
      <c r="P122" s="663">
        <f t="shared" si="16"/>
        <v>0</v>
      </c>
    </row>
    <row r="123" spans="2:16">
      <c r="B123" s="9" t="str">
        <f t="shared" si="21"/>
        <v/>
      </c>
      <c r="C123" s="656">
        <f>IF(D93="","-",+C122+1)</f>
        <v>2046</v>
      </c>
      <c r="D123" s="657">
        <f>IF(F122+SUM(E$99:E122)=D$92,F122,D$92-SUM(E$99:E122))</f>
        <v>17139.589999999997</v>
      </c>
      <c r="E123" s="481">
        <f t="shared" si="22"/>
        <v>901</v>
      </c>
      <c r="F123" s="658">
        <f t="shared" si="23"/>
        <v>16238.589999999997</v>
      </c>
      <c r="G123" s="658">
        <f t="shared" si="24"/>
        <v>16689.089999999997</v>
      </c>
      <c r="H123" s="694">
        <f t="shared" si="25"/>
        <v>2700.2715842893476</v>
      </c>
      <c r="I123" s="695">
        <f t="shared" si="26"/>
        <v>2700.2715842893476</v>
      </c>
      <c r="J123" s="663">
        <f t="shared" si="17"/>
        <v>0</v>
      </c>
      <c r="K123" s="663"/>
      <c r="L123" s="132"/>
      <c r="M123" s="663">
        <f t="shared" si="14"/>
        <v>0</v>
      </c>
      <c r="N123" s="132"/>
      <c r="O123" s="663">
        <f t="shared" si="15"/>
        <v>0</v>
      </c>
      <c r="P123" s="663">
        <f t="shared" si="16"/>
        <v>0</v>
      </c>
    </row>
    <row r="124" spans="2:16">
      <c r="B124" s="9" t="str">
        <f t="shared" si="21"/>
        <v/>
      </c>
      <c r="C124" s="656">
        <f>IF(D93="","-",+C123+1)</f>
        <v>2047</v>
      </c>
      <c r="D124" s="657">
        <f>IF(F123+SUM(E$99:E123)=D$92,F123,D$92-SUM(E$99:E123))</f>
        <v>16238.589999999997</v>
      </c>
      <c r="E124" s="481">
        <f t="shared" si="22"/>
        <v>901</v>
      </c>
      <c r="F124" s="658">
        <f t="shared" si="23"/>
        <v>15337.589999999997</v>
      </c>
      <c r="G124" s="658">
        <f t="shared" si="24"/>
        <v>15788.089999999997</v>
      </c>
      <c r="H124" s="694">
        <f t="shared" si="25"/>
        <v>2603.1336518170137</v>
      </c>
      <c r="I124" s="695">
        <f t="shared" si="26"/>
        <v>2603.1336518170137</v>
      </c>
      <c r="J124" s="663">
        <f t="shared" si="17"/>
        <v>0</v>
      </c>
      <c r="K124" s="663"/>
      <c r="L124" s="132"/>
      <c r="M124" s="663">
        <f t="shared" si="14"/>
        <v>0</v>
      </c>
      <c r="N124" s="132"/>
      <c r="O124" s="663">
        <f t="shared" si="15"/>
        <v>0</v>
      </c>
      <c r="P124" s="663">
        <f t="shared" si="16"/>
        <v>0</v>
      </c>
    </row>
    <row r="125" spans="2:16">
      <c r="B125" s="9" t="str">
        <f t="shared" si="21"/>
        <v/>
      </c>
      <c r="C125" s="656">
        <f>IF(D93="","-",+C124+1)</f>
        <v>2048</v>
      </c>
      <c r="D125" s="657">
        <f>IF(F124+SUM(E$99:E124)=D$92,F124,D$92-SUM(E$99:E124))</f>
        <v>15337.589999999997</v>
      </c>
      <c r="E125" s="481">
        <f t="shared" si="22"/>
        <v>901</v>
      </c>
      <c r="F125" s="658">
        <f t="shared" si="23"/>
        <v>14436.589999999997</v>
      </c>
      <c r="G125" s="658">
        <f t="shared" si="24"/>
        <v>14887.089999999997</v>
      </c>
      <c r="H125" s="694">
        <f t="shared" si="25"/>
        <v>2505.9957193446799</v>
      </c>
      <c r="I125" s="695">
        <f t="shared" si="26"/>
        <v>2505.9957193446799</v>
      </c>
      <c r="J125" s="663">
        <f t="shared" si="17"/>
        <v>0</v>
      </c>
      <c r="K125" s="663"/>
      <c r="L125" s="132"/>
      <c r="M125" s="663">
        <f t="shared" si="14"/>
        <v>0</v>
      </c>
      <c r="N125" s="132"/>
      <c r="O125" s="663">
        <f t="shared" si="15"/>
        <v>0</v>
      </c>
      <c r="P125" s="663">
        <f t="shared" si="16"/>
        <v>0</v>
      </c>
    </row>
    <row r="126" spans="2:16">
      <c r="B126" s="9" t="str">
        <f t="shared" si="21"/>
        <v/>
      </c>
      <c r="C126" s="656">
        <f>IF(D93="","-",+C125+1)</f>
        <v>2049</v>
      </c>
      <c r="D126" s="657">
        <f>IF(F125+SUM(E$99:E125)=D$92,F125,D$92-SUM(E$99:E125))</f>
        <v>14436.589999999997</v>
      </c>
      <c r="E126" s="481">
        <f t="shared" si="22"/>
        <v>901</v>
      </c>
      <c r="F126" s="658">
        <f t="shared" si="23"/>
        <v>13535.589999999997</v>
      </c>
      <c r="G126" s="658">
        <f t="shared" si="24"/>
        <v>13986.089999999997</v>
      </c>
      <c r="H126" s="694">
        <f t="shared" si="25"/>
        <v>2408.857786872346</v>
      </c>
      <c r="I126" s="695">
        <f t="shared" si="26"/>
        <v>2408.857786872346</v>
      </c>
      <c r="J126" s="663">
        <f t="shared" si="17"/>
        <v>0</v>
      </c>
      <c r="K126" s="663"/>
      <c r="L126" s="132"/>
      <c r="M126" s="663">
        <f t="shared" si="14"/>
        <v>0</v>
      </c>
      <c r="N126" s="132"/>
      <c r="O126" s="663">
        <f t="shared" si="15"/>
        <v>0</v>
      </c>
      <c r="P126" s="663">
        <f t="shared" si="16"/>
        <v>0</v>
      </c>
    </row>
    <row r="127" spans="2:16">
      <c r="B127" s="9" t="str">
        <f t="shared" si="21"/>
        <v/>
      </c>
      <c r="C127" s="656">
        <f>IF(D93="","-",+C126+1)</f>
        <v>2050</v>
      </c>
      <c r="D127" s="657">
        <f>IF(F126+SUM(E$99:E126)=D$92,F126,D$92-SUM(E$99:E126))</f>
        <v>13535.589999999997</v>
      </c>
      <c r="E127" s="481">
        <f t="shared" si="22"/>
        <v>901</v>
      </c>
      <c r="F127" s="658">
        <f t="shared" si="23"/>
        <v>12634.589999999997</v>
      </c>
      <c r="G127" s="658">
        <f t="shared" si="24"/>
        <v>13085.089999999997</v>
      </c>
      <c r="H127" s="694">
        <f t="shared" si="25"/>
        <v>2311.7198544000121</v>
      </c>
      <c r="I127" s="695">
        <f t="shared" si="26"/>
        <v>2311.7198544000121</v>
      </c>
      <c r="J127" s="663">
        <f t="shared" si="17"/>
        <v>0</v>
      </c>
      <c r="K127" s="663"/>
      <c r="L127" s="132"/>
      <c r="M127" s="663">
        <f t="shared" si="14"/>
        <v>0</v>
      </c>
      <c r="N127" s="132"/>
      <c r="O127" s="663">
        <f t="shared" si="15"/>
        <v>0</v>
      </c>
      <c r="P127" s="663">
        <f t="shared" si="16"/>
        <v>0</v>
      </c>
    </row>
    <row r="128" spans="2:16">
      <c r="B128" s="9" t="str">
        <f t="shared" si="21"/>
        <v/>
      </c>
      <c r="C128" s="656">
        <f>IF(D93="","-",+C127+1)</f>
        <v>2051</v>
      </c>
      <c r="D128" s="657">
        <f>IF(F127+SUM(E$99:E127)=D$92,F127,D$92-SUM(E$99:E127))</f>
        <v>12634.589999999997</v>
      </c>
      <c r="E128" s="481">
        <f t="shared" si="22"/>
        <v>901</v>
      </c>
      <c r="F128" s="658">
        <f t="shared" si="23"/>
        <v>11733.589999999997</v>
      </c>
      <c r="G128" s="658">
        <f t="shared" si="24"/>
        <v>12184.089999999997</v>
      </c>
      <c r="H128" s="694">
        <f t="shared" si="25"/>
        <v>2214.5819219276782</v>
      </c>
      <c r="I128" s="695">
        <f t="shared" si="26"/>
        <v>2214.5819219276782</v>
      </c>
      <c r="J128" s="663">
        <f t="shared" si="17"/>
        <v>0</v>
      </c>
      <c r="K128" s="663"/>
      <c r="L128" s="132"/>
      <c r="M128" s="663">
        <f t="shared" si="14"/>
        <v>0</v>
      </c>
      <c r="N128" s="132"/>
      <c r="O128" s="663">
        <f t="shared" si="15"/>
        <v>0</v>
      </c>
      <c r="P128" s="663">
        <f t="shared" si="16"/>
        <v>0</v>
      </c>
    </row>
    <row r="129" spans="2:16">
      <c r="B129" s="9" t="str">
        <f t="shared" si="21"/>
        <v/>
      </c>
      <c r="C129" s="656">
        <f>IF(D93="","-",+C128+1)</f>
        <v>2052</v>
      </c>
      <c r="D129" s="657">
        <f>IF(F128+SUM(E$99:E128)=D$92,F128,D$92-SUM(E$99:E128))</f>
        <v>11733.589999999997</v>
      </c>
      <c r="E129" s="481">
        <f t="shared" si="22"/>
        <v>901</v>
      </c>
      <c r="F129" s="658">
        <f t="shared" si="23"/>
        <v>10832.589999999997</v>
      </c>
      <c r="G129" s="658">
        <f t="shared" si="24"/>
        <v>11283.089999999997</v>
      </c>
      <c r="H129" s="694">
        <f t="shared" si="25"/>
        <v>2117.4439894553443</v>
      </c>
      <c r="I129" s="695">
        <f t="shared" si="26"/>
        <v>2117.4439894553443</v>
      </c>
      <c r="J129" s="663">
        <f t="shared" si="17"/>
        <v>0</v>
      </c>
      <c r="K129" s="663"/>
      <c r="L129" s="132"/>
      <c r="M129" s="663">
        <f t="shared" si="14"/>
        <v>0</v>
      </c>
      <c r="N129" s="132"/>
      <c r="O129" s="663">
        <f t="shared" si="15"/>
        <v>0</v>
      </c>
      <c r="P129" s="663">
        <f t="shared" si="16"/>
        <v>0</v>
      </c>
    </row>
    <row r="130" spans="2:16">
      <c r="B130" s="9" t="str">
        <f t="shared" si="21"/>
        <v/>
      </c>
      <c r="C130" s="656">
        <f>IF(D93="","-",+C129+1)</f>
        <v>2053</v>
      </c>
      <c r="D130" s="657">
        <f>IF(F129+SUM(E$99:E129)=D$92,F129,D$92-SUM(E$99:E129))</f>
        <v>10832.589999999997</v>
      </c>
      <c r="E130" s="481">
        <f t="shared" si="22"/>
        <v>901</v>
      </c>
      <c r="F130" s="658">
        <f t="shared" si="23"/>
        <v>9931.5899999999965</v>
      </c>
      <c r="G130" s="658">
        <f t="shared" si="24"/>
        <v>10382.089999999997</v>
      </c>
      <c r="H130" s="694">
        <f t="shared" si="25"/>
        <v>2020.3060569830106</v>
      </c>
      <c r="I130" s="695">
        <f t="shared" si="26"/>
        <v>2020.3060569830106</v>
      </c>
      <c r="J130" s="663">
        <f t="shared" si="17"/>
        <v>0</v>
      </c>
      <c r="K130" s="663"/>
      <c r="L130" s="132"/>
      <c r="M130" s="663">
        <f t="shared" si="14"/>
        <v>0</v>
      </c>
      <c r="N130" s="132"/>
      <c r="O130" s="663">
        <f t="shared" si="15"/>
        <v>0</v>
      </c>
      <c r="P130" s="663">
        <f t="shared" si="16"/>
        <v>0</v>
      </c>
    </row>
    <row r="131" spans="2:16">
      <c r="B131" s="9" t="str">
        <f t="shared" si="21"/>
        <v/>
      </c>
      <c r="C131" s="656">
        <f>IF(D93="","-",+C130+1)</f>
        <v>2054</v>
      </c>
      <c r="D131" s="657">
        <f>IF(F130+SUM(E$99:E130)=D$92,F130,D$92-SUM(E$99:E130))</f>
        <v>9931.5899999999965</v>
      </c>
      <c r="E131" s="481">
        <f t="shared" si="22"/>
        <v>901</v>
      </c>
      <c r="F131" s="658">
        <f t="shared" si="23"/>
        <v>9030.5899999999965</v>
      </c>
      <c r="G131" s="658">
        <f t="shared" si="24"/>
        <v>9481.0899999999965</v>
      </c>
      <c r="H131" s="694">
        <f t="shared" si="25"/>
        <v>1923.1681245106768</v>
      </c>
      <c r="I131" s="695">
        <f t="shared" si="26"/>
        <v>1923.1681245106768</v>
      </c>
      <c r="J131" s="663">
        <f t="shared" ref="J131:J154" si="27">+I541-H541</f>
        <v>0</v>
      </c>
      <c r="K131" s="663"/>
      <c r="L131" s="132"/>
      <c r="M131" s="663">
        <f t="shared" ref="M131:M154" si="28">IF(L541&lt;&gt;0,+H541-L541,0)</f>
        <v>0</v>
      </c>
      <c r="N131" s="132"/>
      <c r="O131" s="663">
        <f t="shared" ref="O131:O154" si="29">IF(N541&lt;&gt;0,+I541-N541,0)</f>
        <v>0</v>
      </c>
      <c r="P131" s="663">
        <f t="shared" ref="P131:P154" si="30">+O541-M541</f>
        <v>0</v>
      </c>
    </row>
    <row r="132" spans="2:16">
      <c r="B132" s="9" t="str">
        <f t="shared" si="21"/>
        <v/>
      </c>
      <c r="C132" s="656">
        <f>IF(D93="","-",+C131+1)</f>
        <v>2055</v>
      </c>
      <c r="D132" s="657">
        <f>IF(F131+SUM(E$99:E131)=D$92,F131,D$92-SUM(E$99:E131))</f>
        <v>9030.5899999999965</v>
      </c>
      <c r="E132" s="481">
        <f t="shared" si="22"/>
        <v>901</v>
      </c>
      <c r="F132" s="658">
        <f t="shared" si="23"/>
        <v>8129.5899999999965</v>
      </c>
      <c r="G132" s="658">
        <f t="shared" si="24"/>
        <v>8580.0899999999965</v>
      </c>
      <c r="H132" s="694">
        <f t="shared" si="25"/>
        <v>1826.0301920383429</v>
      </c>
      <c r="I132" s="695">
        <f t="shared" si="26"/>
        <v>1826.0301920383429</v>
      </c>
      <c r="J132" s="663">
        <f t="shared" si="27"/>
        <v>0</v>
      </c>
      <c r="K132" s="663"/>
      <c r="L132" s="132"/>
      <c r="M132" s="663">
        <f t="shared" si="28"/>
        <v>0</v>
      </c>
      <c r="N132" s="132"/>
      <c r="O132" s="663">
        <f t="shared" si="29"/>
        <v>0</v>
      </c>
      <c r="P132" s="663">
        <f t="shared" si="30"/>
        <v>0</v>
      </c>
    </row>
    <row r="133" spans="2:16">
      <c r="B133" s="9" t="str">
        <f t="shared" si="21"/>
        <v/>
      </c>
      <c r="C133" s="656">
        <f>IF(D93="","-",+C132+1)</f>
        <v>2056</v>
      </c>
      <c r="D133" s="657">
        <f>IF(F132+SUM(E$99:E132)=D$92,F132,D$92-SUM(E$99:E132))</f>
        <v>8129.5899999999965</v>
      </c>
      <c r="E133" s="481">
        <f t="shared" si="22"/>
        <v>901</v>
      </c>
      <c r="F133" s="658">
        <f t="shared" si="23"/>
        <v>7228.5899999999965</v>
      </c>
      <c r="G133" s="658">
        <f t="shared" si="24"/>
        <v>7679.0899999999965</v>
      </c>
      <c r="H133" s="694">
        <f t="shared" si="25"/>
        <v>1728.892259566009</v>
      </c>
      <c r="I133" s="695">
        <f t="shared" si="26"/>
        <v>1728.892259566009</v>
      </c>
      <c r="J133" s="663">
        <f t="shared" si="27"/>
        <v>0</v>
      </c>
      <c r="K133" s="663"/>
      <c r="L133" s="132"/>
      <c r="M133" s="663">
        <f t="shared" si="28"/>
        <v>0</v>
      </c>
      <c r="N133" s="132"/>
      <c r="O133" s="663">
        <f t="shared" si="29"/>
        <v>0</v>
      </c>
      <c r="P133" s="663">
        <f t="shared" si="30"/>
        <v>0</v>
      </c>
    </row>
    <row r="134" spans="2:16">
      <c r="B134" s="9" t="str">
        <f t="shared" si="21"/>
        <v/>
      </c>
      <c r="C134" s="656">
        <f>IF(D93="","-",+C133+1)</f>
        <v>2057</v>
      </c>
      <c r="D134" s="657">
        <f>IF(F133+SUM(E$99:E133)=D$92,F133,D$92-SUM(E$99:E133))</f>
        <v>7228.5899999999965</v>
      </c>
      <c r="E134" s="481">
        <f t="shared" si="22"/>
        <v>901</v>
      </c>
      <c r="F134" s="658">
        <f t="shared" si="23"/>
        <v>6327.5899999999965</v>
      </c>
      <c r="G134" s="658">
        <f t="shared" si="24"/>
        <v>6778.0899999999965</v>
      </c>
      <c r="H134" s="694">
        <f t="shared" si="25"/>
        <v>1631.7543270936751</v>
      </c>
      <c r="I134" s="695">
        <f t="shared" si="26"/>
        <v>1631.7543270936751</v>
      </c>
      <c r="J134" s="663">
        <f t="shared" si="27"/>
        <v>0</v>
      </c>
      <c r="K134" s="663"/>
      <c r="L134" s="132"/>
      <c r="M134" s="663">
        <f t="shared" si="28"/>
        <v>0</v>
      </c>
      <c r="N134" s="132"/>
      <c r="O134" s="663">
        <f t="shared" si="29"/>
        <v>0</v>
      </c>
      <c r="P134" s="663">
        <f t="shared" si="30"/>
        <v>0</v>
      </c>
    </row>
    <row r="135" spans="2:16">
      <c r="B135" s="9" t="str">
        <f t="shared" si="21"/>
        <v/>
      </c>
      <c r="C135" s="656">
        <f>IF(D93="","-",+C134+1)</f>
        <v>2058</v>
      </c>
      <c r="D135" s="657">
        <f>IF(F134+SUM(E$99:E134)=D$92,F134,D$92-SUM(E$99:E134))</f>
        <v>6327.5899999999965</v>
      </c>
      <c r="E135" s="481">
        <f t="shared" si="22"/>
        <v>901</v>
      </c>
      <c r="F135" s="658">
        <f t="shared" si="23"/>
        <v>5426.5899999999965</v>
      </c>
      <c r="G135" s="658">
        <f t="shared" si="24"/>
        <v>5877.0899999999965</v>
      </c>
      <c r="H135" s="694">
        <f t="shared" si="25"/>
        <v>1534.6163946213412</v>
      </c>
      <c r="I135" s="695">
        <f t="shared" si="26"/>
        <v>1534.6163946213412</v>
      </c>
      <c r="J135" s="663">
        <f t="shared" si="27"/>
        <v>0</v>
      </c>
      <c r="K135" s="663"/>
      <c r="L135" s="132"/>
      <c r="M135" s="663">
        <f t="shared" si="28"/>
        <v>0</v>
      </c>
      <c r="N135" s="132"/>
      <c r="O135" s="663">
        <f t="shared" si="29"/>
        <v>0</v>
      </c>
      <c r="P135" s="663">
        <f t="shared" si="30"/>
        <v>0</v>
      </c>
    </row>
    <row r="136" spans="2:16">
      <c r="B136" s="9" t="str">
        <f t="shared" si="21"/>
        <v/>
      </c>
      <c r="C136" s="656">
        <f>IF(D93="","-",+C135+1)</f>
        <v>2059</v>
      </c>
      <c r="D136" s="657">
        <f>IF(F135+SUM(E$99:E135)=D$92,F135,D$92-SUM(E$99:E135))</f>
        <v>5426.5899999999965</v>
      </c>
      <c r="E136" s="481">
        <f t="shared" si="22"/>
        <v>901</v>
      </c>
      <c r="F136" s="658">
        <f t="shared" si="23"/>
        <v>4525.5899999999965</v>
      </c>
      <c r="G136" s="658">
        <f t="shared" si="24"/>
        <v>4976.0899999999965</v>
      </c>
      <c r="H136" s="694">
        <f t="shared" si="25"/>
        <v>1437.4784621490073</v>
      </c>
      <c r="I136" s="695">
        <f t="shared" si="26"/>
        <v>1437.4784621490073</v>
      </c>
      <c r="J136" s="663">
        <f t="shared" si="27"/>
        <v>0</v>
      </c>
      <c r="K136" s="663"/>
      <c r="L136" s="132"/>
      <c r="M136" s="663">
        <f t="shared" si="28"/>
        <v>0</v>
      </c>
      <c r="N136" s="132"/>
      <c r="O136" s="663">
        <f t="shared" si="29"/>
        <v>0</v>
      </c>
      <c r="P136" s="663">
        <f t="shared" si="30"/>
        <v>0</v>
      </c>
    </row>
    <row r="137" spans="2:16">
      <c r="B137" s="9" t="str">
        <f t="shared" si="21"/>
        <v/>
      </c>
      <c r="C137" s="656">
        <f>IF(D93="","-",+C136+1)</f>
        <v>2060</v>
      </c>
      <c r="D137" s="657">
        <f>IF(F136+SUM(E$99:E136)=D$92,F136,D$92-SUM(E$99:E136))</f>
        <v>4525.5899999999965</v>
      </c>
      <c r="E137" s="481">
        <f t="shared" si="22"/>
        <v>901</v>
      </c>
      <c r="F137" s="658">
        <f t="shared" si="23"/>
        <v>3624.5899999999965</v>
      </c>
      <c r="G137" s="658">
        <f t="shared" si="24"/>
        <v>4075.0899999999965</v>
      </c>
      <c r="H137" s="694">
        <f t="shared" si="25"/>
        <v>1340.3405296766734</v>
      </c>
      <c r="I137" s="695">
        <f t="shared" si="26"/>
        <v>1340.3405296766734</v>
      </c>
      <c r="J137" s="663">
        <f t="shared" si="27"/>
        <v>0</v>
      </c>
      <c r="K137" s="663"/>
      <c r="L137" s="132"/>
      <c r="M137" s="663">
        <f t="shared" si="28"/>
        <v>0</v>
      </c>
      <c r="N137" s="132"/>
      <c r="O137" s="663">
        <f t="shared" si="29"/>
        <v>0</v>
      </c>
      <c r="P137" s="663">
        <f t="shared" si="30"/>
        <v>0</v>
      </c>
    </row>
    <row r="138" spans="2:16">
      <c r="B138" s="9" t="str">
        <f t="shared" si="21"/>
        <v/>
      </c>
      <c r="C138" s="656">
        <f>IF(D93="","-",+C137+1)</f>
        <v>2061</v>
      </c>
      <c r="D138" s="657">
        <f>IF(F137+SUM(E$99:E137)=D$92,F137,D$92-SUM(E$99:E137))</f>
        <v>3624.5899999999965</v>
      </c>
      <c r="E138" s="481">
        <f t="shared" si="22"/>
        <v>901</v>
      </c>
      <c r="F138" s="658">
        <f t="shared" si="23"/>
        <v>2723.5899999999965</v>
      </c>
      <c r="G138" s="658">
        <f t="shared" si="24"/>
        <v>3174.0899999999965</v>
      </c>
      <c r="H138" s="694">
        <f t="shared" si="25"/>
        <v>1243.2025972043396</v>
      </c>
      <c r="I138" s="695">
        <f t="shared" si="26"/>
        <v>1243.2025972043396</v>
      </c>
      <c r="J138" s="663">
        <f t="shared" si="27"/>
        <v>0</v>
      </c>
      <c r="K138" s="663"/>
      <c r="L138" s="132"/>
      <c r="M138" s="663">
        <f t="shared" si="28"/>
        <v>0</v>
      </c>
      <c r="N138" s="132"/>
      <c r="O138" s="663">
        <f t="shared" si="29"/>
        <v>0</v>
      </c>
      <c r="P138" s="663">
        <f t="shared" si="30"/>
        <v>0</v>
      </c>
    </row>
    <row r="139" spans="2:16">
      <c r="B139" s="9" t="str">
        <f t="shared" si="21"/>
        <v/>
      </c>
      <c r="C139" s="656">
        <f>IF(D93="","-",+C138+1)</f>
        <v>2062</v>
      </c>
      <c r="D139" s="657">
        <f>IF(F138+SUM(E$99:E138)=D$92,F138,D$92-SUM(E$99:E138))</f>
        <v>2723.5899999999965</v>
      </c>
      <c r="E139" s="481">
        <f t="shared" si="22"/>
        <v>901</v>
      </c>
      <c r="F139" s="658">
        <f t="shared" si="23"/>
        <v>1822.5899999999965</v>
      </c>
      <c r="G139" s="658">
        <f t="shared" si="24"/>
        <v>2273.0899999999965</v>
      </c>
      <c r="H139" s="694">
        <f t="shared" si="25"/>
        <v>1146.0646647320057</v>
      </c>
      <c r="I139" s="695">
        <f t="shared" si="26"/>
        <v>1146.0646647320057</v>
      </c>
      <c r="J139" s="663">
        <f t="shared" si="27"/>
        <v>0</v>
      </c>
      <c r="K139" s="663"/>
      <c r="L139" s="132"/>
      <c r="M139" s="663">
        <f t="shared" si="28"/>
        <v>0</v>
      </c>
      <c r="N139" s="132"/>
      <c r="O139" s="663">
        <f t="shared" si="29"/>
        <v>0</v>
      </c>
      <c r="P139" s="663">
        <f t="shared" si="30"/>
        <v>0</v>
      </c>
    </row>
    <row r="140" spans="2:16">
      <c r="B140" s="9" t="str">
        <f t="shared" si="21"/>
        <v/>
      </c>
      <c r="C140" s="656">
        <f>IF(D93="","-",+C139+1)</f>
        <v>2063</v>
      </c>
      <c r="D140" s="657">
        <f>IF(F139+SUM(E$99:E139)=D$92,F139,D$92-SUM(E$99:E139))</f>
        <v>1822.5899999999965</v>
      </c>
      <c r="E140" s="481">
        <f t="shared" si="22"/>
        <v>901</v>
      </c>
      <c r="F140" s="658">
        <f t="shared" si="23"/>
        <v>921.58999999999651</v>
      </c>
      <c r="G140" s="658">
        <f t="shared" si="24"/>
        <v>1372.0899999999965</v>
      </c>
      <c r="H140" s="694">
        <f t="shared" si="25"/>
        <v>1048.9267322596718</v>
      </c>
      <c r="I140" s="695">
        <f t="shared" si="26"/>
        <v>1048.9267322596718</v>
      </c>
      <c r="J140" s="663">
        <f t="shared" si="27"/>
        <v>0</v>
      </c>
      <c r="K140" s="663"/>
      <c r="L140" s="132"/>
      <c r="M140" s="663">
        <f t="shared" si="28"/>
        <v>0</v>
      </c>
      <c r="N140" s="132"/>
      <c r="O140" s="663">
        <f t="shared" si="29"/>
        <v>0</v>
      </c>
      <c r="P140" s="663">
        <f t="shared" si="30"/>
        <v>0</v>
      </c>
    </row>
    <row r="141" spans="2:16">
      <c r="B141" s="9" t="str">
        <f t="shared" si="21"/>
        <v/>
      </c>
      <c r="C141" s="656">
        <f>IF(D93="","-",+C140+1)</f>
        <v>2064</v>
      </c>
      <c r="D141" s="657">
        <f>IF(F140+SUM(E$99:E140)=D$92,F140,D$92-SUM(E$99:E140))</f>
        <v>921.58999999999651</v>
      </c>
      <c r="E141" s="481">
        <f t="shared" si="22"/>
        <v>901</v>
      </c>
      <c r="F141" s="658">
        <f t="shared" si="23"/>
        <v>20.589999999996508</v>
      </c>
      <c r="G141" s="658">
        <f t="shared" si="24"/>
        <v>471.08999999999651</v>
      </c>
      <c r="H141" s="694">
        <f t="shared" si="25"/>
        <v>951.78879978733789</v>
      </c>
      <c r="I141" s="695">
        <f t="shared" si="26"/>
        <v>951.78879978733789</v>
      </c>
      <c r="J141" s="663">
        <f t="shared" si="27"/>
        <v>0</v>
      </c>
      <c r="K141" s="663"/>
      <c r="L141" s="132"/>
      <c r="M141" s="663">
        <f t="shared" si="28"/>
        <v>0</v>
      </c>
      <c r="N141" s="132"/>
      <c r="O141" s="663">
        <f t="shared" si="29"/>
        <v>0</v>
      </c>
      <c r="P141" s="663">
        <f t="shared" si="30"/>
        <v>0</v>
      </c>
    </row>
    <row r="142" spans="2:16">
      <c r="B142" s="9" t="str">
        <f t="shared" si="21"/>
        <v/>
      </c>
      <c r="C142" s="656">
        <f>IF(D93="","-",+C141+1)</f>
        <v>2065</v>
      </c>
      <c r="D142" s="657">
        <f>IF(F141+SUM(E$99:E141)=D$92,F141,D$92-SUM(E$99:E141))</f>
        <v>20.589999999996508</v>
      </c>
      <c r="E142" s="481">
        <f t="shared" si="22"/>
        <v>20.589999999996508</v>
      </c>
      <c r="F142" s="658">
        <f t="shared" si="23"/>
        <v>0</v>
      </c>
      <c r="G142" s="658">
        <f t="shared" si="24"/>
        <v>10.294999999998254</v>
      </c>
      <c r="H142" s="694">
        <f t="shared" si="25"/>
        <v>21.699916775581976</v>
      </c>
      <c r="I142" s="695">
        <f t="shared" si="26"/>
        <v>21.699916775581976</v>
      </c>
      <c r="J142" s="663">
        <f t="shared" si="27"/>
        <v>0</v>
      </c>
      <c r="K142" s="663"/>
      <c r="L142" s="132"/>
      <c r="M142" s="663">
        <f t="shared" si="28"/>
        <v>0</v>
      </c>
      <c r="N142" s="132"/>
      <c r="O142" s="663">
        <f t="shared" si="29"/>
        <v>0</v>
      </c>
      <c r="P142" s="663">
        <f t="shared" si="30"/>
        <v>0</v>
      </c>
    </row>
    <row r="143" spans="2:16">
      <c r="B143" s="9" t="str">
        <f t="shared" si="21"/>
        <v/>
      </c>
      <c r="C143" s="656">
        <f>IF(D93="","-",+C142+1)</f>
        <v>2066</v>
      </c>
      <c r="D143" s="657">
        <f>IF(F142+SUM(E$99:E142)=D$92,F142,D$92-SUM(E$99:E142))</f>
        <v>0</v>
      </c>
      <c r="E143" s="481">
        <f t="shared" si="22"/>
        <v>0</v>
      </c>
      <c r="F143" s="658">
        <f t="shared" si="23"/>
        <v>0</v>
      </c>
      <c r="G143" s="658">
        <f t="shared" si="24"/>
        <v>0</v>
      </c>
      <c r="H143" s="694">
        <f t="shared" si="25"/>
        <v>0</v>
      </c>
      <c r="I143" s="695">
        <f t="shared" si="26"/>
        <v>0</v>
      </c>
      <c r="J143" s="663">
        <f t="shared" si="27"/>
        <v>0</v>
      </c>
      <c r="K143" s="663"/>
      <c r="L143" s="132"/>
      <c r="M143" s="663">
        <f t="shared" si="28"/>
        <v>0</v>
      </c>
      <c r="N143" s="132"/>
      <c r="O143" s="663">
        <f t="shared" si="29"/>
        <v>0</v>
      </c>
      <c r="P143" s="663">
        <f t="shared" si="30"/>
        <v>0</v>
      </c>
    </row>
    <row r="144" spans="2:16">
      <c r="B144" s="9" t="str">
        <f t="shared" si="21"/>
        <v/>
      </c>
      <c r="C144" s="656">
        <f>IF(D93="","-",+C143+1)</f>
        <v>2067</v>
      </c>
      <c r="D144" s="657">
        <f>IF(F143+SUM(E$99:E143)=D$92,F143,D$92-SUM(E$99:E143))</f>
        <v>0</v>
      </c>
      <c r="E144" s="481">
        <f t="shared" si="22"/>
        <v>0</v>
      </c>
      <c r="F144" s="658">
        <f t="shared" si="23"/>
        <v>0</v>
      </c>
      <c r="G144" s="658">
        <f t="shared" si="24"/>
        <v>0</v>
      </c>
      <c r="H144" s="694">
        <f t="shared" si="25"/>
        <v>0</v>
      </c>
      <c r="I144" s="695">
        <f t="shared" si="26"/>
        <v>0</v>
      </c>
      <c r="J144" s="663">
        <f t="shared" si="27"/>
        <v>0</v>
      </c>
      <c r="K144" s="663"/>
      <c r="L144" s="132"/>
      <c r="M144" s="663">
        <f t="shared" si="28"/>
        <v>0</v>
      </c>
      <c r="N144" s="132"/>
      <c r="O144" s="663">
        <f t="shared" si="29"/>
        <v>0</v>
      </c>
      <c r="P144" s="663">
        <f t="shared" si="30"/>
        <v>0</v>
      </c>
    </row>
    <row r="145" spans="2:16">
      <c r="B145" s="9" t="str">
        <f t="shared" si="21"/>
        <v/>
      </c>
      <c r="C145" s="656">
        <f>IF(D93="","-",+C144+1)</f>
        <v>2068</v>
      </c>
      <c r="D145" s="657">
        <f>IF(F144+SUM(E$99:E144)=D$92,F144,D$92-SUM(E$99:E144))</f>
        <v>0</v>
      </c>
      <c r="E145" s="481">
        <f t="shared" si="22"/>
        <v>0</v>
      </c>
      <c r="F145" s="658">
        <f t="shared" si="23"/>
        <v>0</v>
      </c>
      <c r="G145" s="658">
        <f t="shared" si="24"/>
        <v>0</v>
      </c>
      <c r="H145" s="694">
        <f t="shared" si="25"/>
        <v>0</v>
      </c>
      <c r="I145" s="695">
        <f t="shared" si="26"/>
        <v>0</v>
      </c>
      <c r="J145" s="663">
        <f t="shared" si="27"/>
        <v>0</v>
      </c>
      <c r="K145" s="663"/>
      <c r="L145" s="132"/>
      <c r="M145" s="663">
        <f t="shared" si="28"/>
        <v>0</v>
      </c>
      <c r="N145" s="132"/>
      <c r="O145" s="663">
        <f t="shared" si="29"/>
        <v>0</v>
      </c>
      <c r="P145" s="663">
        <f t="shared" si="30"/>
        <v>0</v>
      </c>
    </row>
    <row r="146" spans="2:16">
      <c r="B146" s="9" t="str">
        <f t="shared" si="21"/>
        <v/>
      </c>
      <c r="C146" s="656">
        <f>IF(D93="","-",+C145+1)</f>
        <v>2069</v>
      </c>
      <c r="D146" s="657">
        <f>IF(F145+SUM(E$99:E145)=D$92,F145,D$92-SUM(E$99:E145))</f>
        <v>0</v>
      </c>
      <c r="E146" s="481">
        <f t="shared" si="22"/>
        <v>0</v>
      </c>
      <c r="F146" s="658">
        <f t="shared" si="23"/>
        <v>0</v>
      </c>
      <c r="G146" s="658">
        <f t="shared" si="24"/>
        <v>0</v>
      </c>
      <c r="H146" s="694">
        <f t="shared" si="25"/>
        <v>0</v>
      </c>
      <c r="I146" s="695">
        <f t="shared" si="26"/>
        <v>0</v>
      </c>
      <c r="J146" s="663">
        <f t="shared" si="27"/>
        <v>0</v>
      </c>
      <c r="K146" s="663"/>
      <c r="L146" s="132"/>
      <c r="M146" s="663">
        <f t="shared" si="28"/>
        <v>0</v>
      </c>
      <c r="N146" s="132"/>
      <c r="O146" s="663">
        <f t="shared" si="29"/>
        <v>0</v>
      </c>
      <c r="P146" s="663">
        <f t="shared" si="30"/>
        <v>0</v>
      </c>
    </row>
    <row r="147" spans="2:16">
      <c r="B147" s="9" t="str">
        <f t="shared" si="21"/>
        <v/>
      </c>
      <c r="C147" s="656">
        <f>IF(D93="","-",+C146+1)</f>
        <v>2070</v>
      </c>
      <c r="D147" s="657">
        <f>IF(F146+SUM(E$99:E146)=D$92,F146,D$92-SUM(E$99:E146))</f>
        <v>0</v>
      </c>
      <c r="E147" s="481">
        <f t="shared" si="22"/>
        <v>0</v>
      </c>
      <c r="F147" s="658">
        <f t="shared" si="23"/>
        <v>0</v>
      </c>
      <c r="G147" s="658">
        <f t="shared" si="24"/>
        <v>0</v>
      </c>
      <c r="H147" s="694">
        <f t="shared" si="25"/>
        <v>0</v>
      </c>
      <c r="I147" s="695">
        <f t="shared" si="26"/>
        <v>0</v>
      </c>
      <c r="J147" s="663">
        <f t="shared" si="27"/>
        <v>0</v>
      </c>
      <c r="K147" s="663"/>
      <c r="L147" s="132"/>
      <c r="M147" s="663">
        <f t="shared" si="28"/>
        <v>0</v>
      </c>
      <c r="N147" s="132"/>
      <c r="O147" s="663">
        <f t="shared" si="29"/>
        <v>0</v>
      </c>
      <c r="P147" s="663">
        <f t="shared" si="30"/>
        <v>0</v>
      </c>
    </row>
    <row r="148" spans="2:16">
      <c r="B148" s="9" t="str">
        <f t="shared" si="21"/>
        <v/>
      </c>
      <c r="C148" s="656">
        <f>IF(D93="","-",+C147+1)</f>
        <v>2071</v>
      </c>
      <c r="D148" s="657">
        <f>IF(F147+SUM(E$99:E147)=D$92,F147,D$92-SUM(E$99:E147))</f>
        <v>0</v>
      </c>
      <c r="E148" s="481">
        <f t="shared" si="22"/>
        <v>0</v>
      </c>
      <c r="F148" s="658">
        <f t="shared" si="23"/>
        <v>0</v>
      </c>
      <c r="G148" s="658">
        <f t="shared" si="24"/>
        <v>0</v>
      </c>
      <c r="H148" s="694">
        <f t="shared" si="25"/>
        <v>0</v>
      </c>
      <c r="I148" s="695">
        <f t="shared" si="26"/>
        <v>0</v>
      </c>
      <c r="J148" s="663">
        <f t="shared" si="27"/>
        <v>0</v>
      </c>
      <c r="K148" s="663"/>
      <c r="L148" s="132"/>
      <c r="M148" s="663">
        <f t="shared" si="28"/>
        <v>0</v>
      </c>
      <c r="N148" s="132"/>
      <c r="O148" s="663">
        <f t="shared" si="29"/>
        <v>0</v>
      </c>
      <c r="P148" s="663">
        <f t="shared" si="30"/>
        <v>0</v>
      </c>
    </row>
    <row r="149" spans="2:16">
      <c r="B149" s="9" t="str">
        <f t="shared" si="21"/>
        <v/>
      </c>
      <c r="C149" s="656">
        <f>IF(D93="","-",+C148+1)</f>
        <v>2072</v>
      </c>
      <c r="D149" s="657">
        <f>IF(F148+SUM(E$99:E148)=D$92,F148,D$92-SUM(E$99:E148))</f>
        <v>0</v>
      </c>
      <c r="E149" s="481">
        <f t="shared" si="22"/>
        <v>0</v>
      </c>
      <c r="F149" s="658">
        <f t="shared" si="23"/>
        <v>0</v>
      </c>
      <c r="G149" s="658">
        <f t="shared" si="24"/>
        <v>0</v>
      </c>
      <c r="H149" s="694">
        <f t="shared" si="25"/>
        <v>0</v>
      </c>
      <c r="I149" s="695">
        <f t="shared" si="26"/>
        <v>0</v>
      </c>
      <c r="J149" s="663">
        <f t="shared" si="27"/>
        <v>0</v>
      </c>
      <c r="K149" s="663"/>
      <c r="L149" s="132"/>
      <c r="M149" s="663">
        <f t="shared" si="28"/>
        <v>0</v>
      </c>
      <c r="N149" s="132"/>
      <c r="O149" s="663">
        <f t="shared" si="29"/>
        <v>0</v>
      </c>
      <c r="P149" s="663">
        <f t="shared" si="30"/>
        <v>0</v>
      </c>
    </row>
    <row r="150" spans="2:16">
      <c r="B150" s="9" t="str">
        <f t="shared" si="21"/>
        <v/>
      </c>
      <c r="C150" s="656">
        <f>IF(D93="","-",+C149+1)</f>
        <v>2073</v>
      </c>
      <c r="D150" s="657">
        <f>IF(F149+SUM(E$99:E149)=D$92,F149,D$92-SUM(E$99:E149))</f>
        <v>0</v>
      </c>
      <c r="E150" s="481">
        <f t="shared" si="22"/>
        <v>0</v>
      </c>
      <c r="F150" s="658">
        <f t="shared" si="23"/>
        <v>0</v>
      </c>
      <c r="G150" s="658">
        <f t="shared" si="24"/>
        <v>0</v>
      </c>
      <c r="H150" s="694">
        <f t="shared" si="25"/>
        <v>0</v>
      </c>
      <c r="I150" s="695">
        <f t="shared" si="26"/>
        <v>0</v>
      </c>
      <c r="J150" s="663">
        <f t="shared" si="27"/>
        <v>0</v>
      </c>
      <c r="K150" s="663"/>
      <c r="L150" s="132"/>
      <c r="M150" s="663">
        <f t="shared" si="28"/>
        <v>0</v>
      </c>
      <c r="N150" s="132"/>
      <c r="O150" s="663">
        <f t="shared" si="29"/>
        <v>0</v>
      </c>
      <c r="P150" s="663">
        <f t="shared" si="30"/>
        <v>0</v>
      </c>
    </row>
    <row r="151" spans="2:16">
      <c r="B151" s="9" t="str">
        <f t="shared" si="21"/>
        <v/>
      </c>
      <c r="C151" s="656">
        <f>IF(D93="","-",+C150+1)</f>
        <v>2074</v>
      </c>
      <c r="D151" s="657">
        <f>IF(F150+SUM(E$99:E150)=D$92,F150,D$92-SUM(E$99:E150))</f>
        <v>0</v>
      </c>
      <c r="E151" s="481">
        <f t="shared" si="22"/>
        <v>0</v>
      </c>
      <c r="F151" s="658">
        <f t="shared" si="23"/>
        <v>0</v>
      </c>
      <c r="G151" s="658">
        <f t="shared" si="24"/>
        <v>0</v>
      </c>
      <c r="H151" s="694">
        <f t="shared" si="25"/>
        <v>0</v>
      </c>
      <c r="I151" s="695">
        <f t="shared" si="26"/>
        <v>0</v>
      </c>
      <c r="J151" s="663">
        <f t="shared" si="27"/>
        <v>0</v>
      </c>
      <c r="K151" s="663"/>
      <c r="L151" s="132"/>
      <c r="M151" s="663">
        <f t="shared" si="28"/>
        <v>0</v>
      </c>
      <c r="N151" s="132"/>
      <c r="O151" s="663">
        <f t="shared" si="29"/>
        <v>0</v>
      </c>
      <c r="P151" s="663">
        <f t="shared" si="30"/>
        <v>0</v>
      </c>
    </row>
    <row r="152" spans="2:16">
      <c r="B152" s="9" t="str">
        <f t="shared" si="21"/>
        <v/>
      </c>
      <c r="C152" s="656">
        <f>IF(D93="","-",+C151+1)</f>
        <v>2075</v>
      </c>
      <c r="D152" s="657">
        <f>IF(F151+SUM(E$99:E151)=D$92,F151,D$92-SUM(E$99:E151))</f>
        <v>0</v>
      </c>
      <c r="E152" s="481">
        <f t="shared" si="22"/>
        <v>0</v>
      </c>
      <c r="F152" s="658">
        <f t="shared" si="23"/>
        <v>0</v>
      </c>
      <c r="G152" s="658">
        <f t="shared" si="24"/>
        <v>0</v>
      </c>
      <c r="H152" s="694">
        <f t="shared" si="25"/>
        <v>0</v>
      </c>
      <c r="I152" s="695">
        <f t="shared" si="26"/>
        <v>0</v>
      </c>
      <c r="J152" s="663">
        <f t="shared" si="27"/>
        <v>0</v>
      </c>
      <c r="K152" s="663"/>
      <c r="L152" s="132"/>
      <c r="M152" s="663">
        <f t="shared" si="28"/>
        <v>0</v>
      </c>
      <c r="N152" s="132"/>
      <c r="O152" s="663">
        <f t="shared" si="29"/>
        <v>0</v>
      </c>
      <c r="P152" s="663">
        <f t="shared" si="30"/>
        <v>0</v>
      </c>
    </row>
    <row r="153" spans="2:16">
      <c r="B153" s="9" t="str">
        <f t="shared" si="21"/>
        <v/>
      </c>
      <c r="C153" s="656">
        <f>IF(D93="","-",+C152+1)</f>
        <v>2076</v>
      </c>
      <c r="D153" s="657">
        <f>IF(F152+SUM(E$99:E152)=D$92,F152,D$92-SUM(E$99:E152))</f>
        <v>0</v>
      </c>
      <c r="E153" s="481">
        <f t="shared" si="22"/>
        <v>0</v>
      </c>
      <c r="F153" s="658">
        <f t="shared" si="23"/>
        <v>0</v>
      </c>
      <c r="G153" s="658">
        <f t="shared" si="24"/>
        <v>0</v>
      </c>
      <c r="H153" s="694">
        <f t="shared" si="25"/>
        <v>0</v>
      </c>
      <c r="I153" s="695">
        <f t="shared" si="26"/>
        <v>0</v>
      </c>
      <c r="J153" s="663">
        <f t="shared" si="27"/>
        <v>0</v>
      </c>
      <c r="K153" s="663"/>
      <c r="L153" s="132"/>
      <c r="M153" s="663">
        <f t="shared" si="28"/>
        <v>0</v>
      </c>
      <c r="N153" s="132"/>
      <c r="O153" s="663">
        <f t="shared" si="29"/>
        <v>0</v>
      </c>
      <c r="P153" s="663">
        <f t="shared" si="30"/>
        <v>0</v>
      </c>
    </row>
    <row r="154" spans="2:16" ht="13" thickBot="1">
      <c r="B154" s="9" t="str">
        <f t="shared" si="21"/>
        <v/>
      </c>
      <c r="C154" s="665">
        <f>IF(D93="","-",+C153+1)</f>
        <v>2077</v>
      </c>
      <c r="D154" s="690">
        <f>IF(F153+SUM(E$99:E153)=D$92,F153,D$92-SUM(E$99:E153))</f>
        <v>0</v>
      </c>
      <c r="E154" s="488">
        <f t="shared" si="22"/>
        <v>0</v>
      </c>
      <c r="F154" s="666">
        <f t="shared" si="23"/>
        <v>0</v>
      </c>
      <c r="G154" s="666">
        <f t="shared" si="24"/>
        <v>0</v>
      </c>
      <c r="H154" s="609">
        <f t="shared" si="25"/>
        <v>0</v>
      </c>
      <c r="I154" s="610">
        <f t="shared" si="26"/>
        <v>0</v>
      </c>
      <c r="J154" s="669">
        <f t="shared" si="27"/>
        <v>0</v>
      </c>
      <c r="K154" s="663"/>
      <c r="L154" s="133"/>
      <c r="M154" s="669">
        <f t="shared" si="28"/>
        <v>0</v>
      </c>
      <c r="N154" s="133"/>
      <c r="O154" s="669">
        <f t="shared" si="29"/>
        <v>0</v>
      </c>
      <c r="P154" s="669">
        <f t="shared" si="30"/>
        <v>0</v>
      </c>
    </row>
    <row r="155" spans="2:16">
      <c r="C155" s="657" t="s">
        <v>77</v>
      </c>
      <c r="D155" s="636"/>
      <c r="E155" s="636">
        <f>SUM(E99:E154)</f>
        <v>37862.589999999997</v>
      </c>
      <c r="F155" s="636"/>
      <c r="G155" s="636"/>
      <c r="H155" s="636">
        <f>SUM(H99:H154)</f>
        <v>125327.92659740458</v>
      </c>
      <c r="I155" s="636">
        <f>SUM(I99:I154)</f>
        <v>125327.92659740458</v>
      </c>
      <c r="J155" s="636">
        <f>SUM(J99:J154)</f>
        <v>0</v>
      </c>
      <c r="K155" s="636"/>
      <c r="L155" s="636"/>
      <c r="M155" s="636"/>
      <c r="N155" s="636"/>
      <c r="O155" s="636"/>
      <c r="P155" s="630"/>
    </row>
    <row r="156" spans="2:16">
      <c r="C156" t="s">
        <v>100</v>
      </c>
      <c r="D156" s="631"/>
      <c r="E156" s="630"/>
      <c r="F156" s="630"/>
      <c r="G156" s="630"/>
      <c r="H156" s="630"/>
      <c r="I156" s="633"/>
      <c r="J156" s="633"/>
      <c r="K156" s="636"/>
      <c r="L156" s="633"/>
      <c r="M156" s="633"/>
      <c r="N156" s="633"/>
      <c r="O156" s="633"/>
      <c r="P156" s="630"/>
    </row>
    <row r="157" spans="2:16">
      <c r="C157" s="99"/>
      <c r="D157" s="631"/>
      <c r="E157" s="630"/>
      <c r="F157" s="630"/>
      <c r="G157" s="630"/>
      <c r="H157" s="630"/>
      <c r="I157" s="633"/>
      <c r="J157" s="633"/>
      <c r="K157" s="636"/>
      <c r="L157" s="633"/>
      <c r="M157" s="633"/>
      <c r="N157" s="633"/>
      <c r="O157" s="633"/>
      <c r="P157" s="630"/>
    </row>
    <row r="158" spans="2:16" ht="13">
      <c r="C158" s="115" t="s">
        <v>148</v>
      </c>
      <c r="D158" s="631"/>
      <c r="E158" s="630"/>
      <c r="F158" s="630"/>
      <c r="G158" s="630"/>
      <c r="H158" s="630"/>
      <c r="I158" s="633"/>
      <c r="J158" s="633"/>
      <c r="K158" s="636"/>
      <c r="L158" s="633"/>
      <c r="M158" s="633"/>
      <c r="N158" s="633"/>
      <c r="O158" s="633"/>
      <c r="P158" s="630"/>
    </row>
    <row r="159" spans="2:16" ht="13">
      <c r="C159" s="639" t="s">
        <v>78</v>
      </c>
      <c r="D159" s="657"/>
      <c r="E159" s="657"/>
      <c r="F159" s="657"/>
      <c r="G159" s="657"/>
      <c r="H159" s="636"/>
      <c r="I159" s="636"/>
      <c r="J159" s="670"/>
      <c r="K159" s="670"/>
      <c r="L159" s="670"/>
      <c r="M159" s="670"/>
      <c r="N159" s="670"/>
      <c r="O159" s="670"/>
      <c r="P159" s="630"/>
    </row>
    <row r="160" spans="2:16" ht="13">
      <c r="C160" s="691" t="s">
        <v>79</v>
      </c>
      <c r="D160" s="657"/>
      <c r="E160" s="657"/>
      <c r="F160" s="657"/>
      <c r="G160" s="657"/>
      <c r="H160" s="636"/>
      <c r="I160" s="636"/>
      <c r="J160" s="670"/>
      <c r="K160" s="670"/>
      <c r="L160" s="670"/>
      <c r="M160" s="670"/>
      <c r="N160" s="670"/>
      <c r="O160" s="670"/>
      <c r="P160" s="630"/>
    </row>
    <row r="161" spans="3:16" ht="13">
      <c r="C161" s="691"/>
      <c r="D161" s="657"/>
      <c r="E161" s="657"/>
      <c r="F161" s="657"/>
      <c r="G161" s="657"/>
      <c r="H161" s="636"/>
      <c r="I161" s="636"/>
      <c r="J161" s="670"/>
      <c r="K161" s="670"/>
      <c r="L161" s="670"/>
      <c r="M161" s="670"/>
      <c r="N161" s="670"/>
      <c r="O161" s="670"/>
      <c r="P161" s="630"/>
    </row>
    <row r="162" spans="3:16" ht="17.5">
      <c r="C162" s="691"/>
      <c r="D162" s="657"/>
      <c r="E162" s="657"/>
      <c r="F162" s="657"/>
      <c r="G162" s="657"/>
      <c r="H162" s="636"/>
      <c r="I162" s="636"/>
      <c r="J162" s="670"/>
      <c r="K162" s="670"/>
      <c r="L162" s="670"/>
      <c r="M162" s="670"/>
      <c r="N162" s="670"/>
      <c r="P162" s="692" t="s">
        <v>145</v>
      </c>
    </row>
  </sheetData>
  <conditionalFormatting sqref="C17:C72">
    <cfRule type="cellIs" dxfId="15" priority="1" stopIfTrue="1" operator="equal">
      <formula>$I$10</formula>
    </cfRule>
  </conditionalFormatting>
  <conditionalFormatting sqref="C99:C154">
    <cfRule type="cellIs" dxfId="14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C4AAE-D46C-463D-AC52-DE26EE120341}">
  <dimension ref="A1:P162"/>
  <sheetViews>
    <sheetView topLeftCell="A58" zoomScale="80" zoomScaleNormal="80" workbookViewId="0">
      <selection activeCell="Q18" sqref="Q18:V52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630"/>
      <c r="C1" s="630"/>
      <c r="D1" s="631"/>
      <c r="E1" s="630"/>
      <c r="F1" s="632"/>
      <c r="G1" s="630"/>
      <c r="H1" s="633"/>
      <c r="K1" s="19"/>
      <c r="L1" s="19"/>
      <c r="M1" s="19"/>
      <c r="P1" s="414" t="str">
        <f ca="1">"PSO Project "&amp;RIGHT(MID(CELL("filename",$A$1),FIND("]",CELL("filename",$A$1))+1,256),2)&amp;" of "&amp;COUNT('P.001:P.xyz - blank'!$P$3)-1</f>
        <v>PSO Project 30 of 35</v>
      </c>
    </row>
    <row r="2" spans="1:16" ht="17.5">
      <c r="B2" s="630"/>
      <c r="C2" s="630"/>
      <c r="D2" s="631"/>
      <c r="E2" s="630"/>
      <c r="F2" s="630"/>
      <c r="G2" s="630"/>
      <c r="H2" s="633"/>
      <c r="I2" s="630"/>
      <c r="J2" s="630"/>
      <c r="K2" s="630"/>
      <c r="L2" s="630"/>
      <c r="M2" s="630"/>
      <c r="N2" s="630"/>
      <c r="P2" s="117" t="s">
        <v>150</v>
      </c>
    </row>
    <row r="3" spans="1:16" ht="18">
      <c r="B3" s="634" t="s">
        <v>42</v>
      </c>
      <c r="C3" s="635" t="s">
        <v>43</v>
      </c>
      <c r="D3" s="631"/>
      <c r="E3" s="630"/>
      <c r="F3" s="630"/>
      <c r="G3" s="630"/>
      <c r="H3" s="633"/>
      <c r="I3" s="633"/>
      <c r="J3" s="636"/>
      <c r="K3" s="633"/>
      <c r="L3" s="633"/>
      <c r="M3" s="633"/>
      <c r="N3" s="633"/>
      <c r="O3" s="630"/>
      <c r="P3" s="108">
        <v>1</v>
      </c>
    </row>
    <row r="4" spans="1:16" ht="16" thickBot="1">
      <c r="C4" s="637"/>
      <c r="D4" s="631"/>
      <c r="E4" s="630"/>
      <c r="F4" s="630"/>
      <c r="G4" s="630"/>
      <c r="H4" s="633"/>
      <c r="I4" s="633"/>
      <c r="J4" s="636"/>
      <c r="K4" s="633"/>
      <c r="L4" s="633"/>
      <c r="M4" s="633"/>
      <c r="N4" s="633"/>
      <c r="O4" s="630"/>
      <c r="P4" s="630"/>
    </row>
    <row r="5" spans="1:16" ht="15.5">
      <c r="C5" s="21" t="s">
        <v>44</v>
      </c>
      <c r="D5" s="631"/>
      <c r="E5" s="630"/>
      <c r="F5" s="630"/>
      <c r="G5" s="418"/>
      <c r="H5" s="630" t="s">
        <v>45</v>
      </c>
      <c r="I5" s="630"/>
      <c r="J5" s="630"/>
      <c r="K5" s="23" t="s">
        <v>279</v>
      </c>
      <c r="L5" s="24"/>
      <c r="M5" s="638"/>
      <c r="N5" s="422">
        <f>VLOOKUP(I10,C17:I72,5)</f>
        <v>227264.99335755705</v>
      </c>
      <c r="P5" s="630"/>
    </row>
    <row r="6" spans="1:16" ht="15.5">
      <c r="C6" s="8"/>
      <c r="D6" s="631"/>
      <c r="E6" s="630"/>
      <c r="F6" s="630"/>
      <c r="G6" s="630"/>
      <c r="H6" s="423"/>
      <c r="I6" s="423"/>
      <c r="J6" s="424"/>
      <c r="K6" s="29" t="s">
        <v>280</v>
      </c>
      <c r="L6" s="426"/>
      <c r="M6" s="630"/>
      <c r="N6" s="427">
        <f>VLOOKUP(I10,C17:I72,6)</f>
        <v>227264.99335755705</v>
      </c>
      <c r="O6" s="630"/>
      <c r="P6" s="630"/>
    </row>
    <row r="7" spans="1:16" ht="13.5" thickBot="1">
      <c r="C7" s="639" t="s">
        <v>46</v>
      </c>
      <c r="D7" s="613" t="s">
        <v>336</v>
      </c>
      <c r="E7" s="630"/>
      <c r="F7" s="630"/>
      <c r="G7" s="630"/>
      <c r="H7" s="633"/>
      <c r="I7" s="633"/>
      <c r="J7" s="636"/>
      <c r="K7" s="430" t="s">
        <v>47</v>
      </c>
      <c r="L7" s="640"/>
      <c r="M7" s="640"/>
      <c r="N7" s="641">
        <f>+N6-N5</f>
        <v>0</v>
      </c>
      <c r="O7" s="630"/>
      <c r="P7" s="630"/>
    </row>
    <row r="8" spans="1:16" ht="13.5" thickBot="1">
      <c r="C8" s="642"/>
      <c r="D8" s="99"/>
      <c r="E8" s="643"/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30"/>
    </row>
    <row r="9" spans="1:16" ht="13.5" thickBot="1">
      <c r="C9" s="644" t="s">
        <v>48</v>
      </c>
      <c r="D9" s="106" t="s">
        <v>339</v>
      </c>
      <c r="E9" s="645" t="s">
        <v>337</v>
      </c>
      <c r="F9" s="646"/>
      <c r="G9" s="646"/>
      <c r="H9" s="646"/>
      <c r="I9" s="647"/>
      <c r="J9" s="648"/>
      <c r="P9" s="630"/>
    </row>
    <row r="10" spans="1:16" ht="13">
      <c r="C10" s="649" t="s">
        <v>226</v>
      </c>
      <c r="D10" s="444">
        <v>1822797</v>
      </c>
      <c r="E10" s="630" t="s">
        <v>51</v>
      </c>
      <c r="G10" s="631"/>
      <c r="H10" s="631"/>
      <c r="I10" s="650">
        <v>2024</v>
      </c>
      <c r="J10" s="648"/>
      <c r="K10" s="636" t="s">
        <v>52</v>
      </c>
      <c r="O10" s="630"/>
      <c r="P10" s="630"/>
    </row>
    <row r="11" spans="1:16">
      <c r="C11" s="651" t="s">
        <v>53</v>
      </c>
      <c r="D11" s="47">
        <v>2021</v>
      </c>
      <c r="E11" s="651" t="s">
        <v>54</v>
      </c>
      <c r="F11" s="631"/>
      <c r="I11" s="652">
        <v>0</v>
      </c>
      <c r="J11" s="65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630"/>
      <c r="P11" s="630"/>
    </row>
    <row r="12" spans="1:16">
      <c r="C12" s="651" t="s">
        <v>55</v>
      </c>
      <c r="D12" s="444">
        <v>11</v>
      </c>
      <c r="E12" s="651" t="s">
        <v>56</v>
      </c>
      <c r="F12" s="631"/>
      <c r="I12" s="654">
        <v>0.10781124580725182</v>
      </c>
      <c r="J12" s="632"/>
      <c r="K12" t="s">
        <v>57</v>
      </c>
      <c r="O12" s="630"/>
      <c r="P12" s="630"/>
    </row>
    <row r="13" spans="1:16">
      <c r="C13" s="651" t="s">
        <v>58</v>
      </c>
      <c r="D13" s="652">
        <v>42</v>
      </c>
      <c r="E13" s="651" t="s">
        <v>59</v>
      </c>
      <c r="F13" s="631"/>
      <c r="I13" s="654">
        <v>0.10781124580725182</v>
      </c>
      <c r="J13" s="632"/>
      <c r="K13" s="636" t="s">
        <v>60</v>
      </c>
      <c r="L13" s="632"/>
      <c r="M13" s="632"/>
      <c r="N13" s="632"/>
      <c r="O13" s="630"/>
      <c r="P13" s="630"/>
    </row>
    <row r="14" spans="1:16" ht="13" thickBot="1">
      <c r="C14" s="651" t="s">
        <v>61</v>
      </c>
      <c r="D14" s="47" t="s">
        <v>62</v>
      </c>
      <c r="E14" s="630" t="s">
        <v>63</v>
      </c>
      <c r="F14" s="631"/>
      <c r="I14" s="655">
        <f>IF(D10=0,0,D10/D13)</f>
        <v>43399.928571428572</v>
      </c>
      <c r="J14" s="636"/>
      <c r="K14" s="636"/>
      <c r="L14" s="636"/>
      <c r="M14" s="636"/>
      <c r="N14" s="636"/>
      <c r="O14" s="630"/>
      <c r="P14" s="630"/>
    </row>
    <row r="15" spans="1:16" ht="39">
      <c r="C15" s="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53" t="s">
        <v>67</v>
      </c>
      <c r="J15" s="55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630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462" t="s">
        <v>73</v>
      </c>
      <c r="H16" s="463" t="s">
        <v>74</v>
      </c>
      <c r="I16" s="57" t="s">
        <v>104</v>
      </c>
      <c r="J16" s="5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630"/>
    </row>
    <row r="17" spans="2:16" ht="13" thickBot="1">
      <c r="B17" s="9"/>
      <c r="C17" s="656">
        <f>IF(D11= "","-",D11)</f>
        <v>2021</v>
      </c>
      <c r="D17" s="617">
        <v>0</v>
      </c>
      <c r="E17" s="618">
        <v>0</v>
      </c>
      <c r="F17" s="619">
        <v>1613510.2261904762</v>
      </c>
      <c r="G17" s="618">
        <v>0</v>
      </c>
      <c r="H17" s="620">
        <v>0</v>
      </c>
      <c r="I17" s="660">
        <f>H17-G17</f>
        <v>0</v>
      </c>
      <c r="J17" s="660"/>
      <c r="K17" s="661">
        <f>+G17</f>
        <v>0</v>
      </c>
      <c r="L17" s="662">
        <f t="shared" ref="L17:L72" si="0">IF(K17&lt;&gt;0,+G17-K17,0)</f>
        <v>0</v>
      </c>
      <c r="M17" s="661">
        <f>+H17</f>
        <v>0</v>
      </c>
      <c r="N17" s="662">
        <f t="shared" ref="N17:N72" si="1">IF(M17&lt;&gt;0,+H17-M17,0)</f>
        <v>0</v>
      </c>
      <c r="O17" s="663">
        <f t="shared" ref="O17:O72" si="2">+N17-L17</f>
        <v>0</v>
      </c>
      <c r="P17" s="630"/>
    </row>
    <row r="18" spans="2:16" ht="13" thickBot="1">
      <c r="B18" s="9" t="str">
        <f>IF(D18=F17,"","IU")</f>
        <v>IU</v>
      </c>
      <c r="C18" s="656">
        <f>IF(D11="","-",+C17+1)</f>
        <v>2022</v>
      </c>
      <c r="D18" s="470">
        <v>1865411</v>
      </c>
      <c r="E18" s="477">
        <v>47831.051282051281</v>
      </c>
      <c r="F18" s="470">
        <v>1817579.9487179487</v>
      </c>
      <c r="G18" s="477">
        <v>267630.01874077739</v>
      </c>
      <c r="H18" s="478">
        <v>267630.01874077739</v>
      </c>
      <c r="I18" s="660">
        <f>H18-G18</f>
        <v>0</v>
      </c>
      <c r="J18" s="660"/>
      <c r="K18" s="661">
        <f>+G18</f>
        <v>267630.01874077739</v>
      </c>
      <c r="L18" s="662">
        <f t="shared" ref="L18" si="3">IF(K18&lt;&gt;0,+G18-K18,0)</f>
        <v>0</v>
      </c>
      <c r="M18" s="661">
        <f>+H18</f>
        <v>267630.01874077739</v>
      </c>
      <c r="N18" s="663">
        <f t="shared" si="1"/>
        <v>0</v>
      </c>
      <c r="O18" s="663">
        <f t="shared" si="2"/>
        <v>0</v>
      </c>
      <c r="P18" s="630"/>
    </row>
    <row r="19" spans="2:16" ht="13" thickBot="1">
      <c r="B19" s="9" t="str">
        <f>IF(D19=F18,"","IU")</f>
        <v/>
      </c>
      <c r="C19" s="656">
        <f>IF(D11="","-",+C18+1)</f>
        <v>2023</v>
      </c>
      <c r="D19" s="470">
        <v>1817579.9487179487</v>
      </c>
      <c r="E19" s="477">
        <v>47831.051282051281</v>
      </c>
      <c r="F19" s="470">
        <v>1769748.8974358975</v>
      </c>
      <c r="G19" s="477">
        <v>261920.95465094032</v>
      </c>
      <c r="H19" s="478">
        <v>261920.95465094032</v>
      </c>
      <c r="I19" s="660">
        <f t="shared" ref="I19:I71" si="4">H19-G19</f>
        <v>0</v>
      </c>
      <c r="J19" s="660"/>
      <c r="K19" s="661">
        <f>+G19</f>
        <v>261920.95465094032</v>
      </c>
      <c r="L19" s="662">
        <f t="shared" ref="L19" si="5">IF(K19&lt;&gt;0,+G19-K19,0)</f>
        <v>0</v>
      </c>
      <c r="M19" s="661">
        <f>+H19</f>
        <v>261920.95465094032</v>
      </c>
      <c r="N19" s="663">
        <f t="shared" si="1"/>
        <v>0</v>
      </c>
      <c r="O19" s="663">
        <f t="shared" si="2"/>
        <v>0</v>
      </c>
      <c r="P19" s="630"/>
    </row>
    <row r="20" spans="2:16">
      <c r="B20" s="9" t="str">
        <f t="shared" ref="B20:B72" si="6">IF(D20=F19,"","IU")</f>
        <v>IU</v>
      </c>
      <c r="C20" s="656">
        <f>IF(D11="","-",+C19+1)</f>
        <v>2024</v>
      </c>
      <c r="D20" s="470">
        <v>1727134.8974358975</v>
      </c>
      <c r="E20" s="477">
        <v>43399.928571428572</v>
      </c>
      <c r="F20" s="470">
        <v>1683734.9688644689</v>
      </c>
      <c r="G20" s="477">
        <v>227264.99335755705</v>
      </c>
      <c r="H20" s="478">
        <v>227264.99335755705</v>
      </c>
      <c r="I20" s="660">
        <f t="shared" si="4"/>
        <v>0</v>
      </c>
      <c r="J20" s="660"/>
      <c r="K20" s="661">
        <f>+G20</f>
        <v>227264.99335755705</v>
      </c>
      <c r="L20" s="662">
        <f t="shared" ref="L20" si="7">IF(K20&lt;&gt;0,+G20-K20,0)</f>
        <v>0</v>
      </c>
      <c r="M20" s="661">
        <f>+H20</f>
        <v>227264.99335755705</v>
      </c>
      <c r="N20" s="663">
        <f t="shared" ref="N20" si="8">IF(M20&lt;&gt;0,+H20-M20,0)</f>
        <v>0</v>
      </c>
      <c r="O20" s="663">
        <f t="shared" ref="O20" si="9">+N20-L20</f>
        <v>0</v>
      </c>
      <c r="P20" s="630"/>
    </row>
    <row r="21" spans="2:16">
      <c r="B21" s="9" t="str">
        <f t="shared" si="6"/>
        <v/>
      </c>
      <c r="C21" s="656">
        <f>IF(D11="","-",+C20+1)</f>
        <v>2025</v>
      </c>
      <c r="D21" s="658">
        <f>IF(F20+SUM(E$17:E20)=D$10,F20,D$10-SUM(E$17:E20))</f>
        <v>1683734.9688644689</v>
      </c>
      <c r="E21" s="69">
        <f t="shared" ref="E21:E71" si="10">IF(+I$14&lt;F20,I$14,D21)</f>
        <v>43399.928571428572</v>
      </c>
      <c r="F21" s="658">
        <f t="shared" ref="F21:F71" si="11">+D21-E21</f>
        <v>1640335.0402930402</v>
      </c>
      <c r="G21" s="664">
        <f t="shared" ref="G21:G71" si="12">(D21+F21)/2*I$12+E21</f>
        <v>222585.99299032558</v>
      </c>
      <c r="H21" s="659">
        <f t="shared" ref="H21:H71" si="13">+(D21+F21)/2*I$13+E21</f>
        <v>222585.99299032558</v>
      </c>
      <c r="I21" s="660">
        <f t="shared" si="4"/>
        <v>0</v>
      </c>
      <c r="J21" s="660"/>
      <c r="K21" s="132"/>
      <c r="L21" s="663">
        <f t="shared" si="0"/>
        <v>0</v>
      </c>
      <c r="M21" s="132"/>
      <c r="N21" s="663">
        <f t="shared" si="1"/>
        <v>0</v>
      </c>
      <c r="O21" s="663">
        <f t="shared" si="2"/>
        <v>0</v>
      </c>
      <c r="P21" s="630"/>
    </row>
    <row r="22" spans="2:16">
      <c r="B22" s="9" t="str">
        <f t="shared" si="6"/>
        <v/>
      </c>
      <c r="C22" s="656">
        <f>IF(D11="","-",+C21+1)</f>
        <v>2026</v>
      </c>
      <c r="D22" s="658">
        <f>IF(F21+SUM(E$17:E21)=D$10,F21,D$10-SUM(E$17:E21))</f>
        <v>1640335.0402930402</v>
      </c>
      <c r="E22" s="69">
        <f t="shared" si="10"/>
        <v>43399.928571428572</v>
      </c>
      <c r="F22" s="658">
        <f t="shared" si="11"/>
        <v>1596935.1117216116</v>
      </c>
      <c r="G22" s="664">
        <f t="shared" si="12"/>
        <v>217906.99262309412</v>
      </c>
      <c r="H22" s="659">
        <f t="shared" si="13"/>
        <v>217906.99262309412</v>
      </c>
      <c r="I22" s="660">
        <f t="shared" si="4"/>
        <v>0</v>
      </c>
      <c r="J22" s="660"/>
      <c r="K22" s="132"/>
      <c r="L22" s="663">
        <f t="shared" si="0"/>
        <v>0</v>
      </c>
      <c r="M22" s="132"/>
      <c r="N22" s="663">
        <f t="shared" si="1"/>
        <v>0</v>
      </c>
      <c r="O22" s="663">
        <f t="shared" si="2"/>
        <v>0</v>
      </c>
      <c r="P22" s="630"/>
    </row>
    <row r="23" spans="2:16">
      <c r="B23" s="9" t="str">
        <f t="shared" si="6"/>
        <v/>
      </c>
      <c r="C23" s="656">
        <f>IF(D11="","-",+C22+1)</f>
        <v>2027</v>
      </c>
      <c r="D23" s="658">
        <f>IF(F22+SUM(E$17:E22)=D$10,F22,D$10-SUM(E$17:E22))</f>
        <v>1596935.1117216116</v>
      </c>
      <c r="E23" s="69">
        <f t="shared" si="10"/>
        <v>43399.928571428572</v>
      </c>
      <c r="F23" s="658">
        <f t="shared" si="11"/>
        <v>1553535.1831501829</v>
      </c>
      <c r="G23" s="664">
        <f t="shared" si="12"/>
        <v>213227.99225586266</v>
      </c>
      <c r="H23" s="659">
        <f t="shared" si="13"/>
        <v>213227.99225586266</v>
      </c>
      <c r="I23" s="660">
        <f t="shared" si="4"/>
        <v>0</v>
      </c>
      <c r="J23" s="660"/>
      <c r="K23" s="132"/>
      <c r="L23" s="663">
        <f t="shared" si="0"/>
        <v>0</v>
      </c>
      <c r="M23" s="132"/>
      <c r="N23" s="663">
        <f t="shared" si="1"/>
        <v>0</v>
      </c>
      <c r="O23" s="663">
        <f t="shared" si="2"/>
        <v>0</v>
      </c>
      <c r="P23" s="630"/>
    </row>
    <row r="24" spans="2:16">
      <c r="B24" s="9" t="str">
        <f t="shared" si="6"/>
        <v/>
      </c>
      <c r="C24" s="656">
        <f>IF(D11="","-",+C23+1)</f>
        <v>2028</v>
      </c>
      <c r="D24" s="658">
        <f>IF(F23+SUM(E$17:E23)=D$10,F23,D$10-SUM(E$17:E23))</f>
        <v>1553535.1831501829</v>
      </c>
      <c r="E24" s="69">
        <f t="shared" si="10"/>
        <v>43399.928571428572</v>
      </c>
      <c r="F24" s="658">
        <f t="shared" si="11"/>
        <v>1510135.2545787543</v>
      </c>
      <c r="G24" s="664">
        <f t="shared" si="12"/>
        <v>208548.99188863119</v>
      </c>
      <c r="H24" s="659">
        <f t="shared" si="13"/>
        <v>208548.99188863119</v>
      </c>
      <c r="I24" s="660">
        <f t="shared" si="4"/>
        <v>0</v>
      </c>
      <c r="J24" s="660"/>
      <c r="K24" s="132"/>
      <c r="L24" s="663">
        <f t="shared" si="0"/>
        <v>0</v>
      </c>
      <c r="M24" s="132"/>
      <c r="N24" s="663">
        <f t="shared" si="1"/>
        <v>0</v>
      </c>
      <c r="O24" s="663">
        <f t="shared" si="2"/>
        <v>0</v>
      </c>
      <c r="P24" s="630"/>
    </row>
    <row r="25" spans="2:16">
      <c r="B25" s="9" t="str">
        <f t="shared" si="6"/>
        <v/>
      </c>
      <c r="C25" s="656">
        <f>IF(D11="","-",+C24+1)</f>
        <v>2029</v>
      </c>
      <c r="D25" s="658">
        <f>IF(F24+SUM(E$17:E24)=D$10,F24,D$10-SUM(E$17:E24))</f>
        <v>1510135.2545787543</v>
      </c>
      <c r="E25" s="69">
        <f t="shared" si="10"/>
        <v>43399.928571428572</v>
      </c>
      <c r="F25" s="658">
        <f t="shared" si="11"/>
        <v>1466735.3260073257</v>
      </c>
      <c r="G25" s="664">
        <f t="shared" si="12"/>
        <v>203869.99152139973</v>
      </c>
      <c r="H25" s="659">
        <f t="shared" si="13"/>
        <v>203869.99152139973</v>
      </c>
      <c r="I25" s="660">
        <f t="shared" si="4"/>
        <v>0</v>
      </c>
      <c r="J25" s="660"/>
      <c r="K25" s="132"/>
      <c r="L25" s="663">
        <f t="shared" si="0"/>
        <v>0</v>
      </c>
      <c r="M25" s="132"/>
      <c r="N25" s="663">
        <f t="shared" si="1"/>
        <v>0</v>
      </c>
      <c r="O25" s="663">
        <f t="shared" si="2"/>
        <v>0</v>
      </c>
      <c r="P25" s="630"/>
    </row>
    <row r="26" spans="2:16">
      <c r="B26" s="9" t="str">
        <f t="shared" si="6"/>
        <v/>
      </c>
      <c r="C26" s="656">
        <f>IF(D11="","-",+C25+1)</f>
        <v>2030</v>
      </c>
      <c r="D26" s="658">
        <f>IF(F25+SUM(E$17:E25)=D$10,F25,D$10-SUM(E$17:E25))</f>
        <v>1466735.3260073257</v>
      </c>
      <c r="E26" s="69">
        <f t="shared" si="10"/>
        <v>43399.928571428572</v>
      </c>
      <c r="F26" s="658">
        <f t="shared" si="11"/>
        <v>1423335.397435897</v>
      </c>
      <c r="G26" s="664">
        <f t="shared" si="12"/>
        <v>199190.99115416827</v>
      </c>
      <c r="H26" s="659">
        <f t="shared" si="13"/>
        <v>199190.99115416827</v>
      </c>
      <c r="I26" s="660">
        <f t="shared" si="4"/>
        <v>0</v>
      </c>
      <c r="J26" s="660"/>
      <c r="K26" s="132"/>
      <c r="L26" s="663">
        <f t="shared" si="0"/>
        <v>0</v>
      </c>
      <c r="M26" s="132"/>
      <c r="N26" s="663">
        <f t="shared" si="1"/>
        <v>0</v>
      </c>
      <c r="O26" s="663">
        <f t="shared" si="2"/>
        <v>0</v>
      </c>
      <c r="P26" s="630"/>
    </row>
    <row r="27" spans="2:16">
      <c r="B27" s="9" t="str">
        <f t="shared" si="6"/>
        <v/>
      </c>
      <c r="C27" s="656">
        <f>IF(D11="","-",+C26+1)</f>
        <v>2031</v>
      </c>
      <c r="D27" s="658">
        <f>IF(F26+SUM(E$17:E26)=D$10,F26,D$10-SUM(E$17:E26))</f>
        <v>1423335.397435897</v>
      </c>
      <c r="E27" s="69">
        <f t="shared" si="10"/>
        <v>43399.928571428572</v>
      </c>
      <c r="F27" s="658">
        <f t="shared" si="11"/>
        <v>1379935.4688644684</v>
      </c>
      <c r="G27" s="664">
        <f t="shared" si="12"/>
        <v>194511.9907869368</v>
      </c>
      <c r="H27" s="659">
        <f t="shared" si="13"/>
        <v>194511.9907869368</v>
      </c>
      <c r="I27" s="660">
        <f t="shared" si="4"/>
        <v>0</v>
      </c>
      <c r="J27" s="660"/>
      <c r="K27" s="132"/>
      <c r="L27" s="663">
        <f t="shared" si="0"/>
        <v>0</v>
      </c>
      <c r="M27" s="132"/>
      <c r="N27" s="663">
        <f t="shared" si="1"/>
        <v>0</v>
      </c>
      <c r="O27" s="663">
        <f t="shared" si="2"/>
        <v>0</v>
      </c>
      <c r="P27" s="630"/>
    </row>
    <row r="28" spans="2:16">
      <c r="B28" s="9" t="str">
        <f t="shared" si="6"/>
        <v/>
      </c>
      <c r="C28" s="656">
        <f>IF(D11="","-",+C27+1)</f>
        <v>2032</v>
      </c>
      <c r="D28" s="658">
        <f>IF(F27+SUM(E$17:E27)=D$10,F27,D$10-SUM(E$17:E27))</f>
        <v>1379935.4688644684</v>
      </c>
      <c r="E28" s="69">
        <f t="shared" si="10"/>
        <v>43399.928571428572</v>
      </c>
      <c r="F28" s="658">
        <f t="shared" si="11"/>
        <v>1336535.5402930398</v>
      </c>
      <c r="G28" s="664">
        <f t="shared" si="12"/>
        <v>189832.99041970534</v>
      </c>
      <c r="H28" s="659">
        <f t="shared" si="13"/>
        <v>189832.99041970534</v>
      </c>
      <c r="I28" s="660">
        <f t="shared" si="4"/>
        <v>0</v>
      </c>
      <c r="J28" s="660"/>
      <c r="K28" s="132"/>
      <c r="L28" s="663">
        <f t="shared" si="0"/>
        <v>0</v>
      </c>
      <c r="M28" s="132"/>
      <c r="N28" s="663">
        <f t="shared" si="1"/>
        <v>0</v>
      </c>
      <c r="O28" s="663">
        <f t="shared" si="2"/>
        <v>0</v>
      </c>
      <c r="P28" s="630"/>
    </row>
    <row r="29" spans="2:16">
      <c r="B29" s="9" t="str">
        <f t="shared" si="6"/>
        <v/>
      </c>
      <c r="C29" s="656">
        <f>IF(D11="","-",+C28+1)</f>
        <v>2033</v>
      </c>
      <c r="D29" s="658">
        <f>IF(F28+SUM(E$17:E28)=D$10,F28,D$10-SUM(E$17:E28))</f>
        <v>1336535.5402930398</v>
      </c>
      <c r="E29" s="69">
        <f t="shared" si="10"/>
        <v>43399.928571428572</v>
      </c>
      <c r="F29" s="658">
        <f t="shared" si="11"/>
        <v>1293135.6117216111</v>
      </c>
      <c r="G29" s="664">
        <f t="shared" si="12"/>
        <v>185153.99005247388</v>
      </c>
      <c r="H29" s="659">
        <f t="shared" si="13"/>
        <v>185153.99005247388</v>
      </c>
      <c r="I29" s="660">
        <f t="shared" si="4"/>
        <v>0</v>
      </c>
      <c r="J29" s="660"/>
      <c r="K29" s="132"/>
      <c r="L29" s="663">
        <f t="shared" si="0"/>
        <v>0</v>
      </c>
      <c r="M29" s="132"/>
      <c r="N29" s="663">
        <f t="shared" si="1"/>
        <v>0</v>
      </c>
      <c r="O29" s="663">
        <f t="shared" si="2"/>
        <v>0</v>
      </c>
      <c r="P29" s="630"/>
    </row>
    <row r="30" spans="2:16">
      <c r="B30" s="9" t="str">
        <f t="shared" si="6"/>
        <v/>
      </c>
      <c r="C30" s="656">
        <f>IF(D11="","-",+C29+1)</f>
        <v>2034</v>
      </c>
      <c r="D30" s="658">
        <f>IF(F29+SUM(E$17:E29)=D$10,F29,D$10-SUM(E$17:E29))</f>
        <v>1293135.6117216111</v>
      </c>
      <c r="E30" s="69">
        <f t="shared" si="10"/>
        <v>43399.928571428572</v>
      </c>
      <c r="F30" s="658">
        <f t="shared" si="11"/>
        <v>1249735.6831501825</v>
      </c>
      <c r="G30" s="664">
        <f t="shared" si="12"/>
        <v>180474.98968524241</v>
      </c>
      <c r="H30" s="659">
        <f t="shared" si="13"/>
        <v>180474.98968524241</v>
      </c>
      <c r="I30" s="660">
        <f t="shared" si="4"/>
        <v>0</v>
      </c>
      <c r="J30" s="660"/>
      <c r="K30" s="132"/>
      <c r="L30" s="663">
        <f t="shared" si="0"/>
        <v>0</v>
      </c>
      <c r="M30" s="132"/>
      <c r="N30" s="663">
        <f t="shared" si="1"/>
        <v>0</v>
      </c>
      <c r="O30" s="663">
        <f t="shared" si="2"/>
        <v>0</v>
      </c>
      <c r="P30" s="630"/>
    </row>
    <row r="31" spans="2:16">
      <c r="B31" s="9" t="str">
        <f t="shared" si="6"/>
        <v/>
      </c>
      <c r="C31" s="656">
        <f>IF(D11="","-",+C30+1)</f>
        <v>2035</v>
      </c>
      <c r="D31" s="658">
        <f>IF(F30+SUM(E$17:E30)=D$10,F30,D$10-SUM(E$17:E30))</f>
        <v>1249735.6831501825</v>
      </c>
      <c r="E31" s="69">
        <f t="shared" si="10"/>
        <v>43399.928571428572</v>
      </c>
      <c r="F31" s="658">
        <f t="shared" si="11"/>
        <v>1206335.7545787538</v>
      </c>
      <c r="G31" s="664">
        <f t="shared" si="12"/>
        <v>175795.98931801095</v>
      </c>
      <c r="H31" s="659">
        <f t="shared" si="13"/>
        <v>175795.98931801095</v>
      </c>
      <c r="I31" s="660">
        <f t="shared" si="4"/>
        <v>0</v>
      </c>
      <c r="J31" s="660"/>
      <c r="K31" s="132"/>
      <c r="L31" s="663">
        <f t="shared" si="0"/>
        <v>0</v>
      </c>
      <c r="M31" s="132"/>
      <c r="N31" s="663">
        <f t="shared" si="1"/>
        <v>0</v>
      </c>
      <c r="O31" s="663">
        <f t="shared" si="2"/>
        <v>0</v>
      </c>
      <c r="P31" s="630"/>
    </row>
    <row r="32" spans="2:16">
      <c r="B32" s="9" t="str">
        <f t="shared" si="6"/>
        <v/>
      </c>
      <c r="C32" s="656">
        <f>IF(D11="","-",+C31+1)</f>
        <v>2036</v>
      </c>
      <c r="D32" s="658">
        <f>IF(F31+SUM(E$17:E31)=D$10,F31,D$10-SUM(E$17:E31))</f>
        <v>1206335.7545787538</v>
      </c>
      <c r="E32" s="69">
        <f t="shared" si="10"/>
        <v>43399.928571428572</v>
      </c>
      <c r="F32" s="658">
        <f t="shared" si="11"/>
        <v>1162935.8260073252</v>
      </c>
      <c r="G32" s="664">
        <f t="shared" si="12"/>
        <v>171116.98895077949</v>
      </c>
      <c r="H32" s="659">
        <f t="shared" si="13"/>
        <v>171116.98895077949</v>
      </c>
      <c r="I32" s="660">
        <f t="shared" si="4"/>
        <v>0</v>
      </c>
      <c r="J32" s="660"/>
      <c r="K32" s="132"/>
      <c r="L32" s="663">
        <f t="shared" si="0"/>
        <v>0</v>
      </c>
      <c r="M32" s="132"/>
      <c r="N32" s="663">
        <f t="shared" si="1"/>
        <v>0</v>
      </c>
      <c r="O32" s="663">
        <f t="shared" si="2"/>
        <v>0</v>
      </c>
      <c r="P32" s="630"/>
    </row>
    <row r="33" spans="2:16">
      <c r="B33" s="9" t="str">
        <f t="shared" si="6"/>
        <v/>
      </c>
      <c r="C33" s="656">
        <f>IF(D11="","-",+C32+1)</f>
        <v>2037</v>
      </c>
      <c r="D33" s="658">
        <f>IF(F32+SUM(E$17:E32)=D$10,F32,D$10-SUM(E$17:E32))</f>
        <v>1162935.8260073252</v>
      </c>
      <c r="E33" s="69">
        <f t="shared" si="10"/>
        <v>43399.928571428572</v>
      </c>
      <c r="F33" s="658">
        <f t="shared" si="11"/>
        <v>1119535.8974358966</v>
      </c>
      <c r="G33" s="664">
        <f t="shared" si="12"/>
        <v>166437.98858354802</v>
      </c>
      <c r="H33" s="659">
        <f t="shared" si="13"/>
        <v>166437.98858354802</v>
      </c>
      <c r="I33" s="660">
        <f t="shared" si="4"/>
        <v>0</v>
      </c>
      <c r="J33" s="660"/>
      <c r="K33" s="132"/>
      <c r="L33" s="663">
        <f t="shared" si="0"/>
        <v>0</v>
      </c>
      <c r="M33" s="132"/>
      <c r="N33" s="663">
        <f t="shared" si="1"/>
        <v>0</v>
      </c>
      <c r="O33" s="663">
        <f t="shared" si="2"/>
        <v>0</v>
      </c>
      <c r="P33" s="630"/>
    </row>
    <row r="34" spans="2:16">
      <c r="B34" s="9" t="str">
        <f t="shared" si="6"/>
        <v/>
      </c>
      <c r="C34" s="656">
        <f>IF(D11="","-",+C33+1)</f>
        <v>2038</v>
      </c>
      <c r="D34" s="658">
        <f>IF(F33+SUM(E$17:E33)=D$10,F33,D$10-SUM(E$17:E33))</f>
        <v>1119535.8974358966</v>
      </c>
      <c r="E34" s="69">
        <f t="shared" si="10"/>
        <v>43399.928571428572</v>
      </c>
      <c r="F34" s="658">
        <f t="shared" si="11"/>
        <v>1076135.9688644679</v>
      </c>
      <c r="G34" s="664">
        <f t="shared" si="12"/>
        <v>161758.98821631656</v>
      </c>
      <c r="H34" s="659">
        <f t="shared" si="13"/>
        <v>161758.98821631656</v>
      </c>
      <c r="I34" s="660">
        <f t="shared" si="4"/>
        <v>0</v>
      </c>
      <c r="J34" s="660"/>
      <c r="K34" s="132"/>
      <c r="L34" s="663">
        <f t="shared" si="0"/>
        <v>0</v>
      </c>
      <c r="M34" s="132"/>
      <c r="N34" s="663">
        <f t="shared" si="1"/>
        <v>0</v>
      </c>
      <c r="O34" s="663">
        <f t="shared" si="2"/>
        <v>0</v>
      </c>
      <c r="P34" s="630"/>
    </row>
    <row r="35" spans="2:16">
      <c r="B35" s="9" t="str">
        <f t="shared" si="6"/>
        <v/>
      </c>
      <c r="C35" s="656">
        <f>IF(D11="","-",+C34+1)</f>
        <v>2039</v>
      </c>
      <c r="D35" s="658">
        <f>IF(F34+SUM(E$17:E34)=D$10,F34,D$10-SUM(E$17:E34))</f>
        <v>1076135.9688644679</v>
      </c>
      <c r="E35" s="69">
        <f t="shared" si="10"/>
        <v>43399.928571428572</v>
      </c>
      <c r="F35" s="658">
        <f t="shared" si="11"/>
        <v>1032736.0402930394</v>
      </c>
      <c r="G35" s="664">
        <f t="shared" si="12"/>
        <v>157079.9878490851</v>
      </c>
      <c r="H35" s="659">
        <f t="shared" si="13"/>
        <v>157079.9878490851</v>
      </c>
      <c r="I35" s="660">
        <f t="shared" si="4"/>
        <v>0</v>
      </c>
      <c r="J35" s="660"/>
      <c r="K35" s="132"/>
      <c r="L35" s="663">
        <f t="shared" si="0"/>
        <v>0</v>
      </c>
      <c r="M35" s="132"/>
      <c r="N35" s="663">
        <f t="shared" si="1"/>
        <v>0</v>
      </c>
      <c r="O35" s="663">
        <f t="shared" si="2"/>
        <v>0</v>
      </c>
      <c r="P35" s="630"/>
    </row>
    <row r="36" spans="2:16">
      <c r="B36" s="9" t="str">
        <f t="shared" si="6"/>
        <v/>
      </c>
      <c r="C36" s="656">
        <f>IF(D11="","-",+C35+1)</f>
        <v>2040</v>
      </c>
      <c r="D36" s="658">
        <f>IF(F35+SUM(E$17:E35)=D$10,F35,D$10-SUM(E$17:E35))</f>
        <v>1032736.0402930394</v>
      </c>
      <c r="E36" s="69">
        <f t="shared" si="10"/>
        <v>43399.928571428572</v>
      </c>
      <c r="F36" s="658">
        <f t="shared" si="11"/>
        <v>989336.11172161088</v>
      </c>
      <c r="G36" s="664">
        <f t="shared" si="12"/>
        <v>152400.98748185363</v>
      </c>
      <c r="H36" s="659">
        <f t="shared" si="13"/>
        <v>152400.98748185363</v>
      </c>
      <c r="I36" s="660">
        <f t="shared" si="4"/>
        <v>0</v>
      </c>
      <c r="J36" s="660"/>
      <c r="K36" s="132"/>
      <c r="L36" s="663">
        <f t="shared" si="0"/>
        <v>0</v>
      </c>
      <c r="M36" s="132"/>
      <c r="N36" s="663">
        <f t="shared" si="1"/>
        <v>0</v>
      </c>
      <c r="O36" s="663">
        <f t="shared" si="2"/>
        <v>0</v>
      </c>
      <c r="P36" s="630"/>
    </row>
    <row r="37" spans="2:16">
      <c r="B37" s="9" t="str">
        <f t="shared" si="6"/>
        <v/>
      </c>
      <c r="C37" s="656">
        <f>IF(D11="","-",+C36+1)</f>
        <v>2041</v>
      </c>
      <c r="D37" s="658">
        <f>IF(F36+SUM(E$17:E36)=D$10,F36,D$10-SUM(E$17:E36))</f>
        <v>989336.11172161088</v>
      </c>
      <c r="E37" s="69">
        <f t="shared" si="10"/>
        <v>43399.928571428572</v>
      </c>
      <c r="F37" s="658">
        <f t="shared" si="11"/>
        <v>945936.18315018236</v>
      </c>
      <c r="G37" s="664">
        <f t="shared" si="12"/>
        <v>147721.98711462217</v>
      </c>
      <c r="H37" s="659">
        <f t="shared" si="13"/>
        <v>147721.98711462217</v>
      </c>
      <c r="I37" s="660">
        <f t="shared" si="4"/>
        <v>0</v>
      </c>
      <c r="J37" s="660"/>
      <c r="K37" s="132"/>
      <c r="L37" s="663">
        <f t="shared" si="0"/>
        <v>0</v>
      </c>
      <c r="M37" s="132"/>
      <c r="N37" s="663">
        <f t="shared" si="1"/>
        <v>0</v>
      </c>
      <c r="O37" s="663">
        <f t="shared" si="2"/>
        <v>0</v>
      </c>
      <c r="P37" s="630"/>
    </row>
    <row r="38" spans="2:16">
      <c r="B38" s="9" t="str">
        <f t="shared" si="6"/>
        <v/>
      </c>
      <c r="C38" s="656">
        <f>IF(D11="","-",+C37+1)</f>
        <v>2042</v>
      </c>
      <c r="D38" s="658">
        <f>IF(F37+SUM(E$17:E37)=D$10,F37,D$10-SUM(E$17:E37))</f>
        <v>945936.18315018236</v>
      </c>
      <c r="E38" s="69">
        <f t="shared" si="10"/>
        <v>43399.928571428572</v>
      </c>
      <c r="F38" s="658">
        <f t="shared" si="11"/>
        <v>902536.25457875384</v>
      </c>
      <c r="G38" s="664">
        <f t="shared" si="12"/>
        <v>143042.98674739074</v>
      </c>
      <c r="H38" s="659">
        <f t="shared" si="13"/>
        <v>143042.98674739074</v>
      </c>
      <c r="I38" s="660">
        <f t="shared" si="4"/>
        <v>0</v>
      </c>
      <c r="J38" s="660"/>
      <c r="K38" s="132"/>
      <c r="L38" s="663">
        <f t="shared" si="0"/>
        <v>0</v>
      </c>
      <c r="M38" s="132"/>
      <c r="N38" s="663">
        <f t="shared" si="1"/>
        <v>0</v>
      </c>
      <c r="O38" s="663">
        <f t="shared" si="2"/>
        <v>0</v>
      </c>
      <c r="P38" s="630"/>
    </row>
    <row r="39" spans="2:16">
      <c r="B39" s="9" t="str">
        <f t="shared" si="6"/>
        <v/>
      </c>
      <c r="C39" s="656">
        <f>IF(D11="","-",+C38+1)</f>
        <v>2043</v>
      </c>
      <c r="D39" s="658">
        <f>IF(F38+SUM(E$17:E38)=D$10,F38,D$10-SUM(E$17:E38))</f>
        <v>902536.25457875384</v>
      </c>
      <c r="E39" s="69">
        <f t="shared" si="10"/>
        <v>43399.928571428572</v>
      </c>
      <c r="F39" s="658">
        <f t="shared" si="11"/>
        <v>859136.32600732532</v>
      </c>
      <c r="G39" s="664">
        <f t="shared" si="12"/>
        <v>138363.98638015927</v>
      </c>
      <c r="H39" s="659">
        <f t="shared" si="13"/>
        <v>138363.98638015927</v>
      </c>
      <c r="I39" s="660">
        <f t="shared" si="4"/>
        <v>0</v>
      </c>
      <c r="J39" s="660"/>
      <c r="K39" s="132"/>
      <c r="L39" s="663">
        <f t="shared" si="0"/>
        <v>0</v>
      </c>
      <c r="M39" s="132"/>
      <c r="N39" s="663">
        <f t="shared" si="1"/>
        <v>0</v>
      </c>
      <c r="O39" s="663">
        <f t="shared" si="2"/>
        <v>0</v>
      </c>
      <c r="P39" s="630"/>
    </row>
    <row r="40" spans="2:16">
      <c r="B40" s="9" t="str">
        <f t="shared" si="6"/>
        <v/>
      </c>
      <c r="C40" s="656">
        <f>IF(D11="","-",+C39+1)</f>
        <v>2044</v>
      </c>
      <c r="D40" s="658">
        <f>IF(F39+SUM(E$17:E39)=D$10,F39,D$10-SUM(E$17:E39))</f>
        <v>859136.32600732532</v>
      </c>
      <c r="E40" s="69">
        <f t="shared" si="10"/>
        <v>43399.928571428572</v>
      </c>
      <c r="F40" s="658">
        <f t="shared" si="11"/>
        <v>815736.3974358968</v>
      </c>
      <c r="G40" s="664">
        <f t="shared" si="12"/>
        <v>133684.98601292784</v>
      </c>
      <c r="H40" s="659">
        <f t="shared" si="13"/>
        <v>133684.98601292784</v>
      </c>
      <c r="I40" s="660">
        <f t="shared" si="4"/>
        <v>0</v>
      </c>
      <c r="J40" s="660"/>
      <c r="K40" s="132"/>
      <c r="L40" s="663">
        <f t="shared" si="0"/>
        <v>0</v>
      </c>
      <c r="M40" s="132"/>
      <c r="N40" s="663">
        <f t="shared" si="1"/>
        <v>0</v>
      </c>
      <c r="O40" s="663">
        <f t="shared" si="2"/>
        <v>0</v>
      </c>
      <c r="P40" s="630"/>
    </row>
    <row r="41" spans="2:16">
      <c r="B41" s="9" t="str">
        <f t="shared" si="6"/>
        <v/>
      </c>
      <c r="C41" s="656">
        <f>IF(D11="","-",+C40+1)</f>
        <v>2045</v>
      </c>
      <c r="D41" s="658">
        <f>IF(F40+SUM(E$17:E40)=D$10,F40,D$10-SUM(E$17:E40))</f>
        <v>815736.3974358968</v>
      </c>
      <c r="E41" s="69">
        <f t="shared" si="10"/>
        <v>43399.928571428572</v>
      </c>
      <c r="F41" s="658">
        <f t="shared" si="11"/>
        <v>772336.46886446828</v>
      </c>
      <c r="G41" s="664">
        <f t="shared" si="12"/>
        <v>129005.98564569638</v>
      </c>
      <c r="H41" s="659">
        <f t="shared" si="13"/>
        <v>129005.98564569638</v>
      </c>
      <c r="I41" s="660">
        <f t="shared" si="4"/>
        <v>0</v>
      </c>
      <c r="J41" s="660"/>
      <c r="K41" s="132"/>
      <c r="L41" s="663">
        <f t="shared" si="0"/>
        <v>0</v>
      </c>
      <c r="M41" s="132"/>
      <c r="N41" s="663">
        <f t="shared" si="1"/>
        <v>0</v>
      </c>
      <c r="O41" s="663">
        <f t="shared" si="2"/>
        <v>0</v>
      </c>
      <c r="P41" s="630"/>
    </row>
    <row r="42" spans="2:16">
      <c r="B42" s="9" t="str">
        <f t="shared" si="6"/>
        <v/>
      </c>
      <c r="C42" s="656">
        <f>IF(D11="","-",+C41+1)</f>
        <v>2046</v>
      </c>
      <c r="D42" s="658">
        <f>IF(F41+SUM(E$17:E41)=D$10,F41,D$10-SUM(E$17:E41))</f>
        <v>772336.46886446828</v>
      </c>
      <c r="E42" s="69">
        <f t="shared" si="10"/>
        <v>43399.928571428572</v>
      </c>
      <c r="F42" s="658">
        <f t="shared" si="11"/>
        <v>728936.54029303975</v>
      </c>
      <c r="G42" s="664">
        <f t="shared" si="12"/>
        <v>124326.98527846494</v>
      </c>
      <c r="H42" s="659">
        <f t="shared" si="13"/>
        <v>124326.98527846494</v>
      </c>
      <c r="I42" s="660">
        <f t="shared" si="4"/>
        <v>0</v>
      </c>
      <c r="J42" s="660"/>
      <c r="K42" s="132"/>
      <c r="L42" s="663">
        <f t="shared" si="0"/>
        <v>0</v>
      </c>
      <c r="M42" s="132"/>
      <c r="N42" s="663">
        <f t="shared" si="1"/>
        <v>0</v>
      </c>
      <c r="O42" s="663">
        <f t="shared" si="2"/>
        <v>0</v>
      </c>
      <c r="P42" s="630"/>
    </row>
    <row r="43" spans="2:16">
      <c r="B43" s="9" t="str">
        <f t="shared" si="6"/>
        <v/>
      </c>
      <c r="C43" s="656">
        <f>IF(D11="","-",+C42+1)</f>
        <v>2047</v>
      </c>
      <c r="D43" s="658">
        <f>IF(F42+SUM(E$17:E42)=D$10,F42,D$10-SUM(E$17:E42))</f>
        <v>728936.54029303975</v>
      </c>
      <c r="E43" s="69">
        <f t="shared" si="10"/>
        <v>43399.928571428572</v>
      </c>
      <c r="F43" s="658">
        <f t="shared" si="11"/>
        <v>685536.61172161123</v>
      </c>
      <c r="G43" s="664">
        <f t="shared" si="12"/>
        <v>119647.98491123348</v>
      </c>
      <c r="H43" s="659">
        <f t="shared" si="13"/>
        <v>119647.98491123348</v>
      </c>
      <c r="I43" s="660">
        <f t="shared" si="4"/>
        <v>0</v>
      </c>
      <c r="J43" s="660"/>
      <c r="K43" s="132"/>
      <c r="L43" s="663">
        <f t="shared" si="0"/>
        <v>0</v>
      </c>
      <c r="M43" s="132"/>
      <c r="N43" s="663">
        <f t="shared" si="1"/>
        <v>0</v>
      </c>
      <c r="O43" s="663">
        <f t="shared" si="2"/>
        <v>0</v>
      </c>
      <c r="P43" s="630"/>
    </row>
    <row r="44" spans="2:16">
      <c r="B44" s="9" t="str">
        <f t="shared" si="6"/>
        <v/>
      </c>
      <c r="C44" s="656">
        <f>IF(D11="","-",+C43+1)</f>
        <v>2048</v>
      </c>
      <c r="D44" s="658">
        <f>IF(F43+SUM(E$17:E43)=D$10,F43,D$10-SUM(E$17:E43))</f>
        <v>685536.61172161123</v>
      </c>
      <c r="E44" s="69">
        <f t="shared" si="10"/>
        <v>43399.928571428572</v>
      </c>
      <c r="F44" s="658">
        <f t="shared" si="11"/>
        <v>642136.68315018271</v>
      </c>
      <c r="G44" s="664">
        <f t="shared" si="12"/>
        <v>114968.98454400204</v>
      </c>
      <c r="H44" s="659">
        <f t="shared" si="13"/>
        <v>114968.98454400204</v>
      </c>
      <c r="I44" s="660">
        <f t="shared" si="4"/>
        <v>0</v>
      </c>
      <c r="J44" s="660"/>
      <c r="K44" s="132"/>
      <c r="L44" s="663">
        <f t="shared" si="0"/>
        <v>0</v>
      </c>
      <c r="M44" s="132"/>
      <c r="N44" s="663">
        <f t="shared" si="1"/>
        <v>0</v>
      </c>
      <c r="O44" s="663">
        <f t="shared" si="2"/>
        <v>0</v>
      </c>
      <c r="P44" s="630"/>
    </row>
    <row r="45" spans="2:16">
      <c r="B45" s="9" t="str">
        <f t="shared" si="6"/>
        <v/>
      </c>
      <c r="C45" s="656">
        <f>IF(D11="","-",+C44+1)</f>
        <v>2049</v>
      </c>
      <c r="D45" s="658">
        <f>IF(F44+SUM(E$17:E44)=D$10,F44,D$10-SUM(E$17:E44))</f>
        <v>642136.68315018271</v>
      </c>
      <c r="E45" s="69">
        <f t="shared" si="10"/>
        <v>43399.928571428572</v>
      </c>
      <c r="F45" s="658">
        <f t="shared" si="11"/>
        <v>598736.75457875419</v>
      </c>
      <c r="G45" s="664">
        <f t="shared" si="12"/>
        <v>110289.98417677058</v>
      </c>
      <c r="H45" s="659">
        <f t="shared" si="13"/>
        <v>110289.98417677058</v>
      </c>
      <c r="I45" s="660">
        <f t="shared" si="4"/>
        <v>0</v>
      </c>
      <c r="J45" s="660"/>
      <c r="K45" s="132"/>
      <c r="L45" s="663">
        <f t="shared" si="0"/>
        <v>0</v>
      </c>
      <c r="M45" s="132"/>
      <c r="N45" s="663">
        <f t="shared" si="1"/>
        <v>0</v>
      </c>
      <c r="O45" s="663">
        <f t="shared" si="2"/>
        <v>0</v>
      </c>
      <c r="P45" s="630"/>
    </row>
    <row r="46" spans="2:16">
      <c r="B46" s="9" t="str">
        <f t="shared" si="6"/>
        <v/>
      </c>
      <c r="C46" s="656">
        <f>IF(D11="","-",+C45+1)</f>
        <v>2050</v>
      </c>
      <c r="D46" s="658">
        <f>IF(F45+SUM(E$17:E45)=D$10,F45,D$10-SUM(E$17:E45))</f>
        <v>598736.75457875419</v>
      </c>
      <c r="E46" s="69">
        <f t="shared" si="10"/>
        <v>43399.928571428572</v>
      </c>
      <c r="F46" s="658">
        <f t="shared" si="11"/>
        <v>555336.82600732567</v>
      </c>
      <c r="G46" s="664">
        <f t="shared" si="12"/>
        <v>105610.98380953913</v>
      </c>
      <c r="H46" s="659">
        <f t="shared" si="13"/>
        <v>105610.98380953913</v>
      </c>
      <c r="I46" s="660">
        <f t="shared" si="4"/>
        <v>0</v>
      </c>
      <c r="J46" s="660"/>
      <c r="K46" s="132"/>
      <c r="L46" s="663">
        <f t="shared" si="0"/>
        <v>0</v>
      </c>
      <c r="M46" s="132"/>
      <c r="N46" s="663">
        <f t="shared" si="1"/>
        <v>0</v>
      </c>
      <c r="O46" s="663">
        <f t="shared" si="2"/>
        <v>0</v>
      </c>
      <c r="P46" s="630"/>
    </row>
    <row r="47" spans="2:16">
      <c r="B47" s="9" t="str">
        <f t="shared" si="6"/>
        <v/>
      </c>
      <c r="C47" s="656">
        <f>IF(D11="","-",+C46+1)</f>
        <v>2051</v>
      </c>
      <c r="D47" s="658">
        <f>IF(F46+SUM(E$17:E46)=D$10,F46,D$10-SUM(E$17:E46))</f>
        <v>555336.82600732567</v>
      </c>
      <c r="E47" s="69">
        <f t="shared" si="10"/>
        <v>43399.928571428572</v>
      </c>
      <c r="F47" s="658">
        <f t="shared" si="11"/>
        <v>511936.89743589709</v>
      </c>
      <c r="G47" s="664">
        <f t="shared" si="12"/>
        <v>100931.98344230765</v>
      </c>
      <c r="H47" s="659">
        <f t="shared" si="13"/>
        <v>100931.98344230765</v>
      </c>
      <c r="I47" s="660">
        <f t="shared" si="4"/>
        <v>0</v>
      </c>
      <c r="J47" s="660"/>
      <c r="K47" s="132"/>
      <c r="L47" s="663">
        <f t="shared" si="0"/>
        <v>0</v>
      </c>
      <c r="M47" s="132"/>
      <c r="N47" s="663">
        <f t="shared" si="1"/>
        <v>0</v>
      </c>
      <c r="O47" s="663">
        <f t="shared" si="2"/>
        <v>0</v>
      </c>
      <c r="P47" s="630"/>
    </row>
    <row r="48" spans="2:16">
      <c r="B48" s="9" t="str">
        <f t="shared" si="6"/>
        <v/>
      </c>
      <c r="C48" s="656">
        <f>IF(D11="","-",+C47+1)</f>
        <v>2052</v>
      </c>
      <c r="D48" s="658">
        <f>IF(F47+SUM(E$17:E47)=D$10,F47,D$10-SUM(E$17:E47))</f>
        <v>511936.89743589709</v>
      </c>
      <c r="E48" s="69">
        <f t="shared" si="10"/>
        <v>43399.928571428572</v>
      </c>
      <c r="F48" s="658">
        <f t="shared" si="11"/>
        <v>468536.96886446851</v>
      </c>
      <c r="G48" s="664">
        <f t="shared" si="12"/>
        <v>96252.983075076219</v>
      </c>
      <c r="H48" s="659">
        <f t="shared" si="13"/>
        <v>96252.983075076219</v>
      </c>
      <c r="I48" s="660">
        <f t="shared" si="4"/>
        <v>0</v>
      </c>
      <c r="J48" s="660"/>
      <c r="K48" s="132"/>
      <c r="L48" s="663">
        <f t="shared" si="0"/>
        <v>0</v>
      </c>
      <c r="M48" s="132"/>
      <c r="N48" s="663">
        <f t="shared" si="1"/>
        <v>0</v>
      </c>
      <c r="O48" s="663">
        <f t="shared" si="2"/>
        <v>0</v>
      </c>
      <c r="P48" s="630"/>
    </row>
    <row r="49" spans="2:16">
      <c r="B49" s="9" t="str">
        <f t="shared" si="6"/>
        <v/>
      </c>
      <c r="C49" s="656">
        <f>IF(D11="","-",+C48+1)</f>
        <v>2053</v>
      </c>
      <c r="D49" s="658">
        <f>IF(F48+SUM(E$17:E48)=D$10,F48,D$10-SUM(E$17:E48))</f>
        <v>468536.96886446851</v>
      </c>
      <c r="E49" s="69">
        <f t="shared" si="10"/>
        <v>43399.928571428572</v>
      </c>
      <c r="F49" s="658">
        <f t="shared" si="11"/>
        <v>425137.04029303993</v>
      </c>
      <c r="G49" s="664">
        <f t="shared" si="12"/>
        <v>91573.982707844756</v>
      </c>
      <c r="H49" s="659">
        <f t="shared" si="13"/>
        <v>91573.982707844756</v>
      </c>
      <c r="I49" s="660">
        <f t="shared" si="4"/>
        <v>0</v>
      </c>
      <c r="J49" s="660"/>
      <c r="K49" s="132"/>
      <c r="L49" s="663">
        <f t="shared" si="0"/>
        <v>0</v>
      </c>
      <c r="M49" s="132"/>
      <c r="N49" s="663">
        <f t="shared" si="1"/>
        <v>0</v>
      </c>
      <c r="O49" s="663">
        <f t="shared" si="2"/>
        <v>0</v>
      </c>
      <c r="P49" s="630"/>
    </row>
    <row r="50" spans="2:16">
      <c r="B50" s="9" t="str">
        <f t="shared" si="6"/>
        <v/>
      </c>
      <c r="C50" s="656">
        <f>IF(D11="","-",+C49+1)</f>
        <v>2054</v>
      </c>
      <c r="D50" s="658">
        <f>IF(F49+SUM(E$17:E49)=D$10,F49,D$10-SUM(E$17:E49))</f>
        <v>425137.04029303993</v>
      </c>
      <c r="E50" s="69">
        <f t="shared" si="10"/>
        <v>43399.928571428572</v>
      </c>
      <c r="F50" s="658">
        <f t="shared" si="11"/>
        <v>381737.11172161135</v>
      </c>
      <c r="G50" s="664">
        <f t="shared" si="12"/>
        <v>86894.982340613293</v>
      </c>
      <c r="H50" s="659">
        <f t="shared" si="13"/>
        <v>86894.982340613293</v>
      </c>
      <c r="I50" s="660">
        <f t="shared" si="4"/>
        <v>0</v>
      </c>
      <c r="J50" s="660"/>
      <c r="K50" s="132"/>
      <c r="L50" s="663">
        <f t="shared" si="0"/>
        <v>0</v>
      </c>
      <c r="M50" s="132"/>
      <c r="N50" s="663">
        <f t="shared" si="1"/>
        <v>0</v>
      </c>
      <c r="O50" s="663">
        <f t="shared" si="2"/>
        <v>0</v>
      </c>
      <c r="P50" s="630"/>
    </row>
    <row r="51" spans="2:16">
      <c r="B51" s="9" t="str">
        <f t="shared" si="6"/>
        <v/>
      </c>
      <c r="C51" s="656">
        <f>IF(D11="","-",+C50+1)</f>
        <v>2055</v>
      </c>
      <c r="D51" s="658">
        <f>IF(F50+SUM(E$17:E50)=D$10,F50,D$10-SUM(E$17:E50))</f>
        <v>381737.11172161135</v>
      </c>
      <c r="E51" s="69">
        <f t="shared" si="10"/>
        <v>43399.928571428572</v>
      </c>
      <c r="F51" s="658">
        <f t="shared" si="11"/>
        <v>338337.18315018277</v>
      </c>
      <c r="G51" s="664">
        <f t="shared" si="12"/>
        <v>82215.981973381829</v>
      </c>
      <c r="H51" s="659">
        <f t="shared" si="13"/>
        <v>82215.981973381829</v>
      </c>
      <c r="I51" s="660">
        <f t="shared" si="4"/>
        <v>0</v>
      </c>
      <c r="J51" s="660"/>
      <c r="K51" s="132"/>
      <c r="L51" s="663">
        <f t="shared" si="0"/>
        <v>0</v>
      </c>
      <c r="M51" s="132"/>
      <c r="N51" s="663">
        <f t="shared" si="1"/>
        <v>0</v>
      </c>
      <c r="O51" s="663">
        <f t="shared" si="2"/>
        <v>0</v>
      </c>
      <c r="P51" s="630"/>
    </row>
    <row r="52" spans="2:16">
      <c r="B52" s="9" t="str">
        <f t="shared" si="6"/>
        <v/>
      </c>
      <c r="C52" s="656">
        <f>IF(D11="","-",+C51+1)</f>
        <v>2056</v>
      </c>
      <c r="D52" s="658">
        <f>IF(F51+SUM(E$17:E51)=D$10,F51,D$10-SUM(E$17:E51))</f>
        <v>338337.18315018277</v>
      </c>
      <c r="E52" s="69">
        <f t="shared" si="10"/>
        <v>43399.928571428572</v>
      </c>
      <c r="F52" s="658">
        <f t="shared" si="11"/>
        <v>294937.25457875419</v>
      </c>
      <c r="G52" s="664">
        <f t="shared" si="12"/>
        <v>77536.981606150381</v>
      </c>
      <c r="H52" s="659">
        <f t="shared" si="13"/>
        <v>77536.981606150381</v>
      </c>
      <c r="I52" s="660">
        <f t="shared" si="4"/>
        <v>0</v>
      </c>
      <c r="J52" s="660"/>
      <c r="K52" s="132"/>
      <c r="L52" s="663">
        <f t="shared" si="0"/>
        <v>0</v>
      </c>
      <c r="M52" s="132"/>
      <c r="N52" s="663">
        <f t="shared" si="1"/>
        <v>0</v>
      </c>
      <c r="O52" s="663">
        <f t="shared" si="2"/>
        <v>0</v>
      </c>
      <c r="P52" s="630"/>
    </row>
    <row r="53" spans="2:16">
      <c r="B53" s="9" t="str">
        <f t="shared" si="6"/>
        <v/>
      </c>
      <c r="C53" s="656">
        <f>IF(D11="","-",+C52+1)</f>
        <v>2057</v>
      </c>
      <c r="D53" s="658">
        <f>IF(F52+SUM(E$17:E52)=D$10,F52,D$10-SUM(E$17:E52))</f>
        <v>294937.25457875419</v>
      </c>
      <c r="E53" s="69">
        <f t="shared" si="10"/>
        <v>43399.928571428572</v>
      </c>
      <c r="F53" s="658">
        <f t="shared" si="11"/>
        <v>251537.32600732561</v>
      </c>
      <c r="G53" s="664">
        <f t="shared" si="12"/>
        <v>72857.981238918917</v>
      </c>
      <c r="H53" s="659">
        <f t="shared" si="13"/>
        <v>72857.981238918917</v>
      </c>
      <c r="I53" s="660">
        <f t="shared" si="4"/>
        <v>0</v>
      </c>
      <c r="J53" s="660"/>
      <c r="K53" s="132"/>
      <c r="L53" s="663">
        <f t="shared" si="0"/>
        <v>0</v>
      </c>
      <c r="M53" s="132"/>
      <c r="N53" s="663">
        <f t="shared" si="1"/>
        <v>0</v>
      </c>
      <c r="O53" s="663">
        <f t="shared" si="2"/>
        <v>0</v>
      </c>
      <c r="P53" s="630"/>
    </row>
    <row r="54" spans="2:16">
      <c r="B54" s="9" t="str">
        <f t="shared" si="6"/>
        <v/>
      </c>
      <c r="C54" s="656">
        <f>IF(D11="","-",+C53+1)</f>
        <v>2058</v>
      </c>
      <c r="D54" s="658">
        <f>IF(F53+SUM(E$17:E53)=D$10,F53,D$10-SUM(E$17:E53))</f>
        <v>251537.32600732561</v>
      </c>
      <c r="E54" s="69">
        <f t="shared" si="10"/>
        <v>43399.928571428572</v>
      </c>
      <c r="F54" s="658">
        <f t="shared" si="11"/>
        <v>208137.39743589703</v>
      </c>
      <c r="G54" s="664">
        <f t="shared" si="12"/>
        <v>68178.980871687469</v>
      </c>
      <c r="H54" s="659">
        <f t="shared" si="13"/>
        <v>68178.980871687469</v>
      </c>
      <c r="I54" s="660">
        <f t="shared" si="4"/>
        <v>0</v>
      </c>
      <c r="J54" s="660"/>
      <c r="K54" s="132"/>
      <c r="L54" s="663">
        <f t="shared" si="0"/>
        <v>0</v>
      </c>
      <c r="M54" s="132"/>
      <c r="N54" s="663">
        <f t="shared" si="1"/>
        <v>0</v>
      </c>
      <c r="O54" s="663">
        <f t="shared" si="2"/>
        <v>0</v>
      </c>
      <c r="P54" s="630"/>
    </row>
    <row r="55" spans="2:16">
      <c r="B55" s="9" t="str">
        <f t="shared" si="6"/>
        <v/>
      </c>
      <c r="C55" s="656">
        <f>IF(D11="","-",+C54+1)</f>
        <v>2059</v>
      </c>
      <c r="D55" s="658">
        <f>IF(F54+SUM(E$17:E54)=D$10,F54,D$10-SUM(E$17:E54))</f>
        <v>208137.39743589703</v>
      </c>
      <c r="E55" s="69">
        <f t="shared" si="10"/>
        <v>43399.928571428572</v>
      </c>
      <c r="F55" s="658">
        <f t="shared" si="11"/>
        <v>164737.46886446845</v>
      </c>
      <c r="G55" s="664">
        <f t="shared" si="12"/>
        <v>63499.980504456005</v>
      </c>
      <c r="H55" s="659">
        <f t="shared" si="13"/>
        <v>63499.980504456005</v>
      </c>
      <c r="I55" s="660">
        <f t="shared" si="4"/>
        <v>0</v>
      </c>
      <c r="J55" s="660"/>
      <c r="K55" s="132"/>
      <c r="L55" s="663">
        <f t="shared" si="0"/>
        <v>0</v>
      </c>
      <c r="M55" s="132"/>
      <c r="N55" s="663">
        <f t="shared" si="1"/>
        <v>0</v>
      </c>
      <c r="O55" s="663">
        <f t="shared" si="2"/>
        <v>0</v>
      </c>
      <c r="P55" s="630"/>
    </row>
    <row r="56" spans="2:16">
      <c r="B56" s="9" t="str">
        <f t="shared" si="6"/>
        <v/>
      </c>
      <c r="C56" s="656">
        <f>IF(D11="","-",+C55+1)</f>
        <v>2060</v>
      </c>
      <c r="D56" s="658">
        <f>IF(F55+SUM(E$17:E55)=D$10,F55,D$10-SUM(E$17:E55))</f>
        <v>164737.46886446845</v>
      </c>
      <c r="E56" s="69">
        <f t="shared" si="10"/>
        <v>43399.928571428572</v>
      </c>
      <c r="F56" s="658">
        <f t="shared" si="11"/>
        <v>121337.54029303987</v>
      </c>
      <c r="G56" s="664">
        <f t="shared" si="12"/>
        <v>58820.980137224542</v>
      </c>
      <c r="H56" s="659">
        <f t="shared" si="13"/>
        <v>58820.980137224542</v>
      </c>
      <c r="I56" s="660">
        <f t="shared" si="4"/>
        <v>0</v>
      </c>
      <c r="J56" s="660"/>
      <c r="K56" s="132"/>
      <c r="L56" s="663">
        <f t="shared" si="0"/>
        <v>0</v>
      </c>
      <c r="M56" s="132"/>
      <c r="N56" s="663">
        <f t="shared" si="1"/>
        <v>0</v>
      </c>
      <c r="O56" s="663">
        <f t="shared" si="2"/>
        <v>0</v>
      </c>
      <c r="P56" s="630"/>
    </row>
    <row r="57" spans="2:16">
      <c r="B57" s="9" t="str">
        <f t="shared" si="6"/>
        <v/>
      </c>
      <c r="C57" s="656">
        <f>IF(D11="","-",+C56+1)</f>
        <v>2061</v>
      </c>
      <c r="D57" s="658">
        <f>IF(F56+SUM(E$17:E56)=D$10,F56,D$10-SUM(E$17:E56))</f>
        <v>121337.54029303987</v>
      </c>
      <c r="E57" s="69">
        <f t="shared" si="10"/>
        <v>43399.928571428572</v>
      </c>
      <c r="F57" s="658">
        <f t="shared" si="11"/>
        <v>77937.611721611291</v>
      </c>
      <c r="G57" s="664">
        <f t="shared" si="12"/>
        <v>54141.979769993086</v>
      </c>
      <c r="H57" s="659">
        <f t="shared" si="13"/>
        <v>54141.979769993086</v>
      </c>
      <c r="I57" s="660">
        <f t="shared" si="4"/>
        <v>0</v>
      </c>
      <c r="J57" s="660"/>
      <c r="K57" s="132"/>
      <c r="L57" s="663">
        <f t="shared" si="0"/>
        <v>0</v>
      </c>
      <c r="M57" s="132"/>
      <c r="N57" s="663">
        <f t="shared" si="1"/>
        <v>0</v>
      </c>
      <c r="O57" s="663">
        <f t="shared" si="2"/>
        <v>0</v>
      </c>
      <c r="P57" s="630"/>
    </row>
    <row r="58" spans="2:16">
      <c r="B58" s="9" t="str">
        <f t="shared" si="6"/>
        <v/>
      </c>
      <c r="C58" s="656">
        <f>IF(D11="","-",+C57+1)</f>
        <v>2062</v>
      </c>
      <c r="D58" s="658">
        <f>IF(F57+SUM(E$17:E57)=D$10,F57,D$10-SUM(E$17:E57))</f>
        <v>77937.611721611291</v>
      </c>
      <c r="E58" s="69">
        <f t="shared" si="10"/>
        <v>43399.928571428572</v>
      </c>
      <c r="F58" s="658">
        <f t="shared" si="11"/>
        <v>34537.683150182718</v>
      </c>
      <c r="G58" s="664">
        <f t="shared" si="12"/>
        <v>49462.97940276163</v>
      </c>
      <c r="H58" s="659">
        <f t="shared" si="13"/>
        <v>49462.97940276163</v>
      </c>
      <c r="I58" s="660">
        <f t="shared" si="4"/>
        <v>0</v>
      </c>
      <c r="J58" s="660"/>
      <c r="K58" s="132"/>
      <c r="L58" s="663">
        <f t="shared" si="0"/>
        <v>0</v>
      </c>
      <c r="M58" s="132"/>
      <c r="N58" s="663">
        <f t="shared" si="1"/>
        <v>0</v>
      </c>
      <c r="O58" s="663">
        <f t="shared" si="2"/>
        <v>0</v>
      </c>
      <c r="P58" s="630"/>
    </row>
    <row r="59" spans="2:16">
      <c r="B59" s="9" t="str">
        <f t="shared" si="6"/>
        <v/>
      </c>
      <c r="C59" s="656">
        <f>IF(D11="","-",+C58+1)</f>
        <v>2063</v>
      </c>
      <c r="D59" s="658">
        <f>IF(F58+SUM(E$17:E58)=D$10,F58,D$10-SUM(E$17:E58))</f>
        <v>34537.683150182718</v>
      </c>
      <c r="E59" s="69">
        <f t="shared" si="10"/>
        <v>34537.683150182718</v>
      </c>
      <c r="F59" s="658">
        <f t="shared" si="11"/>
        <v>0</v>
      </c>
      <c r="G59" s="664">
        <f t="shared" si="12"/>
        <v>36399.458474041385</v>
      </c>
      <c r="H59" s="659">
        <f t="shared" si="13"/>
        <v>36399.458474041385</v>
      </c>
      <c r="I59" s="660">
        <f t="shared" si="4"/>
        <v>0</v>
      </c>
      <c r="J59" s="660"/>
      <c r="K59" s="132"/>
      <c r="L59" s="663">
        <f t="shared" si="0"/>
        <v>0</v>
      </c>
      <c r="M59" s="132"/>
      <c r="N59" s="663">
        <f t="shared" si="1"/>
        <v>0</v>
      </c>
      <c r="O59" s="663">
        <f t="shared" si="2"/>
        <v>0</v>
      </c>
      <c r="P59" s="630"/>
    </row>
    <row r="60" spans="2:16">
      <c r="B60" s="9" t="str">
        <f t="shared" si="6"/>
        <v/>
      </c>
      <c r="C60" s="656">
        <f>IF(D11="","-",+C59+1)</f>
        <v>2064</v>
      </c>
      <c r="D60" s="658">
        <f>IF(F59+SUM(E$17:E59)=D$10,F59,D$10-SUM(E$17:E59))</f>
        <v>0</v>
      </c>
      <c r="E60" s="69">
        <f t="shared" si="10"/>
        <v>0</v>
      </c>
      <c r="F60" s="658">
        <f t="shared" si="11"/>
        <v>0</v>
      </c>
      <c r="G60" s="664">
        <f t="shared" si="12"/>
        <v>0</v>
      </c>
      <c r="H60" s="659">
        <f t="shared" si="13"/>
        <v>0</v>
      </c>
      <c r="I60" s="660">
        <f t="shared" si="4"/>
        <v>0</v>
      </c>
      <c r="J60" s="660"/>
      <c r="K60" s="132"/>
      <c r="L60" s="663">
        <f t="shared" si="0"/>
        <v>0</v>
      </c>
      <c r="M60" s="132"/>
      <c r="N60" s="663">
        <f t="shared" si="1"/>
        <v>0</v>
      </c>
      <c r="O60" s="663">
        <f t="shared" si="2"/>
        <v>0</v>
      </c>
      <c r="P60" s="630"/>
    </row>
    <row r="61" spans="2:16">
      <c r="B61" s="9" t="str">
        <f t="shared" si="6"/>
        <v/>
      </c>
      <c r="C61" s="656">
        <f>IF(D11="","-",+C60+1)</f>
        <v>2065</v>
      </c>
      <c r="D61" s="658">
        <f>IF(F60+SUM(E$17:E60)=D$10,F60,D$10-SUM(E$17:E60))</f>
        <v>0</v>
      </c>
      <c r="E61" s="69">
        <f t="shared" si="10"/>
        <v>0</v>
      </c>
      <c r="F61" s="658">
        <f t="shared" si="11"/>
        <v>0</v>
      </c>
      <c r="G61" s="664">
        <f t="shared" si="12"/>
        <v>0</v>
      </c>
      <c r="H61" s="659">
        <f t="shared" si="13"/>
        <v>0</v>
      </c>
      <c r="I61" s="660">
        <f t="shared" si="4"/>
        <v>0</v>
      </c>
      <c r="J61" s="660"/>
      <c r="K61" s="132"/>
      <c r="L61" s="663">
        <f t="shared" si="0"/>
        <v>0</v>
      </c>
      <c r="M61" s="132"/>
      <c r="N61" s="663">
        <f t="shared" si="1"/>
        <v>0</v>
      </c>
      <c r="O61" s="663">
        <f t="shared" si="2"/>
        <v>0</v>
      </c>
      <c r="P61" s="630"/>
    </row>
    <row r="62" spans="2:16">
      <c r="B62" s="9" t="str">
        <f t="shared" si="6"/>
        <v/>
      </c>
      <c r="C62" s="656">
        <f>IF(D11="","-",+C61+1)</f>
        <v>2066</v>
      </c>
      <c r="D62" s="658">
        <f>IF(F61+SUM(E$17:E61)=D$10,F61,D$10-SUM(E$17:E61))</f>
        <v>0</v>
      </c>
      <c r="E62" s="69">
        <f t="shared" si="10"/>
        <v>0</v>
      </c>
      <c r="F62" s="658">
        <f t="shared" si="11"/>
        <v>0</v>
      </c>
      <c r="G62" s="664">
        <f t="shared" si="12"/>
        <v>0</v>
      </c>
      <c r="H62" s="659">
        <f t="shared" si="13"/>
        <v>0</v>
      </c>
      <c r="I62" s="660">
        <f t="shared" si="4"/>
        <v>0</v>
      </c>
      <c r="J62" s="660"/>
      <c r="K62" s="132"/>
      <c r="L62" s="663">
        <f t="shared" si="0"/>
        <v>0</v>
      </c>
      <c r="M62" s="132"/>
      <c r="N62" s="663">
        <f t="shared" si="1"/>
        <v>0</v>
      </c>
      <c r="O62" s="663">
        <f t="shared" si="2"/>
        <v>0</v>
      </c>
      <c r="P62" s="630"/>
    </row>
    <row r="63" spans="2:16">
      <c r="B63" s="9" t="str">
        <f t="shared" si="6"/>
        <v/>
      </c>
      <c r="C63" s="656">
        <f>IF(D11="","-",+C62+1)</f>
        <v>2067</v>
      </c>
      <c r="D63" s="658">
        <f>IF(F62+SUM(E$17:E62)=D$10,F62,D$10-SUM(E$17:E62))</f>
        <v>0</v>
      </c>
      <c r="E63" s="69">
        <f t="shared" si="10"/>
        <v>0</v>
      </c>
      <c r="F63" s="658">
        <f t="shared" si="11"/>
        <v>0</v>
      </c>
      <c r="G63" s="664">
        <f t="shared" si="12"/>
        <v>0</v>
      </c>
      <c r="H63" s="659">
        <f t="shared" si="13"/>
        <v>0</v>
      </c>
      <c r="I63" s="660">
        <f t="shared" si="4"/>
        <v>0</v>
      </c>
      <c r="J63" s="660"/>
      <c r="K63" s="132"/>
      <c r="L63" s="663">
        <f t="shared" si="0"/>
        <v>0</v>
      </c>
      <c r="M63" s="132"/>
      <c r="N63" s="663">
        <f t="shared" si="1"/>
        <v>0</v>
      </c>
      <c r="O63" s="663">
        <f t="shared" si="2"/>
        <v>0</v>
      </c>
      <c r="P63" s="630"/>
    </row>
    <row r="64" spans="2:16">
      <c r="B64" s="9" t="str">
        <f t="shared" si="6"/>
        <v/>
      </c>
      <c r="C64" s="656">
        <f>IF(D11="","-",+C63+1)</f>
        <v>2068</v>
      </c>
      <c r="D64" s="658">
        <f>IF(F63+SUM(E$17:E63)=D$10,F63,D$10-SUM(E$17:E63))</f>
        <v>0</v>
      </c>
      <c r="E64" s="69">
        <f t="shared" si="10"/>
        <v>0</v>
      </c>
      <c r="F64" s="658">
        <f t="shared" si="11"/>
        <v>0</v>
      </c>
      <c r="G64" s="664">
        <f t="shared" si="12"/>
        <v>0</v>
      </c>
      <c r="H64" s="659">
        <f t="shared" si="13"/>
        <v>0</v>
      </c>
      <c r="I64" s="660">
        <f t="shared" si="4"/>
        <v>0</v>
      </c>
      <c r="J64" s="660"/>
      <c r="K64" s="132"/>
      <c r="L64" s="663">
        <f t="shared" si="0"/>
        <v>0</v>
      </c>
      <c r="M64" s="132"/>
      <c r="N64" s="663">
        <f t="shared" si="1"/>
        <v>0</v>
      </c>
      <c r="O64" s="663">
        <f t="shared" si="2"/>
        <v>0</v>
      </c>
      <c r="P64" s="630"/>
    </row>
    <row r="65" spans="2:16">
      <c r="B65" s="9" t="str">
        <f t="shared" si="6"/>
        <v/>
      </c>
      <c r="C65" s="656">
        <f>IF(D11="","-",+C64+1)</f>
        <v>2069</v>
      </c>
      <c r="D65" s="658">
        <f>IF(F64+SUM(E$17:E64)=D$10,F64,D$10-SUM(E$17:E64))</f>
        <v>0</v>
      </c>
      <c r="E65" s="69">
        <f t="shared" si="10"/>
        <v>0</v>
      </c>
      <c r="F65" s="658">
        <f t="shared" si="11"/>
        <v>0</v>
      </c>
      <c r="G65" s="664">
        <f t="shared" si="12"/>
        <v>0</v>
      </c>
      <c r="H65" s="659">
        <f t="shared" si="13"/>
        <v>0</v>
      </c>
      <c r="I65" s="660">
        <f t="shared" si="4"/>
        <v>0</v>
      </c>
      <c r="J65" s="660"/>
      <c r="K65" s="132"/>
      <c r="L65" s="663">
        <f t="shared" si="0"/>
        <v>0</v>
      </c>
      <c r="M65" s="132"/>
      <c r="N65" s="663">
        <f t="shared" si="1"/>
        <v>0</v>
      </c>
      <c r="O65" s="663">
        <f t="shared" si="2"/>
        <v>0</v>
      </c>
      <c r="P65" s="630"/>
    </row>
    <row r="66" spans="2:16">
      <c r="B66" s="9" t="str">
        <f t="shared" si="6"/>
        <v/>
      </c>
      <c r="C66" s="656">
        <f>IF(D11="","-",+C65+1)</f>
        <v>2070</v>
      </c>
      <c r="D66" s="658">
        <f>IF(F65+SUM(E$17:E65)=D$10,F65,D$10-SUM(E$17:E65))</f>
        <v>0</v>
      </c>
      <c r="E66" s="69">
        <f t="shared" si="10"/>
        <v>0</v>
      </c>
      <c r="F66" s="658">
        <f t="shared" si="11"/>
        <v>0</v>
      </c>
      <c r="G66" s="664">
        <f t="shared" si="12"/>
        <v>0</v>
      </c>
      <c r="H66" s="659">
        <f t="shared" si="13"/>
        <v>0</v>
      </c>
      <c r="I66" s="660">
        <f t="shared" si="4"/>
        <v>0</v>
      </c>
      <c r="J66" s="660"/>
      <c r="K66" s="132"/>
      <c r="L66" s="663">
        <f t="shared" si="0"/>
        <v>0</v>
      </c>
      <c r="M66" s="132"/>
      <c r="N66" s="663">
        <f t="shared" si="1"/>
        <v>0</v>
      </c>
      <c r="O66" s="663">
        <f t="shared" si="2"/>
        <v>0</v>
      </c>
      <c r="P66" s="630"/>
    </row>
    <row r="67" spans="2:16">
      <c r="B67" s="9" t="str">
        <f t="shared" si="6"/>
        <v/>
      </c>
      <c r="C67" s="656">
        <f>IF(D11="","-",+C66+1)</f>
        <v>2071</v>
      </c>
      <c r="D67" s="658">
        <f>IF(F66+SUM(E$17:E66)=D$10,F66,D$10-SUM(E$17:E66))</f>
        <v>0</v>
      </c>
      <c r="E67" s="69">
        <f t="shared" si="10"/>
        <v>0</v>
      </c>
      <c r="F67" s="658">
        <f t="shared" si="11"/>
        <v>0</v>
      </c>
      <c r="G67" s="664">
        <f t="shared" si="12"/>
        <v>0</v>
      </c>
      <c r="H67" s="659">
        <f t="shared" si="13"/>
        <v>0</v>
      </c>
      <c r="I67" s="660">
        <f t="shared" si="4"/>
        <v>0</v>
      </c>
      <c r="J67" s="660"/>
      <c r="K67" s="132"/>
      <c r="L67" s="663">
        <f t="shared" si="0"/>
        <v>0</v>
      </c>
      <c r="M67" s="132"/>
      <c r="N67" s="663">
        <f t="shared" si="1"/>
        <v>0</v>
      </c>
      <c r="O67" s="663">
        <f t="shared" si="2"/>
        <v>0</v>
      </c>
      <c r="P67" s="630"/>
    </row>
    <row r="68" spans="2:16">
      <c r="B68" s="9" t="str">
        <f t="shared" si="6"/>
        <v/>
      </c>
      <c r="C68" s="656">
        <f>IF(D11="","-",+C67+1)</f>
        <v>2072</v>
      </c>
      <c r="D68" s="658">
        <f>IF(F67+SUM(E$17:E67)=D$10,F67,D$10-SUM(E$17:E67))</f>
        <v>0</v>
      </c>
      <c r="E68" s="69">
        <f t="shared" si="10"/>
        <v>0</v>
      </c>
      <c r="F68" s="658">
        <f t="shared" si="11"/>
        <v>0</v>
      </c>
      <c r="G68" s="664">
        <f t="shared" si="12"/>
        <v>0</v>
      </c>
      <c r="H68" s="659">
        <f t="shared" si="13"/>
        <v>0</v>
      </c>
      <c r="I68" s="660">
        <f t="shared" si="4"/>
        <v>0</v>
      </c>
      <c r="J68" s="660"/>
      <c r="K68" s="132"/>
      <c r="L68" s="663">
        <f t="shared" si="0"/>
        <v>0</v>
      </c>
      <c r="M68" s="132"/>
      <c r="N68" s="663">
        <f t="shared" si="1"/>
        <v>0</v>
      </c>
      <c r="O68" s="663">
        <f t="shared" si="2"/>
        <v>0</v>
      </c>
      <c r="P68" s="630"/>
    </row>
    <row r="69" spans="2:16">
      <c r="B69" s="9" t="str">
        <f t="shared" si="6"/>
        <v/>
      </c>
      <c r="C69" s="656">
        <f>IF(D11="","-",+C68+1)</f>
        <v>2073</v>
      </c>
      <c r="D69" s="658">
        <f>IF(F68+SUM(E$17:E68)=D$10,F68,D$10-SUM(E$17:E68))</f>
        <v>0</v>
      </c>
      <c r="E69" s="69">
        <f t="shared" si="10"/>
        <v>0</v>
      </c>
      <c r="F69" s="658">
        <f t="shared" si="11"/>
        <v>0</v>
      </c>
      <c r="G69" s="664">
        <f t="shared" si="12"/>
        <v>0</v>
      </c>
      <c r="H69" s="659">
        <f t="shared" si="13"/>
        <v>0</v>
      </c>
      <c r="I69" s="660">
        <f t="shared" si="4"/>
        <v>0</v>
      </c>
      <c r="J69" s="660"/>
      <c r="K69" s="132"/>
      <c r="L69" s="663">
        <f t="shared" si="0"/>
        <v>0</v>
      </c>
      <c r="M69" s="132"/>
      <c r="N69" s="663">
        <f t="shared" si="1"/>
        <v>0</v>
      </c>
      <c r="O69" s="663">
        <f t="shared" si="2"/>
        <v>0</v>
      </c>
      <c r="P69" s="630"/>
    </row>
    <row r="70" spans="2:16">
      <c r="B70" s="9" t="str">
        <f t="shared" si="6"/>
        <v/>
      </c>
      <c r="C70" s="656">
        <f>IF(D11="","-",+C69+1)</f>
        <v>2074</v>
      </c>
      <c r="D70" s="658">
        <f>IF(F69+SUM(E$17:E69)=D$10,F69,D$10-SUM(E$17:E69))</f>
        <v>0</v>
      </c>
      <c r="E70" s="69">
        <f t="shared" si="10"/>
        <v>0</v>
      </c>
      <c r="F70" s="658">
        <f t="shared" si="11"/>
        <v>0</v>
      </c>
      <c r="G70" s="664">
        <f t="shared" si="12"/>
        <v>0</v>
      </c>
      <c r="H70" s="659">
        <f t="shared" si="13"/>
        <v>0</v>
      </c>
      <c r="I70" s="660">
        <f t="shared" si="4"/>
        <v>0</v>
      </c>
      <c r="J70" s="660"/>
      <c r="K70" s="132"/>
      <c r="L70" s="663">
        <f t="shared" si="0"/>
        <v>0</v>
      </c>
      <c r="M70" s="132"/>
      <c r="N70" s="663">
        <f t="shared" si="1"/>
        <v>0</v>
      </c>
      <c r="O70" s="663">
        <f t="shared" si="2"/>
        <v>0</v>
      </c>
      <c r="P70" s="630"/>
    </row>
    <row r="71" spans="2:16">
      <c r="B71" s="9" t="str">
        <f t="shared" si="6"/>
        <v/>
      </c>
      <c r="C71" s="656">
        <f>IF(D11="","-",+C70+1)</f>
        <v>2075</v>
      </c>
      <c r="D71" s="658">
        <f>IF(F70+SUM(E$17:E70)=D$10,F70,D$10-SUM(E$17:E70))</f>
        <v>0</v>
      </c>
      <c r="E71" s="69">
        <f t="shared" si="10"/>
        <v>0</v>
      </c>
      <c r="F71" s="658">
        <f t="shared" si="11"/>
        <v>0</v>
      </c>
      <c r="G71" s="664">
        <f t="shared" si="12"/>
        <v>0</v>
      </c>
      <c r="H71" s="659">
        <f t="shared" si="13"/>
        <v>0</v>
      </c>
      <c r="I71" s="660">
        <f t="shared" si="4"/>
        <v>0</v>
      </c>
      <c r="J71" s="660"/>
      <c r="K71" s="132"/>
      <c r="L71" s="663">
        <f t="shared" si="0"/>
        <v>0</v>
      </c>
      <c r="M71" s="132"/>
      <c r="N71" s="663">
        <f t="shared" si="1"/>
        <v>0</v>
      </c>
      <c r="O71" s="663">
        <f t="shared" si="2"/>
        <v>0</v>
      </c>
      <c r="P71" s="630"/>
    </row>
    <row r="72" spans="2:16" ht="13" thickBot="1">
      <c r="B72" s="9" t="str">
        <f t="shared" si="6"/>
        <v/>
      </c>
      <c r="C72" s="665">
        <f>IF(D11="","-",+C71+1)</f>
        <v>2076</v>
      </c>
      <c r="D72" s="666">
        <f>IF(F71+SUM(E$17:E71)=D$10,F71,D$10-SUM(E$17:E71))</f>
        <v>0</v>
      </c>
      <c r="E72" s="488">
        <f>IF(+I$14&lt;F71,I$14,D72)</f>
        <v>0</v>
      </c>
      <c r="F72" s="666">
        <f>+D72-E72</f>
        <v>0</v>
      </c>
      <c r="G72" s="667">
        <f>(D72+F72)/2*I$12+E72</f>
        <v>0</v>
      </c>
      <c r="H72" s="641">
        <f>+(D72+F72)/2*I$13+E72</f>
        <v>0</v>
      </c>
      <c r="I72" s="668">
        <f>H72-G72</f>
        <v>0</v>
      </c>
      <c r="J72" s="660"/>
      <c r="K72" s="133"/>
      <c r="L72" s="669">
        <f t="shared" si="0"/>
        <v>0</v>
      </c>
      <c r="M72" s="133"/>
      <c r="N72" s="669">
        <f t="shared" si="1"/>
        <v>0</v>
      </c>
      <c r="O72" s="669">
        <f t="shared" si="2"/>
        <v>0</v>
      </c>
      <c r="P72" s="630"/>
    </row>
    <row r="73" spans="2:16">
      <c r="C73" s="657" t="s">
        <v>77</v>
      </c>
      <c r="D73" s="636"/>
      <c r="E73" s="636">
        <f>SUM(E17:E72)</f>
        <v>1822797.0000000002</v>
      </c>
      <c r="F73" s="636"/>
      <c r="G73" s="636">
        <f>SUM(G17:G72)</f>
        <v>5962145.9006919712</v>
      </c>
      <c r="H73" s="636">
        <f>SUM(H17:H72)</f>
        <v>5962145.9006919712</v>
      </c>
      <c r="I73" s="636">
        <f>SUM(I17:I72)</f>
        <v>0</v>
      </c>
      <c r="J73" s="636"/>
      <c r="K73" s="636"/>
      <c r="L73" s="636"/>
      <c r="M73" s="636"/>
      <c r="N73" s="636"/>
      <c r="O73" s="630"/>
      <c r="P73" s="630"/>
    </row>
    <row r="74" spans="2:16">
      <c r="D74" s="631"/>
      <c r="E74" s="630"/>
      <c r="F74" s="630"/>
      <c r="G74" s="630"/>
      <c r="H74" s="633"/>
      <c r="I74" s="633"/>
      <c r="J74" s="636"/>
      <c r="K74" s="633"/>
      <c r="L74" s="633"/>
      <c r="M74" s="633"/>
      <c r="N74" s="633"/>
      <c r="O74" s="630"/>
      <c r="P74" s="630"/>
    </row>
    <row r="75" spans="2:16" ht="13">
      <c r="C75" s="642" t="s">
        <v>106</v>
      </c>
      <c r="D75" s="631"/>
      <c r="E75" s="630"/>
      <c r="F75" s="630"/>
      <c r="G75" s="630"/>
      <c r="H75" s="633"/>
      <c r="I75" s="633"/>
      <c r="J75" s="636"/>
      <c r="K75" s="633"/>
      <c r="L75" s="633"/>
      <c r="M75" s="633"/>
      <c r="N75" s="633"/>
      <c r="O75" s="630"/>
      <c r="P75" s="630"/>
    </row>
    <row r="76" spans="2:16" ht="13">
      <c r="C76" s="639" t="s">
        <v>78</v>
      </c>
      <c r="D76" s="631"/>
      <c r="E76" s="630"/>
      <c r="F76" s="630"/>
      <c r="G76" s="630"/>
      <c r="H76" s="633"/>
      <c r="I76" s="633"/>
      <c r="J76" s="636"/>
      <c r="K76" s="633"/>
      <c r="L76" s="633"/>
      <c r="M76" s="633"/>
      <c r="N76" s="633"/>
      <c r="O76" s="630"/>
      <c r="P76" s="630"/>
    </row>
    <row r="77" spans="2:16" ht="13">
      <c r="C77" s="639" t="s">
        <v>79</v>
      </c>
      <c r="D77" s="657"/>
      <c r="E77" s="657"/>
      <c r="F77" s="657"/>
      <c r="G77" s="636"/>
      <c r="H77" s="636"/>
      <c r="I77" s="670"/>
      <c r="J77" s="670"/>
      <c r="K77" s="670"/>
      <c r="L77" s="670"/>
      <c r="M77" s="670"/>
      <c r="N77" s="670"/>
      <c r="O77" s="630"/>
      <c r="P77" s="630"/>
    </row>
    <row r="78" spans="2:16" ht="13">
      <c r="C78" s="639"/>
      <c r="D78" s="657"/>
      <c r="E78" s="657"/>
      <c r="F78" s="657"/>
      <c r="G78" s="636"/>
      <c r="H78" s="636"/>
      <c r="I78" s="670"/>
      <c r="J78" s="670"/>
      <c r="K78" s="670"/>
      <c r="L78" s="670"/>
      <c r="M78" s="670"/>
      <c r="N78" s="670"/>
      <c r="O78" s="630"/>
      <c r="P78" s="630"/>
    </row>
    <row r="79" spans="2:16">
      <c r="B79" s="630"/>
      <c r="C79" s="630"/>
      <c r="D79" s="631"/>
      <c r="E79" s="630"/>
      <c r="F79" s="657"/>
      <c r="G79" s="630"/>
      <c r="H79" s="633"/>
      <c r="I79" s="630"/>
      <c r="J79" s="630"/>
      <c r="K79" s="630"/>
      <c r="L79" s="630"/>
      <c r="M79" s="630"/>
      <c r="N79" s="630"/>
      <c r="O79" s="630"/>
      <c r="P79" s="630"/>
    </row>
    <row r="80" spans="2:16" ht="17.5">
      <c r="B80" s="630"/>
      <c r="C80" s="671"/>
      <c r="D80" s="631"/>
      <c r="E80" s="630"/>
      <c r="F80" s="657"/>
      <c r="G80" s="630"/>
      <c r="H80" s="633"/>
      <c r="I80" s="630"/>
      <c r="J80" s="630"/>
      <c r="K80" s="630"/>
      <c r="L80" s="630"/>
      <c r="M80" s="630"/>
      <c r="N80" s="630"/>
      <c r="P80" s="111" t="s">
        <v>144</v>
      </c>
    </row>
    <row r="81" spans="1:16">
      <c r="B81" s="630"/>
      <c r="C81" s="630"/>
      <c r="D81" s="631"/>
      <c r="E81" s="630"/>
      <c r="F81" s="657"/>
      <c r="G81" s="630"/>
      <c r="H81" s="633"/>
      <c r="I81" s="630"/>
      <c r="J81" s="630"/>
      <c r="K81" s="630"/>
      <c r="L81" s="630"/>
      <c r="M81" s="630"/>
      <c r="N81" s="630"/>
      <c r="O81" s="630"/>
      <c r="P81" s="630"/>
    </row>
    <row r="82" spans="1:16">
      <c r="B82" s="630"/>
      <c r="C82" s="630"/>
      <c r="D82" s="631"/>
      <c r="E82" s="630"/>
      <c r="F82" s="657"/>
      <c r="G82" s="630"/>
      <c r="H82" s="633"/>
      <c r="I82" s="630"/>
      <c r="J82" s="630"/>
      <c r="K82" s="630"/>
      <c r="L82" s="630"/>
      <c r="M82" s="630"/>
      <c r="N82" s="630"/>
      <c r="O82" s="630"/>
      <c r="P82" s="630"/>
    </row>
    <row r="83" spans="1:16" ht="20">
      <c r="A83" s="110" t="s">
        <v>146</v>
      </c>
      <c r="B83" s="630"/>
      <c r="C83" s="630"/>
      <c r="D83" s="631"/>
      <c r="E83" s="630"/>
      <c r="F83" s="632"/>
      <c r="G83" s="632"/>
      <c r="H83" s="630"/>
      <c r="I83" s="633"/>
      <c r="L83" s="19"/>
      <c r="M83" s="19"/>
      <c r="P83" s="414" t="str">
        <f ca="1">"PSO Project "&amp;RIGHT(MID(CELL("filename",$A$1),FIND("]",CELL("filename",$A$1))+1,256),2)&amp;" of "&amp;COUNT('P.001:P.xyz - blank'!$P$3)-1</f>
        <v>PSO Project 30 of 35</v>
      </c>
    </row>
    <row r="84" spans="1:16" ht="17.5">
      <c r="B84" s="630"/>
      <c r="C84" s="630"/>
      <c r="D84" s="631"/>
      <c r="E84" s="630"/>
      <c r="F84" s="630"/>
      <c r="G84" s="630"/>
      <c r="H84" s="630"/>
      <c r="I84" s="633"/>
      <c r="J84" s="630"/>
      <c r="K84" s="630"/>
      <c r="L84" s="630"/>
      <c r="M84" s="630"/>
      <c r="P84" s="117" t="s">
        <v>151</v>
      </c>
    </row>
    <row r="85" spans="1:16" ht="17.5" thickBot="1">
      <c r="B85" s="634" t="s">
        <v>42</v>
      </c>
      <c r="C85" s="672" t="s">
        <v>91</v>
      </c>
      <c r="D85" s="631"/>
      <c r="E85" s="630"/>
      <c r="F85" s="630"/>
      <c r="G85" s="630"/>
      <c r="H85" s="630"/>
      <c r="I85" s="633"/>
      <c r="J85" s="633"/>
      <c r="K85" s="636"/>
      <c r="L85" s="633"/>
      <c r="M85" s="633"/>
      <c r="N85" s="633"/>
      <c r="O85" s="636"/>
      <c r="P85" s="630"/>
    </row>
    <row r="86" spans="1:16" ht="16" thickBot="1">
      <c r="C86" s="637"/>
      <c r="D86" s="631"/>
      <c r="E86" s="630"/>
      <c r="F86" s="630"/>
      <c r="G86" s="630"/>
      <c r="H86" s="630"/>
      <c r="I86" s="633"/>
      <c r="J86" s="633"/>
      <c r="K86" s="636"/>
      <c r="L86" s="673">
        <f>+J92</f>
        <v>2024</v>
      </c>
      <c r="M86" s="674" t="s">
        <v>8</v>
      </c>
      <c r="N86" s="675" t="s">
        <v>153</v>
      </c>
      <c r="O86" s="676" t="s">
        <v>10</v>
      </c>
      <c r="P86" s="630"/>
    </row>
    <row r="87" spans="1:16" ht="15.5">
      <c r="C87" s="107" t="s">
        <v>44</v>
      </c>
      <c r="D87" s="631"/>
      <c r="E87" s="630"/>
      <c r="F87" s="630"/>
      <c r="G87" s="630"/>
      <c r="H87" s="418"/>
      <c r="I87" s="630" t="s">
        <v>45</v>
      </c>
      <c r="J87" s="630"/>
      <c r="K87" s="122"/>
      <c r="L87" s="677" t="s">
        <v>154</v>
      </c>
      <c r="M87" s="505">
        <f>IF(J92&lt;D11,0,VLOOKUP(J92,C17:O72,9))</f>
        <v>227264.99335755705</v>
      </c>
      <c r="N87" s="505">
        <f>IF(J92&lt;D11,0,VLOOKUP(J92,C17:O72,11))</f>
        <v>227264.99335755705</v>
      </c>
      <c r="O87" s="678">
        <f>+N87-M87</f>
        <v>0</v>
      </c>
      <c r="P87" s="630"/>
    </row>
    <row r="88" spans="1:16" ht="15.5">
      <c r="C88" s="8"/>
      <c r="D88" s="631"/>
      <c r="E88" s="630"/>
      <c r="F88" s="630"/>
      <c r="G88" s="630"/>
      <c r="H88" s="630"/>
      <c r="I88" s="423"/>
      <c r="J88" s="423"/>
      <c r="K88" s="507"/>
      <c r="L88" s="679" t="s">
        <v>155</v>
      </c>
      <c r="M88" s="509">
        <f>IF(J92&lt;D11,0,VLOOKUP(J92,C99:P154,6))</f>
        <v>228220.49525363438</v>
      </c>
      <c r="N88" s="509">
        <f>IF(J92&lt;D11,0,VLOOKUP(J92,C99:P154,7))</f>
        <v>228220.49525363438</v>
      </c>
      <c r="O88" s="680">
        <f>+N88-M88</f>
        <v>0</v>
      </c>
      <c r="P88" s="630"/>
    </row>
    <row r="89" spans="1:16" ht="13.5" thickBot="1">
      <c r="C89" s="639" t="s">
        <v>92</v>
      </c>
      <c r="D89" s="79" t="str">
        <f>D7</f>
        <v>Tulsa SE - E 21st St Tap 138 kV</v>
      </c>
      <c r="E89" s="630"/>
      <c r="F89" s="630"/>
      <c r="G89" s="630"/>
      <c r="H89" s="630"/>
      <c r="I89" s="633"/>
      <c r="J89" s="633"/>
      <c r="K89" s="512"/>
      <c r="L89" s="681" t="s">
        <v>156</v>
      </c>
      <c r="M89" s="514">
        <f>+M88-M87</f>
        <v>955.50189607733046</v>
      </c>
      <c r="N89" s="514">
        <f>+N88-N87</f>
        <v>955.50189607733046</v>
      </c>
      <c r="O89" s="515">
        <f>+O88-O87</f>
        <v>0</v>
      </c>
      <c r="P89" s="630"/>
    </row>
    <row r="90" spans="1:16" ht="13.5" thickBot="1">
      <c r="C90" s="642"/>
      <c r="E90" s="657"/>
      <c r="F90" s="657"/>
      <c r="G90" s="657"/>
      <c r="H90" s="643"/>
      <c r="I90" s="633"/>
      <c r="J90" s="633"/>
      <c r="K90" s="636"/>
      <c r="L90" s="633"/>
      <c r="M90" s="633"/>
      <c r="N90" s="633"/>
      <c r="O90" s="636"/>
      <c r="P90" s="630"/>
    </row>
    <row r="91" spans="1:16" ht="13.5" thickBot="1">
      <c r="C91" s="682" t="s">
        <v>93</v>
      </c>
      <c r="D91" s="683" t="str">
        <f>+D9</f>
        <v>TP2020033</v>
      </c>
      <c r="E91" s="684" t="str">
        <f>E9</f>
        <v xml:space="preserve">  SPP Project ID = 81523</v>
      </c>
      <c r="F91" s="684"/>
      <c r="G91" s="684"/>
      <c r="H91" s="684"/>
      <c r="I91" s="684"/>
      <c r="J91" s="684"/>
    </row>
    <row r="92" spans="1:16" ht="13">
      <c r="C92" s="649" t="s">
        <v>226</v>
      </c>
      <c r="D92" s="685">
        <f>D10</f>
        <v>1822797</v>
      </c>
      <c r="E92" s="630" t="s">
        <v>94</v>
      </c>
      <c r="H92" s="631"/>
      <c r="I92" s="631"/>
      <c r="J92" s="446">
        <f>+'PSO.WS.G.BPU.ATRR.True-up'!M16</f>
        <v>2024</v>
      </c>
      <c r="K92" s="648"/>
      <c r="L92" s="636" t="s">
        <v>95</v>
      </c>
      <c r="P92" s="630"/>
    </row>
    <row r="93" spans="1:16">
      <c r="C93" s="651" t="s">
        <v>53</v>
      </c>
      <c r="D93" s="686">
        <f>+D11</f>
        <v>2021</v>
      </c>
      <c r="E93" s="651" t="s">
        <v>54</v>
      </c>
      <c r="F93" s="631"/>
      <c r="G93" s="631"/>
      <c r="J93" s="652">
        <v>0</v>
      </c>
      <c r="K93" s="653"/>
      <c r="L93" t="str">
        <f>"          INPUT TRUE-UP ARR (WITH &amp; WITHOUT INCENTIVES) FROM EACH PRIOR YEAR"</f>
        <v xml:space="preserve">          INPUT TRUE-UP ARR (WITH &amp; WITHOUT INCENTIVES) FROM EACH PRIOR YEAR</v>
      </c>
      <c r="P93" s="630"/>
    </row>
    <row r="94" spans="1:16">
      <c r="C94" s="651" t="s">
        <v>55</v>
      </c>
      <c r="D94" s="686">
        <f>+D12</f>
        <v>11</v>
      </c>
      <c r="E94" s="651" t="s">
        <v>56</v>
      </c>
      <c r="F94" s="631"/>
      <c r="G94" s="631"/>
      <c r="J94" s="654">
        <v>0.10781124580725182</v>
      </c>
      <c r="K94" s="632"/>
      <c r="L94" t="s">
        <v>96</v>
      </c>
      <c r="P94" s="630"/>
    </row>
    <row r="95" spans="1:16">
      <c r="C95" s="651" t="s">
        <v>58</v>
      </c>
      <c r="D95" s="652">
        <v>42</v>
      </c>
      <c r="E95" s="651" t="s">
        <v>59</v>
      </c>
      <c r="F95" s="631"/>
      <c r="G95" s="631"/>
      <c r="J95" s="654">
        <v>0.10781124580725182</v>
      </c>
      <c r="K95" s="632"/>
      <c r="L95" s="636" t="s">
        <v>60</v>
      </c>
      <c r="M95" s="632"/>
      <c r="N95" s="632"/>
      <c r="O95" s="632"/>
      <c r="P95" s="630"/>
    </row>
    <row r="96" spans="1:16" ht="13" thickBot="1">
      <c r="C96" s="651" t="s">
        <v>61</v>
      </c>
      <c r="D96" s="687" t="str">
        <f>+D14</f>
        <v>No</v>
      </c>
      <c r="E96" s="688" t="s">
        <v>63</v>
      </c>
      <c r="F96" s="689"/>
      <c r="G96" s="689"/>
      <c r="H96" s="92"/>
      <c r="I96" s="92"/>
      <c r="J96" s="641">
        <f>IF(D92=0,0,ROUND(D92/D95,0))</f>
        <v>43400</v>
      </c>
      <c r="K96" s="636"/>
      <c r="L96" s="636"/>
      <c r="M96" s="636"/>
      <c r="N96" s="636"/>
      <c r="O96" s="636"/>
      <c r="P96" s="630"/>
    </row>
    <row r="97" spans="1:16" ht="39">
      <c r="A97" s="6"/>
      <c r="B97" s="6"/>
      <c r="C97" s="93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93" t="s">
        <v>98</v>
      </c>
      <c r="K97" s="95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533" t="s">
        <v>73</v>
      </c>
      <c r="I98" s="463" t="s">
        <v>74</v>
      </c>
      <c r="J98" s="57" t="s">
        <v>104</v>
      </c>
      <c r="K98" s="5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3" thickBot="1">
      <c r="C99" s="656">
        <f>IF(D93= "","-",D93)</f>
        <v>2021</v>
      </c>
      <c r="D99" s="132">
        <v>0</v>
      </c>
      <c r="E99" s="132">
        <v>0</v>
      </c>
      <c r="F99" s="132">
        <v>1504560.18</v>
      </c>
      <c r="G99" s="132">
        <v>752280.09</v>
      </c>
      <c r="H99" s="132">
        <v>81104.253698891524</v>
      </c>
      <c r="I99" s="132">
        <v>81104.253698891524</v>
      </c>
      <c r="J99" s="663">
        <f>+I99-H99</f>
        <v>0</v>
      </c>
      <c r="K99" s="663"/>
      <c r="L99" s="662">
        <f>+H99</f>
        <v>81104.253698891524</v>
      </c>
      <c r="M99" s="662">
        <f t="shared" ref="M99:M130" si="14">IF(L99&lt;&gt;0,+H99-L99,0)</f>
        <v>0</v>
      </c>
      <c r="N99" s="662">
        <f>+I99</f>
        <v>81104.253698891524</v>
      </c>
      <c r="O99" s="662">
        <f t="shared" ref="O99:O130" si="15">IF(N99&lt;&gt;0,+I99-N99,0)</f>
        <v>0</v>
      </c>
      <c r="P99" s="662">
        <f t="shared" ref="P99:P130" si="16">+O99-M99</f>
        <v>0</v>
      </c>
    </row>
    <row r="100" spans="1:16" ht="13" thickBot="1">
      <c r="B100" s="9" t="str">
        <f>IF(D100=F99,"","IU")</f>
        <v>IU</v>
      </c>
      <c r="C100" s="656">
        <f>IF(D93="","-",+C99+1)</f>
        <v>2022</v>
      </c>
      <c r="D100" s="132">
        <v>1822797</v>
      </c>
      <c r="E100" s="132">
        <v>43400</v>
      </c>
      <c r="F100" s="132">
        <v>1779397</v>
      </c>
      <c r="G100" s="132">
        <v>1801097</v>
      </c>
      <c r="H100" s="132">
        <v>237578.51138970384</v>
      </c>
      <c r="I100" s="132">
        <v>237578.51138970384</v>
      </c>
      <c r="J100" s="663">
        <f t="shared" ref="J100:J130" si="17">+I100-H100</f>
        <v>0</v>
      </c>
      <c r="K100" s="663"/>
      <c r="L100" s="662">
        <f>+H100</f>
        <v>237578.51138970384</v>
      </c>
      <c r="M100" s="662">
        <f t="shared" ref="M100" si="18">IF(L100&lt;&gt;0,+H100-L100,0)</f>
        <v>0</v>
      </c>
      <c r="N100" s="662">
        <f>+I100</f>
        <v>237578.51138970384</v>
      </c>
      <c r="O100" s="662">
        <f t="shared" ref="O100" si="19">IF(N100&lt;&gt;0,+I100-N100,0)</f>
        <v>0</v>
      </c>
      <c r="P100" s="662">
        <f t="shared" ref="P100" si="20">+O100-M100</f>
        <v>0</v>
      </c>
    </row>
    <row r="101" spans="1:16">
      <c r="B101" s="9" t="str">
        <f t="shared" ref="B101:B154" si="21">IF(D101=F100,"","IU")</f>
        <v/>
      </c>
      <c r="C101" s="656">
        <f>IF(D93="","-",+C100+1)</f>
        <v>2023</v>
      </c>
      <c r="D101" s="132">
        <v>1779397</v>
      </c>
      <c r="E101" s="132">
        <v>43400</v>
      </c>
      <c r="F101" s="132">
        <v>1735997</v>
      </c>
      <c r="G101" s="132">
        <v>1757697</v>
      </c>
      <c r="H101" s="132">
        <v>232899.50332166909</v>
      </c>
      <c r="I101" s="132">
        <v>232899.50332166909</v>
      </c>
      <c r="J101" s="663">
        <f t="shared" si="17"/>
        <v>0</v>
      </c>
      <c r="K101" s="663"/>
      <c r="L101" s="662">
        <f>+H101</f>
        <v>232899.50332166909</v>
      </c>
      <c r="M101" s="662">
        <f t="shared" ref="M101" si="22">IF(L101&lt;&gt;0,+H101-L101,0)</f>
        <v>0</v>
      </c>
      <c r="N101" s="662">
        <f>+I101</f>
        <v>232899.50332166909</v>
      </c>
      <c r="O101" s="662">
        <f t="shared" ref="O101" si="23">IF(N101&lt;&gt;0,+I101-N101,0)</f>
        <v>0</v>
      </c>
      <c r="P101" s="662">
        <f t="shared" ref="P101" si="24">+O101-M101</f>
        <v>0</v>
      </c>
    </row>
    <row r="102" spans="1:16">
      <c r="B102" s="9" t="str">
        <f t="shared" si="21"/>
        <v/>
      </c>
      <c r="C102" s="656">
        <f>IF(D93="","-",+C101+1)</f>
        <v>2024</v>
      </c>
      <c r="D102" s="657">
        <f>IF(F101+SUM(E$99:E101)=D$92,F101,D$92-SUM(E$99:E101))</f>
        <v>1735997</v>
      </c>
      <c r="E102" s="69">
        <f t="shared" ref="E102:E154" si="25">IF(+J$96&lt;F101,J$96,D102)</f>
        <v>43400</v>
      </c>
      <c r="F102" s="658">
        <f t="shared" ref="F102:F154" si="26">+D102-E102</f>
        <v>1692597</v>
      </c>
      <c r="G102" s="658">
        <f t="shared" ref="G102:G154" si="27">+(F102+D102)/2</f>
        <v>1714297</v>
      </c>
      <c r="H102" s="130">
        <f t="shared" ref="H102:H154" si="28">+J$94*G102+E102</f>
        <v>228220.49525363438</v>
      </c>
      <c r="I102" s="139">
        <f t="shared" ref="I102:I154" si="29">+J$95*G102+E102</f>
        <v>228220.49525363438</v>
      </c>
      <c r="J102" s="663">
        <f t="shared" si="17"/>
        <v>0</v>
      </c>
      <c r="K102" s="663"/>
      <c r="L102" s="132"/>
      <c r="M102" s="663">
        <f t="shared" si="14"/>
        <v>0</v>
      </c>
      <c r="N102" s="132"/>
      <c r="O102" s="663">
        <f t="shared" si="15"/>
        <v>0</v>
      </c>
      <c r="P102" s="663">
        <f t="shared" si="16"/>
        <v>0</v>
      </c>
    </row>
    <row r="103" spans="1:16">
      <c r="B103" s="9" t="str">
        <f t="shared" si="21"/>
        <v/>
      </c>
      <c r="C103" s="656">
        <f>IF(D93="","-",+C102+1)</f>
        <v>2025</v>
      </c>
      <c r="D103" s="657">
        <f>IF(F102+SUM(E$99:E102)=D$92,F102,D$92-SUM(E$99:E102))</f>
        <v>1692597</v>
      </c>
      <c r="E103" s="69">
        <f t="shared" si="25"/>
        <v>43400</v>
      </c>
      <c r="F103" s="658">
        <f t="shared" si="26"/>
        <v>1649197</v>
      </c>
      <c r="G103" s="658">
        <f t="shared" si="27"/>
        <v>1670897</v>
      </c>
      <c r="H103" s="130">
        <f t="shared" si="28"/>
        <v>223541.48718559963</v>
      </c>
      <c r="I103" s="139">
        <f t="shared" si="29"/>
        <v>223541.48718559963</v>
      </c>
      <c r="J103" s="663">
        <f t="shared" si="17"/>
        <v>0</v>
      </c>
      <c r="K103" s="663"/>
      <c r="L103" s="132"/>
      <c r="M103" s="663">
        <f t="shared" si="14"/>
        <v>0</v>
      </c>
      <c r="N103" s="132"/>
      <c r="O103" s="663">
        <f t="shared" si="15"/>
        <v>0</v>
      </c>
      <c r="P103" s="663">
        <f t="shared" si="16"/>
        <v>0</v>
      </c>
    </row>
    <row r="104" spans="1:16">
      <c r="B104" s="9" t="str">
        <f t="shared" si="21"/>
        <v/>
      </c>
      <c r="C104" s="656">
        <f>IF(D93="","-",+C103+1)</f>
        <v>2026</v>
      </c>
      <c r="D104" s="657">
        <f>IF(F103+SUM(E$99:E103)=D$92,F103,D$92-SUM(E$99:E103))</f>
        <v>1649197</v>
      </c>
      <c r="E104" s="69">
        <f t="shared" si="25"/>
        <v>43400</v>
      </c>
      <c r="F104" s="658">
        <f t="shared" si="26"/>
        <v>1605797</v>
      </c>
      <c r="G104" s="658">
        <f t="shared" si="27"/>
        <v>1627497</v>
      </c>
      <c r="H104" s="130">
        <f t="shared" si="28"/>
        <v>218862.47911756492</v>
      </c>
      <c r="I104" s="139">
        <f t="shared" si="29"/>
        <v>218862.47911756492</v>
      </c>
      <c r="J104" s="663">
        <f t="shared" si="17"/>
        <v>0</v>
      </c>
      <c r="K104" s="663"/>
      <c r="L104" s="132"/>
      <c r="M104" s="663">
        <f t="shared" si="14"/>
        <v>0</v>
      </c>
      <c r="N104" s="132"/>
      <c r="O104" s="663">
        <f t="shared" si="15"/>
        <v>0</v>
      </c>
      <c r="P104" s="663">
        <f t="shared" si="16"/>
        <v>0</v>
      </c>
    </row>
    <row r="105" spans="1:16">
      <c r="B105" s="9" t="str">
        <f t="shared" si="21"/>
        <v/>
      </c>
      <c r="C105" s="656">
        <f>IF(D93="","-",+C104+1)</f>
        <v>2027</v>
      </c>
      <c r="D105" s="657">
        <f>IF(F104+SUM(E$99:E104)=D$92,F104,D$92-SUM(E$99:E104))</f>
        <v>1605797</v>
      </c>
      <c r="E105" s="69">
        <f t="shared" si="25"/>
        <v>43400</v>
      </c>
      <c r="F105" s="658">
        <f t="shared" si="26"/>
        <v>1562397</v>
      </c>
      <c r="G105" s="658">
        <f t="shared" si="27"/>
        <v>1584097</v>
      </c>
      <c r="H105" s="130">
        <f t="shared" si="28"/>
        <v>214183.4710495302</v>
      </c>
      <c r="I105" s="139">
        <f t="shared" si="29"/>
        <v>214183.4710495302</v>
      </c>
      <c r="J105" s="663">
        <f t="shared" si="17"/>
        <v>0</v>
      </c>
      <c r="K105" s="663"/>
      <c r="L105" s="132"/>
      <c r="M105" s="663">
        <f t="shared" si="14"/>
        <v>0</v>
      </c>
      <c r="N105" s="132"/>
      <c r="O105" s="663">
        <f t="shared" si="15"/>
        <v>0</v>
      </c>
      <c r="P105" s="663">
        <f t="shared" si="16"/>
        <v>0</v>
      </c>
    </row>
    <row r="106" spans="1:16">
      <c r="B106" s="9" t="str">
        <f t="shared" si="21"/>
        <v/>
      </c>
      <c r="C106" s="656">
        <f>IF(D93="","-",+C105+1)</f>
        <v>2028</v>
      </c>
      <c r="D106" s="657">
        <f>IF(F105+SUM(E$99:E105)=D$92,F105,D$92-SUM(E$99:E105))</f>
        <v>1562397</v>
      </c>
      <c r="E106" s="69">
        <f t="shared" si="25"/>
        <v>43400</v>
      </c>
      <c r="F106" s="658">
        <f t="shared" si="26"/>
        <v>1518997</v>
      </c>
      <c r="G106" s="658">
        <f t="shared" si="27"/>
        <v>1540697</v>
      </c>
      <c r="H106" s="130">
        <f t="shared" si="28"/>
        <v>209504.46298149545</v>
      </c>
      <c r="I106" s="139">
        <f t="shared" si="29"/>
        <v>209504.46298149545</v>
      </c>
      <c r="J106" s="663">
        <f t="shared" si="17"/>
        <v>0</v>
      </c>
      <c r="K106" s="663"/>
      <c r="L106" s="132"/>
      <c r="M106" s="663">
        <f t="shared" si="14"/>
        <v>0</v>
      </c>
      <c r="N106" s="132"/>
      <c r="O106" s="663">
        <f t="shared" si="15"/>
        <v>0</v>
      </c>
      <c r="P106" s="663">
        <f t="shared" si="16"/>
        <v>0</v>
      </c>
    </row>
    <row r="107" spans="1:16">
      <c r="B107" s="9" t="str">
        <f t="shared" si="21"/>
        <v/>
      </c>
      <c r="C107" s="656">
        <f>IF(D93="","-",+C106+1)</f>
        <v>2029</v>
      </c>
      <c r="D107" s="657">
        <f>IF(F106+SUM(E$99:E106)=D$92,F106,D$92-SUM(E$99:E106))</f>
        <v>1518997</v>
      </c>
      <c r="E107" s="69">
        <f t="shared" si="25"/>
        <v>43400</v>
      </c>
      <c r="F107" s="658">
        <f t="shared" si="26"/>
        <v>1475597</v>
      </c>
      <c r="G107" s="658">
        <f t="shared" si="27"/>
        <v>1497297</v>
      </c>
      <c r="H107" s="130">
        <f t="shared" si="28"/>
        <v>204825.45491346074</v>
      </c>
      <c r="I107" s="139">
        <f t="shared" si="29"/>
        <v>204825.45491346074</v>
      </c>
      <c r="J107" s="663">
        <f t="shared" si="17"/>
        <v>0</v>
      </c>
      <c r="K107" s="663"/>
      <c r="L107" s="132"/>
      <c r="M107" s="663">
        <f t="shared" si="14"/>
        <v>0</v>
      </c>
      <c r="N107" s="132"/>
      <c r="O107" s="663">
        <f t="shared" si="15"/>
        <v>0</v>
      </c>
      <c r="P107" s="663">
        <f t="shared" si="16"/>
        <v>0</v>
      </c>
    </row>
    <row r="108" spans="1:16">
      <c r="B108" s="9" t="str">
        <f t="shared" si="21"/>
        <v/>
      </c>
      <c r="C108" s="656">
        <f>IF(D93="","-",+C107+1)</f>
        <v>2030</v>
      </c>
      <c r="D108" s="657">
        <f>IF(F107+SUM(E$99:E107)=D$92,F107,D$92-SUM(E$99:E107))</f>
        <v>1475597</v>
      </c>
      <c r="E108" s="69">
        <f t="shared" si="25"/>
        <v>43400</v>
      </c>
      <c r="F108" s="658">
        <f t="shared" si="26"/>
        <v>1432197</v>
      </c>
      <c r="G108" s="658">
        <f t="shared" si="27"/>
        <v>1453897</v>
      </c>
      <c r="H108" s="130">
        <f t="shared" si="28"/>
        <v>200146.44684542599</v>
      </c>
      <c r="I108" s="139">
        <f t="shared" si="29"/>
        <v>200146.44684542599</v>
      </c>
      <c r="J108" s="663">
        <f t="shared" si="17"/>
        <v>0</v>
      </c>
      <c r="K108" s="663"/>
      <c r="L108" s="132"/>
      <c r="M108" s="663">
        <f t="shared" si="14"/>
        <v>0</v>
      </c>
      <c r="N108" s="132"/>
      <c r="O108" s="663">
        <f t="shared" si="15"/>
        <v>0</v>
      </c>
      <c r="P108" s="663">
        <f t="shared" si="16"/>
        <v>0</v>
      </c>
    </row>
    <row r="109" spans="1:16">
      <c r="B109" s="9" t="str">
        <f t="shared" si="21"/>
        <v/>
      </c>
      <c r="C109" s="656">
        <f>IF(D93="","-",+C108+1)</f>
        <v>2031</v>
      </c>
      <c r="D109" s="657">
        <f>IF(F108+SUM(E$99:E108)=D$92,F108,D$92-SUM(E$99:E108))</f>
        <v>1432197</v>
      </c>
      <c r="E109" s="69">
        <f t="shared" si="25"/>
        <v>43400</v>
      </c>
      <c r="F109" s="658">
        <f t="shared" si="26"/>
        <v>1388797</v>
      </c>
      <c r="G109" s="658">
        <f t="shared" si="27"/>
        <v>1410497</v>
      </c>
      <c r="H109" s="130">
        <f t="shared" si="28"/>
        <v>195467.43877739127</v>
      </c>
      <c r="I109" s="139">
        <f t="shared" si="29"/>
        <v>195467.43877739127</v>
      </c>
      <c r="J109" s="663">
        <f t="shared" si="17"/>
        <v>0</v>
      </c>
      <c r="K109" s="663"/>
      <c r="L109" s="132"/>
      <c r="M109" s="663">
        <f t="shared" si="14"/>
        <v>0</v>
      </c>
      <c r="N109" s="132"/>
      <c r="O109" s="663">
        <f t="shared" si="15"/>
        <v>0</v>
      </c>
      <c r="P109" s="663">
        <f t="shared" si="16"/>
        <v>0</v>
      </c>
    </row>
    <row r="110" spans="1:16">
      <c r="B110" s="9" t="str">
        <f t="shared" si="21"/>
        <v/>
      </c>
      <c r="C110" s="656">
        <f>IF(D93="","-",+C109+1)</f>
        <v>2032</v>
      </c>
      <c r="D110" s="657">
        <f>IF(F109+SUM(E$99:E109)=D$92,F109,D$92-SUM(E$99:E109))</f>
        <v>1388797</v>
      </c>
      <c r="E110" s="69">
        <f t="shared" si="25"/>
        <v>43400</v>
      </c>
      <c r="F110" s="658">
        <f t="shared" si="26"/>
        <v>1345397</v>
      </c>
      <c r="G110" s="658">
        <f t="shared" si="27"/>
        <v>1367097</v>
      </c>
      <c r="H110" s="130">
        <f t="shared" si="28"/>
        <v>190788.43070935653</v>
      </c>
      <c r="I110" s="139">
        <f t="shared" si="29"/>
        <v>190788.43070935653</v>
      </c>
      <c r="J110" s="663">
        <f t="shared" si="17"/>
        <v>0</v>
      </c>
      <c r="K110" s="663"/>
      <c r="L110" s="132"/>
      <c r="M110" s="663">
        <f t="shared" si="14"/>
        <v>0</v>
      </c>
      <c r="N110" s="132"/>
      <c r="O110" s="663">
        <f t="shared" si="15"/>
        <v>0</v>
      </c>
      <c r="P110" s="663">
        <f t="shared" si="16"/>
        <v>0</v>
      </c>
    </row>
    <row r="111" spans="1:16">
      <c r="B111" s="9" t="str">
        <f t="shared" si="21"/>
        <v/>
      </c>
      <c r="C111" s="656">
        <f>IF(D93="","-",+C110+1)</f>
        <v>2033</v>
      </c>
      <c r="D111" s="657">
        <f>IF(F110+SUM(E$99:E110)=D$92,F110,D$92-SUM(E$99:E110))</f>
        <v>1345397</v>
      </c>
      <c r="E111" s="69">
        <f t="shared" si="25"/>
        <v>43400</v>
      </c>
      <c r="F111" s="658">
        <f t="shared" si="26"/>
        <v>1301997</v>
      </c>
      <c r="G111" s="658">
        <f t="shared" si="27"/>
        <v>1323697</v>
      </c>
      <c r="H111" s="130">
        <f t="shared" si="28"/>
        <v>186109.42264132181</v>
      </c>
      <c r="I111" s="139">
        <f t="shared" si="29"/>
        <v>186109.42264132181</v>
      </c>
      <c r="J111" s="663">
        <f t="shared" si="17"/>
        <v>0</v>
      </c>
      <c r="K111" s="663"/>
      <c r="L111" s="132"/>
      <c r="M111" s="663">
        <f t="shared" si="14"/>
        <v>0</v>
      </c>
      <c r="N111" s="132"/>
      <c r="O111" s="663">
        <f t="shared" si="15"/>
        <v>0</v>
      </c>
      <c r="P111" s="663">
        <f t="shared" si="16"/>
        <v>0</v>
      </c>
    </row>
    <row r="112" spans="1:16">
      <c r="B112" s="9" t="str">
        <f t="shared" si="21"/>
        <v/>
      </c>
      <c r="C112" s="656">
        <f>IF(D93="","-",+C111+1)</f>
        <v>2034</v>
      </c>
      <c r="D112" s="657">
        <f>IF(F111+SUM(E$99:E111)=D$92,F111,D$92-SUM(E$99:E111))</f>
        <v>1301997</v>
      </c>
      <c r="E112" s="69">
        <f t="shared" si="25"/>
        <v>43400</v>
      </c>
      <c r="F112" s="658">
        <f t="shared" si="26"/>
        <v>1258597</v>
      </c>
      <c r="G112" s="658">
        <f t="shared" si="27"/>
        <v>1280297</v>
      </c>
      <c r="H112" s="130">
        <f t="shared" si="28"/>
        <v>181430.4145732871</v>
      </c>
      <c r="I112" s="139">
        <f t="shared" si="29"/>
        <v>181430.4145732871</v>
      </c>
      <c r="J112" s="663">
        <f t="shared" si="17"/>
        <v>0</v>
      </c>
      <c r="K112" s="663"/>
      <c r="L112" s="132"/>
      <c r="M112" s="663">
        <f t="shared" si="14"/>
        <v>0</v>
      </c>
      <c r="N112" s="132"/>
      <c r="O112" s="663">
        <f t="shared" si="15"/>
        <v>0</v>
      </c>
      <c r="P112" s="663">
        <f t="shared" si="16"/>
        <v>0</v>
      </c>
    </row>
    <row r="113" spans="2:16">
      <c r="B113" s="9" t="str">
        <f t="shared" si="21"/>
        <v/>
      </c>
      <c r="C113" s="656">
        <f>IF(D93="","-",+C112+1)</f>
        <v>2035</v>
      </c>
      <c r="D113" s="657">
        <f>IF(F112+SUM(E$99:E112)=D$92,F112,D$92-SUM(E$99:E112))</f>
        <v>1258597</v>
      </c>
      <c r="E113" s="69">
        <f t="shared" si="25"/>
        <v>43400</v>
      </c>
      <c r="F113" s="658">
        <f t="shared" si="26"/>
        <v>1215197</v>
      </c>
      <c r="G113" s="658">
        <f t="shared" si="27"/>
        <v>1236897</v>
      </c>
      <c r="H113" s="130">
        <f t="shared" si="28"/>
        <v>176751.40650525235</v>
      </c>
      <c r="I113" s="139">
        <f t="shared" si="29"/>
        <v>176751.40650525235</v>
      </c>
      <c r="J113" s="663">
        <f t="shared" si="17"/>
        <v>0</v>
      </c>
      <c r="K113" s="663"/>
      <c r="L113" s="132"/>
      <c r="M113" s="663">
        <f t="shared" si="14"/>
        <v>0</v>
      </c>
      <c r="N113" s="132"/>
      <c r="O113" s="663">
        <f t="shared" si="15"/>
        <v>0</v>
      </c>
      <c r="P113" s="663">
        <f t="shared" si="16"/>
        <v>0</v>
      </c>
    </row>
    <row r="114" spans="2:16">
      <c r="B114" s="9" t="str">
        <f t="shared" si="21"/>
        <v/>
      </c>
      <c r="C114" s="656">
        <f>IF(D93="","-",+C113+1)</f>
        <v>2036</v>
      </c>
      <c r="D114" s="657">
        <f>IF(F113+SUM(E$99:E113)=D$92,F113,D$92-SUM(E$99:E113))</f>
        <v>1215197</v>
      </c>
      <c r="E114" s="69">
        <f t="shared" si="25"/>
        <v>43400</v>
      </c>
      <c r="F114" s="658">
        <f t="shared" si="26"/>
        <v>1171797</v>
      </c>
      <c r="G114" s="658">
        <f t="shared" si="27"/>
        <v>1193497</v>
      </c>
      <c r="H114" s="130">
        <f t="shared" si="28"/>
        <v>172072.39843721763</v>
      </c>
      <c r="I114" s="139">
        <f t="shared" si="29"/>
        <v>172072.39843721763</v>
      </c>
      <c r="J114" s="663">
        <f t="shared" si="17"/>
        <v>0</v>
      </c>
      <c r="K114" s="663"/>
      <c r="L114" s="132"/>
      <c r="M114" s="663">
        <f t="shared" si="14"/>
        <v>0</v>
      </c>
      <c r="N114" s="132"/>
      <c r="O114" s="663">
        <f t="shared" si="15"/>
        <v>0</v>
      </c>
      <c r="P114" s="663">
        <f t="shared" si="16"/>
        <v>0</v>
      </c>
    </row>
    <row r="115" spans="2:16">
      <c r="B115" s="9" t="str">
        <f t="shared" si="21"/>
        <v/>
      </c>
      <c r="C115" s="656">
        <f>IF(D93="","-",+C114+1)</f>
        <v>2037</v>
      </c>
      <c r="D115" s="657">
        <f>IF(F114+SUM(E$99:E114)=D$92,F114,D$92-SUM(E$99:E114))</f>
        <v>1171797</v>
      </c>
      <c r="E115" s="69">
        <f t="shared" si="25"/>
        <v>43400</v>
      </c>
      <c r="F115" s="658">
        <f t="shared" si="26"/>
        <v>1128397</v>
      </c>
      <c r="G115" s="658">
        <f t="shared" si="27"/>
        <v>1150097</v>
      </c>
      <c r="H115" s="130">
        <f t="shared" si="28"/>
        <v>167393.39036918292</v>
      </c>
      <c r="I115" s="139">
        <f t="shared" si="29"/>
        <v>167393.39036918292</v>
      </c>
      <c r="J115" s="663">
        <f t="shared" si="17"/>
        <v>0</v>
      </c>
      <c r="K115" s="663"/>
      <c r="L115" s="132"/>
      <c r="M115" s="663">
        <f t="shared" si="14"/>
        <v>0</v>
      </c>
      <c r="N115" s="132"/>
      <c r="O115" s="663">
        <f t="shared" si="15"/>
        <v>0</v>
      </c>
      <c r="P115" s="663">
        <f t="shared" si="16"/>
        <v>0</v>
      </c>
    </row>
    <row r="116" spans="2:16">
      <c r="B116" s="9" t="str">
        <f t="shared" si="21"/>
        <v/>
      </c>
      <c r="C116" s="656">
        <f>IF(D93="","-",+C115+1)</f>
        <v>2038</v>
      </c>
      <c r="D116" s="657">
        <f>IF(F115+SUM(E$99:E115)=D$92,F115,D$92-SUM(E$99:E115))</f>
        <v>1128397</v>
      </c>
      <c r="E116" s="69">
        <f t="shared" si="25"/>
        <v>43400</v>
      </c>
      <c r="F116" s="658">
        <f t="shared" si="26"/>
        <v>1084997</v>
      </c>
      <c r="G116" s="658">
        <f t="shared" si="27"/>
        <v>1106697</v>
      </c>
      <c r="H116" s="130">
        <f t="shared" si="28"/>
        <v>162714.38230114817</v>
      </c>
      <c r="I116" s="139">
        <f t="shared" si="29"/>
        <v>162714.38230114817</v>
      </c>
      <c r="J116" s="663">
        <f t="shared" si="17"/>
        <v>0</v>
      </c>
      <c r="K116" s="663"/>
      <c r="L116" s="132"/>
      <c r="M116" s="663">
        <f t="shared" si="14"/>
        <v>0</v>
      </c>
      <c r="N116" s="132"/>
      <c r="O116" s="663">
        <f t="shared" si="15"/>
        <v>0</v>
      </c>
      <c r="P116" s="663">
        <f t="shared" si="16"/>
        <v>0</v>
      </c>
    </row>
    <row r="117" spans="2:16">
      <c r="B117" s="9" t="str">
        <f t="shared" si="21"/>
        <v/>
      </c>
      <c r="C117" s="656">
        <f>IF(D93="","-",+C116+1)</f>
        <v>2039</v>
      </c>
      <c r="D117" s="657">
        <f>IF(F116+SUM(E$99:E116)=D$92,F116,D$92-SUM(E$99:E116))</f>
        <v>1084997</v>
      </c>
      <c r="E117" s="69">
        <f t="shared" si="25"/>
        <v>43400</v>
      </c>
      <c r="F117" s="658">
        <f t="shared" si="26"/>
        <v>1041597</v>
      </c>
      <c r="G117" s="658">
        <f t="shared" si="27"/>
        <v>1063297</v>
      </c>
      <c r="H117" s="130">
        <f t="shared" si="28"/>
        <v>158035.37423311343</v>
      </c>
      <c r="I117" s="139">
        <f t="shared" si="29"/>
        <v>158035.37423311343</v>
      </c>
      <c r="J117" s="663">
        <f t="shared" si="17"/>
        <v>0</v>
      </c>
      <c r="K117" s="663"/>
      <c r="L117" s="132"/>
      <c r="M117" s="663">
        <f t="shared" si="14"/>
        <v>0</v>
      </c>
      <c r="N117" s="132"/>
      <c r="O117" s="663">
        <f t="shared" si="15"/>
        <v>0</v>
      </c>
      <c r="P117" s="663">
        <f t="shared" si="16"/>
        <v>0</v>
      </c>
    </row>
    <row r="118" spans="2:16">
      <c r="B118" s="9" t="str">
        <f t="shared" si="21"/>
        <v/>
      </c>
      <c r="C118" s="656">
        <f>IF(D93="","-",+C117+1)</f>
        <v>2040</v>
      </c>
      <c r="D118" s="657">
        <f>IF(F117+SUM(E$99:E117)=D$92,F117,D$92-SUM(E$99:E117))</f>
        <v>1041597</v>
      </c>
      <c r="E118" s="69">
        <f t="shared" si="25"/>
        <v>43400</v>
      </c>
      <c r="F118" s="658">
        <f t="shared" si="26"/>
        <v>998197</v>
      </c>
      <c r="G118" s="658">
        <f t="shared" si="27"/>
        <v>1019897</v>
      </c>
      <c r="H118" s="130">
        <f t="shared" si="28"/>
        <v>153356.36616507871</v>
      </c>
      <c r="I118" s="139">
        <f t="shared" si="29"/>
        <v>153356.36616507871</v>
      </c>
      <c r="J118" s="663">
        <f t="shared" si="17"/>
        <v>0</v>
      </c>
      <c r="K118" s="663"/>
      <c r="L118" s="132"/>
      <c r="M118" s="663">
        <f t="shared" si="14"/>
        <v>0</v>
      </c>
      <c r="N118" s="132"/>
      <c r="O118" s="663">
        <f t="shared" si="15"/>
        <v>0</v>
      </c>
      <c r="P118" s="663">
        <f t="shared" si="16"/>
        <v>0</v>
      </c>
    </row>
    <row r="119" spans="2:16">
      <c r="B119" s="9" t="str">
        <f t="shared" si="21"/>
        <v/>
      </c>
      <c r="C119" s="656">
        <f>IF(D93="","-",+C118+1)</f>
        <v>2041</v>
      </c>
      <c r="D119" s="657">
        <f>IF(F118+SUM(E$99:E118)=D$92,F118,D$92-SUM(E$99:E118))</f>
        <v>998197</v>
      </c>
      <c r="E119" s="69">
        <f t="shared" si="25"/>
        <v>43400</v>
      </c>
      <c r="F119" s="658">
        <f t="shared" si="26"/>
        <v>954797</v>
      </c>
      <c r="G119" s="658">
        <f t="shared" si="27"/>
        <v>976497</v>
      </c>
      <c r="H119" s="130">
        <f t="shared" si="28"/>
        <v>148677.35809704399</v>
      </c>
      <c r="I119" s="139">
        <f t="shared" si="29"/>
        <v>148677.35809704399</v>
      </c>
      <c r="J119" s="663">
        <f t="shared" si="17"/>
        <v>0</v>
      </c>
      <c r="K119" s="663"/>
      <c r="L119" s="132"/>
      <c r="M119" s="663">
        <f t="shared" si="14"/>
        <v>0</v>
      </c>
      <c r="N119" s="132"/>
      <c r="O119" s="663">
        <f t="shared" si="15"/>
        <v>0</v>
      </c>
      <c r="P119" s="663">
        <f t="shared" si="16"/>
        <v>0</v>
      </c>
    </row>
    <row r="120" spans="2:16">
      <c r="B120" s="9" t="str">
        <f t="shared" si="21"/>
        <v/>
      </c>
      <c r="C120" s="656">
        <f>IF(D93="","-",+C119+1)</f>
        <v>2042</v>
      </c>
      <c r="D120" s="657">
        <f>IF(F119+SUM(E$99:E119)=D$92,F119,D$92-SUM(E$99:E119))</f>
        <v>954797</v>
      </c>
      <c r="E120" s="69">
        <f t="shared" si="25"/>
        <v>43400</v>
      </c>
      <c r="F120" s="658">
        <f t="shared" si="26"/>
        <v>911397</v>
      </c>
      <c r="G120" s="658">
        <f t="shared" si="27"/>
        <v>933097</v>
      </c>
      <c r="H120" s="130">
        <f t="shared" si="28"/>
        <v>143998.35002900925</v>
      </c>
      <c r="I120" s="139">
        <f t="shared" si="29"/>
        <v>143998.35002900925</v>
      </c>
      <c r="J120" s="663">
        <f t="shared" si="17"/>
        <v>0</v>
      </c>
      <c r="K120" s="663"/>
      <c r="L120" s="132"/>
      <c r="M120" s="663">
        <f t="shared" si="14"/>
        <v>0</v>
      </c>
      <c r="N120" s="132"/>
      <c r="O120" s="663">
        <f t="shared" si="15"/>
        <v>0</v>
      </c>
      <c r="P120" s="663">
        <f t="shared" si="16"/>
        <v>0</v>
      </c>
    </row>
    <row r="121" spans="2:16">
      <c r="B121" s="9" t="str">
        <f t="shared" si="21"/>
        <v/>
      </c>
      <c r="C121" s="656">
        <f>IF(D93="","-",+C120+1)</f>
        <v>2043</v>
      </c>
      <c r="D121" s="657">
        <f>IF(F120+SUM(E$99:E120)=D$92,F120,D$92-SUM(E$99:E120))</f>
        <v>911397</v>
      </c>
      <c r="E121" s="69">
        <f t="shared" si="25"/>
        <v>43400</v>
      </c>
      <c r="F121" s="658">
        <f t="shared" si="26"/>
        <v>867997</v>
      </c>
      <c r="G121" s="658">
        <f t="shared" si="27"/>
        <v>889697</v>
      </c>
      <c r="H121" s="130">
        <f t="shared" si="28"/>
        <v>139319.3419609745</v>
      </c>
      <c r="I121" s="139">
        <f t="shared" si="29"/>
        <v>139319.3419609745</v>
      </c>
      <c r="J121" s="663">
        <f t="shared" si="17"/>
        <v>0</v>
      </c>
      <c r="K121" s="663"/>
      <c r="L121" s="132"/>
      <c r="M121" s="663">
        <f t="shared" si="14"/>
        <v>0</v>
      </c>
      <c r="N121" s="132"/>
      <c r="O121" s="663">
        <f t="shared" si="15"/>
        <v>0</v>
      </c>
      <c r="P121" s="663">
        <f t="shared" si="16"/>
        <v>0</v>
      </c>
    </row>
    <row r="122" spans="2:16">
      <c r="B122" s="9" t="str">
        <f t="shared" si="21"/>
        <v/>
      </c>
      <c r="C122" s="656">
        <f>IF(D93="","-",+C121+1)</f>
        <v>2044</v>
      </c>
      <c r="D122" s="657">
        <f>IF(F121+SUM(E$99:E121)=D$92,F121,D$92-SUM(E$99:E121))</f>
        <v>867997</v>
      </c>
      <c r="E122" s="69">
        <f t="shared" si="25"/>
        <v>43400</v>
      </c>
      <c r="F122" s="658">
        <f t="shared" si="26"/>
        <v>824597</v>
      </c>
      <c r="G122" s="658">
        <f t="shared" si="27"/>
        <v>846297</v>
      </c>
      <c r="H122" s="130">
        <f t="shared" si="28"/>
        <v>134640.33389293979</v>
      </c>
      <c r="I122" s="139">
        <f t="shared" si="29"/>
        <v>134640.33389293979</v>
      </c>
      <c r="J122" s="663">
        <f t="shared" si="17"/>
        <v>0</v>
      </c>
      <c r="K122" s="663"/>
      <c r="L122" s="132"/>
      <c r="M122" s="663">
        <f t="shared" si="14"/>
        <v>0</v>
      </c>
      <c r="N122" s="132"/>
      <c r="O122" s="663">
        <f t="shared" si="15"/>
        <v>0</v>
      </c>
      <c r="P122" s="663">
        <f t="shared" si="16"/>
        <v>0</v>
      </c>
    </row>
    <row r="123" spans="2:16">
      <c r="B123" s="9" t="str">
        <f t="shared" si="21"/>
        <v/>
      </c>
      <c r="C123" s="656">
        <f>IF(D93="","-",+C122+1)</f>
        <v>2045</v>
      </c>
      <c r="D123" s="657">
        <f>IF(F122+SUM(E$99:E122)=D$92,F122,D$92-SUM(E$99:E122))</f>
        <v>824597</v>
      </c>
      <c r="E123" s="69">
        <f t="shared" si="25"/>
        <v>43400</v>
      </c>
      <c r="F123" s="658">
        <f t="shared" si="26"/>
        <v>781197</v>
      </c>
      <c r="G123" s="658">
        <f t="shared" si="27"/>
        <v>802897</v>
      </c>
      <c r="H123" s="130">
        <f t="shared" si="28"/>
        <v>129961.32582490507</v>
      </c>
      <c r="I123" s="139">
        <f t="shared" si="29"/>
        <v>129961.32582490507</v>
      </c>
      <c r="J123" s="663">
        <f t="shared" si="17"/>
        <v>0</v>
      </c>
      <c r="K123" s="663"/>
      <c r="L123" s="132"/>
      <c r="M123" s="663">
        <f t="shared" si="14"/>
        <v>0</v>
      </c>
      <c r="N123" s="132"/>
      <c r="O123" s="663">
        <f t="shared" si="15"/>
        <v>0</v>
      </c>
      <c r="P123" s="663">
        <f t="shared" si="16"/>
        <v>0</v>
      </c>
    </row>
    <row r="124" spans="2:16">
      <c r="B124" s="9" t="str">
        <f t="shared" si="21"/>
        <v/>
      </c>
      <c r="C124" s="656">
        <f>IF(D93="","-",+C123+1)</f>
        <v>2046</v>
      </c>
      <c r="D124" s="657">
        <f>IF(F123+SUM(E$99:E123)=D$92,F123,D$92-SUM(E$99:E123))</f>
        <v>781197</v>
      </c>
      <c r="E124" s="69">
        <f t="shared" si="25"/>
        <v>43400</v>
      </c>
      <c r="F124" s="658">
        <f t="shared" si="26"/>
        <v>737797</v>
      </c>
      <c r="G124" s="658">
        <f t="shared" si="27"/>
        <v>759497</v>
      </c>
      <c r="H124" s="130">
        <f t="shared" si="28"/>
        <v>125282.31775687034</v>
      </c>
      <c r="I124" s="139">
        <f t="shared" si="29"/>
        <v>125282.31775687034</v>
      </c>
      <c r="J124" s="663">
        <f t="shared" si="17"/>
        <v>0</v>
      </c>
      <c r="K124" s="663"/>
      <c r="L124" s="132"/>
      <c r="M124" s="663">
        <f t="shared" si="14"/>
        <v>0</v>
      </c>
      <c r="N124" s="132"/>
      <c r="O124" s="663">
        <f t="shared" si="15"/>
        <v>0</v>
      </c>
      <c r="P124" s="663">
        <f t="shared" si="16"/>
        <v>0</v>
      </c>
    </row>
    <row r="125" spans="2:16">
      <c r="B125" s="9" t="str">
        <f t="shared" si="21"/>
        <v/>
      </c>
      <c r="C125" s="656">
        <f>IF(D93="","-",+C124+1)</f>
        <v>2047</v>
      </c>
      <c r="D125" s="657">
        <f>IF(F124+SUM(E$99:E124)=D$92,F124,D$92-SUM(E$99:E124))</f>
        <v>737797</v>
      </c>
      <c r="E125" s="69">
        <f t="shared" si="25"/>
        <v>43400</v>
      </c>
      <c r="F125" s="658">
        <f t="shared" si="26"/>
        <v>694397</v>
      </c>
      <c r="G125" s="658">
        <f t="shared" si="27"/>
        <v>716097</v>
      </c>
      <c r="H125" s="130">
        <f t="shared" si="28"/>
        <v>120603.30968883561</v>
      </c>
      <c r="I125" s="139">
        <f t="shared" si="29"/>
        <v>120603.30968883561</v>
      </c>
      <c r="J125" s="663">
        <f t="shared" si="17"/>
        <v>0</v>
      </c>
      <c r="K125" s="663"/>
      <c r="L125" s="132"/>
      <c r="M125" s="663">
        <f t="shared" si="14"/>
        <v>0</v>
      </c>
      <c r="N125" s="132"/>
      <c r="O125" s="663">
        <f t="shared" si="15"/>
        <v>0</v>
      </c>
      <c r="P125" s="663">
        <f t="shared" si="16"/>
        <v>0</v>
      </c>
    </row>
    <row r="126" spans="2:16">
      <c r="B126" s="9" t="str">
        <f t="shared" si="21"/>
        <v/>
      </c>
      <c r="C126" s="656">
        <f>IF(D93="","-",+C125+1)</f>
        <v>2048</v>
      </c>
      <c r="D126" s="657">
        <f>IF(F125+SUM(E$99:E125)=D$92,F125,D$92-SUM(E$99:E125))</f>
        <v>694397</v>
      </c>
      <c r="E126" s="69">
        <f t="shared" si="25"/>
        <v>43400</v>
      </c>
      <c r="F126" s="658">
        <f t="shared" si="26"/>
        <v>650997</v>
      </c>
      <c r="G126" s="658">
        <f t="shared" si="27"/>
        <v>672697</v>
      </c>
      <c r="H126" s="130">
        <f t="shared" si="28"/>
        <v>115924.30162080088</v>
      </c>
      <c r="I126" s="139">
        <f t="shared" si="29"/>
        <v>115924.30162080088</v>
      </c>
      <c r="J126" s="663">
        <f t="shared" si="17"/>
        <v>0</v>
      </c>
      <c r="K126" s="663"/>
      <c r="L126" s="132"/>
      <c r="M126" s="663">
        <f t="shared" si="14"/>
        <v>0</v>
      </c>
      <c r="N126" s="132"/>
      <c r="O126" s="663">
        <f t="shared" si="15"/>
        <v>0</v>
      </c>
      <c r="P126" s="663">
        <f t="shared" si="16"/>
        <v>0</v>
      </c>
    </row>
    <row r="127" spans="2:16">
      <c r="B127" s="9" t="str">
        <f t="shared" si="21"/>
        <v/>
      </c>
      <c r="C127" s="656">
        <f>IF(D93="","-",+C126+1)</f>
        <v>2049</v>
      </c>
      <c r="D127" s="657">
        <f>IF(F126+SUM(E$99:E126)=D$92,F126,D$92-SUM(E$99:E126))</f>
        <v>650997</v>
      </c>
      <c r="E127" s="69">
        <f t="shared" si="25"/>
        <v>43400</v>
      </c>
      <c r="F127" s="658">
        <f t="shared" si="26"/>
        <v>607597</v>
      </c>
      <c r="G127" s="658">
        <f t="shared" si="27"/>
        <v>629297</v>
      </c>
      <c r="H127" s="130">
        <f t="shared" si="28"/>
        <v>111245.29355276615</v>
      </c>
      <c r="I127" s="139">
        <f t="shared" si="29"/>
        <v>111245.29355276615</v>
      </c>
      <c r="J127" s="663">
        <f t="shared" si="17"/>
        <v>0</v>
      </c>
      <c r="K127" s="663"/>
      <c r="L127" s="132"/>
      <c r="M127" s="663">
        <f t="shared" si="14"/>
        <v>0</v>
      </c>
      <c r="N127" s="132"/>
      <c r="O127" s="663">
        <f t="shared" si="15"/>
        <v>0</v>
      </c>
      <c r="P127" s="663">
        <f t="shared" si="16"/>
        <v>0</v>
      </c>
    </row>
    <row r="128" spans="2:16">
      <c r="B128" s="9" t="str">
        <f t="shared" si="21"/>
        <v/>
      </c>
      <c r="C128" s="656">
        <f>IF(D93="","-",+C127+1)</f>
        <v>2050</v>
      </c>
      <c r="D128" s="657">
        <f>IF(F127+SUM(E$99:E127)=D$92,F127,D$92-SUM(E$99:E127))</f>
        <v>607597</v>
      </c>
      <c r="E128" s="69">
        <f t="shared" si="25"/>
        <v>43400</v>
      </c>
      <c r="F128" s="658">
        <f t="shared" si="26"/>
        <v>564197</v>
      </c>
      <c r="G128" s="658">
        <f t="shared" si="27"/>
        <v>585897</v>
      </c>
      <c r="H128" s="130">
        <f t="shared" si="28"/>
        <v>106566.28548473143</v>
      </c>
      <c r="I128" s="139">
        <f t="shared" si="29"/>
        <v>106566.28548473143</v>
      </c>
      <c r="J128" s="663">
        <f t="shared" si="17"/>
        <v>0</v>
      </c>
      <c r="K128" s="663"/>
      <c r="L128" s="132"/>
      <c r="M128" s="663">
        <f t="shared" si="14"/>
        <v>0</v>
      </c>
      <c r="N128" s="132"/>
      <c r="O128" s="663">
        <f t="shared" si="15"/>
        <v>0</v>
      </c>
      <c r="P128" s="663">
        <f t="shared" si="16"/>
        <v>0</v>
      </c>
    </row>
    <row r="129" spans="2:16">
      <c r="B129" s="9" t="str">
        <f t="shared" si="21"/>
        <v/>
      </c>
      <c r="C129" s="656">
        <f>IF(D93="","-",+C128+1)</f>
        <v>2051</v>
      </c>
      <c r="D129" s="657">
        <f>IF(F128+SUM(E$99:E128)=D$92,F128,D$92-SUM(E$99:E128))</f>
        <v>564197</v>
      </c>
      <c r="E129" s="69">
        <f t="shared" si="25"/>
        <v>43400</v>
      </c>
      <c r="F129" s="658">
        <f t="shared" si="26"/>
        <v>520797</v>
      </c>
      <c r="G129" s="658">
        <f t="shared" si="27"/>
        <v>542497</v>
      </c>
      <c r="H129" s="130">
        <f t="shared" si="28"/>
        <v>101887.27741669668</v>
      </c>
      <c r="I129" s="139">
        <f t="shared" si="29"/>
        <v>101887.27741669668</v>
      </c>
      <c r="J129" s="663">
        <f t="shared" si="17"/>
        <v>0</v>
      </c>
      <c r="K129" s="663"/>
      <c r="L129" s="132"/>
      <c r="M129" s="663">
        <f t="shared" si="14"/>
        <v>0</v>
      </c>
      <c r="N129" s="132"/>
      <c r="O129" s="663">
        <f t="shared" si="15"/>
        <v>0</v>
      </c>
      <c r="P129" s="663">
        <f t="shared" si="16"/>
        <v>0</v>
      </c>
    </row>
    <row r="130" spans="2:16">
      <c r="B130" s="9" t="str">
        <f t="shared" si="21"/>
        <v/>
      </c>
      <c r="C130" s="656">
        <f>IF(D93="","-",+C129+1)</f>
        <v>2052</v>
      </c>
      <c r="D130" s="657">
        <f>IF(F129+SUM(E$99:E129)=D$92,F129,D$92-SUM(E$99:E129))</f>
        <v>520797</v>
      </c>
      <c r="E130" s="69">
        <f t="shared" si="25"/>
        <v>43400</v>
      </c>
      <c r="F130" s="658">
        <f t="shared" si="26"/>
        <v>477397</v>
      </c>
      <c r="G130" s="658">
        <f t="shared" si="27"/>
        <v>499097</v>
      </c>
      <c r="H130" s="130">
        <f t="shared" si="28"/>
        <v>97208.269348661968</v>
      </c>
      <c r="I130" s="139">
        <f t="shared" si="29"/>
        <v>97208.269348661968</v>
      </c>
      <c r="J130" s="663">
        <f t="shared" si="17"/>
        <v>0</v>
      </c>
      <c r="K130" s="663"/>
      <c r="L130" s="132"/>
      <c r="M130" s="663">
        <f t="shared" si="14"/>
        <v>0</v>
      </c>
      <c r="N130" s="132"/>
      <c r="O130" s="663">
        <f t="shared" si="15"/>
        <v>0</v>
      </c>
      <c r="P130" s="663">
        <f t="shared" si="16"/>
        <v>0</v>
      </c>
    </row>
    <row r="131" spans="2:16">
      <c r="B131" s="9" t="str">
        <f t="shared" si="21"/>
        <v/>
      </c>
      <c r="C131" s="656">
        <f>IF(D93="","-",+C130+1)</f>
        <v>2053</v>
      </c>
      <c r="D131" s="657">
        <f>IF(F130+SUM(E$99:E130)=D$92,F130,D$92-SUM(E$99:E130))</f>
        <v>477397</v>
      </c>
      <c r="E131" s="69">
        <f t="shared" si="25"/>
        <v>43400</v>
      </c>
      <c r="F131" s="658">
        <f t="shared" si="26"/>
        <v>433997</v>
      </c>
      <c r="G131" s="658">
        <f t="shared" si="27"/>
        <v>455697</v>
      </c>
      <c r="H131" s="130">
        <f t="shared" si="28"/>
        <v>92529.261280627223</v>
      </c>
      <c r="I131" s="139">
        <f t="shared" si="29"/>
        <v>92529.261280627223</v>
      </c>
      <c r="J131" s="663">
        <f t="shared" ref="J131:J154" si="30">+I541-H541</f>
        <v>0</v>
      </c>
      <c r="K131" s="663"/>
      <c r="L131" s="132"/>
      <c r="M131" s="663">
        <f t="shared" ref="M131:M154" si="31">IF(L541&lt;&gt;0,+H541-L541,0)</f>
        <v>0</v>
      </c>
      <c r="N131" s="132"/>
      <c r="O131" s="663">
        <f t="shared" ref="O131:O154" si="32">IF(N541&lt;&gt;0,+I541-N541,0)</f>
        <v>0</v>
      </c>
      <c r="P131" s="663">
        <f t="shared" ref="P131:P154" si="33">+O541-M541</f>
        <v>0</v>
      </c>
    </row>
    <row r="132" spans="2:16">
      <c r="B132" s="9" t="str">
        <f t="shared" si="21"/>
        <v/>
      </c>
      <c r="C132" s="656">
        <f>IF(D93="","-",+C131+1)</f>
        <v>2054</v>
      </c>
      <c r="D132" s="657">
        <f>IF(F131+SUM(E$99:E131)=D$92,F131,D$92-SUM(E$99:E131))</f>
        <v>433997</v>
      </c>
      <c r="E132" s="69">
        <f t="shared" si="25"/>
        <v>43400</v>
      </c>
      <c r="F132" s="658">
        <f t="shared" si="26"/>
        <v>390597</v>
      </c>
      <c r="G132" s="658">
        <f t="shared" si="27"/>
        <v>412297</v>
      </c>
      <c r="H132" s="130">
        <f t="shared" si="28"/>
        <v>87850.253212592506</v>
      </c>
      <c r="I132" s="139">
        <f t="shared" si="29"/>
        <v>87850.253212592506</v>
      </c>
      <c r="J132" s="663">
        <f t="shared" si="30"/>
        <v>0</v>
      </c>
      <c r="K132" s="663"/>
      <c r="L132" s="132"/>
      <c r="M132" s="663">
        <f t="shared" si="31"/>
        <v>0</v>
      </c>
      <c r="N132" s="132"/>
      <c r="O132" s="663">
        <f t="shared" si="32"/>
        <v>0</v>
      </c>
      <c r="P132" s="663">
        <f t="shared" si="33"/>
        <v>0</v>
      </c>
    </row>
    <row r="133" spans="2:16">
      <c r="B133" s="9" t="str">
        <f t="shared" si="21"/>
        <v/>
      </c>
      <c r="C133" s="656">
        <f>IF(D93="","-",+C132+1)</f>
        <v>2055</v>
      </c>
      <c r="D133" s="657">
        <f>IF(F132+SUM(E$99:E132)=D$92,F132,D$92-SUM(E$99:E132))</f>
        <v>390597</v>
      </c>
      <c r="E133" s="69">
        <f t="shared" si="25"/>
        <v>43400</v>
      </c>
      <c r="F133" s="658">
        <f t="shared" si="26"/>
        <v>347197</v>
      </c>
      <c r="G133" s="658">
        <f t="shared" si="27"/>
        <v>368897</v>
      </c>
      <c r="H133" s="130">
        <f t="shared" si="28"/>
        <v>83171.245144557775</v>
      </c>
      <c r="I133" s="139">
        <f t="shared" si="29"/>
        <v>83171.245144557775</v>
      </c>
      <c r="J133" s="663">
        <f t="shared" si="30"/>
        <v>0</v>
      </c>
      <c r="K133" s="663"/>
      <c r="L133" s="132"/>
      <c r="M133" s="663">
        <f t="shared" si="31"/>
        <v>0</v>
      </c>
      <c r="N133" s="132"/>
      <c r="O133" s="663">
        <f t="shared" si="32"/>
        <v>0</v>
      </c>
      <c r="P133" s="663">
        <f t="shared" si="33"/>
        <v>0</v>
      </c>
    </row>
    <row r="134" spans="2:16">
      <c r="B134" s="9" t="str">
        <f t="shared" si="21"/>
        <v/>
      </c>
      <c r="C134" s="656">
        <f>IF(D93="","-",+C133+1)</f>
        <v>2056</v>
      </c>
      <c r="D134" s="657">
        <f>IF(F133+SUM(E$99:E133)=D$92,F133,D$92-SUM(E$99:E133))</f>
        <v>347197</v>
      </c>
      <c r="E134" s="69">
        <f t="shared" si="25"/>
        <v>43400</v>
      </c>
      <c r="F134" s="658">
        <f t="shared" si="26"/>
        <v>303797</v>
      </c>
      <c r="G134" s="658">
        <f t="shared" si="27"/>
        <v>325497</v>
      </c>
      <c r="H134" s="130">
        <f t="shared" si="28"/>
        <v>78492.237076523044</v>
      </c>
      <c r="I134" s="139">
        <f t="shared" si="29"/>
        <v>78492.237076523044</v>
      </c>
      <c r="J134" s="663">
        <f t="shared" si="30"/>
        <v>0</v>
      </c>
      <c r="K134" s="663"/>
      <c r="L134" s="132"/>
      <c r="M134" s="663">
        <f t="shared" si="31"/>
        <v>0</v>
      </c>
      <c r="N134" s="132"/>
      <c r="O134" s="663">
        <f t="shared" si="32"/>
        <v>0</v>
      </c>
      <c r="P134" s="663">
        <f t="shared" si="33"/>
        <v>0</v>
      </c>
    </row>
    <row r="135" spans="2:16">
      <c r="B135" s="9" t="str">
        <f t="shared" si="21"/>
        <v/>
      </c>
      <c r="C135" s="656">
        <f>IF(D93="","-",+C134+1)</f>
        <v>2057</v>
      </c>
      <c r="D135" s="657">
        <f>IF(F134+SUM(E$99:E134)=D$92,F134,D$92-SUM(E$99:E134))</f>
        <v>303797</v>
      </c>
      <c r="E135" s="69">
        <f t="shared" si="25"/>
        <v>43400</v>
      </c>
      <c r="F135" s="658">
        <f t="shared" si="26"/>
        <v>260397</v>
      </c>
      <c r="G135" s="658">
        <f t="shared" si="27"/>
        <v>282097</v>
      </c>
      <c r="H135" s="130">
        <f t="shared" si="28"/>
        <v>73813.229008488313</v>
      </c>
      <c r="I135" s="139">
        <f t="shared" si="29"/>
        <v>73813.229008488313</v>
      </c>
      <c r="J135" s="663">
        <f t="shared" si="30"/>
        <v>0</v>
      </c>
      <c r="K135" s="663"/>
      <c r="L135" s="132"/>
      <c r="M135" s="663">
        <f t="shared" si="31"/>
        <v>0</v>
      </c>
      <c r="N135" s="132"/>
      <c r="O135" s="663">
        <f t="shared" si="32"/>
        <v>0</v>
      </c>
      <c r="P135" s="663">
        <f t="shared" si="33"/>
        <v>0</v>
      </c>
    </row>
    <row r="136" spans="2:16">
      <c r="B136" s="9" t="str">
        <f t="shared" si="21"/>
        <v/>
      </c>
      <c r="C136" s="656">
        <f>IF(D93="","-",+C135+1)</f>
        <v>2058</v>
      </c>
      <c r="D136" s="657">
        <f>IF(F135+SUM(E$99:E135)=D$92,F135,D$92-SUM(E$99:E135))</f>
        <v>260397</v>
      </c>
      <c r="E136" s="69">
        <f t="shared" si="25"/>
        <v>43400</v>
      </c>
      <c r="F136" s="658">
        <f t="shared" si="26"/>
        <v>216997</v>
      </c>
      <c r="G136" s="658">
        <f t="shared" si="27"/>
        <v>238697</v>
      </c>
      <c r="H136" s="130">
        <f t="shared" si="28"/>
        <v>69134.220940453582</v>
      </c>
      <c r="I136" s="139">
        <f t="shared" si="29"/>
        <v>69134.220940453582</v>
      </c>
      <c r="J136" s="663">
        <f t="shared" si="30"/>
        <v>0</v>
      </c>
      <c r="K136" s="663"/>
      <c r="L136" s="132"/>
      <c r="M136" s="663">
        <f t="shared" si="31"/>
        <v>0</v>
      </c>
      <c r="N136" s="132"/>
      <c r="O136" s="663">
        <f t="shared" si="32"/>
        <v>0</v>
      </c>
      <c r="P136" s="663">
        <f t="shared" si="33"/>
        <v>0</v>
      </c>
    </row>
    <row r="137" spans="2:16">
      <c r="B137" s="9" t="str">
        <f t="shared" si="21"/>
        <v/>
      </c>
      <c r="C137" s="656">
        <f>IF(D93="","-",+C136+1)</f>
        <v>2059</v>
      </c>
      <c r="D137" s="657">
        <f>IF(F136+SUM(E$99:E136)=D$92,F136,D$92-SUM(E$99:E136))</f>
        <v>216997</v>
      </c>
      <c r="E137" s="69">
        <f t="shared" si="25"/>
        <v>43400</v>
      </c>
      <c r="F137" s="658">
        <f t="shared" si="26"/>
        <v>173597</v>
      </c>
      <c r="G137" s="658">
        <f t="shared" si="27"/>
        <v>195297</v>
      </c>
      <c r="H137" s="130">
        <f t="shared" si="28"/>
        <v>64455.212872418859</v>
      </c>
      <c r="I137" s="139">
        <f t="shared" si="29"/>
        <v>64455.212872418859</v>
      </c>
      <c r="J137" s="663">
        <f t="shared" si="30"/>
        <v>0</v>
      </c>
      <c r="K137" s="663"/>
      <c r="L137" s="132"/>
      <c r="M137" s="663">
        <f t="shared" si="31"/>
        <v>0</v>
      </c>
      <c r="N137" s="132"/>
      <c r="O137" s="663">
        <f t="shared" si="32"/>
        <v>0</v>
      </c>
      <c r="P137" s="663">
        <f t="shared" si="33"/>
        <v>0</v>
      </c>
    </row>
    <row r="138" spans="2:16">
      <c r="B138" s="9" t="str">
        <f t="shared" si="21"/>
        <v/>
      </c>
      <c r="C138" s="656">
        <f>IF(D93="","-",+C137+1)</f>
        <v>2060</v>
      </c>
      <c r="D138" s="657">
        <f>IF(F137+SUM(E$99:E137)=D$92,F137,D$92-SUM(E$99:E137))</f>
        <v>173597</v>
      </c>
      <c r="E138" s="69">
        <f t="shared" si="25"/>
        <v>43400</v>
      </c>
      <c r="F138" s="658">
        <f t="shared" si="26"/>
        <v>130197</v>
      </c>
      <c r="G138" s="658">
        <f t="shared" si="27"/>
        <v>151897</v>
      </c>
      <c r="H138" s="130">
        <f t="shared" si="28"/>
        <v>59776.204804384128</v>
      </c>
      <c r="I138" s="139">
        <f t="shared" si="29"/>
        <v>59776.204804384128</v>
      </c>
      <c r="J138" s="663">
        <f t="shared" si="30"/>
        <v>0</v>
      </c>
      <c r="K138" s="663"/>
      <c r="L138" s="132"/>
      <c r="M138" s="663">
        <f t="shared" si="31"/>
        <v>0</v>
      </c>
      <c r="N138" s="132"/>
      <c r="O138" s="663">
        <f t="shared" si="32"/>
        <v>0</v>
      </c>
      <c r="P138" s="663">
        <f t="shared" si="33"/>
        <v>0</v>
      </c>
    </row>
    <row r="139" spans="2:16">
      <c r="B139" s="9" t="str">
        <f t="shared" si="21"/>
        <v/>
      </c>
      <c r="C139" s="656">
        <f>IF(D93="","-",+C138+1)</f>
        <v>2061</v>
      </c>
      <c r="D139" s="657">
        <f>IF(F138+SUM(E$99:E138)=D$92,F138,D$92-SUM(E$99:E138))</f>
        <v>130197</v>
      </c>
      <c r="E139" s="69">
        <f t="shared" si="25"/>
        <v>43400</v>
      </c>
      <c r="F139" s="658">
        <f t="shared" si="26"/>
        <v>86797</v>
      </c>
      <c r="G139" s="658">
        <f t="shared" si="27"/>
        <v>108497</v>
      </c>
      <c r="H139" s="130">
        <f t="shared" si="28"/>
        <v>55097.196736349404</v>
      </c>
      <c r="I139" s="139">
        <f t="shared" si="29"/>
        <v>55097.196736349404</v>
      </c>
      <c r="J139" s="663">
        <f t="shared" si="30"/>
        <v>0</v>
      </c>
      <c r="K139" s="663"/>
      <c r="L139" s="132"/>
      <c r="M139" s="663">
        <f t="shared" si="31"/>
        <v>0</v>
      </c>
      <c r="N139" s="132"/>
      <c r="O139" s="663">
        <f t="shared" si="32"/>
        <v>0</v>
      </c>
      <c r="P139" s="663">
        <f t="shared" si="33"/>
        <v>0</v>
      </c>
    </row>
    <row r="140" spans="2:16">
      <c r="B140" s="9" t="str">
        <f t="shared" si="21"/>
        <v/>
      </c>
      <c r="C140" s="656">
        <f>IF(D93="","-",+C139+1)</f>
        <v>2062</v>
      </c>
      <c r="D140" s="657">
        <f>IF(F139+SUM(E$99:E139)=D$92,F139,D$92-SUM(E$99:E139))</f>
        <v>86797</v>
      </c>
      <c r="E140" s="69">
        <f t="shared" si="25"/>
        <v>43400</v>
      </c>
      <c r="F140" s="658">
        <f t="shared" si="26"/>
        <v>43397</v>
      </c>
      <c r="G140" s="658">
        <f t="shared" si="27"/>
        <v>65097</v>
      </c>
      <c r="H140" s="130">
        <f t="shared" si="28"/>
        <v>50418.188668314673</v>
      </c>
      <c r="I140" s="139">
        <f t="shared" si="29"/>
        <v>50418.188668314673</v>
      </c>
      <c r="J140" s="663">
        <f t="shared" si="30"/>
        <v>0</v>
      </c>
      <c r="K140" s="663"/>
      <c r="L140" s="132"/>
      <c r="M140" s="663">
        <f t="shared" si="31"/>
        <v>0</v>
      </c>
      <c r="N140" s="132"/>
      <c r="O140" s="663">
        <f t="shared" si="32"/>
        <v>0</v>
      </c>
      <c r="P140" s="663">
        <f t="shared" si="33"/>
        <v>0</v>
      </c>
    </row>
    <row r="141" spans="2:16">
      <c r="B141" s="9" t="str">
        <f t="shared" si="21"/>
        <v/>
      </c>
      <c r="C141" s="656">
        <f>IF(D93="","-",+C140+1)</f>
        <v>2063</v>
      </c>
      <c r="D141" s="657">
        <f>IF(F140+SUM(E$99:E140)=D$92,F140,D$92-SUM(E$99:E140))</f>
        <v>43397</v>
      </c>
      <c r="E141" s="69">
        <f t="shared" si="25"/>
        <v>43397</v>
      </c>
      <c r="F141" s="658">
        <f t="shared" si="26"/>
        <v>0</v>
      </c>
      <c r="G141" s="658">
        <f t="shared" si="27"/>
        <v>21698.5</v>
      </c>
      <c r="H141" s="130">
        <f t="shared" si="28"/>
        <v>45736.34231714865</v>
      </c>
      <c r="I141" s="139">
        <f t="shared" si="29"/>
        <v>45736.34231714865</v>
      </c>
      <c r="J141" s="663">
        <f t="shared" si="30"/>
        <v>0</v>
      </c>
      <c r="K141" s="663"/>
      <c r="L141" s="132"/>
      <c r="M141" s="663">
        <f t="shared" si="31"/>
        <v>0</v>
      </c>
      <c r="N141" s="132"/>
      <c r="O141" s="663">
        <f t="shared" si="32"/>
        <v>0</v>
      </c>
      <c r="P141" s="663">
        <f t="shared" si="33"/>
        <v>0</v>
      </c>
    </row>
    <row r="142" spans="2:16">
      <c r="B142" s="9" t="str">
        <f t="shared" si="21"/>
        <v/>
      </c>
      <c r="C142" s="656">
        <f>IF(D93="","-",+C141+1)</f>
        <v>2064</v>
      </c>
      <c r="D142" s="657">
        <f>IF(F141+SUM(E$99:E141)=D$92,F141,D$92-SUM(E$99:E141))</f>
        <v>0</v>
      </c>
      <c r="E142" s="69">
        <f t="shared" si="25"/>
        <v>0</v>
      </c>
      <c r="F142" s="658">
        <f t="shared" si="26"/>
        <v>0</v>
      </c>
      <c r="G142" s="658">
        <f t="shared" si="27"/>
        <v>0</v>
      </c>
      <c r="H142" s="130">
        <f t="shared" si="28"/>
        <v>0</v>
      </c>
      <c r="I142" s="139">
        <f t="shared" si="29"/>
        <v>0</v>
      </c>
      <c r="J142" s="663">
        <f t="shared" si="30"/>
        <v>0</v>
      </c>
      <c r="K142" s="663"/>
      <c r="L142" s="132"/>
      <c r="M142" s="663">
        <f t="shared" si="31"/>
        <v>0</v>
      </c>
      <c r="N142" s="132"/>
      <c r="O142" s="663">
        <f t="shared" si="32"/>
        <v>0</v>
      </c>
      <c r="P142" s="663">
        <f t="shared" si="33"/>
        <v>0</v>
      </c>
    </row>
    <row r="143" spans="2:16">
      <c r="B143" s="9" t="str">
        <f t="shared" si="21"/>
        <v/>
      </c>
      <c r="C143" s="656">
        <f>IF(D93="","-",+C142+1)</f>
        <v>2065</v>
      </c>
      <c r="D143" s="657">
        <f>IF(F142+SUM(E$99:E142)=D$92,F142,D$92-SUM(E$99:E142))</f>
        <v>0</v>
      </c>
      <c r="E143" s="69">
        <f t="shared" si="25"/>
        <v>0</v>
      </c>
      <c r="F143" s="658">
        <f t="shared" si="26"/>
        <v>0</v>
      </c>
      <c r="G143" s="658">
        <f t="shared" si="27"/>
        <v>0</v>
      </c>
      <c r="H143" s="130">
        <f t="shared" si="28"/>
        <v>0</v>
      </c>
      <c r="I143" s="139">
        <f t="shared" si="29"/>
        <v>0</v>
      </c>
      <c r="J143" s="663">
        <f t="shared" si="30"/>
        <v>0</v>
      </c>
      <c r="K143" s="663"/>
      <c r="L143" s="132"/>
      <c r="M143" s="663">
        <f t="shared" si="31"/>
        <v>0</v>
      </c>
      <c r="N143" s="132"/>
      <c r="O143" s="663">
        <f t="shared" si="32"/>
        <v>0</v>
      </c>
      <c r="P143" s="663">
        <f t="shared" si="33"/>
        <v>0</v>
      </c>
    </row>
    <row r="144" spans="2:16">
      <c r="B144" s="9" t="str">
        <f t="shared" si="21"/>
        <v/>
      </c>
      <c r="C144" s="656">
        <f>IF(D93="","-",+C143+1)</f>
        <v>2066</v>
      </c>
      <c r="D144" s="657">
        <f>IF(F143+SUM(E$99:E143)=D$92,F143,D$92-SUM(E$99:E143))</f>
        <v>0</v>
      </c>
      <c r="E144" s="69">
        <f t="shared" si="25"/>
        <v>0</v>
      </c>
      <c r="F144" s="658">
        <f t="shared" si="26"/>
        <v>0</v>
      </c>
      <c r="G144" s="658">
        <f t="shared" si="27"/>
        <v>0</v>
      </c>
      <c r="H144" s="130">
        <f t="shared" si="28"/>
        <v>0</v>
      </c>
      <c r="I144" s="139">
        <f t="shared" si="29"/>
        <v>0</v>
      </c>
      <c r="J144" s="663">
        <f t="shared" si="30"/>
        <v>0</v>
      </c>
      <c r="K144" s="663"/>
      <c r="L144" s="132"/>
      <c r="M144" s="663">
        <f t="shared" si="31"/>
        <v>0</v>
      </c>
      <c r="N144" s="132"/>
      <c r="O144" s="663">
        <f t="shared" si="32"/>
        <v>0</v>
      </c>
      <c r="P144" s="663">
        <f t="shared" si="33"/>
        <v>0</v>
      </c>
    </row>
    <row r="145" spans="2:16">
      <c r="B145" s="9" t="str">
        <f t="shared" si="21"/>
        <v/>
      </c>
      <c r="C145" s="656">
        <f>IF(D93="","-",+C144+1)</f>
        <v>2067</v>
      </c>
      <c r="D145" s="657">
        <f>IF(F144+SUM(E$99:E144)=D$92,F144,D$92-SUM(E$99:E144))</f>
        <v>0</v>
      </c>
      <c r="E145" s="69">
        <f t="shared" si="25"/>
        <v>0</v>
      </c>
      <c r="F145" s="658">
        <f t="shared" si="26"/>
        <v>0</v>
      </c>
      <c r="G145" s="658">
        <f t="shared" si="27"/>
        <v>0</v>
      </c>
      <c r="H145" s="130">
        <f t="shared" si="28"/>
        <v>0</v>
      </c>
      <c r="I145" s="139">
        <f t="shared" si="29"/>
        <v>0</v>
      </c>
      <c r="J145" s="663">
        <f t="shared" si="30"/>
        <v>0</v>
      </c>
      <c r="K145" s="663"/>
      <c r="L145" s="132"/>
      <c r="M145" s="663">
        <f t="shared" si="31"/>
        <v>0</v>
      </c>
      <c r="N145" s="132"/>
      <c r="O145" s="663">
        <f t="shared" si="32"/>
        <v>0</v>
      </c>
      <c r="P145" s="663">
        <f t="shared" si="33"/>
        <v>0</v>
      </c>
    </row>
    <row r="146" spans="2:16">
      <c r="B146" s="9" t="str">
        <f t="shared" si="21"/>
        <v/>
      </c>
      <c r="C146" s="656">
        <f>IF(D93="","-",+C145+1)</f>
        <v>2068</v>
      </c>
      <c r="D146" s="657">
        <f>IF(F145+SUM(E$99:E145)=D$92,F145,D$92-SUM(E$99:E145))</f>
        <v>0</v>
      </c>
      <c r="E146" s="69">
        <f t="shared" si="25"/>
        <v>0</v>
      </c>
      <c r="F146" s="658">
        <f t="shared" si="26"/>
        <v>0</v>
      </c>
      <c r="G146" s="658">
        <f t="shared" si="27"/>
        <v>0</v>
      </c>
      <c r="H146" s="130">
        <f t="shared" si="28"/>
        <v>0</v>
      </c>
      <c r="I146" s="139">
        <f t="shared" si="29"/>
        <v>0</v>
      </c>
      <c r="J146" s="663">
        <f t="shared" si="30"/>
        <v>0</v>
      </c>
      <c r="K146" s="663"/>
      <c r="L146" s="132"/>
      <c r="M146" s="663">
        <f t="shared" si="31"/>
        <v>0</v>
      </c>
      <c r="N146" s="132"/>
      <c r="O146" s="663">
        <f t="shared" si="32"/>
        <v>0</v>
      </c>
      <c r="P146" s="663">
        <f t="shared" si="33"/>
        <v>0</v>
      </c>
    </row>
    <row r="147" spans="2:16">
      <c r="B147" s="9" t="str">
        <f t="shared" si="21"/>
        <v/>
      </c>
      <c r="C147" s="656">
        <f>IF(D93="","-",+C146+1)</f>
        <v>2069</v>
      </c>
      <c r="D147" s="657">
        <f>IF(F146+SUM(E$99:E146)=D$92,F146,D$92-SUM(E$99:E146))</f>
        <v>0</v>
      </c>
      <c r="E147" s="69">
        <f t="shared" si="25"/>
        <v>0</v>
      </c>
      <c r="F147" s="658">
        <f t="shared" si="26"/>
        <v>0</v>
      </c>
      <c r="G147" s="658">
        <f t="shared" si="27"/>
        <v>0</v>
      </c>
      <c r="H147" s="130">
        <f t="shared" si="28"/>
        <v>0</v>
      </c>
      <c r="I147" s="139">
        <f t="shared" si="29"/>
        <v>0</v>
      </c>
      <c r="J147" s="663">
        <f t="shared" si="30"/>
        <v>0</v>
      </c>
      <c r="K147" s="663"/>
      <c r="L147" s="132"/>
      <c r="M147" s="663">
        <f t="shared" si="31"/>
        <v>0</v>
      </c>
      <c r="N147" s="132"/>
      <c r="O147" s="663">
        <f t="shared" si="32"/>
        <v>0</v>
      </c>
      <c r="P147" s="663">
        <f t="shared" si="33"/>
        <v>0</v>
      </c>
    </row>
    <row r="148" spans="2:16">
      <c r="B148" s="9" t="str">
        <f t="shared" si="21"/>
        <v/>
      </c>
      <c r="C148" s="656">
        <f>IF(D93="","-",+C147+1)</f>
        <v>2070</v>
      </c>
      <c r="D148" s="657">
        <f>IF(F147+SUM(E$99:E147)=D$92,F147,D$92-SUM(E$99:E147))</f>
        <v>0</v>
      </c>
      <c r="E148" s="69">
        <f t="shared" si="25"/>
        <v>0</v>
      </c>
      <c r="F148" s="658">
        <f t="shared" si="26"/>
        <v>0</v>
      </c>
      <c r="G148" s="658">
        <f t="shared" si="27"/>
        <v>0</v>
      </c>
      <c r="H148" s="130">
        <f t="shared" si="28"/>
        <v>0</v>
      </c>
      <c r="I148" s="139">
        <f t="shared" si="29"/>
        <v>0</v>
      </c>
      <c r="J148" s="663">
        <f t="shared" si="30"/>
        <v>0</v>
      </c>
      <c r="K148" s="663"/>
      <c r="L148" s="132"/>
      <c r="M148" s="663">
        <f t="shared" si="31"/>
        <v>0</v>
      </c>
      <c r="N148" s="132"/>
      <c r="O148" s="663">
        <f t="shared" si="32"/>
        <v>0</v>
      </c>
      <c r="P148" s="663">
        <f t="shared" si="33"/>
        <v>0</v>
      </c>
    </row>
    <row r="149" spans="2:16">
      <c r="B149" s="9" t="str">
        <f t="shared" si="21"/>
        <v/>
      </c>
      <c r="C149" s="656">
        <f>IF(D93="","-",+C148+1)</f>
        <v>2071</v>
      </c>
      <c r="D149" s="657">
        <f>IF(F148+SUM(E$99:E148)=D$92,F148,D$92-SUM(E$99:E148))</f>
        <v>0</v>
      </c>
      <c r="E149" s="69">
        <f t="shared" si="25"/>
        <v>0</v>
      </c>
      <c r="F149" s="658">
        <f t="shared" si="26"/>
        <v>0</v>
      </c>
      <c r="G149" s="658">
        <f t="shared" si="27"/>
        <v>0</v>
      </c>
      <c r="H149" s="130">
        <f t="shared" si="28"/>
        <v>0</v>
      </c>
      <c r="I149" s="139">
        <f t="shared" si="29"/>
        <v>0</v>
      </c>
      <c r="J149" s="663">
        <f t="shared" si="30"/>
        <v>0</v>
      </c>
      <c r="K149" s="663"/>
      <c r="L149" s="132"/>
      <c r="M149" s="663">
        <f t="shared" si="31"/>
        <v>0</v>
      </c>
      <c r="N149" s="132"/>
      <c r="O149" s="663">
        <f t="shared" si="32"/>
        <v>0</v>
      </c>
      <c r="P149" s="663">
        <f t="shared" si="33"/>
        <v>0</v>
      </c>
    </row>
    <row r="150" spans="2:16">
      <c r="B150" s="9" t="str">
        <f t="shared" si="21"/>
        <v/>
      </c>
      <c r="C150" s="656">
        <f>IF(D93="","-",+C149+1)</f>
        <v>2072</v>
      </c>
      <c r="D150" s="657">
        <f>IF(F149+SUM(E$99:E149)=D$92,F149,D$92-SUM(E$99:E149))</f>
        <v>0</v>
      </c>
      <c r="E150" s="69">
        <f t="shared" si="25"/>
        <v>0</v>
      </c>
      <c r="F150" s="658">
        <f t="shared" si="26"/>
        <v>0</v>
      </c>
      <c r="G150" s="658">
        <f t="shared" si="27"/>
        <v>0</v>
      </c>
      <c r="H150" s="130">
        <f t="shared" si="28"/>
        <v>0</v>
      </c>
      <c r="I150" s="139">
        <f t="shared" si="29"/>
        <v>0</v>
      </c>
      <c r="J150" s="663">
        <f t="shared" si="30"/>
        <v>0</v>
      </c>
      <c r="K150" s="663"/>
      <c r="L150" s="132"/>
      <c r="M150" s="663">
        <f t="shared" si="31"/>
        <v>0</v>
      </c>
      <c r="N150" s="132"/>
      <c r="O150" s="663">
        <f t="shared" si="32"/>
        <v>0</v>
      </c>
      <c r="P150" s="663">
        <f t="shared" si="33"/>
        <v>0</v>
      </c>
    </row>
    <row r="151" spans="2:16">
      <c r="B151" s="9" t="str">
        <f t="shared" si="21"/>
        <v/>
      </c>
      <c r="C151" s="656">
        <f>IF(D93="","-",+C150+1)</f>
        <v>2073</v>
      </c>
      <c r="D151" s="657">
        <f>IF(F150+SUM(E$99:E150)=D$92,F150,D$92-SUM(E$99:E150))</f>
        <v>0</v>
      </c>
      <c r="E151" s="69">
        <f t="shared" si="25"/>
        <v>0</v>
      </c>
      <c r="F151" s="658">
        <f t="shared" si="26"/>
        <v>0</v>
      </c>
      <c r="G151" s="658">
        <f t="shared" si="27"/>
        <v>0</v>
      </c>
      <c r="H151" s="130">
        <f t="shared" si="28"/>
        <v>0</v>
      </c>
      <c r="I151" s="139">
        <f t="shared" si="29"/>
        <v>0</v>
      </c>
      <c r="J151" s="663">
        <f t="shared" si="30"/>
        <v>0</v>
      </c>
      <c r="K151" s="663"/>
      <c r="L151" s="132"/>
      <c r="M151" s="663">
        <f t="shared" si="31"/>
        <v>0</v>
      </c>
      <c r="N151" s="132"/>
      <c r="O151" s="663">
        <f t="shared" si="32"/>
        <v>0</v>
      </c>
      <c r="P151" s="663">
        <f t="shared" si="33"/>
        <v>0</v>
      </c>
    </row>
    <row r="152" spans="2:16">
      <c r="B152" s="9" t="str">
        <f t="shared" si="21"/>
        <v/>
      </c>
      <c r="C152" s="656">
        <f>IF(D93="","-",+C151+1)</f>
        <v>2074</v>
      </c>
      <c r="D152" s="657">
        <f>IF(F151+SUM(E$99:E151)=D$92,F151,D$92-SUM(E$99:E151))</f>
        <v>0</v>
      </c>
      <c r="E152" s="69">
        <f t="shared" si="25"/>
        <v>0</v>
      </c>
      <c r="F152" s="658">
        <f t="shared" si="26"/>
        <v>0</v>
      </c>
      <c r="G152" s="658">
        <f t="shared" si="27"/>
        <v>0</v>
      </c>
      <c r="H152" s="130">
        <f t="shared" si="28"/>
        <v>0</v>
      </c>
      <c r="I152" s="139">
        <f t="shared" si="29"/>
        <v>0</v>
      </c>
      <c r="J152" s="663">
        <f t="shared" si="30"/>
        <v>0</v>
      </c>
      <c r="K152" s="663"/>
      <c r="L152" s="132"/>
      <c r="M152" s="663">
        <f t="shared" si="31"/>
        <v>0</v>
      </c>
      <c r="N152" s="132"/>
      <c r="O152" s="663">
        <f t="shared" si="32"/>
        <v>0</v>
      </c>
      <c r="P152" s="663">
        <f t="shared" si="33"/>
        <v>0</v>
      </c>
    </row>
    <row r="153" spans="2:16">
      <c r="B153" s="9" t="str">
        <f t="shared" si="21"/>
        <v/>
      </c>
      <c r="C153" s="656">
        <f>IF(D93="","-",+C152+1)</f>
        <v>2075</v>
      </c>
      <c r="D153" s="657">
        <f>IF(F152+SUM(E$99:E152)=D$92,F152,D$92-SUM(E$99:E152))</f>
        <v>0</v>
      </c>
      <c r="E153" s="69">
        <f t="shared" si="25"/>
        <v>0</v>
      </c>
      <c r="F153" s="658">
        <f t="shared" si="26"/>
        <v>0</v>
      </c>
      <c r="G153" s="658">
        <f t="shared" si="27"/>
        <v>0</v>
      </c>
      <c r="H153" s="130">
        <f t="shared" si="28"/>
        <v>0</v>
      </c>
      <c r="I153" s="139">
        <f t="shared" si="29"/>
        <v>0</v>
      </c>
      <c r="J153" s="663">
        <f t="shared" si="30"/>
        <v>0</v>
      </c>
      <c r="K153" s="663"/>
      <c r="L153" s="132"/>
      <c r="M153" s="663">
        <f t="shared" si="31"/>
        <v>0</v>
      </c>
      <c r="N153" s="132"/>
      <c r="O153" s="663">
        <f t="shared" si="32"/>
        <v>0</v>
      </c>
      <c r="P153" s="663">
        <f t="shared" si="33"/>
        <v>0</v>
      </c>
    </row>
    <row r="154" spans="2:16" ht="13" thickBot="1">
      <c r="B154" s="9" t="str">
        <f t="shared" si="21"/>
        <v/>
      </c>
      <c r="C154" s="665">
        <f>IF(D93="","-",+C153+1)</f>
        <v>2076</v>
      </c>
      <c r="D154" s="690">
        <f>IF(F153+SUM(E$99:E153)=D$92,F153,D$92-SUM(E$99:E153))</f>
        <v>0</v>
      </c>
      <c r="E154" s="74">
        <f t="shared" si="25"/>
        <v>0</v>
      </c>
      <c r="F154" s="666">
        <f t="shared" si="26"/>
        <v>0</v>
      </c>
      <c r="G154" s="666">
        <f t="shared" si="27"/>
        <v>0</v>
      </c>
      <c r="H154" s="140">
        <f t="shared" si="28"/>
        <v>0</v>
      </c>
      <c r="I154" s="141">
        <f t="shared" si="29"/>
        <v>0</v>
      </c>
      <c r="J154" s="669">
        <f t="shared" si="30"/>
        <v>0</v>
      </c>
      <c r="K154" s="663"/>
      <c r="L154" s="133"/>
      <c r="M154" s="669">
        <f t="shared" si="31"/>
        <v>0</v>
      </c>
      <c r="N154" s="133"/>
      <c r="O154" s="669">
        <f t="shared" si="32"/>
        <v>0</v>
      </c>
      <c r="P154" s="669">
        <f t="shared" si="33"/>
        <v>0</v>
      </c>
    </row>
    <row r="155" spans="2:16">
      <c r="C155" s="657" t="s">
        <v>77</v>
      </c>
      <c r="D155" s="636"/>
      <c r="E155" s="636">
        <f>SUM(E99:E154)</f>
        <v>1822797</v>
      </c>
      <c r="F155" s="636"/>
      <c r="G155" s="636"/>
      <c r="H155" s="636">
        <f>SUM(H99:H154)</f>
        <v>6030772.9472054215</v>
      </c>
      <c r="I155" s="636">
        <f>SUM(I99:I154)</f>
        <v>6030772.9472054215</v>
      </c>
      <c r="J155" s="636">
        <f>SUM(J99:J154)</f>
        <v>0</v>
      </c>
      <c r="K155" s="636"/>
      <c r="L155" s="636"/>
      <c r="M155" s="636"/>
      <c r="N155" s="636"/>
      <c r="O155" s="636"/>
      <c r="P155" s="630"/>
    </row>
    <row r="156" spans="2:16">
      <c r="C156" t="s">
        <v>100</v>
      </c>
      <c r="D156" s="631"/>
      <c r="E156" s="630"/>
      <c r="F156" s="630"/>
      <c r="G156" s="630"/>
      <c r="H156" s="630"/>
      <c r="I156" s="633"/>
      <c r="J156" s="633"/>
      <c r="K156" s="636"/>
      <c r="L156" s="633"/>
      <c r="M156" s="633"/>
      <c r="N156" s="633"/>
      <c r="O156" s="633"/>
      <c r="P156" s="630"/>
    </row>
    <row r="157" spans="2:16">
      <c r="C157" s="99"/>
      <c r="D157" s="631"/>
      <c r="E157" s="630"/>
      <c r="F157" s="630"/>
      <c r="G157" s="630"/>
      <c r="H157" s="630"/>
      <c r="I157" s="633"/>
      <c r="J157" s="633"/>
      <c r="K157" s="636"/>
      <c r="L157" s="633"/>
      <c r="M157" s="633"/>
      <c r="N157" s="633"/>
      <c r="O157" s="633"/>
      <c r="P157" s="630"/>
    </row>
    <row r="158" spans="2:16" ht="13">
      <c r="C158" s="115" t="s">
        <v>148</v>
      </c>
      <c r="D158" s="631"/>
      <c r="E158" s="630"/>
      <c r="F158" s="630"/>
      <c r="G158" s="630"/>
      <c r="H158" s="630"/>
      <c r="I158" s="633"/>
      <c r="J158" s="633"/>
      <c r="K158" s="636"/>
      <c r="L158" s="633"/>
      <c r="M158" s="633"/>
      <c r="N158" s="633"/>
      <c r="O158" s="633"/>
      <c r="P158" s="630"/>
    </row>
    <row r="159" spans="2:16" ht="13">
      <c r="C159" s="639" t="s">
        <v>78</v>
      </c>
      <c r="D159" s="657"/>
      <c r="E159" s="657"/>
      <c r="F159" s="657"/>
      <c r="G159" s="657"/>
      <c r="H159" s="636"/>
      <c r="I159" s="636"/>
      <c r="J159" s="670"/>
      <c r="K159" s="670"/>
      <c r="L159" s="670"/>
      <c r="M159" s="670"/>
      <c r="N159" s="670"/>
      <c r="O159" s="670"/>
      <c r="P159" s="630"/>
    </row>
    <row r="160" spans="2:16" ht="13">
      <c r="C160" s="691" t="s">
        <v>79</v>
      </c>
      <c r="D160" s="657"/>
      <c r="E160" s="657"/>
      <c r="F160" s="657"/>
      <c r="G160" s="657"/>
      <c r="H160" s="636"/>
      <c r="I160" s="636"/>
      <c r="J160" s="670"/>
      <c r="K160" s="670"/>
      <c r="L160" s="670"/>
      <c r="M160" s="670"/>
      <c r="N160" s="670"/>
      <c r="O160" s="670"/>
      <c r="P160" s="630"/>
    </row>
    <row r="161" spans="3:16" ht="13">
      <c r="C161" s="691"/>
      <c r="D161" s="657"/>
      <c r="E161" s="657"/>
      <c r="F161" s="657"/>
      <c r="G161" s="657"/>
      <c r="H161" s="636"/>
      <c r="I161" s="636"/>
      <c r="J161" s="670"/>
      <c r="K161" s="670"/>
      <c r="L161" s="670"/>
      <c r="M161" s="670"/>
      <c r="N161" s="670"/>
      <c r="O161" s="670"/>
      <c r="P161" s="630"/>
    </row>
    <row r="162" spans="3:16" ht="17.5">
      <c r="C162" s="691"/>
      <c r="D162" s="657"/>
      <c r="E162" s="657"/>
      <c r="F162" s="657"/>
      <c r="G162" s="657"/>
      <c r="H162" s="636"/>
      <c r="I162" s="636"/>
      <c r="J162" s="670"/>
      <c r="K162" s="670"/>
      <c r="L162" s="670"/>
      <c r="M162" s="670"/>
      <c r="N162" s="670"/>
      <c r="P162" s="692" t="s">
        <v>145</v>
      </c>
    </row>
  </sheetData>
  <conditionalFormatting sqref="C17:C72">
    <cfRule type="cellIs" dxfId="13" priority="1" stopIfTrue="1" operator="equal">
      <formula>$I$10</formula>
    </cfRule>
  </conditionalFormatting>
  <conditionalFormatting sqref="C99:C154">
    <cfRule type="cellIs" dxfId="12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914A11-00CC-4B7E-A7D5-813C3E523491}">
  <dimension ref="A1:P162"/>
  <sheetViews>
    <sheetView topLeftCell="A9" zoomScale="80" zoomScaleNormal="80" workbookViewId="0">
      <selection activeCell="Q18" sqref="Q18:V52"/>
    </sheetView>
  </sheetViews>
  <sheetFormatPr defaultColWidth="8.7265625" defaultRowHeight="12.5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630"/>
      <c r="C1" s="630"/>
      <c r="D1" s="631"/>
      <c r="E1" s="630"/>
      <c r="F1" s="632"/>
      <c r="G1" s="630"/>
      <c r="H1" s="633"/>
      <c r="K1" s="19"/>
      <c r="L1" s="19"/>
      <c r="M1" s="19"/>
      <c r="P1" s="414" t="str">
        <f ca="1">"PSO Project "&amp;RIGHT(MID(CELL("filename",$A$1),FIND("]",CELL("filename",$A$1))+1,256),2)&amp;" of "&amp;COUNT('P.001:P.xyz - blank'!$P$3)-1</f>
        <v>PSO Project 31 of 35</v>
      </c>
    </row>
    <row r="2" spans="1:16" ht="17.5">
      <c r="B2" s="630"/>
      <c r="C2" s="630"/>
      <c r="D2" s="631"/>
      <c r="E2" s="630"/>
      <c r="F2" s="630"/>
      <c r="G2" s="630"/>
      <c r="H2" s="633"/>
      <c r="I2" s="630"/>
      <c r="J2" s="630"/>
      <c r="K2" s="630"/>
      <c r="L2" s="630"/>
      <c r="M2" s="630"/>
      <c r="N2" s="630"/>
      <c r="P2" s="117" t="s">
        <v>150</v>
      </c>
    </row>
    <row r="3" spans="1:16" ht="18">
      <c r="B3" s="634" t="s">
        <v>42</v>
      </c>
      <c r="C3" s="635" t="s">
        <v>43</v>
      </c>
      <c r="D3" s="631"/>
      <c r="E3" s="630"/>
      <c r="F3" s="630"/>
      <c r="G3" s="630"/>
      <c r="H3" s="633"/>
      <c r="I3" s="633"/>
      <c r="J3" s="636"/>
      <c r="K3" s="633"/>
      <c r="L3" s="633"/>
      <c r="M3" s="633"/>
      <c r="N3" s="633"/>
      <c r="O3" s="630"/>
      <c r="P3" s="108">
        <v>1</v>
      </c>
    </row>
    <row r="4" spans="1:16" ht="16" thickBot="1">
      <c r="C4" s="637"/>
      <c r="D4" s="631"/>
      <c r="E4" s="630"/>
      <c r="F4" s="630"/>
      <c r="G4" s="630"/>
      <c r="H4" s="633"/>
      <c r="I4" s="633"/>
      <c r="J4" s="636"/>
      <c r="K4" s="633"/>
      <c r="L4" s="633"/>
      <c r="M4" s="633"/>
      <c r="N4" s="633"/>
      <c r="O4" s="630"/>
      <c r="P4" s="630"/>
    </row>
    <row r="5" spans="1:16" ht="15.5">
      <c r="C5" s="21" t="s">
        <v>44</v>
      </c>
      <c r="D5" s="631"/>
      <c r="E5" s="630"/>
      <c r="F5" s="630"/>
      <c r="G5" s="418"/>
      <c r="H5" s="630" t="s">
        <v>45</v>
      </c>
      <c r="I5" s="630"/>
      <c r="J5" s="630"/>
      <c r="K5" s="23" t="s">
        <v>279</v>
      </c>
      <c r="L5" s="24"/>
      <c r="M5" s="638"/>
      <c r="N5" s="422">
        <f>VLOOKUP(I10,C17:I72,5)</f>
        <v>9053.5546061925288</v>
      </c>
      <c r="P5" s="630"/>
    </row>
    <row r="6" spans="1:16" ht="15.5">
      <c r="C6" s="8"/>
      <c r="D6" s="631"/>
      <c r="E6" s="630"/>
      <c r="F6" s="630"/>
      <c r="G6" s="630"/>
      <c r="H6" s="423"/>
      <c r="I6" s="423"/>
      <c r="J6" s="424"/>
      <c r="K6" s="29" t="s">
        <v>280</v>
      </c>
      <c r="L6" s="426"/>
      <c r="M6" s="630"/>
      <c r="N6" s="427">
        <f>VLOOKUP(I10,C17:I72,6)</f>
        <v>9053.5546061925288</v>
      </c>
      <c r="O6" s="630"/>
      <c r="P6" s="630"/>
    </row>
    <row r="7" spans="1:16" ht="13.5" thickBot="1">
      <c r="C7" s="639" t="s">
        <v>46</v>
      </c>
      <c r="D7" s="613" t="s">
        <v>340</v>
      </c>
      <c r="E7" s="630"/>
      <c r="F7" s="630"/>
      <c r="G7" s="630"/>
      <c r="H7" s="633"/>
      <c r="I7" s="633"/>
      <c r="J7" s="636"/>
      <c r="K7" s="430" t="s">
        <v>47</v>
      </c>
      <c r="L7" s="640"/>
      <c r="M7" s="640"/>
      <c r="N7" s="641">
        <f>+N6-N5</f>
        <v>0</v>
      </c>
      <c r="O7" s="630"/>
      <c r="P7" s="630"/>
    </row>
    <row r="8" spans="1:16" ht="13.5" thickBot="1">
      <c r="C8" s="642"/>
      <c r="D8" s="99"/>
      <c r="E8" s="643"/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30"/>
    </row>
    <row r="9" spans="1:16" ht="13.5" thickBot="1">
      <c r="C9" s="644" t="s">
        <v>48</v>
      </c>
      <c r="D9" s="106" t="s">
        <v>341</v>
      </c>
      <c r="E9" s="645" t="s">
        <v>342</v>
      </c>
      <c r="F9" s="646"/>
      <c r="G9" s="646"/>
      <c r="H9" s="646"/>
      <c r="I9" s="647"/>
      <c r="J9" s="648"/>
      <c r="P9" s="630"/>
    </row>
    <row r="10" spans="1:16" ht="13">
      <c r="C10" s="649" t="s">
        <v>226</v>
      </c>
      <c r="D10" s="444">
        <v>70967.7</v>
      </c>
      <c r="E10" s="630" t="s">
        <v>51</v>
      </c>
      <c r="G10" s="631"/>
      <c r="H10" s="631"/>
      <c r="I10" s="650">
        <v>2024</v>
      </c>
      <c r="J10" s="648"/>
      <c r="K10" s="636" t="s">
        <v>52</v>
      </c>
      <c r="O10" s="630"/>
      <c r="P10" s="630"/>
    </row>
    <row r="11" spans="1:16">
      <c r="C11" s="651" t="s">
        <v>53</v>
      </c>
      <c r="D11" s="47">
        <v>2022</v>
      </c>
      <c r="E11" s="651" t="s">
        <v>54</v>
      </c>
      <c r="F11" s="631"/>
      <c r="I11" s="652">
        <v>0</v>
      </c>
      <c r="J11" s="653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630"/>
      <c r="P11" s="630"/>
    </row>
    <row r="12" spans="1:16">
      <c r="C12" s="651" t="s">
        <v>55</v>
      </c>
      <c r="D12" s="444">
        <v>6</v>
      </c>
      <c r="E12" s="651" t="s">
        <v>56</v>
      </c>
      <c r="F12" s="631"/>
      <c r="I12" s="654">
        <v>0.10781124580725182</v>
      </c>
      <c r="J12" s="632"/>
      <c r="K12" t="s">
        <v>57</v>
      </c>
      <c r="O12" s="630"/>
      <c r="P12" s="630"/>
    </row>
    <row r="13" spans="1:16">
      <c r="C13" s="651" t="s">
        <v>58</v>
      </c>
      <c r="D13" s="652">
        <v>42</v>
      </c>
      <c r="E13" s="651" t="s">
        <v>59</v>
      </c>
      <c r="F13" s="631"/>
      <c r="I13" s="654">
        <v>0.10781124580725182</v>
      </c>
      <c r="J13" s="632"/>
      <c r="K13" s="636" t="s">
        <v>60</v>
      </c>
      <c r="L13" s="632"/>
      <c r="M13" s="632"/>
      <c r="N13" s="632"/>
      <c r="O13" s="630"/>
      <c r="P13" s="630"/>
    </row>
    <row r="14" spans="1:16" ht="13" thickBot="1">
      <c r="C14" s="651" t="s">
        <v>61</v>
      </c>
      <c r="D14" s="47" t="s">
        <v>62</v>
      </c>
      <c r="E14" s="630" t="s">
        <v>63</v>
      </c>
      <c r="F14" s="631"/>
      <c r="I14" s="655">
        <f>IF(D10=0,0,D10/D13)</f>
        <v>1689.7071428571428</v>
      </c>
      <c r="J14" s="636"/>
      <c r="K14" s="636"/>
      <c r="L14" s="636"/>
      <c r="M14" s="636"/>
      <c r="N14" s="636"/>
      <c r="O14" s="630"/>
      <c r="P14" s="630"/>
    </row>
    <row r="15" spans="1:16" ht="39">
      <c r="C15" s="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53" t="s">
        <v>67</v>
      </c>
      <c r="J15" s="55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630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462" t="s">
        <v>73</v>
      </c>
      <c r="H16" s="463" t="s">
        <v>74</v>
      </c>
      <c r="I16" s="57" t="s">
        <v>104</v>
      </c>
      <c r="J16" s="5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630"/>
    </row>
    <row r="17" spans="2:16" ht="13" thickBot="1">
      <c r="B17" s="9"/>
      <c r="C17" s="656">
        <f>IF(D11= "","-",D11)</f>
        <v>2022</v>
      </c>
      <c r="D17" s="617">
        <v>0</v>
      </c>
      <c r="E17" s="618">
        <v>0</v>
      </c>
      <c r="F17" s="619">
        <v>56102</v>
      </c>
      <c r="G17" s="618">
        <v>3024.2132561392209</v>
      </c>
      <c r="H17" s="620">
        <v>3024.2132561392209</v>
      </c>
      <c r="I17" s="660">
        <f>H17-G17</f>
        <v>0</v>
      </c>
      <c r="J17" s="660"/>
      <c r="K17" s="661">
        <f>+G17</f>
        <v>3024.2132561392209</v>
      </c>
      <c r="L17" s="662">
        <f t="shared" ref="L17:L72" si="0">IF(K17&lt;&gt;0,+G17-K17,0)</f>
        <v>0</v>
      </c>
      <c r="M17" s="661">
        <f>+H17</f>
        <v>3024.2132561392209</v>
      </c>
      <c r="N17" s="662">
        <f t="shared" ref="N17:N72" si="1">IF(M17&lt;&gt;0,+H17-M17,0)</f>
        <v>0</v>
      </c>
      <c r="O17" s="663">
        <f t="shared" ref="O17:O72" si="2">+N17-L17</f>
        <v>0</v>
      </c>
      <c r="P17" s="630"/>
    </row>
    <row r="18" spans="2:16" ht="13" thickBot="1">
      <c r="B18" s="9" t="str">
        <f>IF(D18=F17,"","IU")</f>
        <v>IU</v>
      </c>
      <c r="C18" s="656">
        <f>IF(D11="","-",+C17+1)</f>
        <v>2023</v>
      </c>
      <c r="D18" s="470">
        <v>70968.24417723043</v>
      </c>
      <c r="E18" s="477">
        <v>1819.6985686469341</v>
      </c>
      <c r="F18" s="470">
        <v>69148.545608583503</v>
      </c>
      <c r="G18" s="477">
        <v>10181.795067763751</v>
      </c>
      <c r="H18" s="478">
        <v>10181.795067763751</v>
      </c>
      <c r="I18" s="660">
        <f>H18-G18</f>
        <v>0</v>
      </c>
      <c r="J18" s="660"/>
      <c r="K18" s="661">
        <f>+G18</f>
        <v>10181.795067763751</v>
      </c>
      <c r="L18" s="662">
        <f t="shared" ref="L18" si="3">IF(K18&lt;&gt;0,+G18-K18,0)</f>
        <v>0</v>
      </c>
      <c r="M18" s="661">
        <f>+H18</f>
        <v>10181.795067763751</v>
      </c>
      <c r="N18" s="663">
        <f t="shared" si="1"/>
        <v>0</v>
      </c>
      <c r="O18" s="663">
        <f t="shared" si="2"/>
        <v>0</v>
      </c>
      <c r="P18" s="630"/>
    </row>
    <row r="19" spans="2:16">
      <c r="B19" s="9" t="str">
        <f>IF(D19=F18,"","IU")</f>
        <v>IU</v>
      </c>
      <c r="C19" s="656">
        <f>IF(D11="","-",+C18+1)</f>
        <v>2024</v>
      </c>
      <c r="D19" s="470">
        <v>69148.00143135307</v>
      </c>
      <c r="E19" s="477">
        <v>1689.7071428571428</v>
      </c>
      <c r="F19" s="470">
        <v>67458.294288495934</v>
      </c>
      <c r="G19" s="477">
        <v>9053.5546061925288</v>
      </c>
      <c r="H19" s="478">
        <v>9053.5546061925288</v>
      </c>
      <c r="I19" s="660">
        <f t="shared" ref="I19:I71" si="4">H19-G19</f>
        <v>0</v>
      </c>
      <c r="J19" s="660"/>
      <c r="K19" s="661">
        <f>+G19</f>
        <v>9053.5546061925288</v>
      </c>
      <c r="L19" s="662">
        <f t="shared" ref="L19" si="5">IF(K19&lt;&gt;0,+G19-K19,0)</f>
        <v>0</v>
      </c>
      <c r="M19" s="661">
        <f>+H19</f>
        <v>9053.5546061925288</v>
      </c>
      <c r="N19" s="663">
        <f t="shared" ref="N19" si="6">IF(M19&lt;&gt;0,+H19-M19,0)</f>
        <v>0</v>
      </c>
      <c r="O19" s="663">
        <f t="shared" ref="O19" si="7">+N19-L19</f>
        <v>0</v>
      </c>
      <c r="P19" s="630"/>
    </row>
    <row r="20" spans="2:16">
      <c r="B20" s="9" t="str">
        <f t="shared" ref="B20:B72" si="8">IF(D20=F19,"","IU")</f>
        <v/>
      </c>
      <c r="C20" s="656">
        <f>IF(D11="","-",+C19+1)</f>
        <v>2025</v>
      </c>
      <c r="D20" s="658">
        <f>IF(F19+SUM(E$17:E19)=D$10,F19,D$10-SUM(E$17:E19))</f>
        <v>67458.294288495934</v>
      </c>
      <c r="E20" s="69">
        <f t="shared" ref="E20:E71" si="9">IF(+I$14&lt;F19,I$14,D20)</f>
        <v>1689.7071428571428</v>
      </c>
      <c r="F20" s="658">
        <f t="shared" ref="F20:F71" si="10">+D20-E20</f>
        <v>65768.587145638798</v>
      </c>
      <c r="G20" s="664">
        <f t="shared" ref="G20:G71" si="11">(D20+F20)/2*I$12+E20</f>
        <v>8871.3851740716891</v>
      </c>
      <c r="H20" s="659">
        <f t="shared" ref="H20:H71" si="12">+(D20+F20)/2*I$13+E20</f>
        <v>8871.3851740716891</v>
      </c>
      <c r="I20" s="660">
        <f t="shared" si="4"/>
        <v>0</v>
      </c>
      <c r="J20" s="660"/>
      <c r="K20" s="132"/>
      <c r="L20" s="663">
        <f t="shared" si="0"/>
        <v>0</v>
      </c>
      <c r="M20" s="132"/>
      <c r="N20" s="663">
        <f t="shared" si="1"/>
        <v>0</v>
      </c>
      <c r="O20" s="663">
        <f t="shared" si="2"/>
        <v>0</v>
      </c>
      <c r="P20" s="630"/>
    </row>
    <row r="21" spans="2:16">
      <c r="B21" s="9" t="str">
        <f t="shared" si="8"/>
        <v/>
      </c>
      <c r="C21" s="656">
        <f>IF(D11="","-",+C20+1)</f>
        <v>2026</v>
      </c>
      <c r="D21" s="658">
        <f>IF(F20+SUM(E$17:E20)=D$10,F20,D$10-SUM(E$17:E20))</f>
        <v>65768.587145638798</v>
      </c>
      <c r="E21" s="481">
        <f t="shared" si="9"/>
        <v>1689.7071428571428</v>
      </c>
      <c r="F21" s="658">
        <f t="shared" si="10"/>
        <v>64078.880002781654</v>
      </c>
      <c r="G21" s="693">
        <f t="shared" si="11"/>
        <v>8689.2157419508494</v>
      </c>
      <c r="H21" s="655">
        <f t="shared" si="12"/>
        <v>8689.2157419508494</v>
      </c>
      <c r="I21" s="660">
        <f t="shared" si="4"/>
        <v>0</v>
      </c>
      <c r="J21" s="660"/>
      <c r="K21" s="132"/>
      <c r="L21" s="663">
        <f t="shared" si="0"/>
        <v>0</v>
      </c>
      <c r="M21" s="132"/>
      <c r="N21" s="663">
        <f t="shared" si="1"/>
        <v>0</v>
      </c>
      <c r="O21" s="663">
        <f t="shared" si="2"/>
        <v>0</v>
      </c>
      <c r="P21" s="630"/>
    </row>
    <row r="22" spans="2:16">
      <c r="B22" s="9" t="str">
        <f t="shared" si="8"/>
        <v/>
      </c>
      <c r="C22" s="656">
        <f>IF(D11="","-",+C21+1)</f>
        <v>2027</v>
      </c>
      <c r="D22" s="658">
        <f>IF(F21+SUM(E$17:E21)=D$10,F21,D$10-SUM(E$17:E21))</f>
        <v>64078.880002781654</v>
      </c>
      <c r="E22" s="481">
        <f t="shared" si="9"/>
        <v>1689.7071428571428</v>
      </c>
      <c r="F22" s="658">
        <f t="shared" si="10"/>
        <v>62389.172859924511</v>
      </c>
      <c r="G22" s="693">
        <f t="shared" si="11"/>
        <v>8507.0463098300079</v>
      </c>
      <c r="H22" s="655">
        <f t="shared" si="12"/>
        <v>8507.0463098300079</v>
      </c>
      <c r="I22" s="660">
        <f t="shared" si="4"/>
        <v>0</v>
      </c>
      <c r="J22" s="660"/>
      <c r="K22" s="132"/>
      <c r="L22" s="663">
        <f t="shared" si="0"/>
        <v>0</v>
      </c>
      <c r="M22" s="132"/>
      <c r="N22" s="663">
        <f t="shared" si="1"/>
        <v>0</v>
      </c>
      <c r="O22" s="663">
        <f t="shared" si="2"/>
        <v>0</v>
      </c>
      <c r="P22" s="630"/>
    </row>
    <row r="23" spans="2:16">
      <c r="B23" s="9" t="str">
        <f t="shared" si="8"/>
        <v/>
      </c>
      <c r="C23" s="656">
        <f>IF(D11="","-",+C22+1)</f>
        <v>2028</v>
      </c>
      <c r="D23" s="658">
        <f>IF(F22+SUM(E$17:E22)=D$10,F22,D$10-SUM(E$17:E22))</f>
        <v>62389.172859924511</v>
      </c>
      <c r="E23" s="481">
        <f t="shared" si="9"/>
        <v>1689.7071428571428</v>
      </c>
      <c r="F23" s="658">
        <f t="shared" si="10"/>
        <v>60699.465717067367</v>
      </c>
      <c r="G23" s="693">
        <f t="shared" si="11"/>
        <v>8324.8768777091682</v>
      </c>
      <c r="H23" s="655">
        <f t="shared" si="12"/>
        <v>8324.8768777091682</v>
      </c>
      <c r="I23" s="660">
        <f t="shared" si="4"/>
        <v>0</v>
      </c>
      <c r="J23" s="660"/>
      <c r="K23" s="132"/>
      <c r="L23" s="663">
        <f t="shared" si="0"/>
        <v>0</v>
      </c>
      <c r="M23" s="132"/>
      <c r="N23" s="663">
        <f t="shared" si="1"/>
        <v>0</v>
      </c>
      <c r="O23" s="663">
        <f t="shared" si="2"/>
        <v>0</v>
      </c>
      <c r="P23" s="630"/>
    </row>
    <row r="24" spans="2:16">
      <c r="B24" s="9" t="str">
        <f t="shared" si="8"/>
        <v/>
      </c>
      <c r="C24" s="656">
        <f>IF(D11="","-",+C23+1)</f>
        <v>2029</v>
      </c>
      <c r="D24" s="658">
        <f>IF(F23+SUM(E$17:E23)=D$10,F23,D$10-SUM(E$17:E23))</f>
        <v>60699.465717067367</v>
      </c>
      <c r="E24" s="481">
        <f t="shared" si="9"/>
        <v>1689.7071428571428</v>
      </c>
      <c r="F24" s="658">
        <f t="shared" si="10"/>
        <v>59009.758574210224</v>
      </c>
      <c r="G24" s="693">
        <f t="shared" si="11"/>
        <v>8142.7074455883267</v>
      </c>
      <c r="H24" s="655">
        <f t="shared" si="12"/>
        <v>8142.7074455883267</v>
      </c>
      <c r="I24" s="660">
        <f t="shared" si="4"/>
        <v>0</v>
      </c>
      <c r="J24" s="660"/>
      <c r="K24" s="132"/>
      <c r="L24" s="663">
        <f t="shared" si="0"/>
        <v>0</v>
      </c>
      <c r="M24" s="132"/>
      <c r="N24" s="663">
        <f t="shared" si="1"/>
        <v>0</v>
      </c>
      <c r="O24" s="663">
        <f t="shared" si="2"/>
        <v>0</v>
      </c>
      <c r="P24" s="630"/>
    </row>
    <row r="25" spans="2:16">
      <c r="B25" s="9" t="str">
        <f t="shared" si="8"/>
        <v/>
      </c>
      <c r="C25" s="656">
        <f>IF(D11="","-",+C24+1)</f>
        <v>2030</v>
      </c>
      <c r="D25" s="658">
        <f>IF(F24+SUM(E$17:E24)=D$10,F24,D$10-SUM(E$17:E24))</f>
        <v>59009.758574210224</v>
      </c>
      <c r="E25" s="481">
        <f t="shared" si="9"/>
        <v>1689.7071428571428</v>
      </c>
      <c r="F25" s="658">
        <f t="shared" si="10"/>
        <v>57320.05143135308</v>
      </c>
      <c r="G25" s="693">
        <f t="shared" si="11"/>
        <v>7960.538013467487</v>
      </c>
      <c r="H25" s="655">
        <f t="shared" si="12"/>
        <v>7960.538013467487</v>
      </c>
      <c r="I25" s="660">
        <f t="shared" si="4"/>
        <v>0</v>
      </c>
      <c r="J25" s="660"/>
      <c r="K25" s="132"/>
      <c r="L25" s="663">
        <f t="shared" si="0"/>
        <v>0</v>
      </c>
      <c r="M25" s="132"/>
      <c r="N25" s="663">
        <f t="shared" si="1"/>
        <v>0</v>
      </c>
      <c r="O25" s="663">
        <f t="shared" si="2"/>
        <v>0</v>
      </c>
      <c r="P25" s="630"/>
    </row>
    <row r="26" spans="2:16">
      <c r="B26" s="9" t="str">
        <f t="shared" si="8"/>
        <v/>
      </c>
      <c r="C26" s="656">
        <f>IF(D11="","-",+C25+1)</f>
        <v>2031</v>
      </c>
      <c r="D26" s="658">
        <f>IF(F25+SUM(E$17:E25)=D$10,F25,D$10-SUM(E$17:E25))</f>
        <v>57320.05143135308</v>
      </c>
      <c r="E26" s="481">
        <f t="shared" si="9"/>
        <v>1689.7071428571428</v>
      </c>
      <c r="F26" s="658">
        <f t="shared" si="10"/>
        <v>55630.344288495937</v>
      </c>
      <c r="G26" s="693">
        <f t="shared" si="11"/>
        <v>7778.3685813466454</v>
      </c>
      <c r="H26" s="655">
        <f t="shared" si="12"/>
        <v>7778.3685813466454</v>
      </c>
      <c r="I26" s="660">
        <f t="shared" si="4"/>
        <v>0</v>
      </c>
      <c r="J26" s="660"/>
      <c r="K26" s="132"/>
      <c r="L26" s="663">
        <f t="shared" si="0"/>
        <v>0</v>
      </c>
      <c r="M26" s="132"/>
      <c r="N26" s="663">
        <f t="shared" si="1"/>
        <v>0</v>
      </c>
      <c r="O26" s="663">
        <f t="shared" si="2"/>
        <v>0</v>
      </c>
      <c r="P26" s="630"/>
    </row>
    <row r="27" spans="2:16">
      <c r="B27" s="9" t="str">
        <f t="shared" si="8"/>
        <v/>
      </c>
      <c r="C27" s="656">
        <f>IF(D11="","-",+C26+1)</f>
        <v>2032</v>
      </c>
      <c r="D27" s="658">
        <f>IF(F26+SUM(E$17:E26)=D$10,F26,D$10-SUM(E$17:E26))</f>
        <v>55630.344288495937</v>
      </c>
      <c r="E27" s="481">
        <f t="shared" si="9"/>
        <v>1689.7071428571428</v>
      </c>
      <c r="F27" s="658">
        <f t="shared" si="10"/>
        <v>53940.637145638793</v>
      </c>
      <c r="G27" s="693">
        <f t="shared" si="11"/>
        <v>7596.1991492258057</v>
      </c>
      <c r="H27" s="655">
        <f t="shared" si="12"/>
        <v>7596.1991492258057</v>
      </c>
      <c r="I27" s="660">
        <f t="shared" si="4"/>
        <v>0</v>
      </c>
      <c r="J27" s="660"/>
      <c r="K27" s="132"/>
      <c r="L27" s="663">
        <f t="shared" si="0"/>
        <v>0</v>
      </c>
      <c r="M27" s="132"/>
      <c r="N27" s="663">
        <f t="shared" si="1"/>
        <v>0</v>
      </c>
      <c r="O27" s="663">
        <f t="shared" si="2"/>
        <v>0</v>
      </c>
      <c r="P27" s="630"/>
    </row>
    <row r="28" spans="2:16">
      <c r="B28" s="9" t="str">
        <f t="shared" si="8"/>
        <v/>
      </c>
      <c r="C28" s="656">
        <f>IF(D11="","-",+C27+1)</f>
        <v>2033</v>
      </c>
      <c r="D28" s="658">
        <f>IF(F27+SUM(E$17:E27)=D$10,F27,D$10-SUM(E$17:E27))</f>
        <v>53940.637145638793</v>
      </c>
      <c r="E28" s="481">
        <f t="shared" si="9"/>
        <v>1689.7071428571428</v>
      </c>
      <c r="F28" s="658">
        <f t="shared" si="10"/>
        <v>52250.93000278165</v>
      </c>
      <c r="G28" s="693">
        <f t="shared" si="11"/>
        <v>7414.0297171049642</v>
      </c>
      <c r="H28" s="655">
        <f t="shared" si="12"/>
        <v>7414.0297171049642</v>
      </c>
      <c r="I28" s="660">
        <f t="shared" si="4"/>
        <v>0</v>
      </c>
      <c r="J28" s="660"/>
      <c r="K28" s="132"/>
      <c r="L28" s="663">
        <f t="shared" si="0"/>
        <v>0</v>
      </c>
      <c r="M28" s="132"/>
      <c r="N28" s="663">
        <f t="shared" si="1"/>
        <v>0</v>
      </c>
      <c r="O28" s="663">
        <f t="shared" si="2"/>
        <v>0</v>
      </c>
      <c r="P28" s="630"/>
    </row>
    <row r="29" spans="2:16">
      <c r="B29" s="9" t="str">
        <f t="shared" si="8"/>
        <v/>
      </c>
      <c r="C29" s="656">
        <f>IF(D11="","-",+C28+1)</f>
        <v>2034</v>
      </c>
      <c r="D29" s="658">
        <f>IF(F28+SUM(E$17:E28)=D$10,F28,D$10-SUM(E$17:E28))</f>
        <v>52250.93000278165</v>
      </c>
      <c r="E29" s="481">
        <f t="shared" si="9"/>
        <v>1689.7071428571428</v>
      </c>
      <c r="F29" s="658">
        <f t="shared" si="10"/>
        <v>50561.222859924506</v>
      </c>
      <c r="G29" s="693">
        <f t="shared" si="11"/>
        <v>7231.8602849841245</v>
      </c>
      <c r="H29" s="655">
        <f t="shared" si="12"/>
        <v>7231.8602849841245</v>
      </c>
      <c r="I29" s="660">
        <f t="shared" si="4"/>
        <v>0</v>
      </c>
      <c r="J29" s="660"/>
      <c r="K29" s="132"/>
      <c r="L29" s="663">
        <f t="shared" si="0"/>
        <v>0</v>
      </c>
      <c r="M29" s="132"/>
      <c r="N29" s="663">
        <f t="shared" si="1"/>
        <v>0</v>
      </c>
      <c r="O29" s="663">
        <f t="shared" si="2"/>
        <v>0</v>
      </c>
      <c r="P29" s="630"/>
    </row>
    <row r="30" spans="2:16">
      <c r="B30" s="9" t="str">
        <f t="shared" si="8"/>
        <v/>
      </c>
      <c r="C30" s="656">
        <f>IF(D11="","-",+C29+1)</f>
        <v>2035</v>
      </c>
      <c r="D30" s="658">
        <f>IF(F29+SUM(E$17:E29)=D$10,F29,D$10-SUM(E$17:E29))</f>
        <v>50561.222859924506</v>
      </c>
      <c r="E30" s="481">
        <f t="shared" si="9"/>
        <v>1689.7071428571428</v>
      </c>
      <c r="F30" s="658">
        <f t="shared" si="10"/>
        <v>48871.515717067363</v>
      </c>
      <c r="G30" s="693">
        <f t="shared" si="11"/>
        <v>7049.690852863283</v>
      </c>
      <c r="H30" s="655">
        <f t="shared" si="12"/>
        <v>7049.690852863283</v>
      </c>
      <c r="I30" s="660">
        <f t="shared" si="4"/>
        <v>0</v>
      </c>
      <c r="J30" s="660"/>
      <c r="K30" s="132"/>
      <c r="L30" s="663">
        <f t="shared" si="0"/>
        <v>0</v>
      </c>
      <c r="M30" s="132"/>
      <c r="N30" s="663">
        <f t="shared" si="1"/>
        <v>0</v>
      </c>
      <c r="O30" s="663">
        <f t="shared" si="2"/>
        <v>0</v>
      </c>
      <c r="P30" s="630"/>
    </row>
    <row r="31" spans="2:16">
      <c r="B31" s="9" t="str">
        <f t="shared" si="8"/>
        <v/>
      </c>
      <c r="C31" s="656">
        <f>IF(D11="","-",+C30+1)</f>
        <v>2036</v>
      </c>
      <c r="D31" s="658">
        <f>IF(F30+SUM(E$17:E30)=D$10,F30,D$10-SUM(E$17:E30))</f>
        <v>48871.515717067363</v>
      </c>
      <c r="E31" s="481">
        <f t="shared" si="9"/>
        <v>1689.7071428571428</v>
      </c>
      <c r="F31" s="658">
        <f t="shared" si="10"/>
        <v>47181.808574210219</v>
      </c>
      <c r="G31" s="693">
        <f t="shared" si="11"/>
        <v>6867.5214207424424</v>
      </c>
      <c r="H31" s="655">
        <f t="shared" si="12"/>
        <v>6867.5214207424424</v>
      </c>
      <c r="I31" s="660">
        <f t="shared" si="4"/>
        <v>0</v>
      </c>
      <c r="J31" s="660"/>
      <c r="K31" s="132"/>
      <c r="L31" s="663">
        <f t="shared" si="0"/>
        <v>0</v>
      </c>
      <c r="M31" s="132"/>
      <c r="N31" s="663">
        <f t="shared" si="1"/>
        <v>0</v>
      </c>
      <c r="O31" s="663">
        <f t="shared" si="2"/>
        <v>0</v>
      </c>
      <c r="P31" s="630"/>
    </row>
    <row r="32" spans="2:16">
      <c r="B32" s="9" t="str">
        <f t="shared" si="8"/>
        <v/>
      </c>
      <c r="C32" s="656">
        <f>IF(D11="","-",+C31+1)</f>
        <v>2037</v>
      </c>
      <c r="D32" s="658">
        <f>IF(F31+SUM(E$17:E31)=D$10,F31,D$10-SUM(E$17:E31))</f>
        <v>47181.808574210219</v>
      </c>
      <c r="E32" s="481">
        <f t="shared" si="9"/>
        <v>1689.7071428571428</v>
      </c>
      <c r="F32" s="658">
        <f t="shared" si="10"/>
        <v>45492.101431353076</v>
      </c>
      <c r="G32" s="693">
        <f t="shared" si="11"/>
        <v>6685.3519886216018</v>
      </c>
      <c r="H32" s="655">
        <f t="shared" si="12"/>
        <v>6685.3519886216018</v>
      </c>
      <c r="I32" s="660">
        <f t="shared" si="4"/>
        <v>0</v>
      </c>
      <c r="J32" s="660"/>
      <c r="K32" s="132"/>
      <c r="L32" s="663">
        <f t="shared" si="0"/>
        <v>0</v>
      </c>
      <c r="M32" s="132"/>
      <c r="N32" s="663">
        <f t="shared" si="1"/>
        <v>0</v>
      </c>
      <c r="O32" s="663">
        <f t="shared" si="2"/>
        <v>0</v>
      </c>
      <c r="P32" s="630"/>
    </row>
    <row r="33" spans="2:16">
      <c r="B33" s="9" t="str">
        <f t="shared" si="8"/>
        <v/>
      </c>
      <c r="C33" s="656">
        <f>IF(D11="","-",+C32+1)</f>
        <v>2038</v>
      </c>
      <c r="D33" s="658">
        <f>IF(F32+SUM(E$17:E32)=D$10,F32,D$10-SUM(E$17:E32))</f>
        <v>45492.101431353076</v>
      </c>
      <c r="E33" s="481">
        <f t="shared" si="9"/>
        <v>1689.7071428571428</v>
      </c>
      <c r="F33" s="658">
        <f t="shared" si="10"/>
        <v>43802.394288495932</v>
      </c>
      <c r="G33" s="693">
        <f t="shared" si="11"/>
        <v>6503.1825565007612</v>
      </c>
      <c r="H33" s="655">
        <f t="shared" si="12"/>
        <v>6503.1825565007612</v>
      </c>
      <c r="I33" s="660">
        <f t="shared" si="4"/>
        <v>0</v>
      </c>
      <c r="J33" s="660"/>
      <c r="K33" s="132"/>
      <c r="L33" s="663">
        <f t="shared" si="0"/>
        <v>0</v>
      </c>
      <c r="M33" s="132"/>
      <c r="N33" s="663">
        <f t="shared" si="1"/>
        <v>0</v>
      </c>
      <c r="O33" s="663">
        <f t="shared" si="2"/>
        <v>0</v>
      </c>
      <c r="P33" s="630"/>
    </row>
    <row r="34" spans="2:16">
      <c r="B34" s="9" t="str">
        <f t="shared" si="8"/>
        <v/>
      </c>
      <c r="C34" s="656">
        <f>IF(D11="","-",+C33+1)</f>
        <v>2039</v>
      </c>
      <c r="D34" s="658">
        <f>IF(F33+SUM(E$17:E33)=D$10,F33,D$10-SUM(E$17:E33))</f>
        <v>43802.394288495932</v>
      </c>
      <c r="E34" s="481">
        <f t="shared" si="9"/>
        <v>1689.7071428571428</v>
      </c>
      <c r="F34" s="658">
        <f t="shared" si="10"/>
        <v>42112.687145638789</v>
      </c>
      <c r="G34" s="693">
        <f t="shared" si="11"/>
        <v>6321.0131243799196</v>
      </c>
      <c r="H34" s="655">
        <f t="shared" si="12"/>
        <v>6321.0131243799196</v>
      </c>
      <c r="I34" s="660">
        <f t="shared" si="4"/>
        <v>0</v>
      </c>
      <c r="J34" s="660"/>
      <c r="K34" s="132"/>
      <c r="L34" s="663">
        <f t="shared" si="0"/>
        <v>0</v>
      </c>
      <c r="M34" s="132"/>
      <c r="N34" s="663">
        <f t="shared" si="1"/>
        <v>0</v>
      </c>
      <c r="O34" s="663">
        <f t="shared" si="2"/>
        <v>0</v>
      </c>
      <c r="P34" s="630"/>
    </row>
    <row r="35" spans="2:16">
      <c r="B35" s="9" t="str">
        <f t="shared" si="8"/>
        <v/>
      </c>
      <c r="C35" s="656">
        <f>IF(D11="","-",+C34+1)</f>
        <v>2040</v>
      </c>
      <c r="D35" s="658">
        <f>IF(F34+SUM(E$17:E34)=D$10,F34,D$10-SUM(E$17:E34))</f>
        <v>42112.687145638789</v>
      </c>
      <c r="E35" s="481">
        <f t="shared" si="9"/>
        <v>1689.7071428571428</v>
      </c>
      <c r="F35" s="658">
        <f t="shared" si="10"/>
        <v>40422.980002781645</v>
      </c>
      <c r="G35" s="693">
        <f t="shared" si="11"/>
        <v>6138.8436922590799</v>
      </c>
      <c r="H35" s="655">
        <f t="shared" si="12"/>
        <v>6138.8436922590799</v>
      </c>
      <c r="I35" s="660">
        <f t="shared" si="4"/>
        <v>0</v>
      </c>
      <c r="J35" s="660"/>
      <c r="K35" s="132"/>
      <c r="L35" s="663">
        <f t="shared" si="0"/>
        <v>0</v>
      </c>
      <c r="M35" s="132"/>
      <c r="N35" s="663">
        <f t="shared" si="1"/>
        <v>0</v>
      </c>
      <c r="O35" s="663">
        <f t="shared" si="2"/>
        <v>0</v>
      </c>
      <c r="P35" s="630"/>
    </row>
    <row r="36" spans="2:16">
      <c r="B36" s="9" t="str">
        <f t="shared" si="8"/>
        <v/>
      </c>
      <c r="C36" s="656">
        <f>IF(D11="","-",+C35+1)</f>
        <v>2041</v>
      </c>
      <c r="D36" s="658">
        <f>IF(F35+SUM(E$17:E35)=D$10,F35,D$10-SUM(E$17:E35))</f>
        <v>40422.980002781645</v>
      </c>
      <c r="E36" s="481">
        <f t="shared" si="9"/>
        <v>1689.7071428571428</v>
      </c>
      <c r="F36" s="658">
        <f t="shared" si="10"/>
        <v>38733.272859924502</v>
      </c>
      <c r="G36" s="693">
        <f t="shared" si="11"/>
        <v>5956.6742601382384</v>
      </c>
      <c r="H36" s="655">
        <f t="shared" si="12"/>
        <v>5956.6742601382384</v>
      </c>
      <c r="I36" s="660">
        <f t="shared" si="4"/>
        <v>0</v>
      </c>
      <c r="J36" s="660"/>
      <c r="K36" s="132"/>
      <c r="L36" s="663">
        <f t="shared" si="0"/>
        <v>0</v>
      </c>
      <c r="M36" s="132"/>
      <c r="N36" s="663">
        <f t="shared" si="1"/>
        <v>0</v>
      </c>
      <c r="O36" s="663">
        <f t="shared" si="2"/>
        <v>0</v>
      </c>
      <c r="P36" s="630"/>
    </row>
    <row r="37" spans="2:16">
      <c r="B37" s="9" t="str">
        <f t="shared" si="8"/>
        <v/>
      </c>
      <c r="C37" s="656">
        <f>IF(D11="","-",+C36+1)</f>
        <v>2042</v>
      </c>
      <c r="D37" s="658">
        <f>IF(F36+SUM(E$17:E36)=D$10,F36,D$10-SUM(E$17:E36))</f>
        <v>38733.272859924502</v>
      </c>
      <c r="E37" s="481">
        <f t="shared" si="9"/>
        <v>1689.7071428571428</v>
      </c>
      <c r="F37" s="658">
        <f t="shared" si="10"/>
        <v>37043.565717067358</v>
      </c>
      <c r="G37" s="693">
        <f t="shared" si="11"/>
        <v>5774.5048280173987</v>
      </c>
      <c r="H37" s="655">
        <f t="shared" si="12"/>
        <v>5774.5048280173987</v>
      </c>
      <c r="I37" s="660">
        <f t="shared" si="4"/>
        <v>0</v>
      </c>
      <c r="J37" s="660"/>
      <c r="K37" s="132"/>
      <c r="L37" s="663">
        <f t="shared" si="0"/>
        <v>0</v>
      </c>
      <c r="M37" s="132"/>
      <c r="N37" s="663">
        <f t="shared" si="1"/>
        <v>0</v>
      </c>
      <c r="O37" s="663">
        <f t="shared" si="2"/>
        <v>0</v>
      </c>
      <c r="P37" s="630"/>
    </row>
    <row r="38" spans="2:16">
      <c r="B38" s="9" t="str">
        <f t="shared" si="8"/>
        <v/>
      </c>
      <c r="C38" s="656">
        <f>IF(D11="","-",+C37+1)</f>
        <v>2043</v>
      </c>
      <c r="D38" s="658">
        <f>IF(F37+SUM(E$17:E37)=D$10,F37,D$10-SUM(E$17:E37))</f>
        <v>37043.565717067358</v>
      </c>
      <c r="E38" s="481">
        <f t="shared" si="9"/>
        <v>1689.7071428571428</v>
      </c>
      <c r="F38" s="658">
        <f t="shared" si="10"/>
        <v>35353.858574210215</v>
      </c>
      <c r="G38" s="693">
        <f t="shared" si="11"/>
        <v>5592.3353958965572</v>
      </c>
      <c r="H38" s="655">
        <f t="shared" si="12"/>
        <v>5592.3353958965572</v>
      </c>
      <c r="I38" s="660">
        <f t="shared" si="4"/>
        <v>0</v>
      </c>
      <c r="J38" s="660"/>
      <c r="K38" s="132"/>
      <c r="L38" s="663">
        <f t="shared" si="0"/>
        <v>0</v>
      </c>
      <c r="M38" s="132"/>
      <c r="N38" s="663">
        <f t="shared" si="1"/>
        <v>0</v>
      </c>
      <c r="O38" s="663">
        <f t="shared" si="2"/>
        <v>0</v>
      </c>
      <c r="P38" s="630"/>
    </row>
    <row r="39" spans="2:16">
      <c r="B39" s="9" t="str">
        <f t="shared" si="8"/>
        <v/>
      </c>
      <c r="C39" s="656">
        <f>IF(D11="","-",+C38+1)</f>
        <v>2044</v>
      </c>
      <c r="D39" s="658">
        <f>IF(F38+SUM(E$17:E38)=D$10,F38,D$10-SUM(E$17:E38))</f>
        <v>35353.858574210215</v>
      </c>
      <c r="E39" s="481">
        <f t="shared" si="9"/>
        <v>1689.7071428571428</v>
      </c>
      <c r="F39" s="658">
        <f t="shared" si="10"/>
        <v>33664.151431353072</v>
      </c>
      <c r="G39" s="693">
        <f t="shared" si="11"/>
        <v>5410.1659637757175</v>
      </c>
      <c r="H39" s="655">
        <f t="shared" si="12"/>
        <v>5410.1659637757175</v>
      </c>
      <c r="I39" s="660">
        <f t="shared" si="4"/>
        <v>0</v>
      </c>
      <c r="J39" s="660"/>
      <c r="K39" s="132"/>
      <c r="L39" s="663">
        <f t="shared" si="0"/>
        <v>0</v>
      </c>
      <c r="M39" s="132"/>
      <c r="N39" s="663">
        <f t="shared" si="1"/>
        <v>0</v>
      </c>
      <c r="O39" s="663">
        <f t="shared" si="2"/>
        <v>0</v>
      </c>
      <c r="P39" s="630"/>
    </row>
    <row r="40" spans="2:16">
      <c r="B40" s="9" t="str">
        <f t="shared" si="8"/>
        <v/>
      </c>
      <c r="C40" s="656">
        <f>IF(D11="","-",+C39+1)</f>
        <v>2045</v>
      </c>
      <c r="D40" s="658">
        <f>IF(F39+SUM(E$17:E39)=D$10,F39,D$10-SUM(E$17:E39))</f>
        <v>33664.151431353072</v>
      </c>
      <c r="E40" s="481">
        <f t="shared" si="9"/>
        <v>1689.7071428571428</v>
      </c>
      <c r="F40" s="658">
        <f t="shared" si="10"/>
        <v>31974.444288495928</v>
      </c>
      <c r="G40" s="693">
        <f t="shared" si="11"/>
        <v>5227.996531654876</v>
      </c>
      <c r="H40" s="655">
        <f t="shared" si="12"/>
        <v>5227.996531654876</v>
      </c>
      <c r="I40" s="660">
        <f t="shared" si="4"/>
        <v>0</v>
      </c>
      <c r="J40" s="660"/>
      <c r="K40" s="132"/>
      <c r="L40" s="663">
        <f t="shared" si="0"/>
        <v>0</v>
      </c>
      <c r="M40" s="132"/>
      <c r="N40" s="663">
        <f t="shared" si="1"/>
        <v>0</v>
      </c>
      <c r="O40" s="663">
        <f t="shared" si="2"/>
        <v>0</v>
      </c>
      <c r="P40" s="630"/>
    </row>
    <row r="41" spans="2:16">
      <c r="B41" s="9" t="str">
        <f t="shared" si="8"/>
        <v/>
      </c>
      <c r="C41" s="656">
        <f>IF(D11="","-",+C40+1)</f>
        <v>2046</v>
      </c>
      <c r="D41" s="658">
        <f>IF(F40+SUM(E$17:E40)=D$10,F40,D$10-SUM(E$17:E40))</f>
        <v>31974.444288495928</v>
      </c>
      <c r="E41" s="481">
        <f t="shared" si="9"/>
        <v>1689.7071428571428</v>
      </c>
      <c r="F41" s="658">
        <f t="shared" si="10"/>
        <v>30284.737145638785</v>
      </c>
      <c r="G41" s="693">
        <f t="shared" si="11"/>
        <v>5045.8270995340363</v>
      </c>
      <c r="H41" s="655">
        <f t="shared" si="12"/>
        <v>5045.8270995340363</v>
      </c>
      <c r="I41" s="660">
        <f t="shared" si="4"/>
        <v>0</v>
      </c>
      <c r="J41" s="660"/>
      <c r="K41" s="132"/>
      <c r="L41" s="663">
        <f t="shared" si="0"/>
        <v>0</v>
      </c>
      <c r="M41" s="132"/>
      <c r="N41" s="663">
        <f t="shared" si="1"/>
        <v>0</v>
      </c>
      <c r="O41" s="663">
        <f t="shared" si="2"/>
        <v>0</v>
      </c>
      <c r="P41" s="630"/>
    </row>
    <row r="42" spans="2:16">
      <c r="B42" s="9" t="str">
        <f t="shared" si="8"/>
        <v/>
      </c>
      <c r="C42" s="656">
        <f>IF(D11="","-",+C41+1)</f>
        <v>2047</v>
      </c>
      <c r="D42" s="658">
        <f>IF(F41+SUM(E$17:E41)=D$10,F41,D$10-SUM(E$17:E41))</f>
        <v>30284.737145638785</v>
      </c>
      <c r="E42" s="481">
        <f t="shared" si="9"/>
        <v>1689.7071428571428</v>
      </c>
      <c r="F42" s="658">
        <f t="shared" si="10"/>
        <v>28595.030002781641</v>
      </c>
      <c r="G42" s="693">
        <f t="shared" si="11"/>
        <v>4863.6576674131957</v>
      </c>
      <c r="H42" s="655">
        <f t="shared" si="12"/>
        <v>4863.6576674131957</v>
      </c>
      <c r="I42" s="660">
        <f t="shared" si="4"/>
        <v>0</v>
      </c>
      <c r="J42" s="660"/>
      <c r="K42" s="132"/>
      <c r="L42" s="663">
        <f t="shared" si="0"/>
        <v>0</v>
      </c>
      <c r="M42" s="132"/>
      <c r="N42" s="663">
        <f t="shared" si="1"/>
        <v>0</v>
      </c>
      <c r="O42" s="663">
        <f t="shared" si="2"/>
        <v>0</v>
      </c>
      <c r="P42" s="630"/>
    </row>
    <row r="43" spans="2:16">
      <c r="B43" s="9" t="str">
        <f t="shared" si="8"/>
        <v/>
      </c>
      <c r="C43" s="656">
        <f>IF(D11="","-",+C42+1)</f>
        <v>2048</v>
      </c>
      <c r="D43" s="658">
        <f>IF(F42+SUM(E$17:E42)=D$10,F42,D$10-SUM(E$17:E42))</f>
        <v>28595.030002781641</v>
      </c>
      <c r="E43" s="481">
        <f t="shared" si="9"/>
        <v>1689.7071428571428</v>
      </c>
      <c r="F43" s="658">
        <f t="shared" si="10"/>
        <v>26905.322859924498</v>
      </c>
      <c r="G43" s="693">
        <f t="shared" si="11"/>
        <v>4681.4882352923551</v>
      </c>
      <c r="H43" s="655">
        <f t="shared" si="12"/>
        <v>4681.4882352923551</v>
      </c>
      <c r="I43" s="660">
        <f t="shared" si="4"/>
        <v>0</v>
      </c>
      <c r="J43" s="660"/>
      <c r="K43" s="132"/>
      <c r="L43" s="663">
        <f t="shared" si="0"/>
        <v>0</v>
      </c>
      <c r="M43" s="132"/>
      <c r="N43" s="663">
        <f t="shared" si="1"/>
        <v>0</v>
      </c>
      <c r="O43" s="663">
        <f t="shared" si="2"/>
        <v>0</v>
      </c>
      <c r="P43" s="630"/>
    </row>
    <row r="44" spans="2:16">
      <c r="B44" s="9" t="str">
        <f t="shared" si="8"/>
        <v/>
      </c>
      <c r="C44" s="656">
        <f>IF(D11="","-",+C43+1)</f>
        <v>2049</v>
      </c>
      <c r="D44" s="658">
        <f>IF(F43+SUM(E$17:E43)=D$10,F43,D$10-SUM(E$17:E43))</f>
        <v>26905.322859924498</v>
      </c>
      <c r="E44" s="481">
        <f t="shared" si="9"/>
        <v>1689.7071428571428</v>
      </c>
      <c r="F44" s="658">
        <f t="shared" si="10"/>
        <v>25215.615717067354</v>
      </c>
      <c r="G44" s="693">
        <f t="shared" si="11"/>
        <v>4499.3188031715144</v>
      </c>
      <c r="H44" s="655">
        <f t="shared" si="12"/>
        <v>4499.3188031715144</v>
      </c>
      <c r="I44" s="660">
        <f t="shared" si="4"/>
        <v>0</v>
      </c>
      <c r="J44" s="660"/>
      <c r="K44" s="132"/>
      <c r="L44" s="663">
        <f t="shared" si="0"/>
        <v>0</v>
      </c>
      <c r="M44" s="132"/>
      <c r="N44" s="663">
        <f t="shared" si="1"/>
        <v>0</v>
      </c>
      <c r="O44" s="663">
        <f t="shared" si="2"/>
        <v>0</v>
      </c>
      <c r="P44" s="630"/>
    </row>
    <row r="45" spans="2:16">
      <c r="B45" s="9" t="str">
        <f t="shared" si="8"/>
        <v/>
      </c>
      <c r="C45" s="656">
        <f>IF(D11="","-",+C44+1)</f>
        <v>2050</v>
      </c>
      <c r="D45" s="658">
        <f>IF(F44+SUM(E$17:E44)=D$10,F44,D$10-SUM(E$17:E44))</f>
        <v>25215.615717067354</v>
      </c>
      <c r="E45" s="481">
        <f t="shared" si="9"/>
        <v>1689.7071428571428</v>
      </c>
      <c r="F45" s="658">
        <f t="shared" si="10"/>
        <v>23525.908574210211</v>
      </c>
      <c r="G45" s="693">
        <f t="shared" si="11"/>
        <v>4317.1493710506729</v>
      </c>
      <c r="H45" s="655">
        <f t="shared" si="12"/>
        <v>4317.1493710506729</v>
      </c>
      <c r="I45" s="660">
        <f t="shared" si="4"/>
        <v>0</v>
      </c>
      <c r="J45" s="660"/>
      <c r="K45" s="132"/>
      <c r="L45" s="663">
        <f t="shared" si="0"/>
        <v>0</v>
      </c>
      <c r="M45" s="132"/>
      <c r="N45" s="663">
        <f t="shared" si="1"/>
        <v>0</v>
      </c>
      <c r="O45" s="663">
        <f t="shared" si="2"/>
        <v>0</v>
      </c>
      <c r="P45" s="630"/>
    </row>
    <row r="46" spans="2:16">
      <c r="B46" s="9" t="str">
        <f t="shared" si="8"/>
        <v/>
      </c>
      <c r="C46" s="656">
        <f>IF(D11="","-",+C45+1)</f>
        <v>2051</v>
      </c>
      <c r="D46" s="658">
        <f>IF(F45+SUM(E$17:E45)=D$10,F45,D$10-SUM(E$17:E45))</f>
        <v>23525.908574210211</v>
      </c>
      <c r="E46" s="481">
        <f t="shared" si="9"/>
        <v>1689.7071428571428</v>
      </c>
      <c r="F46" s="658">
        <f t="shared" si="10"/>
        <v>21836.201431353067</v>
      </c>
      <c r="G46" s="693">
        <f t="shared" si="11"/>
        <v>4134.9799389298323</v>
      </c>
      <c r="H46" s="655">
        <f t="shared" si="12"/>
        <v>4134.9799389298323</v>
      </c>
      <c r="I46" s="660">
        <f t="shared" si="4"/>
        <v>0</v>
      </c>
      <c r="J46" s="660"/>
      <c r="K46" s="132"/>
      <c r="L46" s="663">
        <f t="shared" si="0"/>
        <v>0</v>
      </c>
      <c r="M46" s="132"/>
      <c r="N46" s="663">
        <f t="shared" si="1"/>
        <v>0</v>
      </c>
      <c r="O46" s="663">
        <f t="shared" si="2"/>
        <v>0</v>
      </c>
      <c r="P46" s="630"/>
    </row>
    <row r="47" spans="2:16">
      <c r="B47" s="9" t="str">
        <f t="shared" si="8"/>
        <v/>
      </c>
      <c r="C47" s="656">
        <f>IF(D11="","-",+C46+1)</f>
        <v>2052</v>
      </c>
      <c r="D47" s="658">
        <f>IF(F46+SUM(E$17:E46)=D$10,F46,D$10-SUM(E$17:E46))</f>
        <v>21836.201431353067</v>
      </c>
      <c r="E47" s="481">
        <f t="shared" si="9"/>
        <v>1689.7071428571428</v>
      </c>
      <c r="F47" s="658">
        <f t="shared" si="10"/>
        <v>20146.494288495924</v>
      </c>
      <c r="G47" s="693">
        <f t="shared" si="11"/>
        <v>3952.8105068089917</v>
      </c>
      <c r="H47" s="655">
        <f t="shared" si="12"/>
        <v>3952.8105068089917</v>
      </c>
      <c r="I47" s="660">
        <f t="shared" si="4"/>
        <v>0</v>
      </c>
      <c r="J47" s="660"/>
      <c r="K47" s="132"/>
      <c r="L47" s="663">
        <f t="shared" si="0"/>
        <v>0</v>
      </c>
      <c r="M47" s="132"/>
      <c r="N47" s="663">
        <f t="shared" si="1"/>
        <v>0</v>
      </c>
      <c r="O47" s="663">
        <f t="shared" si="2"/>
        <v>0</v>
      </c>
      <c r="P47" s="630"/>
    </row>
    <row r="48" spans="2:16">
      <c r="B48" s="9" t="str">
        <f t="shared" si="8"/>
        <v/>
      </c>
      <c r="C48" s="656">
        <f>IF(D11="","-",+C47+1)</f>
        <v>2053</v>
      </c>
      <c r="D48" s="658">
        <f>IF(F47+SUM(E$17:E47)=D$10,F47,D$10-SUM(E$17:E47))</f>
        <v>20146.494288495924</v>
      </c>
      <c r="E48" s="481">
        <f t="shared" si="9"/>
        <v>1689.7071428571428</v>
      </c>
      <c r="F48" s="658">
        <f t="shared" si="10"/>
        <v>18456.78714563878</v>
      </c>
      <c r="G48" s="693">
        <f t="shared" si="11"/>
        <v>3770.6410746881511</v>
      </c>
      <c r="H48" s="655">
        <f t="shared" si="12"/>
        <v>3770.6410746881511</v>
      </c>
      <c r="I48" s="660">
        <f t="shared" si="4"/>
        <v>0</v>
      </c>
      <c r="J48" s="660"/>
      <c r="K48" s="132"/>
      <c r="L48" s="663">
        <f t="shared" si="0"/>
        <v>0</v>
      </c>
      <c r="M48" s="132"/>
      <c r="N48" s="663">
        <f t="shared" si="1"/>
        <v>0</v>
      </c>
      <c r="O48" s="663">
        <f t="shared" si="2"/>
        <v>0</v>
      </c>
      <c r="P48" s="630"/>
    </row>
    <row r="49" spans="2:16">
      <c r="B49" s="9" t="str">
        <f t="shared" si="8"/>
        <v/>
      </c>
      <c r="C49" s="656">
        <f>IF(D11="","-",+C48+1)</f>
        <v>2054</v>
      </c>
      <c r="D49" s="658">
        <f>IF(F48+SUM(E$17:E48)=D$10,F48,D$10-SUM(E$17:E48))</f>
        <v>18456.78714563878</v>
      </c>
      <c r="E49" s="481">
        <f t="shared" si="9"/>
        <v>1689.7071428571428</v>
      </c>
      <c r="F49" s="658">
        <f t="shared" si="10"/>
        <v>16767.080002781637</v>
      </c>
      <c r="G49" s="693">
        <f t="shared" si="11"/>
        <v>3588.4716425673105</v>
      </c>
      <c r="H49" s="655">
        <f t="shared" si="12"/>
        <v>3588.4716425673105</v>
      </c>
      <c r="I49" s="660">
        <f t="shared" si="4"/>
        <v>0</v>
      </c>
      <c r="J49" s="660"/>
      <c r="K49" s="132"/>
      <c r="L49" s="663">
        <f t="shared" si="0"/>
        <v>0</v>
      </c>
      <c r="M49" s="132"/>
      <c r="N49" s="663">
        <f t="shared" si="1"/>
        <v>0</v>
      </c>
      <c r="O49" s="663">
        <f t="shared" si="2"/>
        <v>0</v>
      </c>
      <c r="P49" s="630"/>
    </row>
    <row r="50" spans="2:16">
      <c r="B50" s="9" t="str">
        <f t="shared" si="8"/>
        <v/>
      </c>
      <c r="C50" s="656">
        <f>IF(D11="","-",+C49+1)</f>
        <v>2055</v>
      </c>
      <c r="D50" s="658">
        <f>IF(F49+SUM(E$17:E49)=D$10,F49,D$10-SUM(E$17:E49))</f>
        <v>16767.080002781637</v>
      </c>
      <c r="E50" s="481">
        <f t="shared" si="9"/>
        <v>1689.7071428571428</v>
      </c>
      <c r="F50" s="658">
        <f t="shared" si="10"/>
        <v>15077.372859924493</v>
      </c>
      <c r="G50" s="693">
        <f t="shared" si="11"/>
        <v>3406.3022104464699</v>
      </c>
      <c r="H50" s="655">
        <f t="shared" si="12"/>
        <v>3406.3022104464699</v>
      </c>
      <c r="I50" s="660">
        <f t="shared" si="4"/>
        <v>0</v>
      </c>
      <c r="J50" s="660"/>
      <c r="K50" s="132"/>
      <c r="L50" s="663">
        <f t="shared" si="0"/>
        <v>0</v>
      </c>
      <c r="M50" s="132"/>
      <c r="N50" s="663">
        <f t="shared" si="1"/>
        <v>0</v>
      </c>
      <c r="O50" s="663">
        <f t="shared" si="2"/>
        <v>0</v>
      </c>
      <c r="P50" s="630"/>
    </row>
    <row r="51" spans="2:16">
      <c r="B51" s="9" t="str">
        <f t="shared" si="8"/>
        <v/>
      </c>
      <c r="C51" s="656">
        <f>IF(D11="","-",+C50+1)</f>
        <v>2056</v>
      </c>
      <c r="D51" s="658">
        <f>IF(F50+SUM(E$17:E50)=D$10,F50,D$10-SUM(E$17:E50))</f>
        <v>15077.372859924493</v>
      </c>
      <c r="E51" s="481">
        <f t="shared" si="9"/>
        <v>1689.7071428571428</v>
      </c>
      <c r="F51" s="658">
        <f t="shared" si="10"/>
        <v>13387.66571706735</v>
      </c>
      <c r="G51" s="693">
        <f t="shared" si="11"/>
        <v>3224.1327783256293</v>
      </c>
      <c r="H51" s="655">
        <f t="shared" si="12"/>
        <v>3224.1327783256293</v>
      </c>
      <c r="I51" s="660">
        <f t="shared" si="4"/>
        <v>0</v>
      </c>
      <c r="J51" s="660"/>
      <c r="K51" s="132"/>
      <c r="L51" s="663">
        <f t="shared" si="0"/>
        <v>0</v>
      </c>
      <c r="M51" s="132"/>
      <c r="N51" s="663">
        <f t="shared" si="1"/>
        <v>0</v>
      </c>
      <c r="O51" s="663">
        <f t="shared" si="2"/>
        <v>0</v>
      </c>
      <c r="P51" s="630"/>
    </row>
    <row r="52" spans="2:16">
      <c r="B52" s="9" t="str">
        <f t="shared" si="8"/>
        <v/>
      </c>
      <c r="C52" s="656">
        <f>IF(D11="","-",+C51+1)</f>
        <v>2057</v>
      </c>
      <c r="D52" s="658">
        <f>IF(F51+SUM(E$17:E51)=D$10,F51,D$10-SUM(E$17:E51))</f>
        <v>13387.66571706735</v>
      </c>
      <c r="E52" s="481">
        <f t="shared" si="9"/>
        <v>1689.7071428571428</v>
      </c>
      <c r="F52" s="658">
        <f t="shared" si="10"/>
        <v>11697.958574210206</v>
      </c>
      <c r="G52" s="693">
        <f t="shared" si="11"/>
        <v>3041.9633462047886</v>
      </c>
      <c r="H52" s="655">
        <f t="shared" si="12"/>
        <v>3041.9633462047886</v>
      </c>
      <c r="I52" s="660">
        <f t="shared" si="4"/>
        <v>0</v>
      </c>
      <c r="J52" s="660"/>
      <c r="K52" s="132"/>
      <c r="L52" s="663">
        <f t="shared" si="0"/>
        <v>0</v>
      </c>
      <c r="M52" s="132"/>
      <c r="N52" s="663">
        <f t="shared" si="1"/>
        <v>0</v>
      </c>
      <c r="O52" s="663">
        <f t="shared" si="2"/>
        <v>0</v>
      </c>
      <c r="P52" s="630"/>
    </row>
    <row r="53" spans="2:16">
      <c r="B53" s="9" t="str">
        <f t="shared" si="8"/>
        <v/>
      </c>
      <c r="C53" s="656">
        <f>IF(D11="","-",+C52+1)</f>
        <v>2058</v>
      </c>
      <c r="D53" s="658">
        <f>IF(F52+SUM(E$17:E52)=D$10,F52,D$10-SUM(E$17:E52))</f>
        <v>11697.958574210206</v>
      </c>
      <c r="E53" s="481">
        <f t="shared" si="9"/>
        <v>1689.7071428571428</v>
      </c>
      <c r="F53" s="658">
        <f t="shared" si="10"/>
        <v>10008.251431353063</v>
      </c>
      <c r="G53" s="693">
        <f t="shared" si="11"/>
        <v>2859.793914083948</v>
      </c>
      <c r="H53" s="655">
        <f t="shared" si="12"/>
        <v>2859.793914083948</v>
      </c>
      <c r="I53" s="660">
        <f t="shared" si="4"/>
        <v>0</v>
      </c>
      <c r="J53" s="660"/>
      <c r="K53" s="132"/>
      <c r="L53" s="663">
        <f t="shared" si="0"/>
        <v>0</v>
      </c>
      <c r="M53" s="132"/>
      <c r="N53" s="663">
        <f t="shared" si="1"/>
        <v>0</v>
      </c>
      <c r="O53" s="663">
        <f t="shared" si="2"/>
        <v>0</v>
      </c>
      <c r="P53" s="630"/>
    </row>
    <row r="54" spans="2:16">
      <c r="B54" s="9" t="str">
        <f t="shared" si="8"/>
        <v/>
      </c>
      <c r="C54" s="656">
        <f>IF(D11="","-",+C53+1)</f>
        <v>2059</v>
      </c>
      <c r="D54" s="658">
        <f>IF(F53+SUM(E$17:E53)=D$10,F53,D$10-SUM(E$17:E53))</f>
        <v>10008.251431353063</v>
      </c>
      <c r="E54" s="481">
        <f t="shared" si="9"/>
        <v>1689.7071428571428</v>
      </c>
      <c r="F54" s="658">
        <f t="shared" si="10"/>
        <v>8318.5442884959193</v>
      </c>
      <c r="G54" s="693">
        <f t="shared" si="11"/>
        <v>2677.6244819631074</v>
      </c>
      <c r="H54" s="655">
        <f t="shared" si="12"/>
        <v>2677.6244819631074</v>
      </c>
      <c r="I54" s="660">
        <f t="shared" si="4"/>
        <v>0</v>
      </c>
      <c r="J54" s="660"/>
      <c r="K54" s="132"/>
      <c r="L54" s="663">
        <f t="shared" si="0"/>
        <v>0</v>
      </c>
      <c r="M54" s="132"/>
      <c r="N54" s="663">
        <f t="shared" si="1"/>
        <v>0</v>
      </c>
      <c r="O54" s="663">
        <f t="shared" si="2"/>
        <v>0</v>
      </c>
      <c r="P54" s="630"/>
    </row>
    <row r="55" spans="2:16">
      <c r="B55" s="9" t="str">
        <f t="shared" si="8"/>
        <v/>
      </c>
      <c r="C55" s="656">
        <f>IF(D11="","-",+C54+1)</f>
        <v>2060</v>
      </c>
      <c r="D55" s="658">
        <f>IF(F54+SUM(E$17:E54)=D$10,F54,D$10-SUM(E$17:E54))</f>
        <v>8318.5442884959193</v>
      </c>
      <c r="E55" s="481">
        <f t="shared" si="9"/>
        <v>1689.7071428571428</v>
      </c>
      <c r="F55" s="658">
        <f t="shared" si="10"/>
        <v>6628.8371456387767</v>
      </c>
      <c r="G55" s="693">
        <f t="shared" si="11"/>
        <v>2495.4550498422668</v>
      </c>
      <c r="H55" s="655">
        <f t="shared" si="12"/>
        <v>2495.4550498422668</v>
      </c>
      <c r="I55" s="660">
        <f t="shared" si="4"/>
        <v>0</v>
      </c>
      <c r="J55" s="660"/>
      <c r="K55" s="132"/>
      <c r="L55" s="663">
        <f t="shared" si="0"/>
        <v>0</v>
      </c>
      <c r="M55" s="132"/>
      <c r="N55" s="663">
        <f t="shared" si="1"/>
        <v>0</v>
      </c>
      <c r="O55" s="663">
        <f t="shared" si="2"/>
        <v>0</v>
      </c>
      <c r="P55" s="630"/>
    </row>
    <row r="56" spans="2:16">
      <c r="B56" s="9" t="str">
        <f t="shared" si="8"/>
        <v/>
      </c>
      <c r="C56" s="656">
        <f>IF(D11="","-",+C55+1)</f>
        <v>2061</v>
      </c>
      <c r="D56" s="658">
        <f>IF(F55+SUM(E$17:E55)=D$10,F55,D$10-SUM(E$17:E55))</f>
        <v>6628.8371456387767</v>
      </c>
      <c r="E56" s="481">
        <f t="shared" si="9"/>
        <v>1689.7071428571428</v>
      </c>
      <c r="F56" s="658">
        <f t="shared" si="10"/>
        <v>4939.1300027816342</v>
      </c>
      <c r="G56" s="693">
        <f t="shared" si="11"/>
        <v>2313.2856177214262</v>
      </c>
      <c r="H56" s="655">
        <f t="shared" si="12"/>
        <v>2313.2856177214262</v>
      </c>
      <c r="I56" s="660">
        <f t="shared" si="4"/>
        <v>0</v>
      </c>
      <c r="J56" s="660"/>
      <c r="K56" s="132"/>
      <c r="L56" s="663">
        <f t="shared" si="0"/>
        <v>0</v>
      </c>
      <c r="M56" s="132"/>
      <c r="N56" s="663">
        <f t="shared" si="1"/>
        <v>0</v>
      </c>
      <c r="O56" s="663">
        <f t="shared" si="2"/>
        <v>0</v>
      </c>
      <c r="P56" s="630"/>
    </row>
    <row r="57" spans="2:16">
      <c r="B57" s="9" t="str">
        <f t="shared" si="8"/>
        <v/>
      </c>
      <c r="C57" s="656">
        <f>IF(D11="","-",+C56+1)</f>
        <v>2062</v>
      </c>
      <c r="D57" s="658">
        <f>IF(F56+SUM(E$17:E56)=D$10,F56,D$10-SUM(E$17:E56))</f>
        <v>4939.1300027816342</v>
      </c>
      <c r="E57" s="481">
        <f t="shared" si="9"/>
        <v>1689.7071428571428</v>
      </c>
      <c r="F57" s="658">
        <f t="shared" si="10"/>
        <v>3249.4228599244916</v>
      </c>
      <c r="G57" s="693">
        <f t="shared" si="11"/>
        <v>2131.1161856005856</v>
      </c>
      <c r="H57" s="655">
        <f t="shared" si="12"/>
        <v>2131.1161856005856</v>
      </c>
      <c r="I57" s="660">
        <f t="shared" si="4"/>
        <v>0</v>
      </c>
      <c r="J57" s="660"/>
      <c r="K57" s="132"/>
      <c r="L57" s="663">
        <f t="shared" si="0"/>
        <v>0</v>
      </c>
      <c r="M57" s="132"/>
      <c r="N57" s="663">
        <f t="shared" si="1"/>
        <v>0</v>
      </c>
      <c r="O57" s="663">
        <f t="shared" si="2"/>
        <v>0</v>
      </c>
      <c r="P57" s="630"/>
    </row>
    <row r="58" spans="2:16">
      <c r="B58" s="9" t="str">
        <f t="shared" si="8"/>
        <v/>
      </c>
      <c r="C58" s="656">
        <f>IF(D11="","-",+C57+1)</f>
        <v>2063</v>
      </c>
      <c r="D58" s="658">
        <f>IF(F57+SUM(E$17:E57)=D$10,F57,D$10-SUM(E$17:E57))</f>
        <v>3249.4228599244916</v>
      </c>
      <c r="E58" s="481">
        <f t="shared" si="9"/>
        <v>1689.7071428571428</v>
      </c>
      <c r="F58" s="658">
        <f t="shared" si="10"/>
        <v>1559.7157170673488</v>
      </c>
      <c r="G58" s="693">
        <f t="shared" si="11"/>
        <v>1948.946753479745</v>
      </c>
      <c r="H58" s="655">
        <f t="shared" si="12"/>
        <v>1948.946753479745</v>
      </c>
      <c r="I58" s="660">
        <f t="shared" si="4"/>
        <v>0</v>
      </c>
      <c r="J58" s="660"/>
      <c r="K58" s="132"/>
      <c r="L58" s="663">
        <f t="shared" si="0"/>
        <v>0</v>
      </c>
      <c r="M58" s="132"/>
      <c r="N58" s="663">
        <f t="shared" si="1"/>
        <v>0</v>
      </c>
      <c r="O58" s="663">
        <f t="shared" si="2"/>
        <v>0</v>
      </c>
      <c r="P58" s="630"/>
    </row>
    <row r="59" spans="2:16">
      <c r="B59" s="9" t="str">
        <f t="shared" si="8"/>
        <v/>
      </c>
      <c r="C59" s="656">
        <f>IF(D11="","-",+C58+1)</f>
        <v>2064</v>
      </c>
      <c r="D59" s="658">
        <f>IF(F58+SUM(E$17:E58)=D$10,F58,D$10-SUM(E$17:E58))</f>
        <v>1559.7157170673488</v>
      </c>
      <c r="E59" s="481">
        <f t="shared" si="9"/>
        <v>1559.7157170673488</v>
      </c>
      <c r="F59" s="658">
        <f t="shared" si="10"/>
        <v>0</v>
      </c>
      <c r="G59" s="693">
        <f t="shared" si="11"/>
        <v>1643.7931643484399</v>
      </c>
      <c r="H59" s="655">
        <f t="shared" si="12"/>
        <v>1643.7931643484399</v>
      </c>
      <c r="I59" s="660">
        <f t="shared" si="4"/>
        <v>0</v>
      </c>
      <c r="J59" s="660"/>
      <c r="K59" s="132"/>
      <c r="L59" s="663">
        <f t="shared" si="0"/>
        <v>0</v>
      </c>
      <c r="M59" s="132"/>
      <c r="N59" s="663">
        <f t="shared" si="1"/>
        <v>0</v>
      </c>
      <c r="O59" s="663">
        <f t="shared" si="2"/>
        <v>0</v>
      </c>
      <c r="P59" s="630"/>
    </row>
    <row r="60" spans="2:16">
      <c r="B60" s="9" t="str">
        <f t="shared" si="8"/>
        <v/>
      </c>
      <c r="C60" s="656">
        <f>IF(D11="","-",+C59+1)</f>
        <v>2065</v>
      </c>
      <c r="D60" s="658">
        <f>IF(F59+SUM(E$17:E59)=D$10,F59,D$10-SUM(E$17:E59))</f>
        <v>0</v>
      </c>
      <c r="E60" s="481">
        <f t="shared" si="9"/>
        <v>0</v>
      </c>
      <c r="F60" s="658">
        <f t="shared" si="10"/>
        <v>0</v>
      </c>
      <c r="G60" s="693">
        <f t="shared" si="11"/>
        <v>0</v>
      </c>
      <c r="H60" s="655">
        <f t="shared" si="12"/>
        <v>0</v>
      </c>
      <c r="I60" s="660">
        <f t="shared" si="4"/>
        <v>0</v>
      </c>
      <c r="J60" s="660"/>
      <c r="K60" s="132"/>
      <c r="L60" s="663">
        <f t="shared" si="0"/>
        <v>0</v>
      </c>
      <c r="M60" s="132"/>
      <c r="N60" s="663">
        <f t="shared" si="1"/>
        <v>0</v>
      </c>
      <c r="O60" s="663">
        <f t="shared" si="2"/>
        <v>0</v>
      </c>
      <c r="P60" s="630"/>
    </row>
    <row r="61" spans="2:16">
      <c r="B61" s="9" t="str">
        <f t="shared" si="8"/>
        <v/>
      </c>
      <c r="C61" s="656">
        <f>IF(D11="","-",+C60+1)</f>
        <v>2066</v>
      </c>
      <c r="D61" s="658">
        <f>IF(F60+SUM(E$17:E60)=D$10,F60,D$10-SUM(E$17:E60))</f>
        <v>0</v>
      </c>
      <c r="E61" s="481">
        <f t="shared" si="9"/>
        <v>0</v>
      </c>
      <c r="F61" s="658">
        <f t="shared" si="10"/>
        <v>0</v>
      </c>
      <c r="G61" s="693">
        <f t="shared" si="11"/>
        <v>0</v>
      </c>
      <c r="H61" s="655">
        <f t="shared" si="12"/>
        <v>0</v>
      </c>
      <c r="I61" s="660">
        <f t="shared" si="4"/>
        <v>0</v>
      </c>
      <c r="J61" s="660"/>
      <c r="K61" s="132"/>
      <c r="L61" s="663">
        <f t="shared" si="0"/>
        <v>0</v>
      </c>
      <c r="M61" s="132"/>
      <c r="N61" s="663">
        <f t="shared" si="1"/>
        <v>0</v>
      </c>
      <c r="O61" s="663">
        <f t="shared" si="2"/>
        <v>0</v>
      </c>
      <c r="P61" s="630"/>
    </row>
    <row r="62" spans="2:16">
      <c r="B62" s="9" t="str">
        <f t="shared" si="8"/>
        <v/>
      </c>
      <c r="C62" s="656">
        <f>IF(D11="","-",+C61+1)</f>
        <v>2067</v>
      </c>
      <c r="D62" s="658">
        <f>IF(F61+SUM(E$17:E61)=D$10,F61,D$10-SUM(E$17:E61))</f>
        <v>0</v>
      </c>
      <c r="E62" s="481">
        <f t="shared" si="9"/>
        <v>0</v>
      </c>
      <c r="F62" s="658">
        <f t="shared" si="10"/>
        <v>0</v>
      </c>
      <c r="G62" s="693">
        <f t="shared" si="11"/>
        <v>0</v>
      </c>
      <c r="H62" s="655">
        <f t="shared" si="12"/>
        <v>0</v>
      </c>
      <c r="I62" s="660">
        <f t="shared" si="4"/>
        <v>0</v>
      </c>
      <c r="J62" s="660"/>
      <c r="K62" s="132"/>
      <c r="L62" s="663">
        <f t="shared" si="0"/>
        <v>0</v>
      </c>
      <c r="M62" s="132"/>
      <c r="N62" s="663">
        <f t="shared" si="1"/>
        <v>0</v>
      </c>
      <c r="O62" s="663">
        <f t="shared" si="2"/>
        <v>0</v>
      </c>
      <c r="P62" s="630"/>
    </row>
    <row r="63" spans="2:16">
      <c r="B63" s="9" t="str">
        <f t="shared" si="8"/>
        <v/>
      </c>
      <c r="C63" s="656">
        <f>IF(D11="","-",+C62+1)</f>
        <v>2068</v>
      </c>
      <c r="D63" s="658">
        <f>IF(F62+SUM(E$17:E62)=D$10,F62,D$10-SUM(E$17:E62))</f>
        <v>0</v>
      </c>
      <c r="E63" s="481">
        <f t="shared" si="9"/>
        <v>0</v>
      </c>
      <c r="F63" s="658">
        <f t="shared" si="10"/>
        <v>0</v>
      </c>
      <c r="G63" s="693">
        <f t="shared" si="11"/>
        <v>0</v>
      </c>
      <c r="H63" s="655">
        <f t="shared" si="12"/>
        <v>0</v>
      </c>
      <c r="I63" s="660">
        <f t="shared" si="4"/>
        <v>0</v>
      </c>
      <c r="J63" s="660"/>
      <c r="K63" s="132"/>
      <c r="L63" s="663">
        <f t="shared" si="0"/>
        <v>0</v>
      </c>
      <c r="M63" s="132"/>
      <c r="N63" s="663">
        <f t="shared" si="1"/>
        <v>0</v>
      </c>
      <c r="O63" s="663">
        <f t="shared" si="2"/>
        <v>0</v>
      </c>
      <c r="P63" s="630"/>
    </row>
    <row r="64" spans="2:16">
      <c r="B64" s="9" t="str">
        <f t="shared" si="8"/>
        <v/>
      </c>
      <c r="C64" s="656">
        <f>IF(D11="","-",+C63+1)</f>
        <v>2069</v>
      </c>
      <c r="D64" s="658">
        <f>IF(F63+SUM(E$17:E63)=D$10,F63,D$10-SUM(E$17:E63))</f>
        <v>0</v>
      </c>
      <c r="E64" s="481">
        <f t="shared" si="9"/>
        <v>0</v>
      </c>
      <c r="F64" s="658">
        <f t="shared" si="10"/>
        <v>0</v>
      </c>
      <c r="G64" s="693">
        <f t="shared" si="11"/>
        <v>0</v>
      </c>
      <c r="H64" s="655">
        <f t="shared" si="12"/>
        <v>0</v>
      </c>
      <c r="I64" s="660">
        <f t="shared" si="4"/>
        <v>0</v>
      </c>
      <c r="J64" s="660"/>
      <c r="K64" s="132"/>
      <c r="L64" s="663">
        <f t="shared" si="0"/>
        <v>0</v>
      </c>
      <c r="M64" s="132"/>
      <c r="N64" s="663">
        <f t="shared" si="1"/>
        <v>0</v>
      </c>
      <c r="O64" s="663">
        <f t="shared" si="2"/>
        <v>0</v>
      </c>
      <c r="P64" s="630"/>
    </row>
    <row r="65" spans="2:16">
      <c r="B65" s="9" t="str">
        <f t="shared" si="8"/>
        <v/>
      </c>
      <c r="C65" s="656">
        <f>IF(D11="","-",+C64+1)</f>
        <v>2070</v>
      </c>
      <c r="D65" s="658">
        <f>IF(F64+SUM(E$17:E64)=D$10,F64,D$10-SUM(E$17:E64))</f>
        <v>0</v>
      </c>
      <c r="E65" s="481">
        <f t="shared" si="9"/>
        <v>0</v>
      </c>
      <c r="F65" s="658">
        <f t="shared" si="10"/>
        <v>0</v>
      </c>
      <c r="G65" s="693">
        <f t="shared" si="11"/>
        <v>0</v>
      </c>
      <c r="H65" s="655">
        <f t="shared" si="12"/>
        <v>0</v>
      </c>
      <c r="I65" s="660">
        <f t="shared" si="4"/>
        <v>0</v>
      </c>
      <c r="J65" s="660"/>
      <c r="K65" s="132"/>
      <c r="L65" s="663">
        <f t="shared" si="0"/>
        <v>0</v>
      </c>
      <c r="M65" s="132"/>
      <c r="N65" s="663">
        <f t="shared" si="1"/>
        <v>0</v>
      </c>
      <c r="O65" s="663">
        <f t="shared" si="2"/>
        <v>0</v>
      </c>
      <c r="P65" s="630"/>
    </row>
    <row r="66" spans="2:16">
      <c r="B66" s="9" t="str">
        <f t="shared" si="8"/>
        <v/>
      </c>
      <c r="C66" s="656">
        <f>IF(D11="","-",+C65+1)</f>
        <v>2071</v>
      </c>
      <c r="D66" s="658">
        <f>IF(F65+SUM(E$17:E65)=D$10,F65,D$10-SUM(E$17:E65))</f>
        <v>0</v>
      </c>
      <c r="E66" s="481">
        <f t="shared" si="9"/>
        <v>0</v>
      </c>
      <c r="F66" s="658">
        <f t="shared" si="10"/>
        <v>0</v>
      </c>
      <c r="G66" s="693">
        <f t="shared" si="11"/>
        <v>0</v>
      </c>
      <c r="H66" s="655">
        <f t="shared" si="12"/>
        <v>0</v>
      </c>
      <c r="I66" s="660">
        <f t="shared" si="4"/>
        <v>0</v>
      </c>
      <c r="J66" s="660"/>
      <c r="K66" s="132"/>
      <c r="L66" s="663">
        <f t="shared" si="0"/>
        <v>0</v>
      </c>
      <c r="M66" s="132"/>
      <c r="N66" s="663">
        <f t="shared" si="1"/>
        <v>0</v>
      </c>
      <c r="O66" s="663">
        <f t="shared" si="2"/>
        <v>0</v>
      </c>
      <c r="P66" s="630"/>
    </row>
    <row r="67" spans="2:16">
      <c r="B67" s="9" t="str">
        <f t="shared" si="8"/>
        <v/>
      </c>
      <c r="C67" s="656">
        <f>IF(D11="","-",+C66+1)</f>
        <v>2072</v>
      </c>
      <c r="D67" s="658">
        <f>IF(F66+SUM(E$17:E66)=D$10,F66,D$10-SUM(E$17:E66))</f>
        <v>0</v>
      </c>
      <c r="E67" s="481">
        <f t="shared" si="9"/>
        <v>0</v>
      </c>
      <c r="F67" s="658">
        <f t="shared" si="10"/>
        <v>0</v>
      </c>
      <c r="G67" s="693">
        <f t="shared" si="11"/>
        <v>0</v>
      </c>
      <c r="H67" s="655">
        <f t="shared" si="12"/>
        <v>0</v>
      </c>
      <c r="I67" s="660">
        <f t="shared" si="4"/>
        <v>0</v>
      </c>
      <c r="J67" s="660"/>
      <c r="K67" s="132"/>
      <c r="L67" s="663">
        <f t="shared" si="0"/>
        <v>0</v>
      </c>
      <c r="M67" s="132"/>
      <c r="N67" s="663">
        <f t="shared" si="1"/>
        <v>0</v>
      </c>
      <c r="O67" s="663">
        <f t="shared" si="2"/>
        <v>0</v>
      </c>
      <c r="P67" s="630"/>
    </row>
    <row r="68" spans="2:16">
      <c r="B68" s="9" t="str">
        <f t="shared" si="8"/>
        <v/>
      </c>
      <c r="C68" s="656">
        <f>IF(D11="","-",+C67+1)</f>
        <v>2073</v>
      </c>
      <c r="D68" s="658">
        <f>IF(F67+SUM(E$17:E67)=D$10,F67,D$10-SUM(E$17:E67))</f>
        <v>0</v>
      </c>
      <c r="E68" s="481">
        <f t="shared" si="9"/>
        <v>0</v>
      </c>
      <c r="F68" s="658">
        <f t="shared" si="10"/>
        <v>0</v>
      </c>
      <c r="G68" s="693">
        <f t="shared" si="11"/>
        <v>0</v>
      </c>
      <c r="H68" s="655">
        <f t="shared" si="12"/>
        <v>0</v>
      </c>
      <c r="I68" s="660">
        <f t="shared" si="4"/>
        <v>0</v>
      </c>
      <c r="J68" s="660"/>
      <c r="K68" s="132"/>
      <c r="L68" s="663">
        <f t="shared" si="0"/>
        <v>0</v>
      </c>
      <c r="M68" s="132"/>
      <c r="N68" s="663">
        <f t="shared" si="1"/>
        <v>0</v>
      </c>
      <c r="O68" s="663">
        <f t="shared" si="2"/>
        <v>0</v>
      </c>
      <c r="P68" s="630"/>
    </row>
    <row r="69" spans="2:16">
      <c r="B69" s="9" t="str">
        <f t="shared" si="8"/>
        <v/>
      </c>
      <c r="C69" s="656">
        <f>IF(D11="","-",+C68+1)</f>
        <v>2074</v>
      </c>
      <c r="D69" s="658">
        <f>IF(F68+SUM(E$17:E68)=D$10,F68,D$10-SUM(E$17:E68))</f>
        <v>0</v>
      </c>
      <c r="E69" s="481">
        <f t="shared" si="9"/>
        <v>0</v>
      </c>
      <c r="F69" s="658">
        <f t="shared" si="10"/>
        <v>0</v>
      </c>
      <c r="G69" s="693">
        <f t="shared" si="11"/>
        <v>0</v>
      </c>
      <c r="H69" s="655">
        <f t="shared" si="12"/>
        <v>0</v>
      </c>
      <c r="I69" s="660">
        <f t="shared" si="4"/>
        <v>0</v>
      </c>
      <c r="J69" s="660"/>
      <c r="K69" s="132"/>
      <c r="L69" s="663">
        <f t="shared" si="0"/>
        <v>0</v>
      </c>
      <c r="M69" s="132"/>
      <c r="N69" s="663">
        <f t="shared" si="1"/>
        <v>0</v>
      </c>
      <c r="O69" s="663">
        <f t="shared" si="2"/>
        <v>0</v>
      </c>
      <c r="P69" s="630"/>
    </row>
    <row r="70" spans="2:16">
      <c r="B70" s="9" t="str">
        <f t="shared" si="8"/>
        <v/>
      </c>
      <c r="C70" s="656">
        <f>IF(D11="","-",+C69+1)</f>
        <v>2075</v>
      </c>
      <c r="D70" s="658">
        <f>IF(F69+SUM(E$17:E69)=D$10,F69,D$10-SUM(E$17:E69))</f>
        <v>0</v>
      </c>
      <c r="E70" s="481">
        <f t="shared" si="9"/>
        <v>0</v>
      </c>
      <c r="F70" s="658">
        <f t="shared" si="10"/>
        <v>0</v>
      </c>
      <c r="G70" s="693">
        <f t="shared" si="11"/>
        <v>0</v>
      </c>
      <c r="H70" s="655">
        <f t="shared" si="12"/>
        <v>0</v>
      </c>
      <c r="I70" s="660">
        <f t="shared" si="4"/>
        <v>0</v>
      </c>
      <c r="J70" s="660"/>
      <c r="K70" s="132"/>
      <c r="L70" s="663">
        <f t="shared" si="0"/>
        <v>0</v>
      </c>
      <c r="M70" s="132"/>
      <c r="N70" s="663">
        <f t="shared" si="1"/>
        <v>0</v>
      </c>
      <c r="O70" s="663">
        <f t="shared" si="2"/>
        <v>0</v>
      </c>
      <c r="P70" s="630"/>
    </row>
    <row r="71" spans="2:16">
      <c r="B71" s="9" t="str">
        <f t="shared" si="8"/>
        <v/>
      </c>
      <c r="C71" s="656">
        <f>IF(D11="","-",+C70+1)</f>
        <v>2076</v>
      </c>
      <c r="D71" s="658">
        <f>IF(F70+SUM(E$17:E70)=D$10,F70,D$10-SUM(E$17:E70))</f>
        <v>0</v>
      </c>
      <c r="E71" s="481">
        <f t="shared" si="9"/>
        <v>0</v>
      </c>
      <c r="F71" s="658">
        <f t="shared" si="10"/>
        <v>0</v>
      </c>
      <c r="G71" s="693">
        <f t="shared" si="11"/>
        <v>0</v>
      </c>
      <c r="H71" s="655">
        <f t="shared" si="12"/>
        <v>0</v>
      </c>
      <c r="I71" s="660">
        <f t="shared" si="4"/>
        <v>0</v>
      </c>
      <c r="J71" s="660"/>
      <c r="K71" s="132"/>
      <c r="L71" s="663">
        <f t="shared" si="0"/>
        <v>0</v>
      </c>
      <c r="M71" s="132"/>
      <c r="N71" s="663">
        <f t="shared" si="1"/>
        <v>0</v>
      </c>
      <c r="O71" s="663">
        <f t="shared" si="2"/>
        <v>0</v>
      </c>
      <c r="P71" s="630"/>
    </row>
    <row r="72" spans="2:16" ht="13" thickBot="1">
      <c r="B72" s="9" t="str">
        <f t="shared" si="8"/>
        <v/>
      </c>
      <c r="C72" s="665">
        <f>IF(D11="","-",+C71+1)</f>
        <v>2077</v>
      </c>
      <c r="D72" s="666">
        <f>IF(F71+SUM(E$17:E71)=D$10,F71,D$10-SUM(E$17:E71))</f>
        <v>0</v>
      </c>
      <c r="E72" s="488">
        <f>IF(+I$14&lt;F71,I$14,D72)</f>
        <v>0</v>
      </c>
      <c r="F72" s="666">
        <f>+D72-E72</f>
        <v>0</v>
      </c>
      <c r="G72" s="667">
        <f>(D72+F72)/2*I$12+E72</f>
        <v>0</v>
      </c>
      <c r="H72" s="641">
        <f>+(D72+F72)/2*I$13+E72</f>
        <v>0</v>
      </c>
      <c r="I72" s="668">
        <f>H72-G72</f>
        <v>0</v>
      </c>
      <c r="J72" s="660"/>
      <c r="K72" s="133"/>
      <c r="L72" s="669">
        <f t="shared" si="0"/>
        <v>0</v>
      </c>
      <c r="M72" s="133"/>
      <c r="N72" s="669">
        <f t="shared" si="1"/>
        <v>0</v>
      </c>
      <c r="O72" s="669">
        <f t="shared" si="2"/>
        <v>0</v>
      </c>
      <c r="P72" s="630"/>
    </row>
    <row r="73" spans="2:16">
      <c r="C73" s="657" t="s">
        <v>77</v>
      </c>
      <c r="D73" s="636"/>
      <c r="E73" s="636">
        <f>SUM(E17:E72)</f>
        <v>70967.7</v>
      </c>
      <c r="F73" s="636"/>
      <c r="G73" s="636">
        <f>SUM(G17:G72)</f>
        <v>234899.8286816969</v>
      </c>
      <c r="H73" s="636">
        <f>SUM(H17:H72)</f>
        <v>234899.8286816969</v>
      </c>
      <c r="I73" s="636">
        <f>SUM(I17:I72)</f>
        <v>0</v>
      </c>
      <c r="J73" s="636"/>
      <c r="K73" s="636"/>
      <c r="L73" s="636"/>
      <c r="M73" s="636"/>
      <c r="N73" s="636"/>
      <c r="O73" s="630"/>
      <c r="P73" s="630"/>
    </row>
    <row r="74" spans="2:16">
      <c r="D74" s="631"/>
      <c r="E74" s="630"/>
      <c r="F74" s="630"/>
      <c r="G74" s="630"/>
      <c r="H74" s="633"/>
      <c r="I74" s="633"/>
      <c r="J74" s="636"/>
      <c r="K74" s="633"/>
      <c r="L74" s="633"/>
      <c r="M74" s="633"/>
      <c r="N74" s="633"/>
      <c r="O74" s="630"/>
      <c r="P74" s="630"/>
    </row>
    <row r="75" spans="2:16" ht="13">
      <c r="C75" s="642" t="s">
        <v>106</v>
      </c>
      <c r="D75" s="631"/>
      <c r="E75" s="630"/>
      <c r="F75" s="630"/>
      <c r="G75" s="630"/>
      <c r="H75" s="633"/>
      <c r="I75" s="633"/>
      <c r="J75" s="636"/>
      <c r="K75" s="633"/>
      <c r="L75" s="633"/>
      <c r="M75" s="633"/>
      <c r="N75" s="633"/>
      <c r="O75" s="630"/>
      <c r="P75" s="630"/>
    </row>
    <row r="76" spans="2:16" ht="13">
      <c r="C76" s="639" t="s">
        <v>78</v>
      </c>
      <c r="D76" s="631"/>
      <c r="E76" s="630"/>
      <c r="F76" s="630"/>
      <c r="G76" s="630"/>
      <c r="H76" s="633"/>
      <c r="I76" s="633"/>
      <c r="J76" s="636"/>
      <c r="K76" s="633"/>
      <c r="L76" s="633"/>
      <c r="M76" s="633"/>
      <c r="N76" s="633"/>
      <c r="O76" s="630"/>
      <c r="P76" s="630"/>
    </row>
    <row r="77" spans="2:16" ht="13">
      <c r="C77" s="639" t="s">
        <v>79</v>
      </c>
      <c r="D77" s="657"/>
      <c r="E77" s="657"/>
      <c r="F77" s="657"/>
      <c r="G77" s="636"/>
      <c r="H77" s="636"/>
      <c r="I77" s="670"/>
      <c r="J77" s="670"/>
      <c r="K77" s="670"/>
      <c r="L77" s="670"/>
      <c r="M77" s="670"/>
      <c r="N77" s="670"/>
      <c r="O77" s="630"/>
      <c r="P77" s="630"/>
    </row>
    <row r="78" spans="2:16" ht="13">
      <c r="C78" s="639"/>
      <c r="D78" s="657"/>
      <c r="E78" s="657"/>
      <c r="F78" s="657"/>
      <c r="G78" s="636"/>
      <c r="H78" s="636"/>
      <c r="I78" s="670"/>
      <c r="J78" s="670"/>
      <c r="K78" s="670"/>
      <c r="L78" s="670"/>
      <c r="M78" s="670"/>
      <c r="N78" s="670"/>
      <c r="O78" s="630"/>
      <c r="P78" s="630"/>
    </row>
    <row r="79" spans="2:16">
      <c r="B79" s="630"/>
      <c r="C79" s="630"/>
      <c r="D79" s="631"/>
      <c r="E79" s="630"/>
      <c r="F79" s="657"/>
      <c r="G79" s="630"/>
      <c r="H79" s="633"/>
      <c r="I79" s="630"/>
      <c r="J79" s="630"/>
      <c r="K79" s="630"/>
      <c r="L79" s="630"/>
      <c r="M79" s="630"/>
      <c r="N79" s="630"/>
      <c r="O79" s="630"/>
      <c r="P79" s="630"/>
    </row>
    <row r="80" spans="2:16" ht="17.5">
      <c r="B80" s="630"/>
      <c r="C80" s="671"/>
      <c r="D80" s="631"/>
      <c r="E80" s="630"/>
      <c r="F80" s="657"/>
      <c r="G80" s="630"/>
      <c r="H80" s="633"/>
      <c r="I80" s="630"/>
      <c r="J80" s="630"/>
      <c r="K80" s="630"/>
      <c r="L80" s="630"/>
      <c r="M80" s="630"/>
      <c r="N80" s="630"/>
      <c r="P80" s="111" t="s">
        <v>144</v>
      </c>
    </row>
    <row r="81" spans="1:16">
      <c r="B81" s="630"/>
      <c r="C81" s="630"/>
      <c r="D81" s="631"/>
      <c r="E81" s="630"/>
      <c r="F81" s="657"/>
      <c r="G81" s="630"/>
      <c r="H81" s="633"/>
      <c r="I81" s="630"/>
      <c r="J81" s="630"/>
      <c r="K81" s="630"/>
      <c r="L81" s="630"/>
      <c r="M81" s="630"/>
      <c r="N81" s="630"/>
      <c r="O81" s="630"/>
      <c r="P81" s="630"/>
    </row>
    <row r="82" spans="1:16">
      <c r="B82" s="630"/>
      <c r="C82" s="630"/>
      <c r="D82" s="631"/>
      <c r="E82" s="630"/>
      <c r="F82" s="657"/>
      <c r="G82" s="630"/>
      <c r="H82" s="633"/>
      <c r="I82" s="630"/>
      <c r="J82" s="630"/>
      <c r="K82" s="630"/>
      <c r="L82" s="630"/>
      <c r="M82" s="630"/>
      <c r="N82" s="630"/>
      <c r="O82" s="630"/>
      <c r="P82" s="630"/>
    </row>
    <row r="83" spans="1:16" ht="20">
      <c r="A83" s="110" t="s">
        <v>146</v>
      </c>
      <c r="B83" s="630"/>
      <c r="C83" s="630"/>
      <c r="D83" s="631"/>
      <c r="E83" s="630"/>
      <c r="F83" s="632"/>
      <c r="G83" s="632"/>
      <c r="H83" s="630"/>
      <c r="I83" s="633"/>
      <c r="L83" s="19"/>
      <c r="M83" s="19"/>
      <c r="P83" s="414" t="str">
        <f ca="1">"PSO Project "&amp;RIGHT(MID(CELL("filename",$A$1),FIND("]",CELL("filename",$A$1))+1,256),2)&amp;" of "&amp;COUNT('P.001:P.xyz - blank'!$P$3)-1</f>
        <v>PSO Project 31 of 35</v>
      </c>
    </row>
    <row r="84" spans="1:16" ht="17.5">
      <c r="B84" s="630"/>
      <c r="C84" s="630"/>
      <c r="D84" s="631"/>
      <c r="E84" s="630"/>
      <c r="F84" s="630"/>
      <c r="G84" s="630"/>
      <c r="H84" s="630"/>
      <c r="I84" s="633"/>
      <c r="J84" s="630"/>
      <c r="K84" s="630"/>
      <c r="L84" s="630"/>
      <c r="M84" s="630"/>
      <c r="P84" s="117" t="s">
        <v>151</v>
      </c>
    </row>
    <row r="85" spans="1:16" ht="17.5" thickBot="1">
      <c r="B85" s="634" t="s">
        <v>42</v>
      </c>
      <c r="C85" s="672" t="s">
        <v>91</v>
      </c>
      <c r="D85" s="631"/>
      <c r="E85" s="630"/>
      <c r="F85" s="630"/>
      <c r="G85" s="630"/>
      <c r="H85" s="630"/>
      <c r="I85" s="633"/>
      <c r="J85" s="633"/>
      <c r="K85" s="636"/>
      <c r="L85" s="633"/>
      <c r="M85" s="633"/>
      <c r="N85" s="633"/>
      <c r="O85" s="636"/>
      <c r="P85" s="630"/>
    </row>
    <row r="86" spans="1:16" ht="16" thickBot="1">
      <c r="C86" s="637"/>
      <c r="D86" s="631"/>
      <c r="E86" s="630"/>
      <c r="F86" s="630"/>
      <c r="G86" s="630"/>
      <c r="H86" s="630"/>
      <c r="I86" s="633"/>
      <c r="J86" s="633"/>
      <c r="K86" s="636"/>
      <c r="L86" s="673">
        <f>+J92</f>
        <v>2024</v>
      </c>
      <c r="M86" s="674" t="s">
        <v>8</v>
      </c>
      <c r="N86" s="675" t="s">
        <v>153</v>
      </c>
      <c r="O86" s="676" t="s">
        <v>10</v>
      </c>
      <c r="P86" s="630"/>
    </row>
    <row r="87" spans="1:16" ht="15.5">
      <c r="C87" s="107" t="s">
        <v>44</v>
      </c>
      <c r="D87" s="631"/>
      <c r="E87" s="630"/>
      <c r="F87" s="630"/>
      <c r="G87" s="630"/>
      <c r="H87" s="418"/>
      <c r="I87" s="630" t="s">
        <v>45</v>
      </c>
      <c r="J87" s="630"/>
      <c r="K87" s="122"/>
      <c r="L87" s="677" t="s">
        <v>154</v>
      </c>
      <c r="M87" s="505">
        <f>IF(J92&lt;D11,0,VLOOKUP(J92,C17:O72,9))</f>
        <v>9053.5546061925288</v>
      </c>
      <c r="N87" s="505">
        <f>IF(J92&lt;D11,0,VLOOKUP(J92,C17:O72,11))</f>
        <v>9053.5546061925288</v>
      </c>
      <c r="O87" s="678">
        <f>+N87-M87</f>
        <v>0</v>
      </c>
      <c r="P87" s="630"/>
    </row>
    <row r="88" spans="1:16" ht="15.5">
      <c r="C88" s="8"/>
      <c r="D88" s="631"/>
      <c r="E88" s="630"/>
      <c r="F88" s="630"/>
      <c r="G88" s="630"/>
      <c r="H88" s="630"/>
      <c r="I88" s="423"/>
      <c r="J88" s="423"/>
      <c r="K88" s="507"/>
      <c r="L88" s="679" t="s">
        <v>155</v>
      </c>
      <c r="M88" s="509">
        <f>IF(J92&lt;D11,0,VLOOKUP(J92,C99:P154,6))</f>
        <v>9067.8146409539222</v>
      </c>
      <c r="N88" s="509">
        <f>IF(J92&lt;D11,0,VLOOKUP(J92,C99:P154,7))</f>
        <v>9067.8146409539222</v>
      </c>
      <c r="O88" s="680">
        <f>+N88-M88</f>
        <v>0</v>
      </c>
      <c r="P88" s="630"/>
    </row>
    <row r="89" spans="1:16" ht="13.5" thickBot="1">
      <c r="C89" s="639" t="s">
        <v>92</v>
      </c>
      <c r="D89" s="79" t="str">
        <f>D7</f>
        <v>Pryor Junction 138/115 kV</v>
      </c>
      <c r="E89" s="630"/>
      <c r="F89" s="630"/>
      <c r="G89" s="630"/>
      <c r="H89" s="630"/>
      <c r="I89" s="633"/>
      <c r="J89" s="633"/>
      <c r="K89" s="512"/>
      <c r="L89" s="681" t="s">
        <v>156</v>
      </c>
      <c r="M89" s="514">
        <f>+M88-M87</f>
        <v>14.260034761393399</v>
      </c>
      <c r="N89" s="514">
        <f>+N88-N87</f>
        <v>14.260034761393399</v>
      </c>
      <c r="O89" s="515">
        <f>+O88-O87</f>
        <v>0</v>
      </c>
      <c r="P89" s="630"/>
    </row>
    <row r="90" spans="1:16" ht="13.5" thickBot="1">
      <c r="C90" s="642"/>
      <c r="E90" s="657"/>
      <c r="F90" s="657"/>
      <c r="G90" s="657"/>
      <c r="H90" s="643"/>
      <c r="I90" s="633"/>
      <c r="J90" s="633"/>
      <c r="K90" s="636"/>
      <c r="L90" s="633"/>
      <c r="M90" s="633"/>
      <c r="N90" s="633"/>
      <c r="O90" s="636"/>
      <c r="P90" s="630"/>
    </row>
    <row r="91" spans="1:16" ht="13.5" thickBot="1">
      <c r="C91" s="682" t="s">
        <v>93</v>
      </c>
      <c r="D91" s="683" t="str">
        <f>D9</f>
        <v>TP2019132</v>
      </c>
      <c r="E91" s="684" t="str">
        <f>E9</f>
        <v xml:space="preserve">  SPP Project ID = 81571</v>
      </c>
      <c r="F91" s="684"/>
      <c r="G91" s="684"/>
      <c r="H91" s="684"/>
      <c r="I91" s="684"/>
      <c r="J91" s="684"/>
    </row>
    <row r="92" spans="1:16" ht="13">
      <c r="C92" s="649" t="s">
        <v>226</v>
      </c>
      <c r="D92" s="685">
        <f>D10</f>
        <v>70967.7</v>
      </c>
      <c r="E92" s="630" t="s">
        <v>94</v>
      </c>
      <c r="H92" s="631"/>
      <c r="I92" s="631"/>
      <c r="J92" s="446">
        <f>+'PSO.WS.G.BPU.ATRR.True-up'!M16</f>
        <v>2024</v>
      </c>
      <c r="K92" s="648"/>
      <c r="L92" s="636" t="s">
        <v>95</v>
      </c>
      <c r="P92" s="630"/>
    </row>
    <row r="93" spans="1:16">
      <c r="C93" s="651" t="s">
        <v>53</v>
      </c>
      <c r="D93" s="686">
        <f>+D11</f>
        <v>2022</v>
      </c>
      <c r="E93" s="651" t="s">
        <v>54</v>
      </c>
      <c r="F93" s="631"/>
      <c r="G93" s="631"/>
      <c r="J93" s="652">
        <v>0</v>
      </c>
      <c r="K93" s="653"/>
      <c r="L93" t="str">
        <f>"          INPUT TRUE-UP ARR (WITH &amp; WITHOUT INCENTIVES) FROM EACH PRIOR YEAR"</f>
        <v xml:space="preserve">          INPUT TRUE-UP ARR (WITH &amp; WITHOUT INCENTIVES) FROM EACH PRIOR YEAR</v>
      </c>
      <c r="P93" s="630"/>
    </row>
    <row r="94" spans="1:16">
      <c r="C94" s="651" t="s">
        <v>55</v>
      </c>
      <c r="D94" s="686">
        <f>+D12</f>
        <v>6</v>
      </c>
      <c r="E94" s="651" t="s">
        <v>56</v>
      </c>
      <c r="F94" s="631"/>
      <c r="G94" s="631"/>
      <c r="J94" s="654">
        <v>0.10781124580725182</v>
      </c>
      <c r="K94" s="632"/>
      <c r="L94" t="s">
        <v>96</v>
      </c>
      <c r="P94" s="630"/>
    </row>
    <row r="95" spans="1:16">
      <c r="C95" s="651" t="s">
        <v>58</v>
      </c>
      <c r="D95" s="652">
        <v>42</v>
      </c>
      <c r="E95" s="651" t="s">
        <v>59</v>
      </c>
      <c r="F95" s="631"/>
      <c r="G95" s="631"/>
      <c r="J95" s="654">
        <v>0.10781124580725182</v>
      </c>
      <c r="K95" s="632"/>
      <c r="L95" s="636" t="s">
        <v>60</v>
      </c>
      <c r="M95" s="632"/>
      <c r="N95" s="632"/>
      <c r="O95" s="632"/>
      <c r="P95" s="630"/>
    </row>
    <row r="96" spans="1:16" ht="13" thickBot="1">
      <c r="C96" s="651" t="s">
        <v>61</v>
      </c>
      <c r="D96" s="687" t="str">
        <f>+D14</f>
        <v>No</v>
      </c>
      <c r="E96" s="688" t="s">
        <v>63</v>
      </c>
      <c r="F96" s="689"/>
      <c r="G96" s="689"/>
      <c r="H96" s="92"/>
      <c r="I96" s="92"/>
      <c r="J96" s="641">
        <f>IF(D92=0,0,ROUND(D92/D95,0))</f>
        <v>1690</v>
      </c>
      <c r="K96" s="636"/>
      <c r="L96" s="636"/>
      <c r="M96" s="636"/>
      <c r="N96" s="636"/>
      <c r="O96" s="636"/>
      <c r="P96" s="630"/>
    </row>
    <row r="97" spans="1:16" ht="39">
      <c r="A97" s="6"/>
      <c r="B97" s="6"/>
      <c r="C97" s="93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93" t="s">
        <v>98</v>
      </c>
      <c r="K97" s="95"/>
      <c r="L97" s="460" t="s">
        <v>102</v>
      </c>
      <c r="M97" s="460" t="s">
        <v>99</v>
      </c>
      <c r="N97" s="460" t="s">
        <v>102</v>
      </c>
      <c r="O97" s="460" t="s">
        <v>99</v>
      </c>
      <c r="P97" s="460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533" t="s">
        <v>73</v>
      </c>
      <c r="I98" s="463" t="s">
        <v>74</v>
      </c>
      <c r="J98" s="57" t="s">
        <v>104</v>
      </c>
      <c r="K98" s="5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3" thickBot="1">
      <c r="C99" s="656">
        <f>IF(D93= "","-",D93)</f>
        <v>2022</v>
      </c>
      <c r="D99" s="132">
        <v>0</v>
      </c>
      <c r="E99" s="132">
        <v>0</v>
      </c>
      <c r="F99" s="132">
        <v>70968</v>
      </c>
      <c r="G99" s="132">
        <v>35484</v>
      </c>
      <c r="H99" s="132">
        <v>3825.5742462245234</v>
      </c>
      <c r="I99" s="132">
        <v>3825.5742462245234</v>
      </c>
      <c r="J99" s="663">
        <f>+I99-H99</f>
        <v>0</v>
      </c>
      <c r="K99" s="663"/>
      <c r="L99" s="662">
        <f>+H99</f>
        <v>3825.5742462245234</v>
      </c>
      <c r="M99" s="662">
        <f t="shared" ref="M99:M130" si="13">IF(L99&lt;&gt;0,+H99-L99,0)</f>
        <v>0</v>
      </c>
      <c r="N99" s="662">
        <f>+I99</f>
        <v>3825.5742462245234</v>
      </c>
      <c r="O99" s="662">
        <f t="shared" ref="O99:O130" si="14">IF(N99&lt;&gt;0,+I99-N99,0)</f>
        <v>0</v>
      </c>
      <c r="P99" s="662">
        <f t="shared" ref="P99:P130" si="15">+O99-M99</f>
        <v>0</v>
      </c>
    </row>
    <row r="100" spans="1:16">
      <c r="B100" s="9" t="str">
        <f>IF(D100=F99,"","IU")</f>
        <v>IU</v>
      </c>
      <c r="C100" s="656">
        <f>IF(D93="","-",+C99+1)</f>
        <v>2023</v>
      </c>
      <c r="D100" s="132">
        <v>70967.7</v>
      </c>
      <c r="E100" s="132">
        <v>1690</v>
      </c>
      <c r="F100" s="132">
        <v>69277.7</v>
      </c>
      <c r="G100" s="132">
        <v>70122.7</v>
      </c>
      <c r="H100" s="132">
        <v>9250.0156463681778</v>
      </c>
      <c r="I100" s="132">
        <v>9250.0156463681778</v>
      </c>
      <c r="J100" s="663">
        <f t="shared" ref="J100:J130" si="16">+I100-H100</f>
        <v>0</v>
      </c>
      <c r="K100" s="663"/>
      <c r="L100" s="662">
        <f>+H100</f>
        <v>9250.0156463681778</v>
      </c>
      <c r="M100" s="662">
        <f t="shared" ref="M100" si="17">IF(L100&lt;&gt;0,+H100-L100,0)</f>
        <v>0</v>
      </c>
      <c r="N100" s="662">
        <f>+I100</f>
        <v>9250.0156463681778</v>
      </c>
      <c r="O100" s="662">
        <f t="shared" ref="O100" si="18">IF(N100&lt;&gt;0,+I100-N100,0)</f>
        <v>0</v>
      </c>
      <c r="P100" s="662">
        <f t="shared" ref="P100" si="19">+O100-M100</f>
        <v>0</v>
      </c>
    </row>
    <row r="101" spans="1:16">
      <c r="B101" s="9" t="str">
        <f t="shared" ref="B101:B154" si="20">IF(D101=F100,"","IU")</f>
        <v/>
      </c>
      <c r="C101" s="656">
        <f>IF(D93="","-",+C100+1)</f>
        <v>2024</v>
      </c>
      <c r="D101" s="657">
        <f>IF(F100+SUM(E$99:E100)=D$92,F100,D$92-SUM(E$99:E100))</f>
        <v>69277.7</v>
      </c>
      <c r="E101" s="69">
        <f t="shared" ref="E101:E154" si="21">IF(+J$96&lt;F100,J$96,D101)</f>
        <v>1690</v>
      </c>
      <c r="F101" s="658">
        <f t="shared" ref="F101:F154" si="22">+D101-E101</f>
        <v>67587.7</v>
      </c>
      <c r="G101" s="658">
        <f t="shared" ref="G101:G154" si="23">+(F101+D101)/2</f>
        <v>68432.7</v>
      </c>
      <c r="H101" s="130">
        <f t="shared" ref="H101:H154" si="24">+J$94*G101+E101</f>
        <v>9067.8146409539222</v>
      </c>
      <c r="I101" s="139">
        <f t="shared" ref="I101:I154" si="25">+J$95*G101+E101</f>
        <v>9067.8146409539222</v>
      </c>
      <c r="J101" s="663">
        <f t="shared" si="16"/>
        <v>0</v>
      </c>
      <c r="K101" s="663"/>
      <c r="L101" s="132"/>
      <c r="M101" s="663">
        <f t="shared" si="13"/>
        <v>0</v>
      </c>
      <c r="N101" s="132"/>
      <c r="O101" s="663">
        <f t="shared" si="14"/>
        <v>0</v>
      </c>
      <c r="P101" s="663">
        <f t="shared" si="15"/>
        <v>0</v>
      </c>
    </row>
    <row r="102" spans="1:16">
      <c r="B102" s="9" t="str">
        <f t="shared" si="20"/>
        <v/>
      </c>
      <c r="C102" s="656">
        <f>IF(D93="","-",+C101+1)</f>
        <v>2025</v>
      </c>
      <c r="D102" s="657">
        <f>IF(F101+SUM(E$99:E101)=D$92,F101,D$92-SUM(E$99:E101))</f>
        <v>67587.7</v>
      </c>
      <c r="E102" s="69">
        <f t="shared" si="21"/>
        <v>1690</v>
      </c>
      <c r="F102" s="658">
        <f t="shared" si="22"/>
        <v>65897.7</v>
      </c>
      <c r="G102" s="658">
        <f t="shared" si="23"/>
        <v>66742.7</v>
      </c>
      <c r="H102" s="130">
        <f t="shared" si="24"/>
        <v>8885.6136355396666</v>
      </c>
      <c r="I102" s="139">
        <f t="shared" si="25"/>
        <v>8885.6136355396666</v>
      </c>
      <c r="J102" s="663">
        <f t="shared" si="16"/>
        <v>0</v>
      </c>
      <c r="K102" s="663"/>
      <c r="L102" s="132"/>
      <c r="M102" s="663">
        <f t="shared" si="13"/>
        <v>0</v>
      </c>
      <c r="N102" s="132"/>
      <c r="O102" s="663">
        <f t="shared" si="14"/>
        <v>0</v>
      </c>
      <c r="P102" s="663">
        <f t="shared" si="15"/>
        <v>0</v>
      </c>
    </row>
    <row r="103" spans="1:16">
      <c r="B103" s="9" t="str">
        <f t="shared" si="20"/>
        <v/>
      </c>
      <c r="C103" s="656">
        <f>IF(D93="","-",+C102+1)</f>
        <v>2026</v>
      </c>
      <c r="D103" s="657">
        <f>IF(F102+SUM(E$99:E102)=D$92,F102,D$92-SUM(E$99:E102))</f>
        <v>65897.7</v>
      </c>
      <c r="E103" s="69">
        <f t="shared" si="21"/>
        <v>1690</v>
      </c>
      <c r="F103" s="658">
        <f t="shared" si="22"/>
        <v>64207.7</v>
      </c>
      <c r="G103" s="658">
        <f t="shared" si="23"/>
        <v>65052.7</v>
      </c>
      <c r="H103" s="130">
        <f t="shared" si="24"/>
        <v>8703.4126301254109</v>
      </c>
      <c r="I103" s="139">
        <f t="shared" si="25"/>
        <v>8703.4126301254109</v>
      </c>
      <c r="J103" s="663">
        <f t="shared" si="16"/>
        <v>0</v>
      </c>
      <c r="K103" s="663"/>
      <c r="L103" s="132"/>
      <c r="M103" s="663">
        <f t="shared" si="13"/>
        <v>0</v>
      </c>
      <c r="N103" s="132"/>
      <c r="O103" s="663">
        <f t="shared" si="14"/>
        <v>0</v>
      </c>
      <c r="P103" s="663">
        <f t="shared" si="15"/>
        <v>0</v>
      </c>
    </row>
    <row r="104" spans="1:16">
      <c r="B104" s="9" t="str">
        <f t="shared" si="20"/>
        <v/>
      </c>
      <c r="C104" s="656">
        <f>IF(D93="","-",+C103+1)</f>
        <v>2027</v>
      </c>
      <c r="D104" s="657">
        <f>IF(F103+SUM(E$99:E103)=D$92,F103,D$92-SUM(E$99:E103))</f>
        <v>64207.7</v>
      </c>
      <c r="E104" s="69">
        <f t="shared" si="21"/>
        <v>1690</v>
      </c>
      <c r="F104" s="658">
        <f t="shared" si="22"/>
        <v>62517.7</v>
      </c>
      <c r="G104" s="658">
        <f t="shared" si="23"/>
        <v>63362.7</v>
      </c>
      <c r="H104" s="130">
        <f t="shared" si="24"/>
        <v>8521.2116247111553</v>
      </c>
      <c r="I104" s="139">
        <f t="shared" si="25"/>
        <v>8521.2116247111553</v>
      </c>
      <c r="J104" s="663">
        <f t="shared" si="16"/>
        <v>0</v>
      </c>
      <c r="K104" s="663"/>
      <c r="L104" s="132"/>
      <c r="M104" s="663">
        <f t="shared" si="13"/>
        <v>0</v>
      </c>
      <c r="N104" s="132"/>
      <c r="O104" s="663">
        <f t="shared" si="14"/>
        <v>0</v>
      </c>
      <c r="P104" s="663">
        <f t="shared" si="15"/>
        <v>0</v>
      </c>
    </row>
    <row r="105" spans="1:16">
      <c r="B105" s="9" t="str">
        <f t="shared" si="20"/>
        <v/>
      </c>
      <c r="C105" s="656">
        <f>IF(D93="","-",+C104+1)</f>
        <v>2028</v>
      </c>
      <c r="D105" s="657">
        <f>IF(F104+SUM(E$99:E104)=D$92,F104,D$92-SUM(E$99:E104))</f>
        <v>62517.7</v>
      </c>
      <c r="E105" s="69">
        <f t="shared" si="21"/>
        <v>1690</v>
      </c>
      <c r="F105" s="658">
        <f t="shared" si="22"/>
        <v>60827.7</v>
      </c>
      <c r="G105" s="658">
        <f t="shared" si="23"/>
        <v>61672.7</v>
      </c>
      <c r="H105" s="130">
        <f t="shared" si="24"/>
        <v>8339.0106192968997</v>
      </c>
      <c r="I105" s="139">
        <f t="shared" si="25"/>
        <v>8339.0106192968997</v>
      </c>
      <c r="J105" s="663">
        <f t="shared" si="16"/>
        <v>0</v>
      </c>
      <c r="K105" s="663"/>
      <c r="L105" s="132"/>
      <c r="M105" s="663">
        <f t="shared" si="13"/>
        <v>0</v>
      </c>
      <c r="N105" s="132"/>
      <c r="O105" s="663">
        <f t="shared" si="14"/>
        <v>0</v>
      </c>
      <c r="P105" s="663">
        <f t="shared" si="15"/>
        <v>0</v>
      </c>
    </row>
    <row r="106" spans="1:16">
      <c r="B106" s="9" t="str">
        <f t="shared" si="20"/>
        <v/>
      </c>
      <c r="C106" s="656">
        <f>IF(D93="","-",+C105+1)</f>
        <v>2029</v>
      </c>
      <c r="D106" s="657">
        <f>IF(F105+SUM(E$99:E105)=D$92,F105,D$92-SUM(E$99:E105))</f>
        <v>60827.7</v>
      </c>
      <c r="E106" s="69">
        <f t="shared" si="21"/>
        <v>1690</v>
      </c>
      <c r="F106" s="658">
        <f t="shared" si="22"/>
        <v>59137.7</v>
      </c>
      <c r="G106" s="658">
        <f t="shared" si="23"/>
        <v>59982.7</v>
      </c>
      <c r="H106" s="130">
        <f t="shared" si="24"/>
        <v>8156.8096138826431</v>
      </c>
      <c r="I106" s="139">
        <f t="shared" si="25"/>
        <v>8156.8096138826431</v>
      </c>
      <c r="J106" s="663">
        <f t="shared" si="16"/>
        <v>0</v>
      </c>
      <c r="K106" s="663"/>
      <c r="L106" s="132"/>
      <c r="M106" s="663">
        <f t="shared" si="13"/>
        <v>0</v>
      </c>
      <c r="N106" s="132"/>
      <c r="O106" s="663">
        <f t="shared" si="14"/>
        <v>0</v>
      </c>
      <c r="P106" s="663">
        <f t="shared" si="15"/>
        <v>0</v>
      </c>
    </row>
    <row r="107" spans="1:16">
      <c r="B107" s="9" t="str">
        <f t="shared" si="20"/>
        <v/>
      </c>
      <c r="C107" s="656">
        <f>IF(D93="","-",+C106+1)</f>
        <v>2030</v>
      </c>
      <c r="D107" s="657">
        <f>IF(F106+SUM(E$99:E106)=D$92,F106,D$92-SUM(E$99:E106))</f>
        <v>59137.7</v>
      </c>
      <c r="E107" s="69">
        <f t="shared" si="21"/>
        <v>1690</v>
      </c>
      <c r="F107" s="658">
        <f t="shared" si="22"/>
        <v>57447.7</v>
      </c>
      <c r="G107" s="658">
        <f t="shared" si="23"/>
        <v>58292.7</v>
      </c>
      <c r="H107" s="130">
        <f t="shared" si="24"/>
        <v>7974.6086084683875</v>
      </c>
      <c r="I107" s="139">
        <f t="shared" si="25"/>
        <v>7974.6086084683875</v>
      </c>
      <c r="J107" s="663">
        <f t="shared" si="16"/>
        <v>0</v>
      </c>
      <c r="K107" s="663"/>
      <c r="L107" s="132"/>
      <c r="M107" s="663">
        <f t="shared" si="13"/>
        <v>0</v>
      </c>
      <c r="N107" s="132"/>
      <c r="O107" s="663">
        <f t="shared" si="14"/>
        <v>0</v>
      </c>
      <c r="P107" s="663">
        <f t="shared" si="15"/>
        <v>0</v>
      </c>
    </row>
    <row r="108" spans="1:16">
      <c r="B108" s="9" t="str">
        <f t="shared" si="20"/>
        <v/>
      </c>
      <c r="C108" s="656">
        <f>IF(D93="","-",+C107+1)</f>
        <v>2031</v>
      </c>
      <c r="D108" s="657">
        <f>IF(F107+SUM(E$99:E107)=D$92,F107,D$92-SUM(E$99:E107))</f>
        <v>57447.7</v>
      </c>
      <c r="E108" s="69">
        <f t="shared" si="21"/>
        <v>1690</v>
      </c>
      <c r="F108" s="658">
        <f t="shared" si="22"/>
        <v>55757.7</v>
      </c>
      <c r="G108" s="658">
        <f t="shared" si="23"/>
        <v>56602.7</v>
      </c>
      <c r="H108" s="130">
        <f t="shared" si="24"/>
        <v>7792.4076030541328</v>
      </c>
      <c r="I108" s="139">
        <f t="shared" si="25"/>
        <v>7792.4076030541328</v>
      </c>
      <c r="J108" s="663">
        <f t="shared" si="16"/>
        <v>0</v>
      </c>
      <c r="K108" s="663"/>
      <c r="L108" s="132"/>
      <c r="M108" s="663">
        <f t="shared" si="13"/>
        <v>0</v>
      </c>
      <c r="N108" s="132"/>
      <c r="O108" s="663">
        <f t="shared" si="14"/>
        <v>0</v>
      </c>
      <c r="P108" s="663">
        <f t="shared" si="15"/>
        <v>0</v>
      </c>
    </row>
    <row r="109" spans="1:16">
      <c r="B109" s="9" t="str">
        <f t="shared" si="20"/>
        <v/>
      </c>
      <c r="C109" s="656">
        <f>IF(D93="","-",+C108+1)</f>
        <v>2032</v>
      </c>
      <c r="D109" s="657">
        <f>IF(F108+SUM(E$99:E108)=D$92,F108,D$92-SUM(E$99:E108))</f>
        <v>55757.7</v>
      </c>
      <c r="E109" s="69">
        <f t="shared" si="21"/>
        <v>1690</v>
      </c>
      <c r="F109" s="658">
        <f t="shared" si="22"/>
        <v>54067.7</v>
      </c>
      <c r="G109" s="658">
        <f t="shared" si="23"/>
        <v>54912.7</v>
      </c>
      <c r="H109" s="130">
        <f t="shared" si="24"/>
        <v>7610.2065976398771</v>
      </c>
      <c r="I109" s="139">
        <f t="shared" si="25"/>
        <v>7610.2065976398771</v>
      </c>
      <c r="J109" s="663">
        <f t="shared" si="16"/>
        <v>0</v>
      </c>
      <c r="K109" s="663"/>
      <c r="L109" s="132"/>
      <c r="M109" s="663">
        <f t="shared" si="13"/>
        <v>0</v>
      </c>
      <c r="N109" s="132"/>
      <c r="O109" s="663">
        <f t="shared" si="14"/>
        <v>0</v>
      </c>
      <c r="P109" s="663">
        <f t="shared" si="15"/>
        <v>0</v>
      </c>
    </row>
    <row r="110" spans="1:16">
      <c r="B110" s="9" t="str">
        <f t="shared" si="20"/>
        <v/>
      </c>
      <c r="C110" s="656">
        <f>IF(D93="","-",+C109+1)</f>
        <v>2033</v>
      </c>
      <c r="D110" s="657">
        <f>IF(F109+SUM(E$99:E109)=D$92,F109,D$92-SUM(E$99:E109))</f>
        <v>54067.7</v>
      </c>
      <c r="E110" s="69">
        <f t="shared" si="21"/>
        <v>1690</v>
      </c>
      <c r="F110" s="658">
        <f t="shared" si="22"/>
        <v>52377.7</v>
      </c>
      <c r="G110" s="658">
        <f t="shared" si="23"/>
        <v>53222.7</v>
      </c>
      <c r="H110" s="130">
        <f t="shared" si="24"/>
        <v>7428.0055922256215</v>
      </c>
      <c r="I110" s="139">
        <f t="shared" si="25"/>
        <v>7428.0055922256215</v>
      </c>
      <c r="J110" s="663">
        <f t="shared" si="16"/>
        <v>0</v>
      </c>
      <c r="K110" s="663"/>
      <c r="L110" s="132"/>
      <c r="M110" s="663">
        <f t="shared" si="13"/>
        <v>0</v>
      </c>
      <c r="N110" s="132"/>
      <c r="O110" s="663">
        <f t="shared" si="14"/>
        <v>0</v>
      </c>
      <c r="P110" s="663">
        <f t="shared" si="15"/>
        <v>0</v>
      </c>
    </row>
    <row r="111" spans="1:16">
      <c r="B111" s="9" t="str">
        <f t="shared" si="20"/>
        <v/>
      </c>
      <c r="C111" s="656">
        <f>IF(D93="","-",+C110+1)</f>
        <v>2034</v>
      </c>
      <c r="D111" s="657">
        <f>IF(F110+SUM(E$99:E110)=D$92,F110,D$92-SUM(E$99:E110))</f>
        <v>52377.7</v>
      </c>
      <c r="E111" s="69">
        <f t="shared" si="21"/>
        <v>1690</v>
      </c>
      <c r="F111" s="658">
        <f t="shared" si="22"/>
        <v>50687.7</v>
      </c>
      <c r="G111" s="658">
        <f t="shared" si="23"/>
        <v>51532.7</v>
      </c>
      <c r="H111" s="130">
        <f t="shared" si="24"/>
        <v>7245.8045868113659</v>
      </c>
      <c r="I111" s="139">
        <f t="shared" si="25"/>
        <v>7245.8045868113659</v>
      </c>
      <c r="J111" s="663">
        <f t="shared" si="16"/>
        <v>0</v>
      </c>
      <c r="K111" s="663"/>
      <c r="L111" s="132"/>
      <c r="M111" s="663">
        <f t="shared" si="13"/>
        <v>0</v>
      </c>
      <c r="N111" s="132"/>
      <c r="O111" s="663">
        <f t="shared" si="14"/>
        <v>0</v>
      </c>
      <c r="P111" s="663">
        <f t="shared" si="15"/>
        <v>0</v>
      </c>
    </row>
    <row r="112" spans="1:16">
      <c r="B112" s="9" t="str">
        <f t="shared" si="20"/>
        <v/>
      </c>
      <c r="C112" s="656">
        <f>IF(D93="","-",+C111+1)</f>
        <v>2035</v>
      </c>
      <c r="D112" s="657">
        <f>IF(F111+SUM(E$99:E111)=D$92,F111,D$92-SUM(E$99:E111))</f>
        <v>50687.7</v>
      </c>
      <c r="E112" s="69">
        <f t="shared" si="21"/>
        <v>1690</v>
      </c>
      <c r="F112" s="658">
        <f t="shared" si="22"/>
        <v>48997.7</v>
      </c>
      <c r="G112" s="658">
        <f t="shared" si="23"/>
        <v>49842.7</v>
      </c>
      <c r="H112" s="130">
        <f t="shared" si="24"/>
        <v>7063.6035813971102</v>
      </c>
      <c r="I112" s="139">
        <f t="shared" si="25"/>
        <v>7063.6035813971102</v>
      </c>
      <c r="J112" s="663">
        <f t="shared" si="16"/>
        <v>0</v>
      </c>
      <c r="K112" s="663"/>
      <c r="L112" s="132"/>
      <c r="M112" s="663">
        <f t="shared" si="13"/>
        <v>0</v>
      </c>
      <c r="N112" s="132"/>
      <c r="O112" s="663">
        <f t="shared" si="14"/>
        <v>0</v>
      </c>
      <c r="P112" s="663">
        <f t="shared" si="15"/>
        <v>0</v>
      </c>
    </row>
    <row r="113" spans="2:16">
      <c r="B113" s="9" t="str">
        <f t="shared" si="20"/>
        <v/>
      </c>
      <c r="C113" s="656">
        <f>IF(D93="","-",+C112+1)</f>
        <v>2036</v>
      </c>
      <c r="D113" s="657">
        <f>IF(F112+SUM(E$99:E112)=D$92,F112,D$92-SUM(E$99:E112))</f>
        <v>48997.7</v>
      </c>
      <c r="E113" s="69">
        <f t="shared" si="21"/>
        <v>1690</v>
      </c>
      <c r="F113" s="658">
        <f t="shared" si="22"/>
        <v>47307.7</v>
      </c>
      <c r="G113" s="658">
        <f t="shared" si="23"/>
        <v>48152.7</v>
      </c>
      <c r="H113" s="130">
        <f t="shared" si="24"/>
        <v>6881.4025759828546</v>
      </c>
      <c r="I113" s="139">
        <f t="shared" si="25"/>
        <v>6881.4025759828546</v>
      </c>
      <c r="J113" s="663">
        <f t="shared" si="16"/>
        <v>0</v>
      </c>
      <c r="K113" s="663"/>
      <c r="L113" s="132"/>
      <c r="M113" s="663">
        <f t="shared" si="13"/>
        <v>0</v>
      </c>
      <c r="N113" s="132"/>
      <c r="O113" s="663">
        <f t="shared" si="14"/>
        <v>0</v>
      </c>
      <c r="P113" s="663">
        <f t="shared" si="15"/>
        <v>0</v>
      </c>
    </row>
    <row r="114" spans="2:16">
      <c r="B114" s="9" t="str">
        <f t="shared" si="20"/>
        <v/>
      </c>
      <c r="C114" s="656">
        <f>IF(D93="","-",+C113+1)</f>
        <v>2037</v>
      </c>
      <c r="D114" s="657">
        <f>IF(F113+SUM(E$99:E113)=D$92,F113,D$92-SUM(E$99:E113))</f>
        <v>47307.7</v>
      </c>
      <c r="E114" s="69">
        <f t="shared" si="21"/>
        <v>1690</v>
      </c>
      <c r="F114" s="658">
        <f t="shared" si="22"/>
        <v>45617.7</v>
      </c>
      <c r="G114" s="658">
        <f t="shared" si="23"/>
        <v>46462.7</v>
      </c>
      <c r="H114" s="130">
        <f t="shared" si="24"/>
        <v>6699.201570568599</v>
      </c>
      <c r="I114" s="139">
        <f t="shared" si="25"/>
        <v>6699.201570568599</v>
      </c>
      <c r="J114" s="663">
        <f t="shared" si="16"/>
        <v>0</v>
      </c>
      <c r="K114" s="663"/>
      <c r="L114" s="132"/>
      <c r="M114" s="663">
        <f t="shared" si="13"/>
        <v>0</v>
      </c>
      <c r="N114" s="132"/>
      <c r="O114" s="663">
        <f t="shared" si="14"/>
        <v>0</v>
      </c>
      <c r="P114" s="663">
        <f t="shared" si="15"/>
        <v>0</v>
      </c>
    </row>
    <row r="115" spans="2:16">
      <c r="B115" s="9" t="str">
        <f t="shared" si="20"/>
        <v/>
      </c>
      <c r="C115" s="656">
        <f>IF(D93="","-",+C114+1)</f>
        <v>2038</v>
      </c>
      <c r="D115" s="657">
        <f>IF(F114+SUM(E$99:E114)=D$92,F114,D$92-SUM(E$99:E114))</f>
        <v>45617.7</v>
      </c>
      <c r="E115" s="69">
        <f t="shared" si="21"/>
        <v>1690</v>
      </c>
      <c r="F115" s="658">
        <f t="shared" si="22"/>
        <v>43927.7</v>
      </c>
      <c r="G115" s="658">
        <f t="shared" si="23"/>
        <v>44772.7</v>
      </c>
      <c r="H115" s="130">
        <f t="shared" si="24"/>
        <v>6517.0005651543433</v>
      </c>
      <c r="I115" s="139">
        <f t="shared" si="25"/>
        <v>6517.0005651543433</v>
      </c>
      <c r="J115" s="663">
        <f t="shared" si="16"/>
        <v>0</v>
      </c>
      <c r="K115" s="663"/>
      <c r="L115" s="132"/>
      <c r="M115" s="663">
        <f t="shared" si="13"/>
        <v>0</v>
      </c>
      <c r="N115" s="132"/>
      <c r="O115" s="663">
        <f t="shared" si="14"/>
        <v>0</v>
      </c>
      <c r="P115" s="663">
        <f t="shared" si="15"/>
        <v>0</v>
      </c>
    </row>
    <row r="116" spans="2:16">
      <c r="B116" s="9" t="str">
        <f t="shared" si="20"/>
        <v/>
      </c>
      <c r="C116" s="656">
        <f>IF(D93="","-",+C115+1)</f>
        <v>2039</v>
      </c>
      <c r="D116" s="657">
        <f>IF(F115+SUM(E$99:E115)=D$92,F115,D$92-SUM(E$99:E115))</f>
        <v>43927.7</v>
      </c>
      <c r="E116" s="69">
        <f t="shared" si="21"/>
        <v>1690</v>
      </c>
      <c r="F116" s="658">
        <f t="shared" si="22"/>
        <v>42237.7</v>
      </c>
      <c r="G116" s="658">
        <f t="shared" si="23"/>
        <v>43082.7</v>
      </c>
      <c r="H116" s="130">
        <f t="shared" si="24"/>
        <v>6334.7995597400877</v>
      </c>
      <c r="I116" s="139">
        <f t="shared" si="25"/>
        <v>6334.7995597400877</v>
      </c>
      <c r="J116" s="663">
        <f t="shared" si="16"/>
        <v>0</v>
      </c>
      <c r="K116" s="663"/>
      <c r="L116" s="132"/>
      <c r="M116" s="663">
        <f t="shared" si="13"/>
        <v>0</v>
      </c>
      <c r="N116" s="132"/>
      <c r="O116" s="663">
        <f t="shared" si="14"/>
        <v>0</v>
      </c>
      <c r="P116" s="663">
        <f t="shared" si="15"/>
        <v>0</v>
      </c>
    </row>
    <row r="117" spans="2:16">
      <c r="B117" s="9" t="str">
        <f t="shared" si="20"/>
        <v/>
      </c>
      <c r="C117" s="656">
        <f>IF(D93="","-",+C116+1)</f>
        <v>2040</v>
      </c>
      <c r="D117" s="657">
        <f>IF(F116+SUM(E$99:E116)=D$92,F116,D$92-SUM(E$99:E116))</f>
        <v>42237.7</v>
      </c>
      <c r="E117" s="69">
        <f t="shared" si="21"/>
        <v>1690</v>
      </c>
      <c r="F117" s="658">
        <f t="shared" si="22"/>
        <v>40547.699999999997</v>
      </c>
      <c r="G117" s="658">
        <f t="shared" si="23"/>
        <v>41392.699999999997</v>
      </c>
      <c r="H117" s="130">
        <f t="shared" si="24"/>
        <v>6152.5985543258321</v>
      </c>
      <c r="I117" s="139">
        <f t="shared" si="25"/>
        <v>6152.5985543258321</v>
      </c>
      <c r="J117" s="663">
        <f t="shared" si="16"/>
        <v>0</v>
      </c>
      <c r="K117" s="663"/>
      <c r="L117" s="132"/>
      <c r="M117" s="663">
        <f t="shared" si="13"/>
        <v>0</v>
      </c>
      <c r="N117" s="132"/>
      <c r="O117" s="663">
        <f t="shared" si="14"/>
        <v>0</v>
      </c>
      <c r="P117" s="663">
        <f t="shared" si="15"/>
        <v>0</v>
      </c>
    </row>
    <row r="118" spans="2:16">
      <c r="B118" s="9" t="str">
        <f t="shared" si="20"/>
        <v/>
      </c>
      <c r="C118" s="656">
        <f>IF(D93="","-",+C117+1)</f>
        <v>2041</v>
      </c>
      <c r="D118" s="657">
        <f>IF(F117+SUM(E$99:E117)=D$92,F117,D$92-SUM(E$99:E117))</f>
        <v>40547.699999999997</v>
      </c>
      <c r="E118" s="69">
        <f t="shared" si="21"/>
        <v>1690</v>
      </c>
      <c r="F118" s="658">
        <f t="shared" si="22"/>
        <v>38857.699999999997</v>
      </c>
      <c r="G118" s="658">
        <f t="shared" si="23"/>
        <v>39702.699999999997</v>
      </c>
      <c r="H118" s="130">
        <f t="shared" si="24"/>
        <v>5970.3975489115765</v>
      </c>
      <c r="I118" s="139">
        <f t="shared" si="25"/>
        <v>5970.3975489115765</v>
      </c>
      <c r="J118" s="663">
        <f t="shared" si="16"/>
        <v>0</v>
      </c>
      <c r="K118" s="663"/>
      <c r="L118" s="132"/>
      <c r="M118" s="663">
        <f t="shared" si="13"/>
        <v>0</v>
      </c>
      <c r="N118" s="132"/>
      <c r="O118" s="663">
        <f t="shared" si="14"/>
        <v>0</v>
      </c>
      <c r="P118" s="663">
        <f t="shared" si="15"/>
        <v>0</v>
      </c>
    </row>
    <row r="119" spans="2:16">
      <c r="B119" s="9" t="str">
        <f t="shared" si="20"/>
        <v/>
      </c>
      <c r="C119" s="656">
        <f>IF(D93="","-",+C118+1)</f>
        <v>2042</v>
      </c>
      <c r="D119" s="657">
        <f>IF(F118+SUM(E$99:E118)=D$92,F118,D$92-SUM(E$99:E118))</f>
        <v>38857.699999999997</v>
      </c>
      <c r="E119" s="69">
        <f t="shared" si="21"/>
        <v>1690</v>
      </c>
      <c r="F119" s="658">
        <f t="shared" si="22"/>
        <v>37167.699999999997</v>
      </c>
      <c r="G119" s="658">
        <f t="shared" si="23"/>
        <v>38012.699999999997</v>
      </c>
      <c r="H119" s="130">
        <f t="shared" si="24"/>
        <v>5788.1965434973208</v>
      </c>
      <c r="I119" s="139">
        <f t="shared" si="25"/>
        <v>5788.1965434973208</v>
      </c>
      <c r="J119" s="663">
        <f t="shared" si="16"/>
        <v>0</v>
      </c>
      <c r="K119" s="663"/>
      <c r="L119" s="132"/>
      <c r="M119" s="663">
        <f t="shared" si="13"/>
        <v>0</v>
      </c>
      <c r="N119" s="132"/>
      <c r="O119" s="663">
        <f t="shared" si="14"/>
        <v>0</v>
      </c>
      <c r="P119" s="663">
        <f t="shared" si="15"/>
        <v>0</v>
      </c>
    </row>
    <row r="120" spans="2:16">
      <c r="B120" s="9" t="str">
        <f t="shared" si="20"/>
        <v/>
      </c>
      <c r="C120" s="656">
        <f>IF(D93="","-",+C119+1)</f>
        <v>2043</v>
      </c>
      <c r="D120" s="657">
        <f>IF(F119+SUM(E$99:E119)=D$92,F119,D$92-SUM(E$99:E119))</f>
        <v>37167.699999999997</v>
      </c>
      <c r="E120" s="69">
        <f t="shared" si="21"/>
        <v>1690</v>
      </c>
      <c r="F120" s="658">
        <f t="shared" si="22"/>
        <v>35477.699999999997</v>
      </c>
      <c r="G120" s="658">
        <f t="shared" si="23"/>
        <v>36322.699999999997</v>
      </c>
      <c r="H120" s="130">
        <f t="shared" si="24"/>
        <v>5605.9955380830652</v>
      </c>
      <c r="I120" s="139">
        <f t="shared" si="25"/>
        <v>5605.9955380830652</v>
      </c>
      <c r="J120" s="663">
        <f t="shared" si="16"/>
        <v>0</v>
      </c>
      <c r="K120" s="663"/>
      <c r="L120" s="132"/>
      <c r="M120" s="663">
        <f t="shared" si="13"/>
        <v>0</v>
      </c>
      <c r="N120" s="132"/>
      <c r="O120" s="663">
        <f t="shared" si="14"/>
        <v>0</v>
      </c>
      <c r="P120" s="663">
        <f t="shared" si="15"/>
        <v>0</v>
      </c>
    </row>
    <row r="121" spans="2:16">
      <c r="B121" s="9" t="str">
        <f t="shared" si="20"/>
        <v/>
      </c>
      <c r="C121" s="656">
        <f>IF(D93="","-",+C120+1)</f>
        <v>2044</v>
      </c>
      <c r="D121" s="657">
        <f>IF(F120+SUM(E$99:E120)=D$92,F120,D$92-SUM(E$99:E120))</f>
        <v>35477.699999999997</v>
      </c>
      <c r="E121" s="69">
        <f t="shared" si="21"/>
        <v>1690</v>
      </c>
      <c r="F121" s="658">
        <f t="shared" si="22"/>
        <v>33787.699999999997</v>
      </c>
      <c r="G121" s="658">
        <f t="shared" si="23"/>
        <v>34632.699999999997</v>
      </c>
      <c r="H121" s="130">
        <f t="shared" si="24"/>
        <v>5423.7945326688096</v>
      </c>
      <c r="I121" s="139">
        <f t="shared" si="25"/>
        <v>5423.7945326688096</v>
      </c>
      <c r="J121" s="663">
        <f t="shared" si="16"/>
        <v>0</v>
      </c>
      <c r="K121" s="663"/>
      <c r="L121" s="132"/>
      <c r="M121" s="663">
        <f t="shared" si="13"/>
        <v>0</v>
      </c>
      <c r="N121" s="132"/>
      <c r="O121" s="663">
        <f t="shared" si="14"/>
        <v>0</v>
      </c>
      <c r="P121" s="663">
        <f t="shared" si="15"/>
        <v>0</v>
      </c>
    </row>
    <row r="122" spans="2:16">
      <c r="B122" s="9" t="str">
        <f t="shared" si="20"/>
        <v/>
      </c>
      <c r="C122" s="656">
        <f>IF(D93="","-",+C121+1)</f>
        <v>2045</v>
      </c>
      <c r="D122" s="657">
        <f>IF(F121+SUM(E$99:E121)=D$92,F121,D$92-SUM(E$99:E121))</f>
        <v>33787.699999999997</v>
      </c>
      <c r="E122" s="69">
        <f t="shared" si="21"/>
        <v>1690</v>
      </c>
      <c r="F122" s="658">
        <f t="shared" si="22"/>
        <v>32097.699999999997</v>
      </c>
      <c r="G122" s="658">
        <f t="shared" si="23"/>
        <v>32942.699999999997</v>
      </c>
      <c r="H122" s="130">
        <f t="shared" si="24"/>
        <v>5241.5935272545539</v>
      </c>
      <c r="I122" s="139">
        <f t="shared" si="25"/>
        <v>5241.5935272545539</v>
      </c>
      <c r="J122" s="663">
        <f t="shared" si="16"/>
        <v>0</v>
      </c>
      <c r="K122" s="663"/>
      <c r="L122" s="132"/>
      <c r="M122" s="663">
        <f t="shared" si="13"/>
        <v>0</v>
      </c>
      <c r="N122" s="132"/>
      <c r="O122" s="663">
        <f t="shared" si="14"/>
        <v>0</v>
      </c>
      <c r="P122" s="663">
        <f t="shared" si="15"/>
        <v>0</v>
      </c>
    </row>
    <row r="123" spans="2:16">
      <c r="B123" s="9" t="str">
        <f t="shared" si="20"/>
        <v/>
      </c>
      <c r="C123" s="656">
        <f>IF(D93="","-",+C122+1)</f>
        <v>2046</v>
      </c>
      <c r="D123" s="657">
        <f>IF(F122+SUM(E$99:E122)=D$92,F122,D$92-SUM(E$99:E122))</f>
        <v>32097.699999999997</v>
      </c>
      <c r="E123" s="69">
        <f t="shared" si="21"/>
        <v>1690</v>
      </c>
      <c r="F123" s="658">
        <f t="shared" si="22"/>
        <v>30407.699999999997</v>
      </c>
      <c r="G123" s="658">
        <f t="shared" si="23"/>
        <v>31252.699999999997</v>
      </c>
      <c r="H123" s="130">
        <f t="shared" si="24"/>
        <v>5059.3925218402983</v>
      </c>
      <c r="I123" s="139">
        <f t="shared" si="25"/>
        <v>5059.3925218402983</v>
      </c>
      <c r="J123" s="663">
        <f t="shared" si="16"/>
        <v>0</v>
      </c>
      <c r="K123" s="663"/>
      <c r="L123" s="132"/>
      <c r="M123" s="663">
        <f t="shared" si="13"/>
        <v>0</v>
      </c>
      <c r="N123" s="132"/>
      <c r="O123" s="663">
        <f t="shared" si="14"/>
        <v>0</v>
      </c>
      <c r="P123" s="663">
        <f t="shared" si="15"/>
        <v>0</v>
      </c>
    </row>
    <row r="124" spans="2:16">
      <c r="B124" s="9" t="str">
        <f t="shared" si="20"/>
        <v/>
      </c>
      <c r="C124" s="656">
        <f>IF(D93="","-",+C123+1)</f>
        <v>2047</v>
      </c>
      <c r="D124" s="657">
        <f>IF(F123+SUM(E$99:E123)=D$92,F123,D$92-SUM(E$99:E123))</f>
        <v>30407.699999999997</v>
      </c>
      <c r="E124" s="69">
        <f t="shared" si="21"/>
        <v>1690</v>
      </c>
      <c r="F124" s="658">
        <f t="shared" si="22"/>
        <v>28717.699999999997</v>
      </c>
      <c r="G124" s="658">
        <f t="shared" si="23"/>
        <v>29562.699999999997</v>
      </c>
      <c r="H124" s="130">
        <f t="shared" si="24"/>
        <v>4877.1915164260427</v>
      </c>
      <c r="I124" s="139">
        <f t="shared" si="25"/>
        <v>4877.1915164260427</v>
      </c>
      <c r="J124" s="663">
        <f t="shared" si="16"/>
        <v>0</v>
      </c>
      <c r="K124" s="663"/>
      <c r="L124" s="132"/>
      <c r="M124" s="663">
        <f t="shared" si="13"/>
        <v>0</v>
      </c>
      <c r="N124" s="132"/>
      <c r="O124" s="663">
        <f t="shared" si="14"/>
        <v>0</v>
      </c>
      <c r="P124" s="663">
        <f t="shared" si="15"/>
        <v>0</v>
      </c>
    </row>
    <row r="125" spans="2:16">
      <c r="B125" s="9" t="str">
        <f t="shared" si="20"/>
        <v/>
      </c>
      <c r="C125" s="656">
        <f>IF(D93="","-",+C124+1)</f>
        <v>2048</v>
      </c>
      <c r="D125" s="657">
        <f>IF(F124+SUM(E$99:E124)=D$92,F124,D$92-SUM(E$99:E124))</f>
        <v>28717.699999999997</v>
      </c>
      <c r="E125" s="69">
        <f t="shared" si="21"/>
        <v>1690</v>
      </c>
      <c r="F125" s="658">
        <f t="shared" si="22"/>
        <v>27027.699999999997</v>
      </c>
      <c r="G125" s="658">
        <f t="shared" si="23"/>
        <v>27872.699999999997</v>
      </c>
      <c r="H125" s="130">
        <f t="shared" si="24"/>
        <v>4694.990511011787</v>
      </c>
      <c r="I125" s="139">
        <f t="shared" si="25"/>
        <v>4694.990511011787</v>
      </c>
      <c r="J125" s="663">
        <f t="shared" si="16"/>
        <v>0</v>
      </c>
      <c r="K125" s="663"/>
      <c r="L125" s="132"/>
      <c r="M125" s="663">
        <f t="shared" si="13"/>
        <v>0</v>
      </c>
      <c r="N125" s="132"/>
      <c r="O125" s="663">
        <f t="shared" si="14"/>
        <v>0</v>
      </c>
      <c r="P125" s="663">
        <f t="shared" si="15"/>
        <v>0</v>
      </c>
    </row>
    <row r="126" spans="2:16">
      <c r="B126" s="9" t="str">
        <f t="shared" si="20"/>
        <v/>
      </c>
      <c r="C126" s="656">
        <f>IF(D93="","-",+C125+1)</f>
        <v>2049</v>
      </c>
      <c r="D126" s="657">
        <f>IF(F125+SUM(E$99:E125)=D$92,F125,D$92-SUM(E$99:E125))</f>
        <v>27027.699999999997</v>
      </c>
      <c r="E126" s="69">
        <f t="shared" si="21"/>
        <v>1690</v>
      </c>
      <c r="F126" s="658">
        <f t="shared" si="22"/>
        <v>25337.699999999997</v>
      </c>
      <c r="G126" s="658">
        <f t="shared" si="23"/>
        <v>26182.699999999997</v>
      </c>
      <c r="H126" s="130">
        <f t="shared" si="24"/>
        <v>4512.7895055975314</v>
      </c>
      <c r="I126" s="139">
        <f t="shared" si="25"/>
        <v>4512.7895055975314</v>
      </c>
      <c r="J126" s="663">
        <f t="shared" si="16"/>
        <v>0</v>
      </c>
      <c r="K126" s="663"/>
      <c r="L126" s="132"/>
      <c r="M126" s="663">
        <f t="shared" si="13"/>
        <v>0</v>
      </c>
      <c r="N126" s="132"/>
      <c r="O126" s="663">
        <f t="shared" si="14"/>
        <v>0</v>
      </c>
      <c r="P126" s="663">
        <f t="shared" si="15"/>
        <v>0</v>
      </c>
    </row>
    <row r="127" spans="2:16">
      <c r="B127" s="9" t="str">
        <f t="shared" si="20"/>
        <v/>
      </c>
      <c r="C127" s="656">
        <f>IF(D93="","-",+C126+1)</f>
        <v>2050</v>
      </c>
      <c r="D127" s="657">
        <f>IF(F126+SUM(E$99:E126)=D$92,F126,D$92-SUM(E$99:E126))</f>
        <v>25337.699999999997</v>
      </c>
      <c r="E127" s="69">
        <f t="shared" si="21"/>
        <v>1690</v>
      </c>
      <c r="F127" s="658">
        <f t="shared" si="22"/>
        <v>23647.699999999997</v>
      </c>
      <c r="G127" s="658">
        <f t="shared" si="23"/>
        <v>24492.699999999997</v>
      </c>
      <c r="H127" s="130">
        <f t="shared" si="24"/>
        <v>4330.5885001832758</v>
      </c>
      <c r="I127" s="139">
        <f t="shared" si="25"/>
        <v>4330.5885001832758</v>
      </c>
      <c r="J127" s="663">
        <f t="shared" si="16"/>
        <v>0</v>
      </c>
      <c r="K127" s="663"/>
      <c r="L127" s="132"/>
      <c r="M127" s="663">
        <f t="shared" si="13"/>
        <v>0</v>
      </c>
      <c r="N127" s="132"/>
      <c r="O127" s="663">
        <f t="shared" si="14"/>
        <v>0</v>
      </c>
      <c r="P127" s="663">
        <f t="shared" si="15"/>
        <v>0</v>
      </c>
    </row>
    <row r="128" spans="2:16">
      <c r="B128" s="9" t="str">
        <f t="shared" si="20"/>
        <v/>
      </c>
      <c r="C128" s="656">
        <f>IF(D93="","-",+C127+1)</f>
        <v>2051</v>
      </c>
      <c r="D128" s="657">
        <f>IF(F127+SUM(E$99:E127)=D$92,F127,D$92-SUM(E$99:E127))</f>
        <v>23647.699999999997</v>
      </c>
      <c r="E128" s="69">
        <f t="shared" si="21"/>
        <v>1690</v>
      </c>
      <c r="F128" s="658">
        <f t="shared" si="22"/>
        <v>21957.699999999997</v>
      </c>
      <c r="G128" s="658">
        <f t="shared" si="23"/>
        <v>22802.699999999997</v>
      </c>
      <c r="H128" s="130">
        <f t="shared" si="24"/>
        <v>4148.3874947690201</v>
      </c>
      <c r="I128" s="139">
        <f t="shared" si="25"/>
        <v>4148.3874947690201</v>
      </c>
      <c r="J128" s="663">
        <f t="shared" si="16"/>
        <v>0</v>
      </c>
      <c r="K128" s="663"/>
      <c r="L128" s="132"/>
      <c r="M128" s="663">
        <f t="shared" si="13"/>
        <v>0</v>
      </c>
      <c r="N128" s="132"/>
      <c r="O128" s="663">
        <f t="shared" si="14"/>
        <v>0</v>
      </c>
      <c r="P128" s="663">
        <f t="shared" si="15"/>
        <v>0</v>
      </c>
    </row>
    <row r="129" spans="2:16">
      <c r="B129" s="9" t="str">
        <f t="shared" si="20"/>
        <v/>
      </c>
      <c r="C129" s="656">
        <f>IF(D93="","-",+C128+1)</f>
        <v>2052</v>
      </c>
      <c r="D129" s="657">
        <f>IF(F128+SUM(E$99:E128)=D$92,F128,D$92-SUM(E$99:E128))</f>
        <v>21957.699999999997</v>
      </c>
      <c r="E129" s="69">
        <f t="shared" si="21"/>
        <v>1690</v>
      </c>
      <c r="F129" s="658">
        <f t="shared" si="22"/>
        <v>20267.699999999997</v>
      </c>
      <c r="G129" s="658">
        <f t="shared" si="23"/>
        <v>21112.699999999997</v>
      </c>
      <c r="H129" s="130">
        <f t="shared" si="24"/>
        <v>3966.1864893547654</v>
      </c>
      <c r="I129" s="139">
        <f t="shared" si="25"/>
        <v>3966.1864893547654</v>
      </c>
      <c r="J129" s="663">
        <f t="shared" si="16"/>
        <v>0</v>
      </c>
      <c r="K129" s="663"/>
      <c r="L129" s="132"/>
      <c r="M129" s="663">
        <f t="shared" si="13"/>
        <v>0</v>
      </c>
      <c r="N129" s="132"/>
      <c r="O129" s="663">
        <f t="shared" si="14"/>
        <v>0</v>
      </c>
      <c r="P129" s="663">
        <f t="shared" si="15"/>
        <v>0</v>
      </c>
    </row>
    <row r="130" spans="2:16">
      <c r="B130" s="9" t="str">
        <f t="shared" si="20"/>
        <v/>
      </c>
      <c r="C130" s="656">
        <f>IF(D93="","-",+C129+1)</f>
        <v>2053</v>
      </c>
      <c r="D130" s="657">
        <f>IF(F129+SUM(E$99:E129)=D$92,F129,D$92-SUM(E$99:E129))</f>
        <v>20267.699999999997</v>
      </c>
      <c r="E130" s="69">
        <f t="shared" si="21"/>
        <v>1690</v>
      </c>
      <c r="F130" s="658">
        <f t="shared" si="22"/>
        <v>18577.699999999997</v>
      </c>
      <c r="G130" s="658">
        <f t="shared" si="23"/>
        <v>19422.699999999997</v>
      </c>
      <c r="H130" s="130">
        <f t="shared" si="24"/>
        <v>3783.9854839405098</v>
      </c>
      <c r="I130" s="139">
        <f t="shared" si="25"/>
        <v>3783.9854839405098</v>
      </c>
      <c r="J130" s="663">
        <f t="shared" si="16"/>
        <v>0</v>
      </c>
      <c r="K130" s="663"/>
      <c r="L130" s="132"/>
      <c r="M130" s="663">
        <f t="shared" si="13"/>
        <v>0</v>
      </c>
      <c r="N130" s="132"/>
      <c r="O130" s="663">
        <f t="shared" si="14"/>
        <v>0</v>
      </c>
      <c r="P130" s="663">
        <f t="shared" si="15"/>
        <v>0</v>
      </c>
    </row>
    <row r="131" spans="2:16">
      <c r="B131" s="9" t="str">
        <f t="shared" si="20"/>
        <v/>
      </c>
      <c r="C131" s="656">
        <f>IF(D93="","-",+C130+1)</f>
        <v>2054</v>
      </c>
      <c r="D131" s="657">
        <f>IF(F130+SUM(E$99:E130)=D$92,F130,D$92-SUM(E$99:E130))</f>
        <v>18577.699999999997</v>
      </c>
      <c r="E131" s="69">
        <f t="shared" si="21"/>
        <v>1690</v>
      </c>
      <c r="F131" s="658">
        <f t="shared" si="22"/>
        <v>16887.699999999997</v>
      </c>
      <c r="G131" s="658">
        <f t="shared" si="23"/>
        <v>17732.699999999997</v>
      </c>
      <c r="H131" s="130">
        <f t="shared" si="24"/>
        <v>3601.7844785262541</v>
      </c>
      <c r="I131" s="139">
        <f t="shared" si="25"/>
        <v>3601.7844785262541</v>
      </c>
      <c r="J131" s="663">
        <f t="shared" ref="J131:J154" si="26">+I541-H541</f>
        <v>0</v>
      </c>
      <c r="K131" s="663"/>
      <c r="L131" s="132"/>
      <c r="M131" s="663">
        <f t="shared" ref="M131:M154" si="27">IF(L541&lt;&gt;0,+H541-L541,0)</f>
        <v>0</v>
      </c>
      <c r="N131" s="132"/>
      <c r="O131" s="663">
        <f t="shared" ref="O131:O154" si="28">IF(N541&lt;&gt;0,+I541-N541,0)</f>
        <v>0</v>
      </c>
      <c r="P131" s="663">
        <f t="shared" ref="P131:P154" si="29">+O541-M541</f>
        <v>0</v>
      </c>
    </row>
    <row r="132" spans="2:16">
      <c r="B132" s="9" t="str">
        <f t="shared" si="20"/>
        <v/>
      </c>
      <c r="C132" s="656">
        <f>IF(D93="","-",+C131+1)</f>
        <v>2055</v>
      </c>
      <c r="D132" s="657">
        <f>IF(F131+SUM(E$99:E131)=D$92,F131,D$92-SUM(E$99:E131))</f>
        <v>16887.699999999997</v>
      </c>
      <c r="E132" s="69">
        <f t="shared" si="21"/>
        <v>1690</v>
      </c>
      <c r="F132" s="658">
        <f t="shared" si="22"/>
        <v>15197.699999999997</v>
      </c>
      <c r="G132" s="658">
        <f t="shared" si="23"/>
        <v>16042.699999999997</v>
      </c>
      <c r="H132" s="130">
        <f t="shared" si="24"/>
        <v>3419.5834731119985</v>
      </c>
      <c r="I132" s="139">
        <f t="shared" si="25"/>
        <v>3419.5834731119985</v>
      </c>
      <c r="J132" s="663">
        <f t="shared" si="26"/>
        <v>0</v>
      </c>
      <c r="K132" s="663"/>
      <c r="L132" s="132"/>
      <c r="M132" s="663">
        <f t="shared" si="27"/>
        <v>0</v>
      </c>
      <c r="N132" s="132"/>
      <c r="O132" s="663">
        <f t="shared" si="28"/>
        <v>0</v>
      </c>
      <c r="P132" s="663">
        <f t="shared" si="29"/>
        <v>0</v>
      </c>
    </row>
    <row r="133" spans="2:16">
      <c r="B133" s="9" t="str">
        <f t="shared" si="20"/>
        <v/>
      </c>
      <c r="C133" s="656">
        <f>IF(D93="","-",+C132+1)</f>
        <v>2056</v>
      </c>
      <c r="D133" s="657">
        <f>IF(F132+SUM(E$99:E132)=D$92,F132,D$92-SUM(E$99:E132))</f>
        <v>15197.699999999997</v>
      </c>
      <c r="E133" s="69">
        <f t="shared" si="21"/>
        <v>1690</v>
      </c>
      <c r="F133" s="658">
        <f t="shared" si="22"/>
        <v>13507.699999999997</v>
      </c>
      <c r="G133" s="658">
        <f t="shared" si="23"/>
        <v>14352.699999999997</v>
      </c>
      <c r="H133" s="130">
        <f t="shared" si="24"/>
        <v>3237.3824676977429</v>
      </c>
      <c r="I133" s="139">
        <f t="shared" si="25"/>
        <v>3237.3824676977429</v>
      </c>
      <c r="J133" s="663">
        <f t="shared" si="26"/>
        <v>0</v>
      </c>
      <c r="K133" s="663"/>
      <c r="L133" s="132"/>
      <c r="M133" s="663">
        <f t="shared" si="27"/>
        <v>0</v>
      </c>
      <c r="N133" s="132"/>
      <c r="O133" s="663">
        <f t="shared" si="28"/>
        <v>0</v>
      </c>
      <c r="P133" s="663">
        <f t="shared" si="29"/>
        <v>0</v>
      </c>
    </row>
    <row r="134" spans="2:16">
      <c r="B134" s="9" t="str">
        <f t="shared" si="20"/>
        <v/>
      </c>
      <c r="C134" s="656">
        <f>IF(D93="","-",+C133+1)</f>
        <v>2057</v>
      </c>
      <c r="D134" s="657">
        <f>IF(F133+SUM(E$99:E133)=D$92,F133,D$92-SUM(E$99:E133))</f>
        <v>13507.699999999997</v>
      </c>
      <c r="E134" s="69">
        <f t="shared" si="21"/>
        <v>1690</v>
      </c>
      <c r="F134" s="658">
        <f t="shared" si="22"/>
        <v>11817.699999999997</v>
      </c>
      <c r="G134" s="658">
        <f t="shared" si="23"/>
        <v>12662.699999999997</v>
      </c>
      <c r="H134" s="130">
        <f t="shared" si="24"/>
        <v>3055.1814622834872</v>
      </c>
      <c r="I134" s="139">
        <f t="shared" si="25"/>
        <v>3055.1814622834872</v>
      </c>
      <c r="J134" s="663">
        <f t="shared" si="26"/>
        <v>0</v>
      </c>
      <c r="K134" s="663"/>
      <c r="L134" s="132"/>
      <c r="M134" s="663">
        <f t="shared" si="27"/>
        <v>0</v>
      </c>
      <c r="N134" s="132"/>
      <c r="O134" s="663">
        <f t="shared" si="28"/>
        <v>0</v>
      </c>
      <c r="P134" s="663">
        <f t="shared" si="29"/>
        <v>0</v>
      </c>
    </row>
    <row r="135" spans="2:16">
      <c r="B135" s="9" t="str">
        <f t="shared" si="20"/>
        <v/>
      </c>
      <c r="C135" s="656">
        <f>IF(D93="","-",+C134+1)</f>
        <v>2058</v>
      </c>
      <c r="D135" s="657">
        <f>IF(F134+SUM(E$99:E134)=D$92,F134,D$92-SUM(E$99:E134))</f>
        <v>11817.699999999997</v>
      </c>
      <c r="E135" s="69">
        <f t="shared" si="21"/>
        <v>1690</v>
      </c>
      <c r="F135" s="658">
        <f t="shared" si="22"/>
        <v>10127.699999999997</v>
      </c>
      <c r="G135" s="658">
        <f t="shared" si="23"/>
        <v>10972.699999999997</v>
      </c>
      <c r="H135" s="130">
        <f t="shared" si="24"/>
        <v>2872.9804568692316</v>
      </c>
      <c r="I135" s="139">
        <f t="shared" si="25"/>
        <v>2872.9804568692316</v>
      </c>
      <c r="J135" s="663">
        <f t="shared" si="26"/>
        <v>0</v>
      </c>
      <c r="K135" s="663"/>
      <c r="L135" s="132"/>
      <c r="M135" s="663">
        <f t="shared" si="27"/>
        <v>0</v>
      </c>
      <c r="N135" s="132"/>
      <c r="O135" s="663">
        <f t="shared" si="28"/>
        <v>0</v>
      </c>
      <c r="P135" s="663">
        <f t="shared" si="29"/>
        <v>0</v>
      </c>
    </row>
    <row r="136" spans="2:16">
      <c r="B136" s="9" t="str">
        <f t="shared" si="20"/>
        <v/>
      </c>
      <c r="C136" s="656">
        <f>IF(D93="","-",+C135+1)</f>
        <v>2059</v>
      </c>
      <c r="D136" s="657">
        <f>IF(F135+SUM(E$99:E135)=D$92,F135,D$92-SUM(E$99:E135))</f>
        <v>10127.699999999997</v>
      </c>
      <c r="E136" s="69">
        <f t="shared" si="21"/>
        <v>1690</v>
      </c>
      <c r="F136" s="658">
        <f t="shared" si="22"/>
        <v>8437.6999999999971</v>
      </c>
      <c r="G136" s="658">
        <f t="shared" si="23"/>
        <v>9282.6999999999971</v>
      </c>
      <c r="H136" s="130">
        <f t="shared" si="24"/>
        <v>2690.779451454976</v>
      </c>
      <c r="I136" s="139">
        <f t="shared" si="25"/>
        <v>2690.779451454976</v>
      </c>
      <c r="J136" s="663">
        <f t="shared" si="26"/>
        <v>0</v>
      </c>
      <c r="K136" s="663"/>
      <c r="L136" s="132"/>
      <c r="M136" s="663">
        <f t="shared" si="27"/>
        <v>0</v>
      </c>
      <c r="N136" s="132"/>
      <c r="O136" s="663">
        <f t="shared" si="28"/>
        <v>0</v>
      </c>
      <c r="P136" s="663">
        <f t="shared" si="29"/>
        <v>0</v>
      </c>
    </row>
    <row r="137" spans="2:16">
      <c r="B137" s="9" t="str">
        <f t="shared" si="20"/>
        <v/>
      </c>
      <c r="C137" s="656">
        <f>IF(D93="","-",+C136+1)</f>
        <v>2060</v>
      </c>
      <c r="D137" s="657">
        <f>IF(F136+SUM(E$99:E136)=D$92,F136,D$92-SUM(E$99:E136))</f>
        <v>8437.6999999999971</v>
      </c>
      <c r="E137" s="69">
        <f t="shared" si="21"/>
        <v>1690</v>
      </c>
      <c r="F137" s="658">
        <f t="shared" si="22"/>
        <v>6747.6999999999971</v>
      </c>
      <c r="G137" s="658">
        <f t="shared" si="23"/>
        <v>7592.6999999999971</v>
      </c>
      <c r="H137" s="130">
        <f t="shared" si="24"/>
        <v>2508.5784460407203</v>
      </c>
      <c r="I137" s="139">
        <f t="shared" si="25"/>
        <v>2508.5784460407203</v>
      </c>
      <c r="J137" s="663">
        <f t="shared" si="26"/>
        <v>0</v>
      </c>
      <c r="K137" s="663"/>
      <c r="L137" s="132"/>
      <c r="M137" s="663">
        <f t="shared" si="27"/>
        <v>0</v>
      </c>
      <c r="N137" s="132"/>
      <c r="O137" s="663">
        <f t="shared" si="28"/>
        <v>0</v>
      </c>
      <c r="P137" s="663">
        <f t="shared" si="29"/>
        <v>0</v>
      </c>
    </row>
    <row r="138" spans="2:16">
      <c r="B138" s="9" t="str">
        <f t="shared" si="20"/>
        <v/>
      </c>
      <c r="C138" s="656">
        <f>IF(D93="","-",+C137+1)</f>
        <v>2061</v>
      </c>
      <c r="D138" s="657">
        <f>IF(F137+SUM(E$99:E137)=D$92,F137,D$92-SUM(E$99:E137))</f>
        <v>6747.6999999999971</v>
      </c>
      <c r="E138" s="69">
        <f t="shared" si="21"/>
        <v>1690</v>
      </c>
      <c r="F138" s="658">
        <f t="shared" si="22"/>
        <v>5057.6999999999971</v>
      </c>
      <c r="G138" s="658">
        <f t="shared" si="23"/>
        <v>5902.6999999999971</v>
      </c>
      <c r="H138" s="130">
        <f t="shared" si="24"/>
        <v>2326.3774406264652</v>
      </c>
      <c r="I138" s="139">
        <f t="shared" si="25"/>
        <v>2326.3774406264652</v>
      </c>
      <c r="J138" s="663">
        <f t="shared" si="26"/>
        <v>0</v>
      </c>
      <c r="K138" s="663"/>
      <c r="L138" s="132"/>
      <c r="M138" s="663">
        <f t="shared" si="27"/>
        <v>0</v>
      </c>
      <c r="N138" s="132"/>
      <c r="O138" s="663">
        <f t="shared" si="28"/>
        <v>0</v>
      </c>
      <c r="P138" s="663">
        <f t="shared" si="29"/>
        <v>0</v>
      </c>
    </row>
    <row r="139" spans="2:16">
      <c r="B139" s="9" t="str">
        <f t="shared" si="20"/>
        <v/>
      </c>
      <c r="C139" s="656">
        <f>IF(D93="","-",+C138+1)</f>
        <v>2062</v>
      </c>
      <c r="D139" s="657">
        <f>IF(F138+SUM(E$99:E138)=D$92,F138,D$92-SUM(E$99:E138))</f>
        <v>5057.6999999999971</v>
      </c>
      <c r="E139" s="69">
        <f t="shared" si="21"/>
        <v>1690</v>
      </c>
      <c r="F139" s="658">
        <f t="shared" si="22"/>
        <v>3367.6999999999971</v>
      </c>
      <c r="G139" s="658">
        <f t="shared" si="23"/>
        <v>4212.6999999999971</v>
      </c>
      <c r="H139" s="130">
        <f t="shared" si="24"/>
        <v>2144.1764352122095</v>
      </c>
      <c r="I139" s="139">
        <f t="shared" si="25"/>
        <v>2144.1764352122095</v>
      </c>
      <c r="J139" s="663">
        <f t="shared" si="26"/>
        <v>0</v>
      </c>
      <c r="K139" s="663"/>
      <c r="L139" s="132"/>
      <c r="M139" s="663">
        <f t="shared" si="27"/>
        <v>0</v>
      </c>
      <c r="N139" s="132"/>
      <c r="O139" s="663">
        <f t="shared" si="28"/>
        <v>0</v>
      </c>
      <c r="P139" s="663">
        <f t="shared" si="29"/>
        <v>0</v>
      </c>
    </row>
    <row r="140" spans="2:16">
      <c r="B140" s="9" t="str">
        <f t="shared" si="20"/>
        <v/>
      </c>
      <c r="C140" s="656">
        <f>IF(D93="","-",+C139+1)</f>
        <v>2063</v>
      </c>
      <c r="D140" s="657">
        <f>IF(F139+SUM(E$99:E139)=D$92,F139,D$92-SUM(E$99:E139))</f>
        <v>3367.6999999999971</v>
      </c>
      <c r="E140" s="69">
        <f t="shared" si="21"/>
        <v>1690</v>
      </c>
      <c r="F140" s="658">
        <f t="shared" si="22"/>
        <v>1677.6999999999971</v>
      </c>
      <c r="G140" s="658">
        <f t="shared" si="23"/>
        <v>2522.6999999999971</v>
      </c>
      <c r="H140" s="130">
        <f t="shared" si="24"/>
        <v>1961.9754297979539</v>
      </c>
      <c r="I140" s="139">
        <f t="shared" si="25"/>
        <v>1961.9754297979539</v>
      </c>
      <c r="J140" s="663">
        <f t="shared" si="26"/>
        <v>0</v>
      </c>
      <c r="K140" s="663"/>
      <c r="L140" s="132"/>
      <c r="M140" s="663">
        <f t="shared" si="27"/>
        <v>0</v>
      </c>
      <c r="N140" s="132"/>
      <c r="O140" s="663">
        <f t="shared" si="28"/>
        <v>0</v>
      </c>
      <c r="P140" s="663">
        <f t="shared" si="29"/>
        <v>0</v>
      </c>
    </row>
    <row r="141" spans="2:16">
      <c r="B141" s="9" t="str">
        <f t="shared" si="20"/>
        <v/>
      </c>
      <c r="C141" s="656">
        <f>IF(D93="","-",+C140+1)</f>
        <v>2064</v>
      </c>
      <c r="D141" s="657">
        <f>IF(F140+SUM(E$99:E140)=D$92,F140,D$92-SUM(E$99:E140))</f>
        <v>1677.6999999999971</v>
      </c>
      <c r="E141" s="69">
        <f t="shared" si="21"/>
        <v>1677.6999999999971</v>
      </c>
      <c r="F141" s="658">
        <f t="shared" si="22"/>
        <v>0</v>
      </c>
      <c r="G141" s="658">
        <f t="shared" si="23"/>
        <v>838.84999999999854</v>
      </c>
      <c r="H141" s="130">
        <f t="shared" si="24"/>
        <v>1768.1374635454101</v>
      </c>
      <c r="I141" s="139">
        <f t="shared" si="25"/>
        <v>1768.1374635454101</v>
      </c>
      <c r="J141" s="663">
        <f t="shared" si="26"/>
        <v>0</v>
      </c>
      <c r="K141" s="663"/>
      <c r="L141" s="132"/>
      <c r="M141" s="663">
        <f t="shared" si="27"/>
        <v>0</v>
      </c>
      <c r="N141" s="132"/>
      <c r="O141" s="663">
        <f t="shared" si="28"/>
        <v>0</v>
      </c>
      <c r="P141" s="663">
        <f t="shared" si="29"/>
        <v>0</v>
      </c>
    </row>
    <row r="142" spans="2:16">
      <c r="B142" s="9" t="str">
        <f t="shared" si="20"/>
        <v/>
      </c>
      <c r="C142" s="656">
        <f>IF(D93="","-",+C141+1)</f>
        <v>2065</v>
      </c>
      <c r="D142" s="657">
        <f>IF(F141+SUM(E$99:E141)=D$92,F141,D$92-SUM(E$99:E141))</f>
        <v>0</v>
      </c>
      <c r="E142" s="69">
        <f t="shared" si="21"/>
        <v>0</v>
      </c>
      <c r="F142" s="658">
        <f t="shared" si="22"/>
        <v>0</v>
      </c>
      <c r="G142" s="658">
        <f t="shared" si="23"/>
        <v>0</v>
      </c>
      <c r="H142" s="130">
        <f t="shared" si="24"/>
        <v>0</v>
      </c>
      <c r="I142" s="139">
        <f t="shared" si="25"/>
        <v>0</v>
      </c>
      <c r="J142" s="663">
        <f t="shared" si="26"/>
        <v>0</v>
      </c>
      <c r="K142" s="663"/>
      <c r="L142" s="132"/>
      <c r="M142" s="663">
        <f t="shared" si="27"/>
        <v>0</v>
      </c>
      <c r="N142" s="132"/>
      <c r="O142" s="663">
        <f t="shared" si="28"/>
        <v>0</v>
      </c>
      <c r="P142" s="663">
        <f t="shared" si="29"/>
        <v>0</v>
      </c>
    </row>
    <row r="143" spans="2:16">
      <c r="B143" s="9" t="str">
        <f t="shared" si="20"/>
        <v/>
      </c>
      <c r="C143" s="656">
        <f>IF(D93="","-",+C142+1)</f>
        <v>2066</v>
      </c>
      <c r="D143" s="657">
        <f>IF(F142+SUM(E$99:E142)=D$92,F142,D$92-SUM(E$99:E142))</f>
        <v>0</v>
      </c>
      <c r="E143" s="69">
        <f t="shared" si="21"/>
        <v>0</v>
      </c>
      <c r="F143" s="658">
        <f t="shared" si="22"/>
        <v>0</v>
      </c>
      <c r="G143" s="658">
        <f t="shared" si="23"/>
        <v>0</v>
      </c>
      <c r="H143" s="130">
        <f t="shared" si="24"/>
        <v>0</v>
      </c>
      <c r="I143" s="139">
        <f t="shared" si="25"/>
        <v>0</v>
      </c>
      <c r="J143" s="663">
        <f t="shared" si="26"/>
        <v>0</v>
      </c>
      <c r="K143" s="663"/>
      <c r="L143" s="132"/>
      <c r="M143" s="663">
        <f t="shared" si="27"/>
        <v>0</v>
      </c>
      <c r="N143" s="132"/>
      <c r="O143" s="663">
        <f t="shared" si="28"/>
        <v>0</v>
      </c>
      <c r="P143" s="663">
        <f t="shared" si="29"/>
        <v>0</v>
      </c>
    </row>
    <row r="144" spans="2:16">
      <c r="B144" s="9" t="str">
        <f t="shared" si="20"/>
        <v/>
      </c>
      <c r="C144" s="656">
        <f>IF(D93="","-",+C143+1)</f>
        <v>2067</v>
      </c>
      <c r="D144" s="657">
        <f>IF(F143+SUM(E$99:E143)=D$92,F143,D$92-SUM(E$99:E143))</f>
        <v>0</v>
      </c>
      <c r="E144" s="69">
        <f t="shared" si="21"/>
        <v>0</v>
      </c>
      <c r="F144" s="658">
        <f t="shared" si="22"/>
        <v>0</v>
      </c>
      <c r="G144" s="658">
        <f t="shared" si="23"/>
        <v>0</v>
      </c>
      <c r="H144" s="130">
        <f t="shared" si="24"/>
        <v>0</v>
      </c>
      <c r="I144" s="139">
        <f t="shared" si="25"/>
        <v>0</v>
      </c>
      <c r="J144" s="663">
        <f t="shared" si="26"/>
        <v>0</v>
      </c>
      <c r="K144" s="663"/>
      <c r="L144" s="132"/>
      <c r="M144" s="663">
        <f t="shared" si="27"/>
        <v>0</v>
      </c>
      <c r="N144" s="132"/>
      <c r="O144" s="663">
        <f t="shared" si="28"/>
        <v>0</v>
      </c>
      <c r="P144" s="663">
        <f t="shared" si="29"/>
        <v>0</v>
      </c>
    </row>
    <row r="145" spans="2:16">
      <c r="B145" s="9" t="str">
        <f t="shared" si="20"/>
        <v/>
      </c>
      <c r="C145" s="656">
        <f>IF(D93="","-",+C144+1)</f>
        <v>2068</v>
      </c>
      <c r="D145" s="657">
        <f>IF(F144+SUM(E$99:E144)=D$92,F144,D$92-SUM(E$99:E144))</f>
        <v>0</v>
      </c>
      <c r="E145" s="69">
        <f t="shared" si="21"/>
        <v>0</v>
      </c>
      <c r="F145" s="658">
        <f t="shared" si="22"/>
        <v>0</v>
      </c>
      <c r="G145" s="658">
        <f t="shared" si="23"/>
        <v>0</v>
      </c>
      <c r="H145" s="130">
        <f t="shared" si="24"/>
        <v>0</v>
      </c>
      <c r="I145" s="139">
        <f t="shared" si="25"/>
        <v>0</v>
      </c>
      <c r="J145" s="663">
        <f t="shared" si="26"/>
        <v>0</v>
      </c>
      <c r="K145" s="663"/>
      <c r="L145" s="132"/>
      <c r="M145" s="663">
        <f t="shared" si="27"/>
        <v>0</v>
      </c>
      <c r="N145" s="132"/>
      <c r="O145" s="663">
        <f t="shared" si="28"/>
        <v>0</v>
      </c>
      <c r="P145" s="663">
        <f t="shared" si="29"/>
        <v>0</v>
      </c>
    </row>
    <row r="146" spans="2:16">
      <c r="B146" s="9" t="str">
        <f t="shared" si="20"/>
        <v/>
      </c>
      <c r="C146" s="656">
        <f>IF(D93="","-",+C145+1)</f>
        <v>2069</v>
      </c>
      <c r="D146" s="657">
        <f>IF(F145+SUM(E$99:E145)=D$92,F145,D$92-SUM(E$99:E145))</f>
        <v>0</v>
      </c>
      <c r="E146" s="69">
        <f t="shared" si="21"/>
        <v>0</v>
      </c>
      <c r="F146" s="658">
        <f t="shared" si="22"/>
        <v>0</v>
      </c>
      <c r="G146" s="658">
        <f t="shared" si="23"/>
        <v>0</v>
      </c>
      <c r="H146" s="130">
        <f t="shared" si="24"/>
        <v>0</v>
      </c>
      <c r="I146" s="139">
        <f t="shared" si="25"/>
        <v>0</v>
      </c>
      <c r="J146" s="663">
        <f t="shared" si="26"/>
        <v>0</v>
      </c>
      <c r="K146" s="663"/>
      <c r="L146" s="132"/>
      <c r="M146" s="663">
        <f t="shared" si="27"/>
        <v>0</v>
      </c>
      <c r="N146" s="132"/>
      <c r="O146" s="663">
        <f t="shared" si="28"/>
        <v>0</v>
      </c>
      <c r="P146" s="663">
        <f t="shared" si="29"/>
        <v>0</v>
      </c>
    </row>
    <row r="147" spans="2:16">
      <c r="B147" s="9" t="str">
        <f t="shared" si="20"/>
        <v/>
      </c>
      <c r="C147" s="656">
        <f>IF(D93="","-",+C146+1)</f>
        <v>2070</v>
      </c>
      <c r="D147" s="657">
        <f>IF(F146+SUM(E$99:E146)=D$92,F146,D$92-SUM(E$99:E146))</f>
        <v>0</v>
      </c>
      <c r="E147" s="69">
        <f t="shared" si="21"/>
        <v>0</v>
      </c>
      <c r="F147" s="658">
        <f t="shared" si="22"/>
        <v>0</v>
      </c>
      <c r="G147" s="658">
        <f t="shared" si="23"/>
        <v>0</v>
      </c>
      <c r="H147" s="130">
        <f t="shared" si="24"/>
        <v>0</v>
      </c>
      <c r="I147" s="139">
        <f t="shared" si="25"/>
        <v>0</v>
      </c>
      <c r="J147" s="663">
        <f t="shared" si="26"/>
        <v>0</v>
      </c>
      <c r="K147" s="663"/>
      <c r="L147" s="132"/>
      <c r="M147" s="663">
        <f t="shared" si="27"/>
        <v>0</v>
      </c>
      <c r="N147" s="132"/>
      <c r="O147" s="663">
        <f t="shared" si="28"/>
        <v>0</v>
      </c>
      <c r="P147" s="663">
        <f t="shared" si="29"/>
        <v>0</v>
      </c>
    </row>
    <row r="148" spans="2:16">
      <c r="B148" s="9" t="str">
        <f t="shared" si="20"/>
        <v/>
      </c>
      <c r="C148" s="656">
        <f>IF(D93="","-",+C147+1)</f>
        <v>2071</v>
      </c>
      <c r="D148" s="657">
        <f>IF(F147+SUM(E$99:E147)=D$92,F147,D$92-SUM(E$99:E147))</f>
        <v>0</v>
      </c>
      <c r="E148" s="69">
        <f t="shared" si="21"/>
        <v>0</v>
      </c>
      <c r="F148" s="658">
        <f t="shared" si="22"/>
        <v>0</v>
      </c>
      <c r="G148" s="658">
        <f t="shared" si="23"/>
        <v>0</v>
      </c>
      <c r="H148" s="130">
        <f t="shared" si="24"/>
        <v>0</v>
      </c>
      <c r="I148" s="139">
        <f t="shared" si="25"/>
        <v>0</v>
      </c>
      <c r="J148" s="663">
        <f t="shared" si="26"/>
        <v>0</v>
      </c>
      <c r="K148" s="663"/>
      <c r="L148" s="132"/>
      <c r="M148" s="663">
        <f t="shared" si="27"/>
        <v>0</v>
      </c>
      <c r="N148" s="132"/>
      <c r="O148" s="663">
        <f t="shared" si="28"/>
        <v>0</v>
      </c>
      <c r="P148" s="663">
        <f t="shared" si="29"/>
        <v>0</v>
      </c>
    </row>
    <row r="149" spans="2:16">
      <c r="B149" s="9" t="str">
        <f t="shared" si="20"/>
        <v/>
      </c>
      <c r="C149" s="656">
        <f>IF(D93="","-",+C148+1)</f>
        <v>2072</v>
      </c>
      <c r="D149" s="657">
        <f>IF(F148+SUM(E$99:E148)=D$92,F148,D$92-SUM(E$99:E148))</f>
        <v>0</v>
      </c>
      <c r="E149" s="69">
        <f t="shared" si="21"/>
        <v>0</v>
      </c>
      <c r="F149" s="658">
        <f t="shared" si="22"/>
        <v>0</v>
      </c>
      <c r="G149" s="658">
        <f t="shared" si="23"/>
        <v>0</v>
      </c>
      <c r="H149" s="130">
        <f t="shared" si="24"/>
        <v>0</v>
      </c>
      <c r="I149" s="139">
        <f t="shared" si="25"/>
        <v>0</v>
      </c>
      <c r="J149" s="663">
        <f t="shared" si="26"/>
        <v>0</v>
      </c>
      <c r="K149" s="663"/>
      <c r="L149" s="132"/>
      <c r="M149" s="663">
        <f t="shared" si="27"/>
        <v>0</v>
      </c>
      <c r="N149" s="132"/>
      <c r="O149" s="663">
        <f t="shared" si="28"/>
        <v>0</v>
      </c>
      <c r="P149" s="663">
        <f t="shared" si="29"/>
        <v>0</v>
      </c>
    </row>
    <row r="150" spans="2:16">
      <c r="B150" s="9" t="str">
        <f t="shared" si="20"/>
        <v/>
      </c>
      <c r="C150" s="656">
        <f>IF(D93="","-",+C149+1)</f>
        <v>2073</v>
      </c>
      <c r="D150" s="657">
        <f>IF(F149+SUM(E$99:E149)=D$92,F149,D$92-SUM(E$99:E149))</f>
        <v>0</v>
      </c>
      <c r="E150" s="69">
        <f t="shared" si="21"/>
        <v>0</v>
      </c>
      <c r="F150" s="658">
        <f t="shared" si="22"/>
        <v>0</v>
      </c>
      <c r="G150" s="658">
        <f t="shared" si="23"/>
        <v>0</v>
      </c>
      <c r="H150" s="130">
        <f t="shared" si="24"/>
        <v>0</v>
      </c>
      <c r="I150" s="139">
        <f t="shared" si="25"/>
        <v>0</v>
      </c>
      <c r="J150" s="663">
        <f t="shared" si="26"/>
        <v>0</v>
      </c>
      <c r="K150" s="663"/>
      <c r="L150" s="132"/>
      <c r="M150" s="663">
        <f t="shared" si="27"/>
        <v>0</v>
      </c>
      <c r="N150" s="132"/>
      <c r="O150" s="663">
        <f t="shared" si="28"/>
        <v>0</v>
      </c>
      <c r="P150" s="663">
        <f t="shared" si="29"/>
        <v>0</v>
      </c>
    </row>
    <row r="151" spans="2:16">
      <c r="B151" s="9" t="str">
        <f t="shared" si="20"/>
        <v/>
      </c>
      <c r="C151" s="656">
        <f>IF(D93="","-",+C150+1)</f>
        <v>2074</v>
      </c>
      <c r="D151" s="657">
        <f>IF(F150+SUM(E$99:E150)=D$92,F150,D$92-SUM(E$99:E150))</f>
        <v>0</v>
      </c>
      <c r="E151" s="69">
        <f t="shared" si="21"/>
        <v>0</v>
      </c>
      <c r="F151" s="658">
        <f t="shared" si="22"/>
        <v>0</v>
      </c>
      <c r="G151" s="658">
        <f t="shared" si="23"/>
        <v>0</v>
      </c>
      <c r="H151" s="130">
        <f t="shared" si="24"/>
        <v>0</v>
      </c>
      <c r="I151" s="139">
        <f t="shared" si="25"/>
        <v>0</v>
      </c>
      <c r="J151" s="663">
        <f t="shared" si="26"/>
        <v>0</v>
      </c>
      <c r="K151" s="663"/>
      <c r="L151" s="132"/>
      <c r="M151" s="663">
        <f t="shared" si="27"/>
        <v>0</v>
      </c>
      <c r="N151" s="132"/>
      <c r="O151" s="663">
        <f t="shared" si="28"/>
        <v>0</v>
      </c>
      <c r="P151" s="663">
        <f t="shared" si="29"/>
        <v>0</v>
      </c>
    </row>
    <row r="152" spans="2:16">
      <c r="B152" s="9" t="str">
        <f t="shared" si="20"/>
        <v/>
      </c>
      <c r="C152" s="656">
        <f>IF(D93="","-",+C151+1)</f>
        <v>2075</v>
      </c>
      <c r="D152" s="657">
        <f>IF(F151+SUM(E$99:E151)=D$92,F151,D$92-SUM(E$99:E151))</f>
        <v>0</v>
      </c>
      <c r="E152" s="69">
        <f t="shared" si="21"/>
        <v>0</v>
      </c>
      <c r="F152" s="658">
        <f t="shared" si="22"/>
        <v>0</v>
      </c>
      <c r="G152" s="658">
        <f t="shared" si="23"/>
        <v>0</v>
      </c>
      <c r="H152" s="130">
        <f t="shared" si="24"/>
        <v>0</v>
      </c>
      <c r="I152" s="139">
        <f t="shared" si="25"/>
        <v>0</v>
      </c>
      <c r="J152" s="663">
        <f t="shared" si="26"/>
        <v>0</v>
      </c>
      <c r="K152" s="663"/>
      <c r="L152" s="132"/>
      <c r="M152" s="663">
        <f t="shared" si="27"/>
        <v>0</v>
      </c>
      <c r="N152" s="132"/>
      <c r="O152" s="663">
        <f t="shared" si="28"/>
        <v>0</v>
      </c>
      <c r="P152" s="663">
        <f t="shared" si="29"/>
        <v>0</v>
      </c>
    </row>
    <row r="153" spans="2:16">
      <c r="B153" s="9" t="str">
        <f t="shared" si="20"/>
        <v/>
      </c>
      <c r="C153" s="656">
        <f>IF(D93="","-",+C152+1)</f>
        <v>2076</v>
      </c>
      <c r="D153" s="657">
        <f>IF(F152+SUM(E$99:E152)=D$92,F152,D$92-SUM(E$99:E152))</f>
        <v>0</v>
      </c>
      <c r="E153" s="69">
        <f t="shared" si="21"/>
        <v>0</v>
      </c>
      <c r="F153" s="658">
        <f t="shared" si="22"/>
        <v>0</v>
      </c>
      <c r="G153" s="658">
        <f t="shared" si="23"/>
        <v>0</v>
      </c>
      <c r="H153" s="130">
        <f t="shared" si="24"/>
        <v>0</v>
      </c>
      <c r="I153" s="139">
        <f t="shared" si="25"/>
        <v>0</v>
      </c>
      <c r="J153" s="663">
        <f t="shared" si="26"/>
        <v>0</v>
      </c>
      <c r="K153" s="663"/>
      <c r="L153" s="132"/>
      <c r="M153" s="663">
        <f t="shared" si="27"/>
        <v>0</v>
      </c>
      <c r="N153" s="132"/>
      <c r="O153" s="663">
        <f t="shared" si="28"/>
        <v>0</v>
      </c>
      <c r="P153" s="663">
        <f t="shared" si="29"/>
        <v>0</v>
      </c>
    </row>
    <row r="154" spans="2:16" ht="13" thickBot="1">
      <c r="B154" s="9" t="str">
        <f t="shared" si="20"/>
        <v/>
      </c>
      <c r="C154" s="665">
        <f>IF(D93="","-",+C153+1)</f>
        <v>2077</v>
      </c>
      <c r="D154" s="690">
        <f>IF(F153+SUM(E$99:E153)=D$92,F153,D$92-SUM(E$99:E153))</f>
        <v>0</v>
      </c>
      <c r="E154" s="74">
        <f t="shared" si="21"/>
        <v>0</v>
      </c>
      <c r="F154" s="666">
        <f t="shared" si="22"/>
        <v>0</v>
      </c>
      <c r="G154" s="666">
        <f t="shared" si="23"/>
        <v>0</v>
      </c>
      <c r="H154" s="140">
        <f t="shared" si="24"/>
        <v>0</v>
      </c>
      <c r="I154" s="141">
        <f t="shared" si="25"/>
        <v>0</v>
      </c>
      <c r="J154" s="669">
        <f t="shared" si="26"/>
        <v>0</v>
      </c>
      <c r="K154" s="663"/>
      <c r="L154" s="133"/>
      <c r="M154" s="669">
        <f t="shared" si="27"/>
        <v>0</v>
      </c>
      <c r="N154" s="133"/>
      <c r="O154" s="669">
        <f t="shared" si="28"/>
        <v>0</v>
      </c>
      <c r="P154" s="669">
        <f t="shared" si="29"/>
        <v>0</v>
      </c>
    </row>
    <row r="155" spans="2:16">
      <c r="C155" s="657" t="s">
        <v>77</v>
      </c>
      <c r="D155" s="636"/>
      <c r="E155" s="636">
        <f>SUM(E99:E154)</f>
        <v>70967.7</v>
      </c>
      <c r="F155" s="636"/>
      <c r="G155" s="636"/>
      <c r="H155" s="636">
        <f>SUM(H99:H154)</f>
        <v>235439.52877117554</v>
      </c>
      <c r="I155" s="636">
        <f>SUM(I99:I154)</f>
        <v>235439.52877117554</v>
      </c>
      <c r="J155" s="636">
        <f>SUM(J99:J154)</f>
        <v>0</v>
      </c>
      <c r="K155" s="636"/>
      <c r="L155" s="636"/>
      <c r="M155" s="636"/>
      <c r="N155" s="636"/>
      <c r="O155" s="636"/>
      <c r="P155" s="630"/>
    </row>
    <row r="156" spans="2:16">
      <c r="C156" t="s">
        <v>100</v>
      </c>
      <c r="D156" s="631"/>
      <c r="E156" s="630"/>
      <c r="F156" s="630"/>
      <c r="G156" s="630"/>
      <c r="H156" s="630"/>
      <c r="I156" s="633"/>
      <c r="J156" s="633"/>
      <c r="K156" s="636"/>
      <c r="L156" s="633"/>
      <c r="M156" s="633"/>
      <c r="N156" s="633"/>
      <c r="O156" s="633"/>
      <c r="P156" s="630"/>
    </row>
    <row r="157" spans="2:16">
      <c r="C157" s="99"/>
      <c r="D157" s="631"/>
      <c r="E157" s="630"/>
      <c r="F157" s="630"/>
      <c r="G157" s="630"/>
      <c r="H157" s="630"/>
      <c r="I157" s="633"/>
      <c r="J157" s="633"/>
      <c r="K157" s="636"/>
      <c r="L157" s="633"/>
      <c r="M157" s="633"/>
      <c r="N157" s="633"/>
      <c r="O157" s="633"/>
      <c r="P157" s="630"/>
    </row>
    <row r="158" spans="2:16" ht="13">
      <c r="C158" s="115" t="s">
        <v>148</v>
      </c>
      <c r="D158" s="631"/>
      <c r="E158" s="630"/>
      <c r="F158" s="630"/>
      <c r="G158" s="630"/>
      <c r="H158" s="630"/>
      <c r="I158" s="633"/>
      <c r="J158" s="633"/>
      <c r="K158" s="636"/>
      <c r="L158" s="633"/>
      <c r="M158" s="633"/>
      <c r="N158" s="633"/>
      <c r="O158" s="633"/>
      <c r="P158" s="630"/>
    </row>
    <row r="159" spans="2:16" ht="13">
      <c r="C159" s="639" t="s">
        <v>78</v>
      </c>
      <c r="D159" s="657"/>
      <c r="E159" s="657"/>
      <c r="F159" s="657"/>
      <c r="G159" s="657"/>
      <c r="H159" s="636"/>
      <c r="I159" s="636"/>
      <c r="J159" s="670"/>
      <c r="K159" s="670"/>
      <c r="L159" s="670"/>
      <c r="M159" s="670"/>
      <c r="N159" s="670"/>
      <c r="O159" s="670"/>
      <c r="P159" s="630"/>
    </row>
    <row r="160" spans="2:16" ht="13">
      <c r="C160" s="691" t="s">
        <v>79</v>
      </c>
      <c r="D160" s="657"/>
      <c r="E160" s="657"/>
      <c r="F160" s="657"/>
      <c r="G160" s="657"/>
      <c r="H160" s="636"/>
      <c r="I160" s="636"/>
      <c r="J160" s="670"/>
      <c r="K160" s="670"/>
      <c r="L160" s="670"/>
      <c r="M160" s="670"/>
      <c r="N160" s="670"/>
      <c r="O160" s="670"/>
      <c r="P160" s="630"/>
    </row>
    <row r="161" spans="3:16" ht="13">
      <c r="C161" s="691"/>
      <c r="D161" s="657"/>
      <c r="E161" s="657"/>
      <c r="F161" s="657"/>
      <c r="G161" s="657"/>
      <c r="H161" s="636"/>
      <c r="I161" s="636"/>
      <c r="J161" s="670"/>
      <c r="K161" s="670"/>
      <c r="L161" s="670"/>
      <c r="M161" s="670"/>
      <c r="N161" s="670"/>
      <c r="O161" s="670"/>
      <c r="P161" s="630"/>
    </row>
    <row r="162" spans="3:16" ht="17.5">
      <c r="C162" s="691"/>
      <c r="D162" s="657"/>
      <c r="E162" s="657"/>
      <c r="F162" s="657"/>
      <c r="G162" s="657"/>
      <c r="H162" s="636"/>
      <c r="I162" s="636"/>
      <c r="J162" s="670"/>
      <c r="K162" s="670"/>
      <c r="L162" s="670"/>
      <c r="M162" s="670"/>
      <c r="N162" s="670"/>
      <c r="P162" s="692" t="s">
        <v>145</v>
      </c>
    </row>
  </sheetData>
  <conditionalFormatting sqref="C17:C72">
    <cfRule type="cellIs" dxfId="11" priority="1" stopIfTrue="1" operator="equal">
      <formula>$I$10</formula>
    </cfRule>
  </conditionalFormatting>
  <conditionalFormatting sqref="C99:C154">
    <cfRule type="cellIs" dxfId="10" priority="2" stopIfTrue="1" operator="equal">
      <formula>$J$92</formula>
    </cfRule>
  </conditionalFormatting>
  <pageMargins left="0.5" right="0.25" top="1" bottom="0.4" header="0.25" footer="0.5"/>
  <pageSetup scale="47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50972-DFA0-4BEE-B963-7F24E74637D5}">
  <dimension ref="A1:P162"/>
  <sheetViews>
    <sheetView zoomScaleNormal="100" zoomScaleSheetLayoutView="78" workbookViewId="0">
      <selection activeCell="Q18" sqref="Q18:V52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414" t="str">
        <f ca="1">"PSO Project "&amp;RIGHT(MID(CELL("filename",$A$1),FIND("]",CELL("filename",$A$1))+1,256),2)&amp;" of "&amp;COUNT('P.001:P.xyz - blank'!$P$3)-1</f>
        <v>PSO Project 32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279</v>
      </c>
      <c r="L5" s="24"/>
      <c r="M5" s="25"/>
      <c r="N5" s="26">
        <f>VLOOKUP(I10,C17:I72,5)</f>
        <v>454995.83916622435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280</v>
      </c>
      <c r="L6" s="30"/>
      <c r="M6" s="4"/>
      <c r="N6" s="31">
        <f>VLOOKUP(I10,C17:I72,6)</f>
        <v>454995.83916622435</v>
      </c>
      <c r="O6" s="1"/>
      <c r="P6" s="1"/>
    </row>
    <row r="7" spans="1:16" ht="13.5" thickBot="1">
      <c r="C7" s="32" t="s">
        <v>46</v>
      </c>
      <c r="D7" s="104" t="s">
        <v>361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 t="s">
        <v>362</v>
      </c>
      <c r="E9" s="645" t="s">
        <v>382</v>
      </c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>
        <v>8000617</v>
      </c>
      <c r="E10" s="12" t="s">
        <v>51</v>
      </c>
      <c r="F10" s="42"/>
      <c r="G10" s="44"/>
      <c r="H10" s="44"/>
      <c r="I10" s="45">
        <f>+'PSO.WS.F.BPU.ATRR.Projected'!L19</f>
        <v>2024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2024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12</v>
      </c>
      <c r="E12" s="46" t="s">
        <v>56</v>
      </c>
      <c r="F12" s="44"/>
      <c r="G12" s="7"/>
      <c r="H12" s="7"/>
      <c r="I12" s="50">
        <f>'PSO.WS.F.BPU.ATRR.Projected'!$F$81</f>
        <v>0.11374018757958901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0.11374018757958901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210542.55263157896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281</v>
      </c>
      <c r="H15" s="143" t="s">
        <v>282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2024</v>
      </c>
      <c r="D17" s="63">
        <v>0</v>
      </c>
      <c r="E17" s="64">
        <f>IF(D10&gt;=100000,I$14/12*(12-D12),0)</f>
        <v>0</v>
      </c>
      <c r="F17" s="68">
        <f>IF(D11=C17,+D10-E17,+D17-E17)</f>
        <v>8000617</v>
      </c>
      <c r="G17" s="64">
        <f>(D17+F17)/2*I$12+E17</f>
        <v>454995.83916622435</v>
      </c>
      <c r="H17" s="52">
        <f>+(D17+F17)/2*I$13+E17</f>
        <v>454995.83916622435</v>
      </c>
      <c r="I17" s="65">
        <f>H17-G17</f>
        <v>0</v>
      </c>
      <c r="J17" s="65"/>
      <c r="K17" s="661">
        <f>+G17</f>
        <v>454995.83916622435</v>
      </c>
      <c r="L17" s="662">
        <f t="shared" ref="L17" si="0">IF(K17&lt;&gt;0,+G17-K17,0)</f>
        <v>0</v>
      </c>
      <c r="M17" s="661">
        <f>+H17</f>
        <v>454995.83916622435</v>
      </c>
      <c r="N17" s="663">
        <f t="shared" ref="N17" si="1">IF(M17&lt;&gt;0,+H17-M17,0)</f>
        <v>0</v>
      </c>
      <c r="O17" s="663">
        <f t="shared" ref="O17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2025</v>
      </c>
      <c r="D18" s="71">
        <f>IF(F17+SUM(E$17:E17)=D$10,F17,D$10-SUM(E$17:E17))</f>
        <v>8000617</v>
      </c>
      <c r="E18" s="69">
        <f>IF(+I$14&lt;F17,I$14,D18)</f>
        <v>210542.55263157896</v>
      </c>
      <c r="F18" s="68">
        <f>+D18-E18</f>
        <v>7790074.4473684207</v>
      </c>
      <c r="G18" s="70">
        <f>(D18+F18)/2*I$12+E18</f>
        <v>1108560.6562491269</v>
      </c>
      <c r="H18" s="52">
        <f>+(D18+F18)/2*I$13+E18</f>
        <v>1108560.6562491269</v>
      </c>
      <c r="I18" s="65">
        <f>H18-G18</f>
        <v>0</v>
      </c>
      <c r="J18" s="65"/>
      <c r="K18" s="132"/>
      <c r="L18" s="67">
        <f t="shared" ref="L18:L72" si="3">IF(K18&lt;&gt;0,+G18-K18,0)</f>
        <v>0</v>
      </c>
      <c r="M18" s="132"/>
      <c r="N18" s="67">
        <f t="shared" ref="N18:N72" si="4">IF(M18&lt;&gt;0,+H18-M18,0)</f>
        <v>0</v>
      </c>
      <c r="O18" s="67">
        <f t="shared" ref="O18:O72" si="5">+N18-L18</f>
        <v>0</v>
      </c>
      <c r="P18" s="4"/>
    </row>
    <row r="19" spans="2:16" ht="12.5">
      <c r="B19" s="9" t="str">
        <f>IF(D19=F18,"","IU")</f>
        <v/>
      </c>
      <c r="C19" s="62">
        <f>IF(D11="","-",+C18+1)</f>
        <v>2026</v>
      </c>
      <c r="D19" s="71">
        <f>IF(F18+SUM(E$17:E18)=D$10,F18,D$10-SUM(E$17:E18))</f>
        <v>7790074.4473684207</v>
      </c>
      <c r="E19" s="69">
        <f t="shared" ref="E19:E71" si="6">IF(+I$14&lt;F18,I$14,D19)</f>
        <v>210542.55263157896</v>
      </c>
      <c r="F19" s="68">
        <f t="shared" ref="F19:F71" si="7">+D19-E19</f>
        <v>7579531.8947368413</v>
      </c>
      <c r="G19" s="70">
        <f t="shared" ref="G19:G71" si="8">(D19+F19)/2*I$12+E19</f>
        <v>1084613.5068193257</v>
      </c>
      <c r="H19" s="52">
        <f t="shared" ref="H19:H71" si="9">+(D19+F19)/2*I$13+E19</f>
        <v>1084613.5068193257</v>
      </c>
      <c r="I19" s="65">
        <f t="shared" ref="I19:I71" si="10">H19-G19</f>
        <v>0</v>
      </c>
      <c r="J19" s="65"/>
      <c r="K19" s="132"/>
      <c r="L19" s="67">
        <f t="shared" si="3"/>
        <v>0</v>
      </c>
      <c r="M19" s="132"/>
      <c r="N19" s="67">
        <f t="shared" si="4"/>
        <v>0</v>
      </c>
      <c r="O19" s="67">
        <f t="shared" si="5"/>
        <v>0</v>
      </c>
      <c r="P19" s="4"/>
    </row>
    <row r="20" spans="2:16" ht="12.5">
      <c r="B20" s="9" t="str">
        <f t="shared" ref="B20:B72" si="11">IF(D20=F19,"","IU")</f>
        <v/>
      </c>
      <c r="C20" s="62">
        <f>IF(D11="","-",+C19+1)</f>
        <v>2027</v>
      </c>
      <c r="D20" s="71">
        <f>IF(F19+SUM(E$17:E19)=D$10,F19,D$10-SUM(E$17:E19))</f>
        <v>7579531.8947368413</v>
      </c>
      <c r="E20" s="69">
        <f t="shared" si="6"/>
        <v>210542.55263157896</v>
      </c>
      <c r="F20" s="68">
        <f t="shared" si="7"/>
        <v>7368989.342105262</v>
      </c>
      <c r="G20" s="70">
        <f t="shared" si="8"/>
        <v>1060666.3573895243</v>
      </c>
      <c r="H20" s="52">
        <f t="shared" si="9"/>
        <v>1060666.3573895243</v>
      </c>
      <c r="I20" s="65">
        <f t="shared" si="10"/>
        <v>0</v>
      </c>
      <c r="J20" s="65"/>
      <c r="K20" s="132"/>
      <c r="L20" s="67">
        <f t="shared" si="3"/>
        <v>0</v>
      </c>
      <c r="M20" s="132"/>
      <c r="N20" s="67">
        <f t="shared" si="4"/>
        <v>0</v>
      </c>
      <c r="O20" s="67">
        <f t="shared" si="5"/>
        <v>0</v>
      </c>
      <c r="P20" s="4"/>
    </row>
    <row r="21" spans="2:16" ht="12.5">
      <c r="B21" s="9" t="str">
        <f t="shared" si="11"/>
        <v/>
      </c>
      <c r="C21" s="62">
        <f>IF(D11="","-",+C20+1)</f>
        <v>2028</v>
      </c>
      <c r="D21" s="71">
        <f>IF(F20+SUM(E$17:E20)=D$10,F20,D$10-SUM(E$17:E20))</f>
        <v>7368989.342105262</v>
      </c>
      <c r="E21" s="69">
        <f t="shared" si="6"/>
        <v>210542.55263157896</v>
      </c>
      <c r="F21" s="68">
        <f t="shared" si="7"/>
        <v>7158446.7894736826</v>
      </c>
      <c r="G21" s="70">
        <f t="shared" si="8"/>
        <v>1036719.2079597231</v>
      </c>
      <c r="H21" s="52">
        <f t="shared" si="9"/>
        <v>1036719.2079597231</v>
      </c>
      <c r="I21" s="65">
        <f t="shared" si="10"/>
        <v>0</v>
      </c>
      <c r="J21" s="65"/>
      <c r="K21" s="132"/>
      <c r="L21" s="67">
        <f t="shared" si="3"/>
        <v>0</v>
      </c>
      <c r="M21" s="132"/>
      <c r="N21" s="67">
        <f t="shared" si="4"/>
        <v>0</v>
      </c>
      <c r="O21" s="67">
        <f t="shared" si="5"/>
        <v>0</v>
      </c>
      <c r="P21" s="4"/>
    </row>
    <row r="22" spans="2:16" ht="12.5">
      <c r="B22" s="9" t="str">
        <f t="shared" si="11"/>
        <v/>
      </c>
      <c r="C22" s="62">
        <f>IF(D11="","-",+C21+1)</f>
        <v>2029</v>
      </c>
      <c r="D22" s="71">
        <f>IF(F21+SUM(E$17:E21)=D$10,F21,D$10-SUM(E$17:E21))</f>
        <v>7158446.7894736826</v>
      </c>
      <c r="E22" s="69">
        <f t="shared" si="6"/>
        <v>210542.55263157896</v>
      </c>
      <c r="F22" s="68">
        <f t="shared" si="7"/>
        <v>6947904.2368421033</v>
      </c>
      <c r="G22" s="70">
        <f t="shared" si="8"/>
        <v>1012772.0585299217</v>
      </c>
      <c r="H22" s="52">
        <f t="shared" si="9"/>
        <v>1012772.0585299217</v>
      </c>
      <c r="I22" s="65">
        <f t="shared" si="10"/>
        <v>0</v>
      </c>
      <c r="J22" s="65"/>
      <c r="K22" s="132"/>
      <c r="L22" s="67">
        <f t="shared" si="3"/>
        <v>0</v>
      </c>
      <c r="M22" s="132"/>
      <c r="N22" s="67">
        <f t="shared" si="4"/>
        <v>0</v>
      </c>
      <c r="O22" s="67">
        <f t="shared" si="5"/>
        <v>0</v>
      </c>
      <c r="P22" s="4"/>
    </row>
    <row r="23" spans="2:16" ht="12.5">
      <c r="B23" s="9" t="str">
        <f t="shared" si="11"/>
        <v/>
      </c>
      <c r="C23" s="62">
        <f>IF(D11="","-",+C22+1)</f>
        <v>2030</v>
      </c>
      <c r="D23" s="71">
        <f>IF(F22+SUM(E$17:E22)=D$10,F22,D$10-SUM(E$17:E22))</f>
        <v>6947904.2368421033</v>
      </c>
      <c r="E23" s="69">
        <f t="shared" si="6"/>
        <v>210542.55263157896</v>
      </c>
      <c r="F23" s="68">
        <f t="shared" si="7"/>
        <v>6737361.684210524</v>
      </c>
      <c r="G23" s="70">
        <f t="shared" si="8"/>
        <v>988824.90910012042</v>
      </c>
      <c r="H23" s="52">
        <f t="shared" si="9"/>
        <v>988824.90910012042</v>
      </c>
      <c r="I23" s="65">
        <f t="shared" si="10"/>
        <v>0</v>
      </c>
      <c r="J23" s="65"/>
      <c r="K23" s="132"/>
      <c r="L23" s="67">
        <f t="shared" si="3"/>
        <v>0</v>
      </c>
      <c r="M23" s="132"/>
      <c r="N23" s="67">
        <f t="shared" si="4"/>
        <v>0</v>
      </c>
      <c r="O23" s="67">
        <f t="shared" si="5"/>
        <v>0</v>
      </c>
      <c r="P23" s="4"/>
    </row>
    <row r="24" spans="2:16" ht="12.5">
      <c r="B24" s="9" t="str">
        <f t="shared" si="11"/>
        <v/>
      </c>
      <c r="C24" s="62">
        <f>IF(D11="","-",+C23+1)</f>
        <v>2031</v>
      </c>
      <c r="D24" s="71">
        <f>IF(F23+SUM(E$17:E23)=D$10,F23,D$10-SUM(E$17:E23))</f>
        <v>6737361.684210524</v>
      </c>
      <c r="E24" s="69">
        <f t="shared" si="6"/>
        <v>210542.55263157896</v>
      </c>
      <c r="F24" s="68">
        <f t="shared" si="7"/>
        <v>6526819.1315789446</v>
      </c>
      <c r="G24" s="70">
        <f t="shared" si="8"/>
        <v>964877.75967031904</v>
      </c>
      <c r="H24" s="52">
        <f t="shared" si="9"/>
        <v>964877.75967031904</v>
      </c>
      <c r="I24" s="65">
        <f t="shared" si="10"/>
        <v>0</v>
      </c>
      <c r="J24" s="65"/>
      <c r="K24" s="132"/>
      <c r="L24" s="67">
        <f t="shared" si="3"/>
        <v>0</v>
      </c>
      <c r="M24" s="132"/>
      <c r="N24" s="67">
        <f t="shared" si="4"/>
        <v>0</v>
      </c>
      <c r="O24" s="67">
        <f t="shared" si="5"/>
        <v>0</v>
      </c>
      <c r="P24" s="4"/>
    </row>
    <row r="25" spans="2:16" ht="12.5">
      <c r="B25" s="9" t="str">
        <f t="shared" si="11"/>
        <v/>
      </c>
      <c r="C25" s="62">
        <f>IF(D11="","-",+C24+1)</f>
        <v>2032</v>
      </c>
      <c r="D25" s="71">
        <f>IF(F24+SUM(E$17:E24)=D$10,F24,D$10-SUM(E$17:E24))</f>
        <v>6526819.1315789446</v>
      </c>
      <c r="E25" s="69">
        <f t="shared" si="6"/>
        <v>210542.55263157896</v>
      </c>
      <c r="F25" s="68">
        <f t="shared" si="7"/>
        <v>6316276.5789473653</v>
      </c>
      <c r="G25" s="70">
        <f t="shared" si="8"/>
        <v>940930.61024051777</v>
      </c>
      <c r="H25" s="52">
        <f t="shared" si="9"/>
        <v>940930.61024051777</v>
      </c>
      <c r="I25" s="65">
        <f t="shared" si="10"/>
        <v>0</v>
      </c>
      <c r="J25" s="65"/>
      <c r="K25" s="132"/>
      <c r="L25" s="67">
        <f t="shared" si="3"/>
        <v>0</v>
      </c>
      <c r="M25" s="132"/>
      <c r="N25" s="67">
        <f t="shared" si="4"/>
        <v>0</v>
      </c>
      <c r="O25" s="67">
        <f t="shared" si="5"/>
        <v>0</v>
      </c>
      <c r="P25" s="4"/>
    </row>
    <row r="26" spans="2:16" ht="12.5">
      <c r="B26" s="9" t="str">
        <f t="shared" si="11"/>
        <v/>
      </c>
      <c r="C26" s="62">
        <f>IF(D11="","-",+C25+1)</f>
        <v>2033</v>
      </c>
      <c r="D26" s="71">
        <f>IF(F25+SUM(E$17:E25)=D$10,F25,D$10-SUM(E$17:E25))</f>
        <v>6316276.5789473653</v>
      </c>
      <c r="E26" s="69">
        <f t="shared" si="6"/>
        <v>210542.55263157896</v>
      </c>
      <c r="F26" s="68">
        <f t="shared" si="7"/>
        <v>6105734.0263157859</v>
      </c>
      <c r="G26" s="70">
        <f t="shared" si="8"/>
        <v>916983.46081071638</v>
      </c>
      <c r="H26" s="52">
        <f t="shared" si="9"/>
        <v>916983.46081071638</v>
      </c>
      <c r="I26" s="65">
        <f t="shared" si="10"/>
        <v>0</v>
      </c>
      <c r="J26" s="65"/>
      <c r="K26" s="132"/>
      <c r="L26" s="67">
        <f t="shared" si="3"/>
        <v>0</v>
      </c>
      <c r="M26" s="132"/>
      <c r="N26" s="67">
        <f t="shared" si="4"/>
        <v>0</v>
      </c>
      <c r="O26" s="67">
        <f t="shared" si="5"/>
        <v>0</v>
      </c>
      <c r="P26" s="4"/>
    </row>
    <row r="27" spans="2:16" ht="12.5">
      <c r="B27" s="9" t="str">
        <f t="shared" si="11"/>
        <v/>
      </c>
      <c r="C27" s="62">
        <f>IF(D11="","-",+C26+1)</f>
        <v>2034</v>
      </c>
      <c r="D27" s="71">
        <f>IF(F26+SUM(E$17:E26)=D$10,F26,D$10-SUM(E$17:E26))</f>
        <v>6105734.0263157859</v>
      </c>
      <c r="E27" s="69">
        <f t="shared" si="6"/>
        <v>210542.55263157896</v>
      </c>
      <c r="F27" s="68">
        <f t="shared" si="7"/>
        <v>5895191.4736842066</v>
      </c>
      <c r="G27" s="70">
        <f t="shared" si="8"/>
        <v>893036.31138091511</v>
      </c>
      <c r="H27" s="52">
        <f t="shared" si="9"/>
        <v>893036.31138091511</v>
      </c>
      <c r="I27" s="65">
        <f t="shared" si="10"/>
        <v>0</v>
      </c>
      <c r="J27" s="65"/>
      <c r="K27" s="132"/>
      <c r="L27" s="67">
        <f t="shared" si="3"/>
        <v>0</v>
      </c>
      <c r="M27" s="132"/>
      <c r="N27" s="67">
        <f t="shared" si="4"/>
        <v>0</v>
      </c>
      <c r="O27" s="67">
        <f t="shared" si="5"/>
        <v>0</v>
      </c>
      <c r="P27" s="4"/>
    </row>
    <row r="28" spans="2:16" ht="12.5">
      <c r="B28" s="9" t="str">
        <f t="shared" si="11"/>
        <v/>
      </c>
      <c r="C28" s="62">
        <f>IF(D11="","-",+C27+1)</f>
        <v>2035</v>
      </c>
      <c r="D28" s="71">
        <f>IF(F27+SUM(E$17:E27)=D$10,F27,D$10-SUM(E$17:E27))</f>
        <v>5895191.4736842066</v>
      </c>
      <c r="E28" s="69">
        <f t="shared" si="6"/>
        <v>210542.55263157896</v>
      </c>
      <c r="F28" s="68">
        <f t="shared" si="7"/>
        <v>5684648.9210526273</v>
      </c>
      <c r="G28" s="70">
        <f t="shared" si="8"/>
        <v>869089.16195111373</v>
      </c>
      <c r="H28" s="52">
        <f t="shared" si="9"/>
        <v>869089.16195111373</v>
      </c>
      <c r="I28" s="65">
        <f t="shared" si="10"/>
        <v>0</v>
      </c>
      <c r="J28" s="65"/>
      <c r="K28" s="132"/>
      <c r="L28" s="67">
        <f t="shared" si="3"/>
        <v>0</v>
      </c>
      <c r="M28" s="132"/>
      <c r="N28" s="67">
        <f t="shared" si="4"/>
        <v>0</v>
      </c>
      <c r="O28" s="67">
        <f t="shared" si="5"/>
        <v>0</v>
      </c>
      <c r="P28" s="4"/>
    </row>
    <row r="29" spans="2:16" ht="12.5">
      <c r="B29" s="9" t="str">
        <f t="shared" si="11"/>
        <v/>
      </c>
      <c r="C29" s="62">
        <f>IF(D11="","-",+C28+1)</f>
        <v>2036</v>
      </c>
      <c r="D29" s="71">
        <f>IF(F28+SUM(E$17:E28)=D$10,F28,D$10-SUM(E$17:E28))</f>
        <v>5684648.9210526273</v>
      </c>
      <c r="E29" s="69">
        <f t="shared" si="6"/>
        <v>210542.55263157896</v>
      </c>
      <c r="F29" s="68">
        <f t="shared" si="7"/>
        <v>5474106.3684210479</v>
      </c>
      <c r="G29" s="70">
        <f t="shared" si="8"/>
        <v>845142.01252131246</v>
      </c>
      <c r="H29" s="52">
        <f t="shared" si="9"/>
        <v>845142.01252131246</v>
      </c>
      <c r="I29" s="65">
        <f t="shared" si="10"/>
        <v>0</v>
      </c>
      <c r="J29" s="65"/>
      <c r="K29" s="132"/>
      <c r="L29" s="67">
        <f t="shared" si="3"/>
        <v>0</v>
      </c>
      <c r="M29" s="132"/>
      <c r="N29" s="67">
        <f t="shared" si="4"/>
        <v>0</v>
      </c>
      <c r="O29" s="67">
        <f t="shared" si="5"/>
        <v>0</v>
      </c>
      <c r="P29" s="4"/>
    </row>
    <row r="30" spans="2:16" ht="12.5">
      <c r="B30" s="9" t="str">
        <f t="shared" si="11"/>
        <v/>
      </c>
      <c r="C30" s="62">
        <f>IF(D11="","-",+C29+1)</f>
        <v>2037</v>
      </c>
      <c r="D30" s="71">
        <f>IF(F29+SUM(E$17:E29)=D$10,F29,D$10-SUM(E$17:E29))</f>
        <v>5474106.3684210535</v>
      </c>
      <c r="E30" s="69">
        <f t="shared" si="6"/>
        <v>210542.55263157896</v>
      </c>
      <c r="F30" s="68">
        <f t="shared" si="7"/>
        <v>5263563.8157894742</v>
      </c>
      <c r="G30" s="70">
        <f t="shared" si="8"/>
        <v>821194.86309151177</v>
      </c>
      <c r="H30" s="52">
        <f t="shared" si="9"/>
        <v>821194.86309151177</v>
      </c>
      <c r="I30" s="65">
        <f t="shared" si="10"/>
        <v>0</v>
      </c>
      <c r="J30" s="65"/>
      <c r="K30" s="132"/>
      <c r="L30" s="67">
        <f t="shared" si="3"/>
        <v>0</v>
      </c>
      <c r="M30" s="132"/>
      <c r="N30" s="67">
        <f t="shared" si="4"/>
        <v>0</v>
      </c>
      <c r="O30" s="67">
        <f t="shared" si="5"/>
        <v>0</v>
      </c>
      <c r="P30" s="4"/>
    </row>
    <row r="31" spans="2:16" ht="12.5">
      <c r="B31" s="9" t="str">
        <f t="shared" si="11"/>
        <v/>
      </c>
      <c r="C31" s="62">
        <f>IF(D11="","-",+C30+1)</f>
        <v>2038</v>
      </c>
      <c r="D31" s="71">
        <f>IF(F30+SUM(E$17:E30)=D$10,F30,D$10-SUM(E$17:E30))</f>
        <v>5263563.8157894742</v>
      </c>
      <c r="E31" s="69">
        <f t="shared" si="6"/>
        <v>210542.55263157896</v>
      </c>
      <c r="F31" s="68">
        <f t="shared" si="7"/>
        <v>5053021.2631578948</v>
      </c>
      <c r="G31" s="70">
        <f t="shared" si="8"/>
        <v>797247.71366171038</v>
      </c>
      <c r="H31" s="52">
        <f t="shared" si="9"/>
        <v>797247.71366171038</v>
      </c>
      <c r="I31" s="65">
        <f t="shared" si="10"/>
        <v>0</v>
      </c>
      <c r="J31" s="65"/>
      <c r="K31" s="132"/>
      <c r="L31" s="67">
        <f t="shared" si="3"/>
        <v>0</v>
      </c>
      <c r="M31" s="132"/>
      <c r="N31" s="67">
        <f t="shared" si="4"/>
        <v>0</v>
      </c>
      <c r="O31" s="67">
        <f t="shared" si="5"/>
        <v>0</v>
      </c>
      <c r="P31" s="4"/>
    </row>
    <row r="32" spans="2:16" ht="12.5">
      <c r="B32" s="9" t="str">
        <f t="shared" si="11"/>
        <v/>
      </c>
      <c r="C32" s="62">
        <f>IF(D11="","-",+C31+1)</f>
        <v>2039</v>
      </c>
      <c r="D32" s="71">
        <f>IF(F31+SUM(E$17:E31)=D$10,F31,D$10-SUM(E$17:E31))</f>
        <v>5053021.2631578948</v>
      </c>
      <c r="E32" s="69">
        <f t="shared" si="6"/>
        <v>210542.55263157896</v>
      </c>
      <c r="F32" s="68">
        <f t="shared" si="7"/>
        <v>4842478.7105263155</v>
      </c>
      <c r="G32" s="70">
        <f t="shared" si="8"/>
        <v>773300.56423190911</v>
      </c>
      <c r="H32" s="52">
        <f t="shared" si="9"/>
        <v>773300.56423190911</v>
      </c>
      <c r="I32" s="65">
        <f t="shared" si="10"/>
        <v>0</v>
      </c>
      <c r="J32" s="65"/>
      <c r="K32" s="132"/>
      <c r="L32" s="67">
        <f t="shared" si="3"/>
        <v>0</v>
      </c>
      <c r="M32" s="132"/>
      <c r="N32" s="67">
        <f t="shared" si="4"/>
        <v>0</v>
      </c>
      <c r="O32" s="67">
        <f t="shared" si="5"/>
        <v>0</v>
      </c>
      <c r="P32" s="4"/>
    </row>
    <row r="33" spans="2:16" ht="12.5">
      <c r="B33" s="9" t="str">
        <f t="shared" si="11"/>
        <v/>
      </c>
      <c r="C33" s="62">
        <f>IF(D11="","-",+C32+1)</f>
        <v>2040</v>
      </c>
      <c r="D33" s="71">
        <f>IF(F32+SUM(E$17:E32)=D$10,F32,D$10-SUM(E$17:E32))</f>
        <v>4842478.7105263155</v>
      </c>
      <c r="E33" s="69">
        <f t="shared" si="6"/>
        <v>210542.55263157896</v>
      </c>
      <c r="F33" s="68">
        <f t="shared" si="7"/>
        <v>4631936.1578947362</v>
      </c>
      <c r="G33" s="70">
        <f t="shared" si="8"/>
        <v>749353.41480210773</v>
      </c>
      <c r="H33" s="52">
        <f t="shared" si="9"/>
        <v>749353.41480210773</v>
      </c>
      <c r="I33" s="65">
        <f t="shared" si="10"/>
        <v>0</v>
      </c>
      <c r="J33" s="65"/>
      <c r="K33" s="132"/>
      <c r="L33" s="67">
        <f t="shared" si="3"/>
        <v>0</v>
      </c>
      <c r="M33" s="132"/>
      <c r="N33" s="67">
        <f t="shared" si="4"/>
        <v>0</v>
      </c>
      <c r="O33" s="67">
        <f t="shared" si="5"/>
        <v>0</v>
      </c>
      <c r="P33" s="4"/>
    </row>
    <row r="34" spans="2:16" ht="12.5">
      <c r="B34" s="9" t="str">
        <f t="shared" si="11"/>
        <v/>
      </c>
      <c r="C34" s="62">
        <f>IF(D11="","-",+C33+1)</f>
        <v>2041</v>
      </c>
      <c r="D34" s="71">
        <f>IF(F33+SUM(E$17:E33)=D$10,F33,D$10-SUM(E$17:E33))</f>
        <v>4631936.1578947362</v>
      </c>
      <c r="E34" s="69">
        <f t="shared" si="6"/>
        <v>210542.55263157896</v>
      </c>
      <c r="F34" s="68">
        <f t="shared" si="7"/>
        <v>4421393.6052631568</v>
      </c>
      <c r="G34" s="70">
        <f t="shared" si="8"/>
        <v>725406.26537230634</v>
      </c>
      <c r="H34" s="52">
        <f t="shared" si="9"/>
        <v>725406.26537230634</v>
      </c>
      <c r="I34" s="65">
        <f t="shared" si="10"/>
        <v>0</v>
      </c>
      <c r="J34" s="65"/>
      <c r="K34" s="132"/>
      <c r="L34" s="67">
        <f t="shared" si="3"/>
        <v>0</v>
      </c>
      <c r="M34" s="132"/>
      <c r="N34" s="67">
        <f t="shared" si="4"/>
        <v>0</v>
      </c>
      <c r="O34" s="67">
        <f t="shared" si="5"/>
        <v>0</v>
      </c>
      <c r="P34" s="4"/>
    </row>
    <row r="35" spans="2:16" ht="12.5">
      <c r="B35" s="9" t="str">
        <f t="shared" si="11"/>
        <v/>
      </c>
      <c r="C35" s="62">
        <f>IF(D11="","-",+C34+1)</f>
        <v>2042</v>
      </c>
      <c r="D35" s="71">
        <f>IF(F34+SUM(E$17:E34)=D$10,F34,D$10-SUM(E$17:E34))</f>
        <v>4421393.6052631568</v>
      </c>
      <c r="E35" s="69">
        <f t="shared" si="6"/>
        <v>210542.55263157896</v>
      </c>
      <c r="F35" s="68">
        <f t="shared" si="7"/>
        <v>4210851.0526315775</v>
      </c>
      <c r="G35" s="70">
        <f t="shared" si="8"/>
        <v>701459.11594250507</v>
      </c>
      <c r="H35" s="52">
        <f t="shared" si="9"/>
        <v>701459.11594250507</v>
      </c>
      <c r="I35" s="65">
        <f t="shared" si="10"/>
        <v>0</v>
      </c>
      <c r="J35" s="65"/>
      <c r="K35" s="132"/>
      <c r="L35" s="67">
        <f t="shared" si="3"/>
        <v>0</v>
      </c>
      <c r="M35" s="132"/>
      <c r="N35" s="67">
        <f t="shared" si="4"/>
        <v>0</v>
      </c>
      <c r="O35" s="67">
        <f t="shared" si="5"/>
        <v>0</v>
      </c>
      <c r="P35" s="4"/>
    </row>
    <row r="36" spans="2:16" ht="12.5">
      <c r="B36" s="9" t="str">
        <f t="shared" si="11"/>
        <v/>
      </c>
      <c r="C36" s="62">
        <f>IF(D11="","-",+C35+1)</f>
        <v>2043</v>
      </c>
      <c r="D36" s="71">
        <f>IF(F35+SUM(E$17:E35)=D$10,F35,D$10-SUM(E$17:E35))</f>
        <v>4210851.0526315775</v>
      </c>
      <c r="E36" s="69">
        <f t="shared" si="6"/>
        <v>210542.55263157896</v>
      </c>
      <c r="F36" s="68">
        <f t="shared" si="7"/>
        <v>4000308.4999999986</v>
      </c>
      <c r="G36" s="70">
        <f t="shared" si="8"/>
        <v>677511.9665127038</v>
      </c>
      <c r="H36" s="52">
        <f t="shared" si="9"/>
        <v>677511.9665127038</v>
      </c>
      <c r="I36" s="65">
        <f t="shared" si="10"/>
        <v>0</v>
      </c>
      <c r="J36" s="65"/>
      <c r="K36" s="132"/>
      <c r="L36" s="67">
        <f t="shared" si="3"/>
        <v>0</v>
      </c>
      <c r="M36" s="132"/>
      <c r="N36" s="67">
        <f t="shared" si="4"/>
        <v>0</v>
      </c>
      <c r="O36" s="67">
        <f t="shared" si="5"/>
        <v>0</v>
      </c>
      <c r="P36" s="4"/>
    </row>
    <row r="37" spans="2:16" ht="12.5">
      <c r="B37" s="9" t="str">
        <f t="shared" si="11"/>
        <v/>
      </c>
      <c r="C37" s="62">
        <f>IF(D11="","-",+C36+1)</f>
        <v>2044</v>
      </c>
      <c r="D37" s="71">
        <f>IF(F36+SUM(E$17:E36)=D$10,F36,D$10-SUM(E$17:E36))</f>
        <v>4000308.4999999986</v>
      </c>
      <c r="E37" s="69">
        <f t="shared" si="6"/>
        <v>210542.55263157896</v>
      </c>
      <c r="F37" s="68">
        <f t="shared" si="7"/>
        <v>3789765.9473684197</v>
      </c>
      <c r="G37" s="70">
        <f t="shared" si="8"/>
        <v>653564.81708290253</v>
      </c>
      <c r="H37" s="52">
        <f t="shared" si="9"/>
        <v>653564.81708290253</v>
      </c>
      <c r="I37" s="65">
        <f t="shared" si="10"/>
        <v>0</v>
      </c>
      <c r="J37" s="65"/>
      <c r="K37" s="132"/>
      <c r="L37" s="67">
        <f t="shared" si="3"/>
        <v>0</v>
      </c>
      <c r="M37" s="132"/>
      <c r="N37" s="67">
        <f t="shared" si="4"/>
        <v>0</v>
      </c>
      <c r="O37" s="67">
        <f t="shared" si="5"/>
        <v>0</v>
      </c>
      <c r="P37" s="4"/>
    </row>
    <row r="38" spans="2:16" ht="12.5">
      <c r="B38" s="9" t="str">
        <f t="shared" si="11"/>
        <v/>
      </c>
      <c r="C38" s="62">
        <f>IF(D11="","-",+C37+1)</f>
        <v>2045</v>
      </c>
      <c r="D38" s="71">
        <f>IF(F37+SUM(E$17:E37)=D$10,F37,D$10-SUM(E$17:E37))</f>
        <v>3789765.9473684197</v>
      </c>
      <c r="E38" s="69">
        <f t="shared" si="6"/>
        <v>210542.55263157896</v>
      </c>
      <c r="F38" s="68">
        <f t="shared" si="7"/>
        <v>3579223.3947368409</v>
      </c>
      <c r="G38" s="70">
        <f t="shared" si="8"/>
        <v>629617.66765310115</v>
      </c>
      <c r="H38" s="52">
        <f t="shared" si="9"/>
        <v>629617.66765310115</v>
      </c>
      <c r="I38" s="65">
        <f t="shared" si="10"/>
        <v>0</v>
      </c>
      <c r="J38" s="65"/>
      <c r="K38" s="132"/>
      <c r="L38" s="67">
        <f t="shared" si="3"/>
        <v>0</v>
      </c>
      <c r="M38" s="132"/>
      <c r="N38" s="67">
        <f t="shared" si="4"/>
        <v>0</v>
      </c>
      <c r="O38" s="67">
        <f t="shared" si="5"/>
        <v>0</v>
      </c>
      <c r="P38" s="4"/>
    </row>
    <row r="39" spans="2:16" ht="12.5">
      <c r="B39" s="9" t="str">
        <f t="shared" si="11"/>
        <v/>
      </c>
      <c r="C39" s="62">
        <f>IF(D11="","-",+C38+1)</f>
        <v>2046</v>
      </c>
      <c r="D39" s="71">
        <f>IF(F38+SUM(E$17:E38)=D$10,F38,D$10-SUM(E$17:E38))</f>
        <v>3579223.3947368409</v>
      </c>
      <c r="E39" s="69">
        <f t="shared" si="6"/>
        <v>210542.55263157896</v>
      </c>
      <c r="F39" s="68">
        <f t="shared" si="7"/>
        <v>3368680.842105262</v>
      </c>
      <c r="G39" s="70">
        <f t="shared" si="8"/>
        <v>605670.51822329999</v>
      </c>
      <c r="H39" s="52">
        <f t="shared" si="9"/>
        <v>605670.51822329999</v>
      </c>
      <c r="I39" s="65">
        <f t="shared" si="10"/>
        <v>0</v>
      </c>
      <c r="J39" s="65"/>
      <c r="K39" s="132"/>
      <c r="L39" s="67">
        <f t="shared" si="3"/>
        <v>0</v>
      </c>
      <c r="M39" s="132"/>
      <c r="N39" s="67">
        <f t="shared" si="4"/>
        <v>0</v>
      </c>
      <c r="O39" s="67">
        <f t="shared" si="5"/>
        <v>0</v>
      </c>
      <c r="P39" s="4"/>
    </row>
    <row r="40" spans="2:16" ht="12.5">
      <c r="B40" s="9" t="str">
        <f t="shared" si="11"/>
        <v/>
      </c>
      <c r="C40" s="62">
        <f>IF(D11="","-",+C39+1)</f>
        <v>2047</v>
      </c>
      <c r="D40" s="71">
        <f>IF(F39+SUM(E$17:E39)=D$10,F39,D$10-SUM(E$17:E39))</f>
        <v>3368680.842105262</v>
      </c>
      <c r="E40" s="69">
        <f t="shared" si="6"/>
        <v>210542.55263157896</v>
      </c>
      <c r="F40" s="68">
        <f t="shared" si="7"/>
        <v>3158138.2894736831</v>
      </c>
      <c r="G40" s="70">
        <f t="shared" si="8"/>
        <v>581723.36879349861</v>
      </c>
      <c r="H40" s="52">
        <f t="shared" si="9"/>
        <v>581723.36879349861</v>
      </c>
      <c r="I40" s="65">
        <f t="shared" si="10"/>
        <v>0</v>
      </c>
      <c r="J40" s="65"/>
      <c r="K40" s="132"/>
      <c r="L40" s="67">
        <f t="shared" si="3"/>
        <v>0</v>
      </c>
      <c r="M40" s="132"/>
      <c r="N40" s="67">
        <f t="shared" si="4"/>
        <v>0</v>
      </c>
      <c r="O40" s="67">
        <f t="shared" si="5"/>
        <v>0</v>
      </c>
      <c r="P40" s="4"/>
    </row>
    <row r="41" spans="2:16" ht="12.5">
      <c r="B41" s="9" t="str">
        <f t="shared" si="11"/>
        <v/>
      </c>
      <c r="C41" s="62">
        <f>IF(D11="","-",+C40+1)</f>
        <v>2048</v>
      </c>
      <c r="D41" s="71">
        <f>IF(F40+SUM(E$17:E40)=D$10,F40,D$10-SUM(E$17:E40))</f>
        <v>3158138.2894736831</v>
      </c>
      <c r="E41" s="69">
        <f t="shared" si="6"/>
        <v>210542.55263157896</v>
      </c>
      <c r="F41" s="68">
        <f t="shared" si="7"/>
        <v>2947595.7368421042</v>
      </c>
      <c r="G41" s="70">
        <f t="shared" si="8"/>
        <v>557776.21936369746</v>
      </c>
      <c r="H41" s="52">
        <f t="shared" si="9"/>
        <v>557776.21936369746</v>
      </c>
      <c r="I41" s="65">
        <f t="shared" si="10"/>
        <v>0</v>
      </c>
      <c r="J41" s="65"/>
      <c r="K41" s="132"/>
      <c r="L41" s="67">
        <f t="shared" si="3"/>
        <v>0</v>
      </c>
      <c r="M41" s="132"/>
      <c r="N41" s="67">
        <f t="shared" si="4"/>
        <v>0</v>
      </c>
      <c r="O41" s="67">
        <f t="shared" si="5"/>
        <v>0</v>
      </c>
      <c r="P41" s="4"/>
    </row>
    <row r="42" spans="2:16" ht="12.5">
      <c r="B42" s="9" t="str">
        <f t="shared" si="11"/>
        <v/>
      </c>
      <c r="C42" s="62">
        <f>IF(D11="","-",+C41+1)</f>
        <v>2049</v>
      </c>
      <c r="D42" s="71">
        <f>IF(F41+SUM(E$17:E41)=D$10,F41,D$10-SUM(E$17:E41))</f>
        <v>2947595.7368421042</v>
      </c>
      <c r="E42" s="69">
        <f t="shared" si="6"/>
        <v>210542.55263157896</v>
      </c>
      <c r="F42" s="68">
        <f t="shared" si="7"/>
        <v>2737053.1842105254</v>
      </c>
      <c r="G42" s="70">
        <f t="shared" si="8"/>
        <v>533829.06993389607</v>
      </c>
      <c r="H42" s="52">
        <f t="shared" si="9"/>
        <v>533829.06993389607</v>
      </c>
      <c r="I42" s="65">
        <f t="shared" si="10"/>
        <v>0</v>
      </c>
      <c r="J42" s="65"/>
      <c r="K42" s="132"/>
      <c r="L42" s="67">
        <f t="shared" si="3"/>
        <v>0</v>
      </c>
      <c r="M42" s="132"/>
      <c r="N42" s="67">
        <f t="shared" si="4"/>
        <v>0</v>
      </c>
      <c r="O42" s="67">
        <f t="shared" si="5"/>
        <v>0</v>
      </c>
      <c r="P42" s="4"/>
    </row>
    <row r="43" spans="2:16" ht="12.5">
      <c r="B43" s="9" t="str">
        <f t="shared" si="11"/>
        <v/>
      </c>
      <c r="C43" s="62">
        <f>IF(D11="","-",+C42+1)</f>
        <v>2050</v>
      </c>
      <c r="D43" s="71">
        <f>IF(F42+SUM(E$17:E42)=D$10,F42,D$10-SUM(E$17:E42))</f>
        <v>2737053.1842105254</v>
      </c>
      <c r="E43" s="69">
        <f t="shared" si="6"/>
        <v>210542.55263157896</v>
      </c>
      <c r="F43" s="68">
        <f t="shared" si="7"/>
        <v>2526510.6315789465</v>
      </c>
      <c r="G43" s="70">
        <f t="shared" si="8"/>
        <v>509881.92050409492</v>
      </c>
      <c r="H43" s="52">
        <f t="shared" si="9"/>
        <v>509881.92050409492</v>
      </c>
      <c r="I43" s="65">
        <f t="shared" si="10"/>
        <v>0</v>
      </c>
      <c r="J43" s="65"/>
      <c r="K43" s="132"/>
      <c r="L43" s="67">
        <f t="shared" si="3"/>
        <v>0</v>
      </c>
      <c r="M43" s="132"/>
      <c r="N43" s="67">
        <f t="shared" si="4"/>
        <v>0</v>
      </c>
      <c r="O43" s="67">
        <f t="shared" si="5"/>
        <v>0</v>
      </c>
      <c r="P43" s="4"/>
    </row>
    <row r="44" spans="2:16" ht="12.5">
      <c r="B44" s="9" t="str">
        <f t="shared" si="11"/>
        <v/>
      </c>
      <c r="C44" s="62">
        <f>IF(D11="","-",+C43+1)</f>
        <v>2051</v>
      </c>
      <c r="D44" s="71">
        <f>IF(F43+SUM(E$17:E43)=D$10,F43,D$10-SUM(E$17:E43))</f>
        <v>2526510.6315789465</v>
      </c>
      <c r="E44" s="69">
        <f t="shared" si="6"/>
        <v>210542.55263157896</v>
      </c>
      <c r="F44" s="68">
        <f t="shared" si="7"/>
        <v>2315968.0789473676</v>
      </c>
      <c r="G44" s="70">
        <f t="shared" si="8"/>
        <v>485934.77107429353</v>
      </c>
      <c r="H44" s="52">
        <f t="shared" si="9"/>
        <v>485934.77107429353</v>
      </c>
      <c r="I44" s="65">
        <f t="shared" si="10"/>
        <v>0</v>
      </c>
      <c r="J44" s="65"/>
      <c r="K44" s="132"/>
      <c r="L44" s="67">
        <f t="shared" si="3"/>
        <v>0</v>
      </c>
      <c r="M44" s="132"/>
      <c r="N44" s="67">
        <f t="shared" si="4"/>
        <v>0</v>
      </c>
      <c r="O44" s="67">
        <f t="shared" si="5"/>
        <v>0</v>
      </c>
      <c r="P44" s="4"/>
    </row>
    <row r="45" spans="2:16" ht="12.5">
      <c r="B45" s="9" t="str">
        <f t="shared" si="11"/>
        <v/>
      </c>
      <c r="C45" s="62">
        <f>IF(D11="","-",+C44+1)</f>
        <v>2052</v>
      </c>
      <c r="D45" s="71">
        <f>IF(F44+SUM(E$17:E44)=D$10,F44,D$10-SUM(E$17:E44))</f>
        <v>2315968.0789473676</v>
      </c>
      <c r="E45" s="69">
        <f t="shared" si="6"/>
        <v>210542.55263157896</v>
      </c>
      <c r="F45" s="68">
        <f t="shared" si="7"/>
        <v>2105425.5263157887</v>
      </c>
      <c r="G45" s="70">
        <f t="shared" si="8"/>
        <v>461987.62164449238</v>
      </c>
      <c r="H45" s="52">
        <f t="shared" si="9"/>
        <v>461987.62164449238</v>
      </c>
      <c r="I45" s="65">
        <f t="shared" si="10"/>
        <v>0</v>
      </c>
      <c r="J45" s="65"/>
      <c r="K45" s="132"/>
      <c r="L45" s="67">
        <f t="shared" si="3"/>
        <v>0</v>
      </c>
      <c r="M45" s="132"/>
      <c r="N45" s="67">
        <f t="shared" si="4"/>
        <v>0</v>
      </c>
      <c r="O45" s="67">
        <f t="shared" si="5"/>
        <v>0</v>
      </c>
      <c r="P45" s="4"/>
    </row>
    <row r="46" spans="2:16" ht="12.5">
      <c r="B46" s="9" t="str">
        <f t="shared" si="11"/>
        <v/>
      </c>
      <c r="C46" s="62">
        <f>IF(D11="","-",+C45+1)</f>
        <v>2053</v>
      </c>
      <c r="D46" s="71">
        <f>IF(F45+SUM(E$17:E45)=D$10,F45,D$10-SUM(E$17:E45))</f>
        <v>2105425.5263157887</v>
      </c>
      <c r="E46" s="69">
        <f t="shared" si="6"/>
        <v>210542.55263157896</v>
      </c>
      <c r="F46" s="68">
        <f t="shared" si="7"/>
        <v>1894882.9736842099</v>
      </c>
      <c r="G46" s="70">
        <f t="shared" si="8"/>
        <v>438040.47221469105</v>
      </c>
      <c r="H46" s="52">
        <f t="shared" si="9"/>
        <v>438040.47221469105</v>
      </c>
      <c r="I46" s="65">
        <f t="shared" si="10"/>
        <v>0</v>
      </c>
      <c r="J46" s="65"/>
      <c r="K46" s="132"/>
      <c r="L46" s="67">
        <f t="shared" si="3"/>
        <v>0</v>
      </c>
      <c r="M46" s="132"/>
      <c r="N46" s="67">
        <f t="shared" si="4"/>
        <v>0</v>
      </c>
      <c r="O46" s="67">
        <f t="shared" si="5"/>
        <v>0</v>
      </c>
      <c r="P46" s="4"/>
    </row>
    <row r="47" spans="2:16" ht="12.5">
      <c r="B47" s="9" t="str">
        <f t="shared" si="11"/>
        <v/>
      </c>
      <c r="C47" s="62">
        <f>IF(D11="","-",+C46+1)</f>
        <v>2054</v>
      </c>
      <c r="D47" s="71">
        <f>IF(F46+SUM(E$17:E46)=D$10,F46,D$10-SUM(E$17:E46))</f>
        <v>1894882.9736842099</v>
      </c>
      <c r="E47" s="69">
        <f t="shared" si="6"/>
        <v>210542.55263157896</v>
      </c>
      <c r="F47" s="68">
        <f t="shared" si="7"/>
        <v>1684340.421052631</v>
      </c>
      <c r="G47" s="70">
        <f t="shared" si="8"/>
        <v>414093.32278488978</v>
      </c>
      <c r="H47" s="52">
        <f t="shared" si="9"/>
        <v>414093.32278488978</v>
      </c>
      <c r="I47" s="65">
        <f t="shared" si="10"/>
        <v>0</v>
      </c>
      <c r="J47" s="65"/>
      <c r="K47" s="132"/>
      <c r="L47" s="67">
        <f t="shared" si="3"/>
        <v>0</v>
      </c>
      <c r="M47" s="132"/>
      <c r="N47" s="67">
        <f t="shared" si="4"/>
        <v>0</v>
      </c>
      <c r="O47" s="67">
        <f t="shared" si="5"/>
        <v>0</v>
      </c>
      <c r="P47" s="4"/>
    </row>
    <row r="48" spans="2:16" ht="12.5">
      <c r="B48" s="9" t="str">
        <f t="shared" si="11"/>
        <v/>
      </c>
      <c r="C48" s="62">
        <f>IF(D11="","-",+C47+1)</f>
        <v>2055</v>
      </c>
      <c r="D48" s="71">
        <f>IF(F47+SUM(E$17:E47)=D$10,F47,D$10-SUM(E$17:E47))</f>
        <v>1684340.421052631</v>
      </c>
      <c r="E48" s="69">
        <f t="shared" si="6"/>
        <v>210542.55263157896</v>
      </c>
      <c r="F48" s="68">
        <f t="shared" si="7"/>
        <v>1473797.8684210521</v>
      </c>
      <c r="G48" s="70">
        <f t="shared" si="8"/>
        <v>390146.17335508851</v>
      </c>
      <c r="H48" s="52">
        <f t="shared" si="9"/>
        <v>390146.17335508851</v>
      </c>
      <c r="I48" s="65">
        <f t="shared" si="10"/>
        <v>0</v>
      </c>
      <c r="J48" s="65"/>
      <c r="K48" s="132"/>
      <c r="L48" s="67">
        <f t="shared" si="3"/>
        <v>0</v>
      </c>
      <c r="M48" s="132"/>
      <c r="N48" s="67">
        <f t="shared" si="4"/>
        <v>0</v>
      </c>
      <c r="O48" s="67">
        <f t="shared" si="5"/>
        <v>0</v>
      </c>
      <c r="P48" s="4"/>
    </row>
    <row r="49" spans="2:16" ht="12.5">
      <c r="B49" s="9" t="str">
        <f t="shared" si="11"/>
        <v/>
      </c>
      <c r="C49" s="62">
        <f>IF(D11="","-",+C48+1)</f>
        <v>2056</v>
      </c>
      <c r="D49" s="71">
        <f>IF(F48+SUM(E$17:E48)=D$10,F48,D$10-SUM(E$17:E48))</f>
        <v>1473797.8684210521</v>
      </c>
      <c r="E49" s="69">
        <f t="shared" si="6"/>
        <v>210542.55263157896</v>
      </c>
      <c r="F49" s="68">
        <f t="shared" si="7"/>
        <v>1263255.3157894732</v>
      </c>
      <c r="G49" s="70">
        <f t="shared" si="8"/>
        <v>366199.02392528724</v>
      </c>
      <c r="H49" s="52">
        <f t="shared" si="9"/>
        <v>366199.02392528724</v>
      </c>
      <c r="I49" s="65">
        <f t="shared" si="10"/>
        <v>0</v>
      </c>
      <c r="J49" s="65"/>
      <c r="K49" s="132"/>
      <c r="L49" s="67">
        <f t="shared" si="3"/>
        <v>0</v>
      </c>
      <c r="M49" s="132"/>
      <c r="N49" s="67">
        <f t="shared" si="4"/>
        <v>0</v>
      </c>
      <c r="O49" s="67">
        <f t="shared" si="5"/>
        <v>0</v>
      </c>
      <c r="P49" s="4"/>
    </row>
    <row r="50" spans="2:16" ht="12.5">
      <c r="B50" s="9" t="str">
        <f t="shared" si="11"/>
        <v/>
      </c>
      <c r="C50" s="62">
        <f>IF(D11="","-",+C49+1)</f>
        <v>2057</v>
      </c>
      <c r="D50" s="71">
        <f>IF(F49+SUM(E$17:E49)=D$10,F49,D$10-SUM(E$17:E49))</f>
        <v>1263255.3157894732</v>
      </c>
      <c r="E50" s="69">
        <f t="shared" si="6"/>
        <v>210542.55263157896</v>
      </c>
      <c r="F50" s="68">
        <f t="shared" si="7"/>
        <v>1052712.7631578944</v>
      </c>
      <c r="G50" s="70">
        <f t="shared" si="8"/>
        <v>342251.87449548597</v>
      </c>
      <c r="H50" s="52">
        <f t="shared" si="9"/>
        <v>342251.87449548597</v>
      </c>
      <c r="I50" s="65">
        <f t="shared" si="10"/>
        <v>0</v>
      </c>
      <c r="J50" s="65"/>
      <c r="K50" s="132"/>
      <c r="L50" s="67">
        <f t="shared" si="3"/>
        <v>0</v>
      </c>
      <c r="M50" s="132"/>
      <c r="N50" s="67">
        <f t="shared" si="4"/>
        <v>0</v>
      </c>
      <c r="O50" s="67">
        <f t="shared" si="5"/>
        <v>0</v>
      </c>
      <c r="P50" s="4"/>
    </row>
    <row r="51" spans="2:16" ht="12.5">
      <c r="B51" s="9" t="str">
        <f t="shared" si="11"/>
        <v/>
      </c>
      <c r="C51" s="62">
        <f>IF(D11="","-",+C50+1)</f>
        <v>2058</v>
      </c>
      <c r="D51" s="71">
        <f>IF(F50+SUM(E$17:E50)=D$10,F50,D$10-SUM(E$17:E50))</f>
        <v>1052712.7631578944</v>
      </c>
      <c r="E51" s="69">
        <f t="shared" si="6"/>
        <v>210542.55263157896</v>
      </c>
      <c r="F51" s="68">
        <f t="shared" si="7"/>
        <v>842170.21052631538</v>
      </c>
      <c r="G51" s="70">
        <f t="shared" si="8"/>
        <v>318304.7250656847</v>
      </c>
      <c r="H51" s="52">
        <f t="shared" si="9"/>
        <v>318304.7250656847</v>
      </c>
      <c r="I51" s="65">
        <f t="shared" si="10"/>
        <v>0</v>
      </c>
      <c r="J51" s="65"/>
      <c r="K51" s="132"/>
      <c r="L51" s="67">
        <f t="shared" si="3"/>
        <v>0</v>
      </c>
      <c r="M51" s="132"/>
      <c r="N51" s="67">
        <f t="shared" si="4"/>
        <v>0</v>
      </c>
      <c r="O51" s="67">
        <f t="shared" si="5"/>
        <v>0</v>
      </c>
      <c r="P51" s="4"/>
    </row>
    <row r="52" spans="2:16" ht="12.5">
      <c r="B52" s="9" t="str">
        <f t="shared" si="11"/>
        <v/>
      </c>
      <c r="C52" s="62">
        <f>IF(D11="","-",+C51+1)</f>
        <v>2059</v>
      </c>
      <c r="D52" s="71">
        <f>IF(F51+SUM(E$17:E51)=D$10,F51,D$10-SUM(E$17:E51))</f>
        <v>842170.21052631538</v>
      </c>
      <c r="E52" s="69">
        <f t="shared" si="6"/>
        <v>210542.55263157896</v>
      </c>
      <c r="F52" s="68">
        <f t="shared" si="7"/>
        <v>631627.65789473639</v>
      </c>
      <c r="G52" s="70">
        <f t="shared" si="8"/>
        <v>294357.57563588338</v>
      </c>
      <c r="H52" s="52">
        <f t="shared" si="9"/>
        <v>294357.57563588338</v>
      </c>
      <c r="I52" s="65">
        <f t="shared" si="10"/>
        <v>0</v>
      </c>
      <c r="J52" s="65"/>
      <c r="K52" s="132"/>
      <c r="L52" s="67">
        <f t="shared" si="3"/>
        <v>0</v>
      </c>
      <c r="M52" s="132"/>
      <c r="N52" s="67">
        <f t="shared" si="4"/>
        <v>0</v>
      </c>
      <c r="O52" s="67">
        <f t="shared" si="5"/>
        <v>0</v>
      </c>
      <c r="P52" s="4"/>
    </row>
    <row r="53" spans="2:16" ht="12.5">
      <c r="B53" s="9" t="str">
        <f t="shared" si="11"/>
        <v/>
      </c>
      <c r="C53" s="62">
        <f>IF(D11="","-",+C52+1)</f>
        <v>2060</v>
      </c>
      <c r="D53" s="71">
        <f>IF(F52+SUM(E$17:E52)=D$10,F52,D$10-SUM(E$17:E52))</f>
        <v>631627.65789473639</v>
      </c>
      <c r="E53" s="69">
        <f t="shared" si="6"/>
        <v>210542.55263157896</v>
      </c>
      <c r="F53" s="68">
        <f t="shared" si="7"/>
        <v>421085.1052631574</v>
      </c>
      <c r="G53" s="70">
        <f t="shared" si="8"/>
        <v>270410.42620608211</v>
      </c>
      <c r="H53" s="52">
        <f t="shared" si="9"/>
        <v>270410.42620608211</v>
      </c>
      <c r="I53" s="65">
        <f t="shared" si="10"/>
        <v>0</v>
      </c>
      <c r="J53" s="65"/>
      <c r="K53" s="132"/>
      <c r="L53" s="67">
        <f t="shared" si="3"/>
        <v>0</v>
      </c>
      <c r="M53" s="132"/>
      <c r="N53" s="67">
        <f t="shared" si="4"/>
        <v>0</v>
      </c>
      <c r="O53" s="67">
        <f t="shared" si="5"/>
        <v>0</v>
      </c>
      <c r="P53" s="4"/>
    </row>
    <row r="54" spans="2:16" ht="12.5">
      <c r="B54" s="9" t="str">
        <f t="shared" si="11"/>
        <v>IU</v>
      </c>
      <c r="C54" s="62">
        <f>IF(D11="","-",+C53+1)</f>
        <v>2061</v>
      </c>
      <c r="D54" s="71">
        <f>IF(F53+SUM(E$17:E53)=D$10,F53,D$10-SUM(E$17:E53))</f>
        <v>421085.10526315216</v>
      </c>
      <c r="E54" s="69">
        <f t="shared" si="6"/>
        <v>210542.55263157896</v>
      </c>
      <c r="F54" s="68">
        <f t="shared" si="7"/>
        <v>210542.5526315732</v>
      </c>
      <c r="G54" s="70">
        <f t="shared" si="8"/>
        <v>246463.27677628023</v>
      </c>
      <c r="H54" s="52">
        <f t="shared" si="9"/>
        <v>246463.27677628023</v>
      </c>
      <c r="I54" s="65">
        <f t="shared" si="10"/>
        <v>0</v>
      </c>
      <c r="J54" s="65"/>
      <c r="K54" s="132"/>
      <c r="L54" s="67">
        <f t="shared" si="3"/>
        <v>0</v>
      </c>
      <c r="M54" s="132"/>
      <c r="N54" s="67">
        <f t="shared" si="4"/>
        <v>0</v>
      </c>
      <c r="O54" s="67">
        <f t="shared" si="5"/>
        <v>0</v>
      </c>
      <c r="P54" s="4"/>
    </row>
    <row r="55" spans="2:16" ht="12.5">
      <c r="B55" s="9" t="str">
        <f t="shared" si="11"/>
        <v/>
      </c>
      <c r="C55" s="62">
        <f>IF(D11="","-",+C54+1)</f>
        <v>2062</v>
      </c>
      <c r="D55" s="71">
        <f>IF(F54+SUM(E$17:E54)=D$10,F54,D$10-SUM(E$17:E54))</f>
        <v>210542.5526315732</v>
      </c>
      <c r="E55" s="69">
        <f t="shared" si="6"/>
        <v>210542.5526315732</v>
      </c>
      <c r="F55" s="68">
        <f t="shared" si="7"/>
        <v>0</v>
      </c>
      <c r="G55" s="70">
        <f t="shared" si="8"/>
        <v>222516.12734647351</v>
      </c>
      <c r="H55" s="52">
        <f t="shared" si="9"/>
        <v>222516.12734647351</v>
      </c>
      <c r="I55" s="65">
        <f t="shared" si="10"/>
        <v>0</v>
      </c>
      <c r="J55" s="65"/>
      <c r="K55" s="132"/>
      <c r="L55" s="67">
        <f t="shared" si="3"/>
        <v>0</v>
      </c>
      <c r="M55" s="132"/>
      <c r="N55" s="67">
        <f t="shared" si="4"/>
        <v>0</v>
      </c>
      <c r="O55" s="67">
        <f t="shared" si="5"/>
        <v>0</v>
      </c>
      <c r="P55" s="4"/>
    </row>
    <row r="56" spans="2:16" ht="12.5">
      <c r="B56" s="9" t="str">
        <f t="shared" si="11"/>
        <v/>
      </c>
      <c r="C56" s="62">
        <f>IF(D11="","-",+C55+1)</f>
        <v>2063</v>
      </c>
      <c r="D56" s="71">
        <f>IF(F55+SUM(E$17:E55)=D$10,F55,D$10-SUM(E$17:E55))</f>
        <v>0</v>
      </c>
      <c r="E56" s="69">
        <f t="shared" si="6"/>
        <v>0</v>
      </c>
      <c r="F56" s="68">
        <f t="shared" si="7"/>
        <v>0</v>
      </c>
      <c r="G56" s="70">
        <f t="shared" si="8"/>
        <v>0</v>
      </c>
      <c r="H56" s="52">
        <f t="shared" si="9"/>
        <v>0</v>
      </c>
      <c r="I56" s="65">
        <f t="shared" si="10"/>
        <v>0</v>
      </c>
      <c r="J56" s="65"/>
      <c r="K56" s="132"/>
      <c r="L56" s="67">
        <f t="shared" si="3"/>
        <v>0</v>
      </c>
      <c r="M56" s="132"/>
      <c r="N56" s="67">
        <f t="shared" si="4"/>
        <v>0</v>
      </c>
      <c r="O56" s="67">
        <f t="shared" si="5"/>
        <v>0</v>
      </c>
      <c r="P56" s="4"/>
    </row>
    <row r="57" spans="2:16" ht="12.5">
      <c r="B57" s="9" t="str">
        <f t="shared" si="11"/>
        <v/>
      </c>
      <c r="C57" s="62">
        <f>IF(D11="","-",+C56+1)</f>
        <v>2064</v>
      </c>
      <c r="D57" s="71">
        <f>IF(F56+SUM(E$17:E56)=D$10,F56,D$10-SUM(E$17:E56))</f>
        <v>0</v>
      </c>
      <c r="E57" s="69">
        <f t="shared" si="6"/>
        <v>0</v>
      </c>
      <c r="F57" s="68">
        <f t="shared" si="7"/>
        <v>0</v>
      </c>
      <c r="G57" s="70">
        <f t="shared" si="8"/>
        <v>0</v>
      </c>
      <c r="H57" s="52">
        <f t="shared" si="9"/>
        <v>0</v>
      </c>
      <c r="I57" s="65">
        <f t="shared" si="10"/>
        <v>0</v>
      </c>
      <c r="J57" s="65"/>
      <c r="K57" s="132"/>
      <c r="L57" s="67">
        <f t="shared" si="3"/>
        <v>0</v>
      </c>
      <c r="M57" s="132"/>
      <c r="N57" s="67">
        <f t="shared" si="4"/>
        <v>0</v>
      </c>
      <c r="O57" s="67">
        <f t="shared" si="5"/>
        <v>0</v>
      </c>
      <c r="P57" s="4"/>
    </row>
    <row r="58" spans="2:16" ht="12.5">
      <c r="B58" s="9" t="str">
        <f t="shared" si="11"/>
        <v/>
      </c>
      <c r="C58" s="62">
        <f>IF(D11="","-",+C57+1)</f>
        <v>2065</v>
      </c>
      <c r="D58" s="71">
        <f>IF(F57+SUM(E$17:E57)=D$10,F57,D$10-SUM(E$17:E57))</f>
        <v>0</v>
      </c>
      <c r="E58" s="69">
        <f t="shared" si="6"/>
        <v>0</v>
      </c>
      <c r="F58" s="68">
        <f t="shared" si="7"/>
        <v>0</v>
      </c>
      <c r="G58" s="70">
        <f t="shared" si="8"/>
        <v>0</v>
      </c>
      <c r="H58" s="52">
        <f t="shared" si="9"/>
        <v>0</v>
      </c>
      <c r="I58" s="65">
        <f t="shared" si="10"/>
        <v>0</v>
      </c>
      <c r="J58" s="65"/>
      <c r="K58" s="132"/>
      <c r="L58" s="67">
        <f t="shared" si="3"/>
        <v>0</v>
      </c>
      <c r="M58" s="132"/>
      <c r="N58" s="67">
        <f t="shared" si="4"/>
        <v>0</v>
      </c>
      <c r="O58" s="67">
        <f t="shared" si="5"/>
        <v>0</v>
      </c>
      <c r="P58" s="4"/>
    </row>
    <row r="59" spans="2:16" ht="12.5">
      <c r="B59" s="9" t="str">
        <f t="shared" si="11"/>
        <v/>
      </c>
      <c r="C59" s="62">
        <f>IF(D11="","-",+C58+1)</f>
        <v>2066</v>
      </c>
      <c r="D59" s="71">
        <f>IF(F58+SUM(E$17:E58)=D$10,F58,D$10-SUM(E$17:E58))</f>
        <v>0</v>
      </c>
      <c r="E59" s="69">
        <f t="shared" si="6"/>
        <v>0</v>
      </c>
      <c r="F59" s="68">
        <f t="shared" si="7"/>
        <v>0</v>
      </c>
      <c r="G59" s="70">
        <f t="shared" si="8"/>
        <v>0</v>
      </c>
      <c r="H59" s="52">
        <f t="shared" si="9"/>
        <v>0</v>
      </c>
      <c r="I59" s="65">
        <f t="shared" si="10"/>
        <v>0</v>
      </c>
      <c r="J59" s="65"/>
      <c r="K59" s="132"/>
      <c r="L59" s="67">
        <f t="shared" si="3"/>
        <v>0</v>
      </c>
      <c r="M59" s="132"/>
      <c r="N59" s="67">
        <f t="shared" si="4"/>
        <v>0</v>
      </c>
      <c r="O59" s="67">
        <f t="shared" si="5"/>
        <v>0</v>
      </c>
      <c r="P59" s="4"/>
    </row>
    <row r="60" spans="2:16" ht="12.5">
      <c r="B60" s="9" t="str">
        <f t="shared" si="11"/>
        <v/>
      </c>
      <c r="C60" s="62">
        <f>IF(D11="","-",+C59+1)</f>
        <v>2067</v>
      </c>
      <c r="D60" s="71">
        <f>IF(F59+SUM(E$17:E59)=D$10,F59,D$10-SUM(E$17:E59))</f>
        <v>0</v>
      </c>
      <c r="E60" s="69">
        <f t="shared" si="6"/>
        <v>0</v>
      </c>
      <c r="F60" s="68">
        <f t="shared" si="7"/>
        <v>0</v>
      </c>
      <c r="G60" s="70">
        <f t="shared" si="8"/>
        <v>0</v>
      </c>
      <c r="H60" s="52">
        <f t="shared" si="9"/>
        <v>0</v>
      </c>
      <c r="I60" s="65">
        <f t="shared" si="10"/>
        <v>0</v>
      </c>
      <c r="J60" s="65"/>
      <c r="K60" s="132"/>
      <c r="L60" s="67">
        <f t="shared" si="3"/>
        <v>0</v>
      </c>
      <c r="M60" s="132"/>
      <c r="N60" s="67">
        <f t="shared" si="4"/>
        <v>0</v>
      </c>
      <c r="O60" s="67">
        <f t="shared" si="5"/>
        <v>0</v>
      </c>
      <c r="P60" s="4"/>
    </row>
    <row r="61" spans="2:16" ht="12.5">
      <c r="B61" s="9" t="str">
        <f t="shared" si="11"/>
        <v/>
      </c>
      <c r="C61" s="62">
        <f>IF(D11="","-",+C60+1)</f>
        <v>2068</v>
      </c>
      <c r="D61" s="71">
        <f>IF(F60+SUM(E$17:E60)=D$10,F60,D$10-SUM(E$17:E60))</f>
        <v>0</v>
      </c>
      <c r="E61" s="69">
        <f t="shared" si="6"/>
        <v>0</v>
      </c>
      <c r="F61" s="68">
        <f t="shared" si="7"/>
        <v>0</v>
      </c>
      <c r="G61" s="70">
        <f t="shared" si="8"/>
        <v>0</v>
      </c>
      <c r="H61" s="52">
        <f t="shared" si="9"/>
        <v>0</v>
      </c>
      <c r="I61" s="65">
        <f t="shared" si="10"/>
        <v>0</v>
      </c>
      <c r="J61" s="65"/>
      <c r="K61" s="132"/>
      <c r="L61" s="67">
        <f t="shared" si="3"/>
        <v>0</v>
      </c>
      <c r="M61" s="132"/>
      <c r="N61" s="67">
        <f t="shared" si="4"/>
        <v>0</v>
      </c>
      <c r="O61" s="67">
        <f t="shared" si="5"/>
        <v>0</v>
      </c>
      <c r="P61" s="4"/>
    </row>
    <row r="62" spans="2:16" ht="12.5">
      <c r="B62" s="9" t="str">
        <f t="shared" si="11"/>
        <v/>
      </c>
      <c r="C62" s="62">
        <f>IF(D11="","-",+C61+1)</f>
        <v>2069</v>
      </c>
      <c r="D62" s="71">
        <f>IF(F61+SUM(E$17:E61)=D$10,F61,D$10-SUM(E$17:E61))</f>
        <v>0</v>
      </c>
      <c r="E62" s="69">
        <f t="shared" si="6"/>
        <v>0</v>
      </c>
      <c r="F62" s="68">
        <f t="shared" si="7"/>
        <v>0</v>
      </c>
      <c r="G62" s="70">
        <f t="shared" si="8"/>
        <v>0</v>
      </c>
      <c r="H62" s="52">
        <f t="shared" si="9"/>
        <v>0</v>
      </c>
      <c r="I62" s="65">
        <f t="shared" si="10"/>
        <v>0</v>
      </c>
      <c r="J62" s="65"/>
      <c r="K62" s="132"/>
      <c r="L62" s="67">
        <f t="shared" si="3"/>
        <v>0</v>
      </c>
      <c r="M62" s="132"/>
      <c r="N62" s="67">
        <f t="shared" si="4"/>
        <v>0</v>
      </c>
      <c r="O62" s="67">
        <f t="shared" si="5"/>
        <v>0</v>
      </c>
      <c r="P62" s="4"/>
    </row>
    <row r="63" spans="2:16" ht="12.5">
      <c r="B63" s="9" t="str">
        <f t="shared" si="11"/>
        <v/>
      </c>
      <c r="C63" s="62">
        <f>IF(D11="","-",+C62+1)</f>
        <v>2070</v>
      </c>
      <c r="D63" s="71">
        <f>IF(F62+SUM(E$17:E62)=D$10,F62,D$10-SUM(E$17:E62))</f>
        <v>0</v>
      </c>
      <c r="E63" s="69">
        <f t="shared" si="6"/>
        <v>0</v>
      </c>
      <c r="F63" s="68">
        <f t="shared" si="7"/>
        <v>0</v>
      </c>
      <c r="G63" s="70">
        <f t="shared" si="8"/>
        <v>0</v>
      </c>
      <c r="H63" s="52">
        <f t="shared" si="9"/>
        <v>0</v>
      </c>
      <c r="I63" s="65">
        <f t="shared" si="10"/>
        <v>0</v>
      </c>
      <c r="J63" s="65"/>
      <c r="K63" s="132"/>
      <c r="L63" s="67">
        <f t="shared" si="3"/>
        <v>0</v>
      </c>
      <c r="M63" s="132"/>
      <c r="N63" s="67">
        <f t="shared" si="4"/>
        <v>0</v>
      </c>
      <c r="O63" s="67">
        <f t="shared" si="5"/>
        <v>0</v>
      </c>
      <c r="P63" s="4"/>
    </row>
    <row r="64" spans="2:16" ht="12.5">
      <c r="B64" s="9" t="str">
        <f t="shared" si="11"/>
        <v/>
      </c>
      <c r="C64" s="62">
        <f>IF(D11="","-",+C63+1)</f>
        <v>2071</v>
      </c>
      <c r="D64" s="71">
        <f>IF(F63+SUM(E$17:E63)=D$10,F63,D$10-SUM(E$17:E63))</f>
        <v>0</v>
      </c>
      <c r="E64" s="69">
        <f t="shared" si="6"/>
        <v>0</v>
      </c>
      <c r="F64" s="68">
        <f t="shared" si="7"/>
        <v>0</v>
      </c>
      <c r="G64" s="70">
        <f t="shared" si="8"/>
        <v>0</v>
      </c>
      <c r="H64" s="52">
        <f t="shared" si="9"/>
        <v>0</v>
      </c>
      <c r="I64" s="65">
        <f t="shared" si="10"/>
        <v>0</v>
      </c>
      <c r="J64" s="65"/>
      <c r="K64" s="132"/>
      <c r="L64" s="67">
        <f t="shared" si="3"/>
        <v>0</v>
      </c>
      <c r="M64" s="132"/>
      <c r="N64" s="67">
        <f t="shared" si="4"/>
        <v>0</v>
      </c>
      <c r="O64" s="67">
        <f t="shared" si="5"/>
        <v>0</v>
      </c>
      <c r="P64" s="4"/>
    </row>
    <row r="65" spans="2:16" ht="12.5">
      <c r="B65" s="9" t="str">
        <f t="shared" si="11"/>
        <v/>
      </c>
      <c r="C65" s="62">
        <f>IF(D11="","-",+C64+1)</f>
        <v>2072</v>
      </c>
      <c r="D65" s="71">
        <f>IF(F64+SUM(E$17:E64)=D$10,F64,D$10-SUM(E$17:E64))</f>
        <v>0</v>
      </c>
      <c r="E65" s="69">
        <f t="shared" si="6"/>
        <v>0</v>
      </c>
      <c r="F65" s="68">
        <f t="shared" si="7"/>
        <v>0</v>
      </c>
      <c r="G65" s="70">
        <f t="shared" si="8"/>
        <v>0</v>
      </c>
      <c r="H65" s="52">
        <f t="shared" si="9"/>
        <v>0</v>
      </c>
      <c r="I65" s="65">
        <f t="shared" si="10"/>
        <v>0</v>
      </c>
      <c r="J65" s="65"/>
      <c r="K65" s="132"/>
      <c r="L65" s="67">
        <f t="shared" si="3"/>
        <v>0</v>
      </c>
      <c r="M65" s="132"/>
      <c r="N65" s="67">
        <f t="shared" si="4"/>
        <v>0</v>
      </c>
      <c r="O65" s="67">
        <f t="shared" si="5"/>
        <v>0</v>
      </c>
      <c r="P65" s="4"/>
    </row>
    <row r="66" spans="2:16" ht="12.5">
      <c r="B66" s="9" t="str">
        <f t="shared" si="11"/>
        <v/>
      </c>
      <c r="C66" s="62">
        <f>IF(D11="","-",+C65+1)</f>
        <v>2073</v>
      </c>
      <c r="D66" s="71">
        <f>IF(F65+SUM(E$17:E65)=D$10,F65,D$10-SUM(E$17:E65))</f>
        <v>0</v>
      </c>
      <c r="E66" s="69">
        <f t="shared" si="6"/>
        <v>0</v>
      </c>
      <c r="F66" s="68">
        <f t="shared" si="7"/>
        <v>0</v>
      </c>
      <c r="G66" s="70">
        <f t="shared" si="8"/>
        <v>0</v>
      </c>
      <c r="H66" s="52">
        <f t="shared" si="9"/>
        <v>0</v>
      </c>
      <c r="I66" s="65">
        <f t="shared" si="10"/>
        <v>0</v>
      </c>
      <c r="J66" s="65"/>
      <c r="K66" s="132"/>
      <c r="L66" s="67">
        <f t="shared" si="3"/>
        <v>0</v>
      </c>
      <c r="M66" s="132"/>
      <c r="N66" s="67">
        <f t="shared" si="4"/>
        <v>0</v>
      </c>
      <c r="O66" s="67">
        <f t="shared" si="5"/>
        <v>0</v>
      </c>
      <c r="P66" s="4"/>
    </row>
    <row r="67" spans="2:16" ht="12.5">
      <c r="B67" s="9" t="str">
        <f t="shared" si="11"/>
        <v/>
      </c>
      <c r="C67" s="62">
        <f>IF(D11="","-",+C66+1)</f>
        <v>2074</v>
      </c>
      <c r="D67" s="71">
        <f>IF(F66+SUM(E$17:E66)=D$10,F66,D$10-SUM(E$17:E66))</f>
        <v>0</v>
      </c>
      <c r="E67" s="69">
        <f t="shared" si="6"/>
        <v>0</v>
      </c>
      <c r="F67" s="68">
        <f t="shared" si="7"/>
        <v>0</v>
      </c>
      <c r="G67" s="70">
        <f t="shared" si="8"/>
        <v>0</v>
      </c>
      <c r="H67" s="52">
        <f t="shared" si="9"/>
        <v>0</v>
      </c>
      <c r="I67" s="65">
        <f t="shared" si="10"/>
        <v>0</v>
      </c>
      <c r="J67" s="65"/>
      <c r="K67" s="132"/>
      <c r="L67" s="67">
        <f t="shared" si="3"/>
        <v>0</v>
      </c>
      <c r="M67" s="132"/>
      <c r="N67" s="67">
        <f t="shared" si="4"/>
        <v>0</v>
      </c>
      <c r="O67" s="67">
        <f t="shared" si="5"/>
        <v>0</v>
      </c>
      <c r="P67" s="4"/>
    </row>
    <row r="68" spans="2:16" ht="12.5">
      <c r="B68" s="9" t="str">
        <f t="shared" si="11"/>
        <v/>
      </c>
      <c r="C68" s="62">
        <f>IF(D11="","-",+C67+1)</f>
        <v>2075</v>
      </c>
      <c r="D68" s="71">
        <f>IF(F67+SUM(E$17:E67)=D$10,F67,D$10-SUM(E$17:E67))</f>
        <v>0</v>
      </c>
      <c r="E68" s="69">
        <f t="shared" si="6"/>
        <v>0</v>
      </c>
      <c r="F68" s="68">
        <f t="shared" si="7"/>
        <v>0</v>
      </c>
      <c r="G68" s="70">
        <f t="shared" si="8"/>
        <v>0</v>
      </c>
      <c r="H68" s="52">
        <f t="shared" si="9"/>
        <v>0</v>
      </c>
      <c r="I68" s="65">
        <f t="shared" si="10"/>
        <v>0</v>
      </c>
      <c r="J68" s="65"/>
      <c r="K68" s="132"/>
      <c r="L68" s="67">
        <f t="shared" si="3"/>
        <v>0</v>
      </c>
      <c r="M68" s="132"/>
      <c r="N68" s="67">
        <f t="shared" si="4"/>
        <v>0</v>
      </c>
      <c r="O68" s="67">
        <f t="shared" si="5"/>
        <v>0</v>
      </c>
      <c r="P68" s="4"/>
    </row>
    <row r="69" spans="2:16" ht="12.5">
      <c r="B69" s="9" t="str">
        <f t="shared" si="11"/>
        <v/>
      </c>
      <c r="C69" s="62">
        <f>IF(D11="","-",+C68+1)</f>
        <v>2076</v>
      </c>
      <c r="D69" s="71">
        <f>IF(F68+SUM(E$17:E68)=D$10,F68,D$10-SUM(E$17:E68))</f>
        <v>0</v>
      </c>
      <c r="E69" s="69">
        <f t="shared" si="6"/>
        <v>0</v>
      </c>
      <c r="F69" s="68">
        <f t="shared" si="7"/>
        <v>0</v>
      </c>
      <c r="G69" s="70">
        <f t="shared" si="8"/>
        <v>0</v>
      </c>
      <c r="H69" s="52">
        <f t="shared" si="9"/>
        <v>0</v>
      </c>
      <c r="I69" s="65">
        <f t="shared" si="10"/>
        <v>0</v>
      </c>
      <c r="J69" s="65"/>
      <c r="K69" s="132"/>
      <c r="L69" s="67">
        <f t="shared" si="3"/>
        <v>0</v>
      </c>
      <c r="M69" s="132"/>
      <c r="N69" s="67">
        <f t="shared" si="4"/>
        <v>0</v>
      </c>
      <c r="O69" s="67">
        <f t="shared" si="5"/>
        <v>0</v>
      </c>
      <c r="P69" s="4"/>
    </row>
    <row r="70" spans="2:16" ht="12.5">
      <c r="B70" s="9" t="str">
        <f t="shared" si="11"/>
        <v/>
      </c>
      <c r="C70" s="62">
        <f>IF(D11="","-",+C69+1)</f>
        <v>2077</v>
      </c>
      <c r="D70" s="71">
        <f>IF(F69+SUM(E$17:E69)=D$10,F69,D$10-SUM(E$17:E69))</f>
        <v>0</v>
      </c>
      <c r="E70" s="69">
        <f t="shared" si="6"/>
        <v>0</v>
      </c>
      <c r="F70" s="68">
        <f t="shared" si="7"/>
        <v>0</v>
      </c>
      <c r="G70" s="70">
        <f t="shared" si="8"/>
        <v>0</v>
      </c>
      <c r="H70" s="52">
        <f t="shared" si="9"/>
        <v>0</v>
      </c>
      <c r="I70" s="65">
        <f t="shared" si="10"/>
        <v>0</v>
      </c>
      <c r="J70" s="65"/>
      <c r="K70" s="132"/>
      <c r="L70" s="67">
        <f t="shared" si="3"/>
        <v>0</v>
      </c>
      <c r="M70" s="132"/>
      <c r="N70" s="67">
        <f t="shared" si="4"/>
        <v>0</v>
      </c>
      <c r="O70" s="67">
        <f t="shared" si="5"/>
        <v>0</v>
      </c>
      <c r="P70" s="4"/>
    </row>
    <row r="71" spans="2:16" ht="12.5">
      <c r="B71" s="9" t="str">
        <f t="shared" si="11"/>
        <v/>
      </c>
      <c r="C71" s="62">
        <f>IF(D11="","-",+C70+1)</f>
        <v>2078</v>
      </c>
      <c r="D71" s="71">
        <f>IF(F70+SUM(E$17:E70)=D$10,F70,D$10-SUM(E$17:E70))</f>
        <v>0</v>
      </c>
      <c r="E71" s="69">
        <f t="shared" si="6"/>
        <v>0</v>
      </c>
      <c r="F71" s="68">
        <f t="shared" si="7"/>
        <v>0</v>
      </c>
      <c r="G71" s="70">
        <f t="shared" si="8"/>
        <v>0</v>
      </c>
      <c r="H71" s="52">
        <f t="shared" si="9"/>
        <v>0</v>
      </c>
      <c r="I71" s="65">
        <f t="shared" si="10"/>
        <v>0</v>
      </c>
      <c r="J71" s="65"/>
      <c r="K71" s="132"/>
      <c r="L71" s="67">
        <f t="shared" si="3"/>
        <v>0</v>
      </c>
      <c r="M71" s="132"/>
      <c r="N71" s="67">
        <f t="shared" si="4"/>
        <v>0</v>
      </c>
      <c r="O71" s="67">
        <f t="shared" si="5"/>
        <v>0</v>
      </c>
      <c r="P71" s="4"/>
    </row>
    <row r="72" spans="2:16" ht="13" thickBot="1">
      <c r="B72" s="9" t="str">
        <f t="shared" si="11"/>
        <v/>
      </c>
      <c r="C72" s="72">
        <f>IF(D11="","-",+C71+1)</f>
        <v>2079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3"/>
        <v>0</v>
      </c>
      <c r="M72" s="133"/>
      <c r="N72" s="76">
        <f t="shared" si="4"/>
        <v>0</v>
      </c>
      <c r="O72" s="76">
        <f t="shared" si="5"/>
        <v>0</v>
      </c>
      <c r="P72" s="4"/>
    </row>
    <row r="73" spans="2:16" ht="12.5">
      <c r="C73" s="63" t="s">
        <v>77</v>
      </c>
      <c r="D73" s="20"/>
      <c r="E73" s="20">
        <f>SUM(E17:E72)</f>
        <v>8000617</v>
      </c>
      <c r="F73" s="20"/>
      <c r="G73" s="20">
        <f>SUM(G17:G72)</f>
        <v>25745454.72748274</v>
      </c>
      <c r="H73" s="20">
        <f>SUM(H17:H72)</f>
        <v>25745454.72748274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32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2024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454995.83916622435</v>
      </c>
      <c r="N87" s="81">
        <f>IF(J92&lt;D11,0,VLOOKUP(J92,C17:O72,11))</f>
        <v>454995.83916622435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537316.27635143558</v>
      </c>
      <c r="N88" s="83">
        <f>IF(J92&lt;D11,0,VLOOKUP(J92,C99:P154,7))</f>
        <v>537316.27635143558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Catoosa-Blue Circle Rebuild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82320.437185211224</v>
      </c>
      <c r="N89" s="86">
        <f>+N88-N87</f>
        <v>82320.437185211224</v>
      </c>
      <c r="O89" s="87">
        <f>+O88-O87</f>
        <v>0</v>
      </c>
      <c r="P89" s="1"/>
    </row>
    <row r="90" spans="1:16" ht="13.5" thickBot="1">
      <c r="C90" s="77"/>
      <c r="D90" s="79" t="str">
        <f>D8</f>
        <v/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 t="str">
        <f>+D9</f>
        <v>TP2021281</v>
      </c>
      <c r="E91" s="89" t="str">
        <f>E9</f>
        <v xml:space="preserve">  SPP Project ID = 92114</v>
      </c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D10</f>
        <v>8000617</v>
      </c>
      <c r="E92" s="10" t="s">
        <v>94</v>
      </c>
      <c r="H92" s="44"/>
      <c r="I92" s="44"/>
      <c r="J92" s="45">
        <f>+'PSO.WS.G.BPU.ATRR.True-up'!M16</f>
        <v>2024</v>
      </c>
      <c r="K92" s="41"/>
      <c r="L92" s="20" t="s">
        <v>95</v>
      </c>
      <c r="P92" s="4"/>
    </row>
    <row r="93" spans="1:16" ht="12.5">
      <c r="C93" s="46" t="s">
        <v>53</v>
      </c>
      <c r="D93" s="102">
        <v>2024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v>12</v>
      </c>
      <c r="E94" s="46" t="s">
        <v>56</v>
      </c>
      <c r="F94" s="44"/>
      <c r="G94" s="44"/>
      <c r="J94" s="50">
        <f>'PSO.WS.G.BPU.ATRR.True-up'!$F$81</f>
        <v>0.13431870975736884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0.13431870975736884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210543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281</v>
      </c>
      <c r="I97" s="135" t="s">
        <v>282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2024</v>
      </c>
      <c r="D99" s="63">
        <v>0</v>
      </c>
      <c r="E99" s="70">
        <f>IF(OR(D11=I10,D92&lt;100000),0,J$96/12*(12-D94))</f>
        <v>0</v>
      </c>
      <c r="F99" s="68">
        <f>IF(D93=C99,+D92-E99,+D99-E99)</f>
        <v>8000617</v>
      </c>
      <c r="G99" s="97">
        <f>+(F99+D99)/2</f>
        <v>4000308.5</v>
      </c>
      <c r="H99" s="97">
        <f>+J$94*G99+E99</f>
        <v>537316.27635143558</v>
      </c>
      <c r="I99" s="97">
        <f>+J$95*G99+E99</f>
        <v>537316.27635143558</v>
      </c>
      <c r="J99" s="67">
        <f>+I99-H99</f>
        <v>0</v>
      </c>
      <c r="K99" s="67"/>
      <c r="L99" s="131"/>
      <c r="M99" s="66">
        <f t="shared" ref="M99:M130" si="12">IF(L99&lt;&gt;0,+H99-L99,0)</f>
        <v>0</v>
      </c>
      <c r="N99" s="131"/>
      <c r="O99" s="66">
        <f t="shared" ref="O99:O130" si="13">IF(N99&lt;&gt;0,+I99-N99,0)</f>
        <v>0</v>
      </c>
      <c r="P99" s="66">
        <f t="shared" ref="P99:P130" si="14">+O99-M99</f>
        <v>0</v>
      </c>
    </row>
    <row r="100" spans="1:16" ht="12.5">
      <c r="B100" s="9" t="str">
        <f>IF(D100=F99,"","IU")</f>
        <v/>
      </c>
      <c r="C100" s="62">
        <f>IF(D93="","-",+C99+1)</f>
        <v>2025</v>
      </c>
      <c r="D100" s="63">
        <f>IF(F99+SUM(E$99:E99)=D$92,F99,D$92-SUM(E$99:E99))</f>
        <v>8000617</v>
      </c>
      <c r="E100" s="69">
        <f>IF(+J$96&lt;F99,J$96,D100)</f>
        <v>210543</v>
      </c>
      <c r="F100" s="68">
        <f>+D100-E100</f>
        <v>7790074</v>
      </c>
      <c r="G100" s="68">
        <f>+(F100+D100)/2</f>
        <v>7895345.5</v>
      </c>
      <c r="H100" s="130">
        <f t="shared" ref="H100:H154" si="15">+J$94*G100+E100</f>
        <v>1271035.6206486481</v>
      </c>
      <c r="I100" s="139">
        <f t="shared" ref="I100:I154" si="16">+J$95*G100+E100</f>
        <v>1271035.6206486481</v>
      </c>
      <c r="J100" s="67">
        <f t="shared" ref="J100:J130" si="17">+I100-H100</f>
        <v>0</v>
      </c>
      <c r="K100" s="67"/>
      <c r="L100" s="132"/>
      <c r="M100" s="67">
        <f t="shared" si="12"/>
        <v>0</v>
      </c>
      <c r="N100" s="132"/>
      <c r="O100" s="67">
        <f t="shared" si="13"/>
        <v>0</v>
      </c>
      <c r="P100" s="67">
        <f t="shared" si="14"/>
        <v>0</v>
      </c>
    </row>
    <row r="101" spans="1:16" ht="12.5">
      <c r="B101" s="9" t="str">
        <f t="shared" ref="B101:B154" si="18">IF(D101=F100,"","IU")</f>
        <v/>
      </c>
      <c r="C101" s="62">
        <f>IF(D93="","-",+C100+1)</f>
        <v>2026</v>
      </c>
      <c r="D101" s="63">
        <f>IF(F100+SUM(E$99:E100)=D$92,F100,D$92-SUM(E$99:E100))</f>
        <v>7790074</v>
      </c>
      <c r="E101" s="69">
        <f t="shared" ref="E101:E154" si="19">IF(+J$96&lt;F100,J$96,D101)</f>
        <v>210543</v>
      </c>
      <c r="F101" s="68">
        <f t="shared" ref="F101:F154" si="20">+D101-E101</f>
        <v>7579531</v>
      </c>
      <c r="G101" s="68">
        <f t="shared" ref="G101:G154" si="21">+(F101+D101)/2</f>
        <v>7684802.5</v>
      </c>
      <c r="H101" s="130">
        <f t="shared" si="15"/>
        <v>1242755.7565402025</v>
      </c>
      <c r="I101" s="139">
        <f t="shared" si="16"/>
        <v>1242755.7565402025</v>
      </c>
      <c r="J101" s="67">
        <f t="shared" si="17"/>
        <v>0</v>
      </c>
      <c r="K101" s="67"/>
      <c r="L101" s="132"/>
      <c r="M101" s="67">
        <f t="shared" si="12"/>
        <v>0</v>
      </c>
      <c r="N101" s="132"/>
      <c r="O101" s="67">
        <f t="shared" si="13"/>
        <v>0</v>
      </c>
      <c r="P101" s="67">
        <f t="shared" si="14"/>
        <v>0</v>
      </c>
    </row>
    <row r="102" spans="1:16" ht="12.5">
      <c r="B102" s="9" t="str">
        <f t="shared" si="18"/>
        <v/>
      </c>
      <c r="C102" s="62">
        <f>IF(D93="","-",+C101+1)</f>
        <v>2027</v>
      </c>
      <c r="D102" s="63">
        <f>IF(F101+SUM(E$99:E101)=D$92,F101,D$92-SUM(E$99:E101))</f>
        <v>7579531</v>
      </c>
      <c r="E102" s="69">
        <f t="shared" si="19"/>
        <v>210543</v>
      </c>
      <c r="F102" s="68">
        <f t="shared" si="20"/>
        <v>7368988</v>
      </c>
      <c r="G102" s="68">
        <f t="shared" si="21"/>
        <v>7474259.5</v>
      </c>
      <c r="H102" s="130">
        <f t="shared" si="15"/>
        <v>1214475.8924317567</v>
      </c>
      <c r="I102" s="139">
        <f t="shared" si="16"/>
        <v>1214475.8924317567</v>
      </c>
      <c r="J102" s="67">
        <f t="shared" si="17"/>
        <v>0</v>
      </c>
      <c r="K102" s="67"/>
      <c r="L102" s="132"/>
      <c r="M102" s="67">
        <f t="shared" si="12"/>
        <v>0</v>
      </c>
      <c r="N102" s="132"/>
      <c r="O102" s="67">
        <f t="shared" si="13"/>
        <v>0</v>
      </c>
      <c r="P102" s="67">
        <f t="shared" si="14"/>
        <v>0</v>
      </c>
    </row>
    <row r="103" spans="1:16" ht="12.5">
      <c r="B103" s="9" t="str">
        <f t="shared" si="18"/>
        <v/>
      </c>
      <c r="C103" s="62">
        <f>IF(D93="","-",+C102+1)</f>
        <v>2028</v>
      </c>
      <c r="D103" s="63">
        <f>IF(F102+SUM(E$99:E102)=D$92,F102,D$92-SUM(E$99:E102))</f>
        <v>7368988</v>
      </c>
      <c r="E103" s="69">
        <f t="shared" si="19"/>
        <v>210543</v>
      </c>
      <c r="F103" s="68">
        <f t="shared" si="20"/>
        <v>7158445</v>
      </c>
      <c r="G103" s="68">
        <f t="shared" si="21"/>
        <v>7263716.5</v>
      </c>
      <c r="H103" s="130">
        <f t="shared" si="15"/>
        <v>1186196.0283233109</v>
      </c>
      <c r="I103" s="139">
        <f t="shared" si="16"/>
        <v>1186196.0283233109</v>
      </c>
      <c r="J103" s="67">
        <f t="shared" si="17"/>
        <v>0</v>
      </c>
      <c r="K103" s="67"/>
      <c r="L103" s="132"/>
      <c r="M103" s="67">
        <f t="shared" si="12"/>
        <v>0</v>
      </c>
      <c r="N103" s="132"/>
      <c r="O103" s="67">
        <f t="shared" si="13"/>
        <v>0</v>
      </c>
      <c r="P103" s="67">
        <f t="shared" si="14"/>
        <v>0</v>
      </c>
    </row>
    <row r="104" spans="1:16" ht="12.5">
      <c r="B104" s="9" t="str">
        <f t="shared" si="18"/>
        <v/>
      </c>
      <c r="C104" s="62">
        <f>IF(D93="","-",+C103+1)</f>
        <v>2029</v>
      </c>
      <c r="D104" s="63">
        <f>IF(F103+SUM(E$99:E103)=D$92,F103,D$92-SUM(E$99:E103))</f>
        <v>7158445</v>
      </c>
      <c r="E104" s="69">
        <f t="shared" si="19"/>
        <v>210543</v>
      </c>
      <c r="F104" s="68">
        <f t="shared" si="20"/>
        <v>6947902</v>
      </c>
      <c r="G104" s="68">
        <f t="shared" si="21"/>
        <v>7053173.5</v>
      </c>
      <c r="H104" s="130">
        <f t="shared" si="15"/>
        <v>1157916.1642148653</v>
      </c>
      <c r="I104" s="139">
        <f t="shared" si="16"/>
        <v>1157916.1642148653</v>
      </c>
      <c r="J104" s="67">
        <f t="shared" si="17"/>
        <v>0</v>
      </c>
      <c r="K104" s="67"/>
      <c r="L104" s="132"/>
      <c r="M104" s="67">
        <f t="shared" si="12"/>
        <v>0</v>
      </c>
      <c r="N104" s="132"/>
      <c r="O104" s="67">
        <f t="shared" si="13"/>
        <v>0</v>
      </c>
      <c r="P104" s="67">
        <f t="shared" si="14"/>
        <v>0</v>
      </c>
    </row>
    <row r="105" spans="1:16" ht="12.5">
      <c r="B105" s="9" t="str">
        <f t="shared" si="18"/>
        <v/>
      </c>
      <c r="C105" s="62">
        <f>IF(D93="","-",+C104+1)</f>
        <v>2030</v>
      </c>
      <c r="D105" s="63">
        <f>IF(F104+SUM(E$99:E104)=D$92,F104,D$92-SUM(E$99:E104))</f>
        <v>6947902</v>
      </c>
      <c r="E105" s="69">
        <f t="shared" si="19"/>
        <v>210543</v>
      </c>
      <c r="F105" s="68">
        <f t="shared" si="20"/>
        <v>6737359</v>
      </c>
      <c r="G105" s="68">
        <f t="shared" si="21"/>
        <v>6842630.5</v>
      </c>
      <c r="H105" s="130">
        <f t="shared" si="15"/>
        <v>1129636.3001064197</v>
      </c>
      <c r="I105" s="139">
        <f t="shared" si="16"/>
        <v>1129636.3001064197</v>
      </c>
      <c r="J105" s="67">
        <f t="shared" si="17"/>
        <v>0</v>
      </c>
      <c r="K105" s="67"/>
      <c r="L105" s="132"/>
      <c r="M105" s="67">
        <f t="shared" si="12"/>
        <v>0</v>
      </c>
      <c r="N105" s="132"/>
      <c r="O105" s="67">
        <f t="shared" si="13"/>
        <v>0</v>
      </c>
      <c r="P105" s="67">
        <f t="shared" si="14"/>
        <v>0</v>
      </c>
    </row>
    <row r="106" spans="1:16" ht="12.5">
      <c r="B106" s="9" t="str">
        <f t="shared" si="18"/>
        <v/>
      </c>
      <c r="C106" s="62">
        <f>IF(D93="","-",+C105+1)</f>
        <v>2031</v>
      </c>
      <c r="D106" s="63">
        <f>IF(F105+SUM(E$99:E105)=D$92,F105,D$92-SUM(E$99:E105))</f>
        <v>6737359</v>
      </c>
      <c r="E106" s="69">
        <f t="shared" si="19"/>
        <v>210543</v>
      </c>
      <c r="F106" s="68">
        <f t="shared" si="20"/>
        <v>6526816</v>
      </c>
      <c r="G106" s="68">
        <f t="shared" si="21"/>
        <v>6632087.5</v>
      </c>
      <c r="H106" s="130">
        <f t="shared" si="15"/>
        <v>1101356.4359979739</v>
      </c>
      <c r="I106" s="139">
        <f t="shared" si="16"/>
        <v>1101356.4359979739</v>
      </c>
      <c r="J106" s="67">
        <f t="shared" si="17"/>
        <v>0</v>
      </c>
      <c r="K106" s="67"/>
      <c r="L106" s="132"/>
      <c r="M106" s="67">
        <f t="shared" si="12"/>
        <v>0</v>
      </c>
      <c r="N106" s="132"/>
      <c r="O106" s="67">
        <f t="shared" si="13"/>
        <v>0</v>
      </c>
      <c r="P106" s="67">
        <f t="shared" si="14"/>
        <v>0</v>
      </c>
    </row>
    <row r="107" spans="1:16" ht="12.5">
      <c r="B107" s="9" t="str">
        <f t="shared" si="18"/>
        <v/>
      </c>
      <c r="C107" s="62">
        <f>IF(D93="","-",+C106+1)</f>
        <v>2032</v>
      </c>
      <c r="D107" s="63">
        <f>IF(F106+SUM(E$99:E106)=D$92,F106,D$92-SUM(E$99:E106))</f>
        <v>6526816</v>
      </c>
      <c r="E107" s="69">
        <f t="shared" si="19"/>
        <v>210543</v>
      </c>
      <c r="F107" s="68">
        <f t="shared" si="20"/>
        <v>6316273</v>
      </c>
      <c r="G107" s="68">
        <f t="shared" si="21"/>
        <v>6421544.5</v>
      </c>
      <c r="H107" s="130">
        <f t="shared" si="15"/>
        <v>1073076.5718895281</v>
      </c>
      <c r="I107" s="139">
        <f t="shared" si="16"/>
        <v>1073076.5718895281</v>
      </c>
      <c r="J107" s="67">
        <f t="shared" si="17"/>
        <v>0</v>
      </c>
      <c r="K107" s="67"/>
      <c r="L107" s="132"/>
      <c r="M107" s="67">
        <f t="shared" si="12"/>
        <v>0</v>
      </c>
      <c r="N107" s="132"/>
      <c r="O107" s="67">
        <f t="shared" si="13"/>
        <v>0</v>
      </c>
      <c r="P107" s="67">
        <f t="shared" si="14"/>
        <v>0</v>
      </c>
    </row>
    <row r="108" spans="1:16" ht="12.5">
      <c r="B108" s="9" t="str">
        <f t="shared" si="18"/>
        <v/>
      </c>
      <c r="C108" s="62">
        <f>IF(D93="","-",+C107+1)</f>
        <v>2033</v>
      </c>
      <c r="D108" s="63">
        <f>IF(F107+SUM(E$99:E107)=D$92,F107,D$92-SUM(E$99:E107))</f>
        <v>6316273</v>
      </c>
      <c r="E108" s="69">
        <f t="shared" si="19"/>
        <v>210543</v>
      </c>
      <c r="F108" s="68">
        <f t="shared" si="20"/>
        <v>6105730</v>
      </c>
      <c r="G108" s="68">
        <f t="shared" si="21"/>
        <v>6211001.5</v>
      </c>
      <c r="H108" s="130">
        <f t="shared" si="15"/>
        <v>1044796.7077810825</v>
      </c>
      <c r="I108" s="139">
        <f t="shared" si="16"/>
        <v>1044796.7077810825</v>
      </c>
      <c r="J108" s="67">
        <f t="shared" si="17"/>
        <v>0</v>
      </c>
      <c r="K108" s="67"/>
      <c r="L108" s="132"/>
      <c r="M108" s="67">
        <f t="shared" si="12"/>
        <v>0</v>
      </c>
      <c r="N108" s="132"/>
      <c r="O108" s="67">
        <f t="shared" si="13"/>
        <v>0</v>
      </c>
      <c r="P108" s="67">
        <f t="shared" si="14"/>
        <v>0</v>
      </c>
    </row>
    <row r="109" spans="1:16" ht="12.5">
      <c r="B109" s="9" t="str">
        <f t="shared" si="18"/>
        <v/>
      </c>
      <c r="C109" s="62">
        <f>IF(D93="","-",+C108+1)</f>
        <v>2034</v>
      </c>
      <c r="D109" s="63">
        <f>IF(F108+SUM(E$99:E108)=D$92,F108,D$92-SUM(E$99:E108))</f>
        <v>6105730</v>
      </c>
      <c r="E109" s="69">
        <f t="shared" si="19"/>
        <v>210543</v>
      </c>
      <c r="F109" s="68">
        <f t="shared" si="20"/>
        <v>5895187</v>
      </c>
      <c r="G109" s="68">
        <f t="shared" si="21"/>
        <v>6000458.5</v>
      </c>
      <c r="H109" s="130">
        <f t="shared" si="15"/>
        <v>1016516.8436726368</v>
      </c>
      <c r="I109" s="139">
        <f t="shared" si="16"/>
        <v>1016516.8436726368</v>
      </c>
      <c r="J109" s="67">
        <f t="shared" si="17"/>
        <v>0</v>
      </c>
      <c r="K109" s="67"/>
      <c r="L109" s="132"/>
      <c r="M109" s="67">
        <f t="shared" si="12"/>
        <v>0</v>
      </c>
      <c r="N109" s="132"/>
      <c r="O109" s="67">
        <f t="shared" si="13"/>
        <v>0</v>
      </c>
      <c r="P109" s="67">
        <f t="shared" si="14"/>
        <v>0</v>
      </c>
    </row>
    <row r="110" spans="1:16" ht="12.5">
      <c r="B110" s="9" t="str">
        <f t="shared" si="18"/>
        <v/>
      </c>
      <c r="C110" s="62">
        <f>IF(D93="","-",+C109+1)</f>
        <v>2035</v>
      </c>
      <c r="D110" s="63">
        <f>IF(F109+SUM(E$99:E109)=D$92,F109,D$92-SUM(E$99:E109))</f>
        <v>5895187</v>
      </c>
      <c r="E110" s="69">
        <f t="shared" si="19"/>
        <v>210543</v>
      </c>
      <c r="F110" s="68">
        <f t="shared" si="20"/>
        <v>5684644</v>
      </c>
      <c r="G110" s="68">
        <f t="shared" si="21"/>
        <v>5789915.5</v>
      </c>
      <c r="H110" s="130">
        <f t="shared" si="15"/>
        <v>988236.97956419108</v>
      </c>
      <c r="I110" s="139">
        <f t="shared" si="16"/>
        <v>988236.97956419108</v>
      </c>
      <c r="J110" s="67">
        <f t="shared" si="17"/>
        <v>0</v>
      </c>
      <c r="K110" s="67"/>
      <c r="L110" s="132"/>
      <c r="M110" s="67">
        <f t="shared" si="12"/>
        <v>0</v>
      </c>
      <c r="N110" s="132"/>
      <c r="O110" s="67">
        <f t="shared" si="13"/>
        <v>0</v>
      </c>
      <c r="P110" s="67">
        <f t="shared" si="14"/>
        <v>0</v>
      </c>
    </row>
    <row r="111" spans="1:16" ht="12.5">
      <c r="B111" s="9" t="str">
        <f t="shared" si="18"/>
        <v/>
      </c>
      <c r="C111" s="62">
        <f>IF(D93="","-",+C110+1)</f>
        <v>2036</v>
      </c>
      <c r="D111" s="63">
        <f>IF(F110+SUM(E$99:E110)=D$92,F110,D$92-SUM(E$99:E110))</f>
        <v>5684644</v>
      </c>
      <c r="E111" s="69">
        <f t="shared" si="19"/>
        <v>210543</v>
      </c>
      <c r="F111" s="68">
        <f t="shared" si="20"/>
        <v>5474101</v>
      </c>
      <c r="G111" s="68">
        <f t="shared" si="21"/>
        <v>5579372.5</v>
      </c>
      <c r="H111" s="130">
        <f t="shared" si="15"/>
        <v>959957.11545574537</v>
      </c>
      <c r="I111" s="139">
        <f t="shared" si="16"/>
        <v>959957.11545574537</v>
      </c>
      <c r="J111" s="67">
        <f t="shared" si="17"/>
        <v>0</v>
      </c>
      <c r="K111" s="67"/>
      <c r="L111" s="132"/>
      <c r="M111" s="67">
        <f t="shared" si="12"/>
        <v>0</v>
      </c>
      <c r="N111" s="132"/>
      <c r="O111" s="67">
        <f t="shared" si="13"/>
        <v>0</v>
      </c>
      <c r="P111" s="67">
        <f t="shared" si="14"/>
        <v>0</v>
      </c>
    </row>
    <row r="112" spans="1:16" ht="12.5">
      <c r="B112" s="9" t="str">
        <f t="shared" si="18"/>
        <v/>
      </c>
      <c r="C112" s="62">
        <f>IF(D93="","-",+C111+1)</f>
        <v>2037</v>
      </c>
      <c r="D112" s="63">
        <f>IF(F111+SUM(E$99:E111)=D$92,F111,D$92-SUM(E$99:E111))</f>
        <v>5474101</v>
      </c>
      <c r="E112" s="69">
        <f t="shared" si="19"/>
        <v>210543</v>
      </c>
      <c r="F112" s="68">
        <f t="shared" si="20"/>
        <v>5263558</v>
      </c>
      <c r="G112" s="68">
        <f t="shared" si="21"/>
        <v>5368829.5</v>
      </c>
      <c r="H112" s="130">
        <f t="shared" si="15"/>
        <v>931677.25134729967</v>
      </c>
      <c r="I112" s="139">
        <f t="shared" si="16"/>
        <v>931677.25134729967</v>
      </c>
      <c r="J112" s="67">
        <f t="shared" si="17"/>
        <v>0</v>
      </c>
      <c r="K112" s="67"/>
      <c r="L112" s="132"/>
      <c r="M112" s="67">
        <f t="shared" si="12"/>
        <v>0</v>
      </c>
      <c r="N112" s="132"/>
      <c r="O112" s="67">
        <f t="shared" si="13"/>
        <v>0</v>
      </c>
      <c r="P112" s="67">
        <f t="shared" si="14"/>
        <v>0</v>
      </c>
    </row>
    <row r="113" spans="2:16" ht="12.5">
      <c r="B113" s="9" t="str">
        <f t="shared" si="18"/>
        <v/>
      </c>
      <c r="C113" s="62">
        <f>IF(D93="","-",+C112+1)</f>
        <v>2038</v>
      </c>
      <c r="D113" s="63">
        <f>IF(F112+SUM(E$99:E112)=D$92,F112,D$92-SUM(E$99:E112))</f>
        <v>5263558</v>
      </c>
      <c r="E113" s="69">
        <f t="shared" si="19"/>
        <v>210543</v>
      </c>
      <c r="F113" s="68">
        <f t="shared" si="20"/>
        <v>5053015</v>
      </c>
      <c r="G113" s="68">
        <f t="shared" si="21"/>
        <v>5158286.5</v>
      </c>
      <c r="H113" s="130">
        <f t="shared" si="15"/>
        <v>903397.38723885396</v>
      </c>
      <c r="I113" s="139">
        <f t="shared" si="16"/>
        <v>903397.38723885396</v>
      </c>
      <c r="J113" s="67">
        <f t="shared" si="17"/>
        <v>0</v>
      </c>
      <c r="K113" s="67"/>
      <c r="L113" s="132"/>
      <c r="M113" s="67">
        <f t="shared" si="12"/>
        <v>0</v>
      </c>
      <c r="N113" s="132"/>
      <c r="O113" s="67">
        <f t="shared" si="13"/>
        <v>0</v>
      </c>
      <c r="P113" s="67">
        <f t="shared" si="14"/>
        <v>0</v>
      </c>
    </row>
    <row r="114" spans="2:16" ht="12.5">
      <c r="B114" s="9" t="str">
        <f t="shared" si="18"/>
        <v/>
      </c>
      <c r="C114" s="62">
        <f>IF(D93="","-",+C113+1)</f>
        <v>2039</v>
      </c>
      <c r="D114" s="63">
        <f>IF(F113+SUM(E$99:E113)=D$92,F113,D$92-SUM(E$99:E113))</f>
        <v>5053015</v>
      </c>
      <c r="E114" s="69">
        <f t="shared" si="19"/>
        <v>210543</v>
      </c>
      <c r="F114" s="68">
        <f t="shared" si="20"/>
        <v>4842472</v>
      </c>
      <c r="G114" s="68">
        <f t="shared" si="21"/>
        <v>4947743.5</v>
      </c>
      <c r="H114" s="130">
        <f t="shared" si="15"/>
        <v>875117.52313040826</v>
      </c>
      <c r="I114" s="139">
        <f t="shared" si="16"/>
        <v>875117.52313040826</v>
      </c>
      <c r="J114" s="67">
        <f t="shared" si="17"/>
        <v>0</v>
      </c>
      <c r="K114" s="67"/>
      <c r="L114" s="132"/>
      <c r="M114" s="67">
        <f t="shared" si="12"/>
        <v>0</v>
      </c>
      <c r="N114" s="132"/>
      <c r="O114" s="67">
        <f t="shared" si="13"/>
        <v>0</v>
      </c>
      <c r="P114" s="67">
        <f t="shared" si="14"/>
        <v>0</v>
      </c>
    </row>
    <row r="115" spans="2:16" ht="12.5">
      <c r="B115" s="9" t="str">
        <f t="shared" si="18"/>
        <v/>
      </c>
      <c r="C115" s="62">
        <f>IF(D93="","-",+C114+1)</f>
        <v>2040</v>
      </c>
      <c r="D115" s="63">
        <f>IF(F114+SUM(E$99:E114)=D$92,F114,D$92-SUM(E$99:E114))</f>
        <v>4842472</v>
      </c>
      <c r="E115" s="69">
        <f t="shared" si="19"/>
        <v>210543</v>
      </c>
      <c r="F115" s="68">
        <f t="shared" si="20"/>
        <v>4631929</v>
      </c>
      <c r="G115" s="68">
        <f t="shared" si="21"/>
        <v>4737200.5</v>
      </c>
      <c r="H115" s="130">
        <f t="shared" si="15"/>
        <v>846837.65902196255</v>
      </c>
      <c r="I115" s="139">
        <f t="shared" si="16"/>
        <v>846837.65902196255</v>
      </c>
      <c r="J115" s="67">
        <f t="shared" si="17"/>
        <v>0</v>
      </c>
      <c r="K115" s="67"/>
      <c r="L115" s="132"/>
      <c r="M115" s="67">
        <f t="shared" si="12"/>
        <v>0</v>
      </c>
      <c r="N115" s="132"/>
      <c r="O115" s="67">
        <f t="shared" si="13"/>
        <v>0</v>
      </c>
      <c r="P115" s="67">
        <f t="shared" si="14"/>
        <v>0</v>
      </c>
    </row>
    <row r="116" spans="2:16" ht="12.5">
      <c r="B116" s="9" t="str">
        <f t="shared" si="18"/>
        <v/>
      </c>
      <c r="C116" s="62">
        <f>IF(D93="","-",+C115+1)</f>
        <v>2041</v>
      </c>
      <c r="D116" s="63">
        <f>IF(F115+SUM(E$99:E115)=D$92,F115,D$92-SUM(E$99:E115))</f>
        <v>4631929</v>
      </c>
      <c r="E116" s="69">
        <f t="shared" si="19"/>
        <v>210543</v>
      </c>
      <c r="F116" s="68">
        <f t="shared" si="20"/>
        <v>4421386</v>
      </c>
      <c r="G116" s="68">
        <f t="shared" si="21"/>
        <v>4526657.5</v>
      </c>
      <c r="H116" s="130">
        <f t="shared" si="15"/>
        <v>818557.79491351685</v>
      </c>
      <c r="I116" s="139">
        <f t="shared" si="16"/>
        <v>818557.79491351685</v>
      </c>
      <c r="J116" s="67">
        <f t="shared" si="17"/>
        <v>0</v>
      </c>
      <c r="K116" s="67"/>
      <c r="L116" s="132"/>
      <c r="M116" s="67">
        <f t="shared" si="12"/>
        <v>0</v>
      </c>
      <c r="N116" s="132"/>
      <c r="O116" s="67">
        <f t="shared" si="13"/>
        <v>0</v>
      </c>
      <c r="P116" s="67">
        <f t="shared" si="14"/>
        <v>0</v>
      </c>
    </row>
    <row r="117" spans="2:16" ht="12.5">
      <c r="B117" s="9" t="str">
        <f t="shared" si="18"/>
        <v/>
      </c>
      <c r="C117" s="62">
        <f>IF(D93="","-",+C116+1)</f>
        <v>2042</v>
      </c>
      <c r="D117" s="63">
        <f>IF(F116+SUM(E$99:E116)=D$92,F116,D$92-SUM(E$99:E116))</f>
        <v>4421386</v>
      </c>
      <c r="E117" s="69">
        <f t="shared" si="19"/>
        <v>210543</v>
      </c>
      <c r="F117" s="68">
        <f t="shared" si="20"/>
        <v>4210843</v>
      </c>
      <c r="G117" s="68">
        <f t="shared" si="21"/>
        <v>4316114.5</v>
      </c>
      <c r="H117" s="130">
        <f t="shared" si="15"/>
        <v>790277.93080507114</v>
      </c>
      <c r="I117" s="139">
        <f t="shared" si="16"/>
        <v>790277.93080507114</v>
      </c>
      <c r="J117" s="67">
        <f t="shared" si="17"/>
        <v>0</v>
      </c>
      <c r="K117" s="67"/>
      <c r="L117" s="132"/>
      <c r="M117" s="67">
        <f t="shared" si="12"/>
        <v>0</v>
      </c>
      <c r="N117" s="132"/>
      <c r="O117" s="67">
        <f t="shared" si="13"/>
        <v>0</v>
      </c>
      <c r="P117" s="67">
        <f t="shared" si="14"/>
        <v>0</v>
      </c>
    </row>
    <row r="118" spans="2:16" ht="12.5">
      <c r="B118" s="9" t="str">
        <f t="shared" si="18"/>
        <v/>
      </c>
      <c r="C118" s="62">
        <f>IF(D93="","-",+C117+1)</f>
        <v>2043</v>
      </c>
      <c r="D118" s="63">
        <f>IF(F117+SUM(E$99:E117)=D$92,F117,D$92-SUM(E$99:E117))</f>
        <v>4210843</v>
      </c>
      <c r="E118" s="69">
        <f t="shared" si="19"/>
        <v>210543</v>
      </c>
      <c r="F118" s="68">
        <f t="shared" si="20"/>
        <v>4000300</v>
      </c>
      <c r="G118" s="68">
        <f t="shared" si="21"/>
        <v>4105571.5</v>
      </c>
      <c r="H118" s="130">
        <f t="shared" si="15"/>
        <v>761998.06669662544</v>
      </c>
      <c r="I118" s="139">
        <f t="shared" si="16"/>
        <v>761998.06669662544</v>
      </c>
      <c r="J118" s="67">
        <f t="shared" si="17"/>
        <v>0</v>
      </c>
      <c r="K118" s="67"/>
      <c r="L118" s="132"/>
      <c r="M118" s="67">
        <f t="shared" si="12"/>
        <v>0</v>
      </c>
      <c r="N118" s="132"/>
      <c r="O118" s="67">
        <f t="shared" si="13"/>
        <v>0</v>
      </c>
      <c r="P118" s="67">
        <f t="shared" si="14"/>
        <v>0</v>
      </c>
    </row>
    <row r="119" spans="2:16" ht="12.5">
      <c r="B119" s="9" t="str">
        <f t="shared" si="18"/>
        <v/>
      </c>
      <c r="C119" s="62">
        <f>IF(D93="","-",+C118+1)</f>
        <v>2044</v>
      </c>
      <c r="D119" s="63">
        <f>IF(F118+SUM(E$99:E118)=D$92,F118,D$92-SUM(E$99:E118))</f>
        <v>4000300</v>
      </c>
      <c r="E119" s="69">
        <f t="shared" si="19"/>
        <v>210543</v>
      </c>
      <c r="F119" s="68">
        <f t="shared" si="20"/>
        <v>3789757</v>
      </c>
      <c r="G119" s="68">
        <f t="shared" si="21"/>
        <v>3895028.5</v>
      </c>
      <c r="H119" s="130">
        <f t="shared" si="15"/>
        <v>733718.20258817973</v>
      </c>
      <c r="I119" s="139">
        <f t="shared" si="16"/>
        <v>733718.20258817973</v>
      </c>
      <c r="J119" s="67">
        <f t="shared" si="17"/>
        <v>0</v>
      </c>
      <c r="K119" s="67"/>
      <c r="L119" s="132"/>
      <c r="M119" s="67">
        <f t="shared" si="12"/>
        <v>0</v>
      </c>
      <c r="N119" s="132"/>
      <c r="O119" s="67">
        <f t="shared" si="13"/>
        <v>0</v>
      </c>
      <c r="P119" s="67">
        <f t="shared" si="14"/>
        <v>0</v>
      </c>
    </row>
    <row r="120" spans="2:16" ht="12.5">
      <c r="B120" s="9" t="str">
        <f t="shared" si="18"/>
        <v/>
      </c>
      <c r="C120" s="62">
        <f>IF(D93="","-",+C119+1)</f>
        <v>2045</v>
      </c>
      <c r="D120" s="63">
        <f>IF(F119+SUM(E$99:E119)=D$92,F119,D$92-SUM(E$99:E119))</f>
        <v>3789757</v>
      </c>
      <c r="E120" s="69">
        <f t="shared" si="19"/>
        <v>210543</v>
      </c>
      <c r="F120" s="68">
        <f t="shared" si="20"/>
        <v>3579214</v>
      </c>
      <c r="G120" s="68">
        <f t="shared" si="21"/>
        <v>3684485.5</v>
      </c>
      <c r="H120" s="130">
        <f t="shared" si="15"/>
        <v>705438.33847973403</v>
      </c>
      <c r="I120" s="139">
        <f t="shared" si="16"/>
        <v>705438.33847973403</v>
      </c>
      <c r="J120" s="67">
        <f t="shared" si="17"/>
        <v>0</v>
      </c>
      <c r="K120" s="67"/>
      <c r="L120" s="132"/>
      <c r="M120" s="67">
        <f t="shared" si="12"/>
        <v>0</v>
      </c>
      <c r="N120" s="132"/>
      <c r="O120" s="67">
        <f t="shared" si="13"/>
        <v>0</v>
      </c>
      <c r="P120" s="67">
        <f t="shared" si="14"/>
        <v>0</v>
      </c>
    </row>
    <row r="121" spans="2:16" ht="12.5">
      <c r="B121" s="9" t="str">
        <f t="shared" si="18"/>
        <v/>
      </c>
      <c r="C121" s="62">
        <f>IF(D93="","-",+C120+1)</f>
        <v>2046</v>
      </c>
      <c r="D121" s="63">
        <f>IF(F120+SUM(E$99:E120)=D$92,F120,D$92-SUM(E$99:E120))</f>
        <v>3579214</v>
      </c>
      <c r="E121" s="69">
        <f t="shared" si="19"/>
        <v>210543</v>
      </c>
      <c r="F121" s="68">
        <f t="shared" si="20"/>
        <v>3368671</v>
      </c>
      <c r="G121" s="68">
        <f t="shared" si="21"/>
        <v>3473942.5</v>
      </c>
      <c r="H121" s="130">
        <f t="shared" si="15"/>
        <v>677158.47437128832</v>
      </c>
      <c r="I121" s="139">
        <f t="shared" si="16"/>
        <v>677158.47437128832</v>
      </c>
      <c r="J121" s="67">
        <f t="shared" si="17"/>
        <v>0</v>
      </c>
      <c r="K121" s="67"/>
      <c r="L121" s="132"/>
      <c r="M121" s="67">
        <f t="shared" si="12"/>
        <v>0</v>
      </c>
      <c r="N121" s="132"/>
      <c r="O121" s="67">
        <f t="shared" si="13"/>
        <v>0</v>
      </c>
      <c r="P121" s="67">
        <f t="shared" si="14"/>
        <v>0</v>
      </c>
    </row>
    <row r="122" spans="2:16" ht="12.5">
      <c r="B122" s="9" t="str">
        <f t="shared" si="18"/>
        <v/>
      </c>
      <c r="C122" s="62">
        <f>IF(D93="","-",+C121+1)</f>
        <v>2047</v>
      </c>
      <c r="D122" s="63">
        <f>IF(F121+SUM(E$99:E121)=D$92,F121,D$92-SUM(E$99:E121))</f>
        <v>3368671</v>
      </c>
      <c r="E122" s="69">
        <f t="shared" si="19"/>
        <v>210543</v>
      </c>
      <c r="F122" s="68">
        <f t="shared" si="20"/>
        <v>3158128</v>
      </c>
      <c r="G122" s="68">
        <f t="shared" si="21"/>
        <v>3263399.5</v>
      </c>
      <c r="H122" s="130">
        <f t="shared" si="15"/>
        <v>648878.61026284262</v>
      </c>
      <c r="I122" s="139">
        <f t="shared" si="16"/>
        <v>648878.61026284262</v>
      </c>
      <c r="J122" s="67">
        <f t="shared" si="17"/>
        <v>0</v>
      </c>
      <c r="K122" s="67"/>
      <c r="L122" s="132"/>
      <c r="M122" s="67">
        <f t="shared" si="12"/>
        <v>0</v>
      </c>
      <c r="N122" s="132"/>
      <c r="O122" s="67">
        <f t="shared" si="13"/>
        <v>0</v>
      </c>
      <c r="P122" s="67">
        <f t="shared" si="14"/>
        <v>0</v>
      </c>
    </row>
    <row r="123" spans="2:16" ht="12.5">
      <c r="B123" s="9" t="str">
        <f t="shared" si="18"/>
        <v/>
      </c>
      <c r="C123" s="62">
        <f>IF(D93="","-",+C122+1)</f>
        <v>2048</v>
      </c>
      <c r="D123" s="63">
        <f>IF(F122+SUM(E$99:E122)=D$92,F122,D$92-SUM(E$99:E122))</f>
        <v>3158128</v>
      </c>
      <c r="E123" s="69">
        <f t="shared" si="19"/>
        <v>210543</v>
      </c>
      <c r="F123" s="68">
        <f t="shared" si="20"/>
        <v>2947585</v>
      </c>
      <c r="G123" s="68">
        <f t="shared" si="21"/>
        <v>3052856.5</v>
      </c>
      <c r="H123" s="130">
        <f t="shared" si="15"/>
        <v>620598.74615439691</v>
      </c>
      <c r="I123" s="139">
        <f t="shared" si="16"/>
        <v>620598.74615439691</v>
      </c>
      <c r="J123" s="67">
        <f t="shared" si="17"/>
        <v>0</v>
      </c>
      <c r="K123" s="67"/>
      <c r="L123" s="132"/>
      <c r="M123" s="67">
        <f t="shared" si="12"/>
        <v>0</v>
      </c>
      <c r="N123" s="132"/>
      <c r="O123" s="67">
        <f t="shared" si="13"/>
        <v>0</v>
      </c>
      <c r="P123" s="67">
        <f t="shared" si="14"/>
        <v>0</v>
      </c>
    </row>
    <row r="124" spans="2:16" ht="12.5">
      <c r="B124" s="9" t="str">
        <f t="shared" si="18"/>
        <v/>
      </c>
      <c r="C124" s="62">
        <f>IF(D93="","-",+C123+1)</f>
        <v>2049</v>
      </c>
      <c r="D124" s="63">
        <f>IF(F123+SUM(E$99:E123)=D$92,F123,D$92-SUM(E$99:E123))</f>
        <v>2947585</v>
      </c>
      <c r="E124" s="69">
        <f t="shared" si="19"/>
        <v>210543</v>
      </c>
      <c r="F124" s="68">
        <f t="shared" si="20"/>
        <v>2737042</v>
      </c>
      <c r="G124" s="68">
        <f t="shared" si="21"/>
        <v>2842313.5</v>
      </c>
      <c r="H124" s="130">
        <f t="shared" si="15"/>
        <v>592318.88204595121</v>
      </c>
      <c r="I124" s="139">
        <f t="shared" si="16"/>
        <v>592318.88204595121</v>
      </c>
      <c r="J124" s="67">
        <f t="shared" si="17"/>
        <v>0</v>
      </c>
      <c r="K124" s="67"/>
      <c r="L124" s="132"/>
      <c r="M124" s="67">
        <f t="shared" si="12"/>
        <v>0</v>
      </c>
      <c r="N124" s="132"/>
      <c r="O124" s="67">
        <f t="shared" si="13"/>
        <v>0</v>
      </c>
      <c r="P124" s="67">
        <f t="shared" si="14"/>
        <v>0</v>
      </c>
    </row>
    <row r="125" spans="2:16" ht="12.5">
      <c r="B125" s="9" t="str">
        <f t="shared" si="18"/>
        <v/>
      </c>
      <c r="C125" s="62">
        <f>IF(D93="","-",+C124+1)</f>
        <v>2050</v>
      </c>
      <c r="D125" s="63">
        <f>IF(F124+SUM(E$99:E124)=D$92,F124,D$92-SUM(E$99:E124))</f>
        <v>2737042</v>
      </c>
      <c r="E125" s="69">
        <f t="shared" si="19"/>
        <v>210543</v>
      </c>
      <c r="F125" s="68">
        <f t="shared" si="20"/>
        <v>2526499</v>
      </c>
      <c r="G125" s="68">
        <f t="shared" si="21"/>
        <v>2631770.5</v>
      </c>
      <c r="H125" s="130">
        <f t="shared" si="15"/>
        <v>564039.0179375055</v>
      </c>
      <c r="I125" s="139">
        <f t="shared" si="16"/>
        <v>564039.0179375055</v>
      </c>
      <c r="J125" s="67">
        <f t="shared" si="17"/>
        <v>0</v>
      </c>
      <c r="K125" s="67"/>
      <c r="L125" s="132"/>
      <c r="M125" s="67">
        <f t="shared" si="12"/>
        <v>0</v>
      </c>
      <c r="N125" s="132"/>
      <c r="O125" s="67">
        <f t="shared" si="13"/>
        <v>0</v>
      </c>
      <c r="P125" s="67">
        <f t="shared" si="14"/>
        <v>0</v>
      </c>
    </row>
    <row r="126" spans="2:16" ht="12.5">
      <c r="B126" s="9" t="str">
        <f t="shared" si="18"/>
        <v/>
      </c>
      <c r="C126" s="62">
        <f>IF(D93="","-",+C125+1)</f>
        <v>2051</v>
      </c>
      <c r="D126" s="63">
        <f>IF(F125+SUM(E$99:E125)=D$92,F125,D$92-SUM(E$99:E125))</f>
        <v>2526499</v>
      </c>
      <c r="E126" s="69">
        <f t="shared" si="19"/>
        <v>210543</v>
      </c>
      <c r="F126" s="68">
        <f t="shared" si="20"/>
        <v>2315956</v>
      </c>
      <c r="G126" s="68">
        <f t="shared" si="21"/>
        <v>2421227.5</v>
      </c>
      <c r="H126" s="130">
        <f t="shared" si="15"/>
        <v>535759.1538290598</v>
      </c>
      <c r="I126" s="139">
        <f t="shared" si="16"/>
        <v>535759.1538290598</v>
      </c>
      <c r="J126" s="67">
        <f t="shared" si="17"/>
        <v>0</v>
      </c>
      <c r="K126" s="67"/>
      <c r="L126" s="132"/>
      <c r="M126" s="67">
        <f t="shared" si="12"/>
        <v>0</v>
      </c>
      <c r="N126" s="132"/>
      <c r="O126" s="67">
        <f t="shared" si="13"/>
        <v>0</v>
      </c>
      <c r="P126" s="67">
        <f t="shared" si="14"/>
        <v>0</v>
      </c>
    </row>
    <row r="127" spans="2:16" ht="12.5">
      <c r="B127" s="9" t="str">
        <f t="shared" si="18"/>
        <v/>
      </c>
      <c r="C127" s="62">
        <f>IF(D93="","-",+C126+1)</f>
        <v>2052</v>
      </c>
      <c r="D127" s="63">
        <f>IF(F126+SUM(E$99:E126)=D$92,F126,D$92-SUM(E$99:E126))</f>
        <v>2315956</v>
      </c>
      <c r="E127" s="69">
        <f t="shared" si="19"/>
        <v>210543</v>
      </c>
      <c r="F127" s="68">
        <f t="shared" si="20"/>
        <v>2105413</v>
      </c>
      <c r="G127" s="68">
        <f t="shared" si="21"/>
        <v>2210684.5</v>
      </c>
      <c r="H127" s="130">
        <f t="shared" si="15"/>
        <v>507479.28972061403</v>
      </c>
      <c r="I127" s="139">
        <f t="shared" si="16"/>
        <v>507479.28972061403</v>
      </c>
      <c r="J127" s="67">
        <f t="shared" si="17"/>
        <v>0</v>
      </c>
      <c r="K127" s="67"/>
      <c r="L127" s="132"/>
      <c r="M127" s="67">
        <f t="shared" si="12"/>
        <v>0</v>
      </c>
      <c r="N127" s="132"/>
      <c r="O127" s="67">
        <f t="shared" si="13"/>
        <v>0</v>
      </c>
      <c r="P127" s="67">
        <f t="shared" si="14"/>
        <v>0</v>
      </c>
    </row>
    <row r="128" spans="2:16" ht="12.5">
      <c r="B128" s="9" t="str">
        <f t="shared" si="18"/>
        <v/>
      </c>
      <c r="C128" s="62">
        <f>IF(D93="","-",+C127+1)</f>
        <v>2053</v>
      </c>
      <c r="D128" s="63">
        <f>IF(F127+SUM(E$99:E127)=D$92,F127,D$92-SUM(E$99:E127))</f>
        <v>2105413</v>
      </c>
      <c r="E128" s="69">
        <f t="shared" si="19"/>
        <v>210543</v>
      </c>
      <c r="F128" s="68">
        <f t="shared" si="20"/>
        <v>1894870</v>
      </c>
      <c r="G128" s="68">
        <f t="shared" si="21"/>
        <v>2000141.5</v>
      </c>
      <c r="H128" s="130">
        <f t="shared" si="15"/>
        <v>479199.42561216833</v>
      </c>
      <c r="I128" s="139">
        <f t="shared" si="16"/>
        <v>479199.42561216833</v>
      </c>
      <c r="J128" s="67">
        <f t="shared" si="17"/>
        <v>0</v>
      </c>
      <c r="K128" s="67"/>
      <c r="L128" s="132"/>
      <c r="M128" s="67">
        <f t="shared" si="12"/>
        <v>0</v>
      </c>
      <c r="N128" s="132"/>
      <c r="O128" s="67">
        <f t="shared" si="13"/>
        <v>0</v>
      </c>
      <c r="P128" s="67">
        <f t="shared" si="14"/>
        <v>0</v>
      </c>
    </row>
    <row r="129" spans="2:16" ht="12.5">
      <c r="B129" s="9" t="str">
        <f t="shared" si="18"/>
        <v/>
      </c>
      <c r="C129" s="62">
        <f>IF(D93="","-",+C128+1)</f>
        <v>2054</v>
      </c>
      <c r="D129" s="63">
        <f>IF(F128+SUM(E$99:E128)=D$92,F128,D$92-SUM(E$99:E128))</f>
        <v>1894870</v>
      </c>
      <c r="E129" s="69">
        <f t="shared" si="19"/>
        <v>210543</v>
      </c>
      <c r="F129" s="68">
        <f t="shared" si="20"/>
        <v>1684327</v>
      </c>
      <c r="G129" s="68">
        <f t="shared" si="21"/>
        <v>1789598.5</v>
      </c>
      <c r="H129" s="130">
        <f t="shared" si="15"/>
        <v>450919.56150372268</v>
      </c>
      <c r="I129" s="139">
        <f t="shared" si="16"/>
        <v>450919.56150372268</v>
      </c>
      <c r="J129" s="67">
        <f t="shared" si="17"/>
        <v>0</v>
      </c>
      <c r="K129" s="67"/>
      <c r="L129" s="132"/>
      <c r="M129" s="67">
        <f t="shared" si="12"/>
        <v>0</v>
      </c>
      <c r="N129" s="132"/>
      <c r="O129" s="67">
        <f t="shared" si="13"/>
        <v>0</v>
      </c>
      <c r="P129" s="67">
        <f t="shared" si="14"/>
        <v>0</v>
      </c>
    </row>
    <row r="130" spans="2:16" ht="12.5">
      <c r="B130" s="9" t="str">
        <f t="shared" si="18"/>
        <v/>
      </c>
      <c r="C130" s="62">
        <f>IF(D93="","-",+C129+1)</f>
        <v>2055</v>
      </c>
      <c r="D130" s="63">
        <f>IF(F129+SUM(E$99:E129)=D$92,F129,D$92-SUM(E$99:E129))</f>
        <v>1684327</v>
      </c>
      <c r="E130" s="69">
        <f t="shared" si="19"/>
        <v>210543</v>
      </c>
      <c r="F130" s="68">
        <f t="shared" si="20"/>
        <v>1473784</v>
      </c>
      <c r="G130" s="68">
        <f t="shared" si="21"/>
        <v>1579055.5</v>
      </c>
      <c r="H130" s="130">
        <f t="shared" si="15"/>
        <v>422639.69739527698</v>
      </c>
      <c r="I130" s="139">
        <f t="shared" si="16"/>
        <v>422639.69739527698</v>
      </c>
      <c r="J130" s="67">
        <f t="shared" si="17"/>
        <v>0</v>
      </c>
      <c r="K130" s="67"/>
      <c r="L130" s="132"/>
      <c r="M130" s="67">
        <f t="shared" si="12"/>
        <v>0</v>
      </c>
      <c r="N130" s="132"/>
      <c r="O130" s="67">
        <f t="shared" si="13"/>
        <v>0</v>
      </c>
      <c r="P130" s="67">
        <f t="shared" si="14"/>
        <v>0</v>
      </c>
    </row>
    <row r="131" spans="2:16" ht="12.5">
      <c r="B131" s="9" t="str">
        <f t="shared" si="18"/>
        <v/>
      </c>
      <c r="C131" s="62">
        <f>IF(D93="","-",+C130+1)</f>
        <v>2056</v>
      </c>
      <c r="D131" s="63">
        <f>IF(F130+SUM(E$99:E130)=D$92,F130,D$92-SUM(E$99:E130))</f>
        <v>1473784</v>
      </c>
      <c r="E131" s="69">
        <f t="shared" si="19"/>
        <v>210543</v>
      </c>
      <c r="F131" s="68">
        <f t="shared" si="20"/>
        <v>1263241</v>
      </c>
      <c r="G131" s="68">
        <f t="shared" si="21"/>
        <v>1368512.5</v>
      </c>
      <c r="H131" s="130">
        <f t="shared" si="15"/>
        <v>394359.83328683127</v>
      </c>
      <c r="I131" s="139">
        <f t="shared" si="16"/>
        <v>394359.83328683127</v>
      </c>
      <c r="J131" s="67">
        <f t="shared" ref="J131:J154" si="22">+I541-H541</f>
        <v>0</v>
      </c>
      <c r="K131" s="67"/>
      <c r="L131" s="132"/>
      <c r="M131" s="67">
        <f t="shared" ref="M131:M154" si="23">IF(L541&lt;&gt;0,+H541-L541,0)</f>
        <v>0</v>
      </c>
      <c r="N131" s="132"/>
      <c r="O131" s="67">
        <f t="shared" ref="O131:O154" si="24">IF(N541&lt;&gt;0,+I541-N541,0)</f>
        <v>0</v>
      </c>
      <c r="P131" s="67">
        <f t="shared" ref="P131:P154" si="25">+O541-M541</f>
        <v>0</v>
      </c>
    </row>
    <row r="132" spans="2:16" ht="12.5">
      <c r="B132" s="9" t="str">
        <f t="shared" si="18"/>
        <v/>
      </c>
      <c r="C132" s="62">
        <f>IF(D93="","-",+C131+1)</f>
        <v>2057</v>
      </c>
      <c r="D132" s="63">
        <f>IF(F131+SUM(E$99:E131)=D$92,F131,D$92-SUM(E$99:E131))</f>
        <v>1263241</v>
      </c>
      <c r="E132" s="69">
        <f t="shared" si="19"/>
        <v>210543</v>
      </c>
      <c r="F132" s="68">
        <f t="shared" si="20"/>
        <v>1052698</v>
      </c>
      <c r="G132" s="68">
        <f t="shared" si="21"/>
        <v>1157969.5</v>
      </c>
      <c r="H132" s="130">
        <f t="shared" si="15"/>
        <v>366079.96917838551</v>
      </c>
      <c r="I132" s="139">
        <f t="shared" si="16"/>
        <v>366079.96917838551</v>
      </c>
      <c r="J132" s="67">
        <f t="shared" si="22"/>
        <v>0</v>
      </c>
      <c r="K132" s="67"/>
      <c r="L132" s="132"/>
      <c r="M132" s="67">
        <f t="shared" si="23"/>
        <v>0</v>
      </c>
      <c r="N132" s="132"/>
      <c r="O132" s="67">
        <f t="shared" si="24"/>
        <v>0</v>
      </c>
      <c r="P132" s="67">
        <f t="shared" si="25"/>
        <v>0</v>
      </c>
    </row>
    <row r="133" spans="2:16" ht="12.5">
      <c r="B133" s="9" t="str">
        <f t="shared" si="18"/>
        <v/>
      </c>
      <c r="C133" s="62">
        <f>IF(D93="","-",+C132+1)</f>
        <v>2058</v>
      </c>
      <c r="D133" s="63">
        <f>IF(F132+SUM(E$99:E132)=D$92,F132,D$92-SUM(E$99:E132))</f>
        <v>1052698</v>
      </c>
      <c r="E133" s="69">
        <f t="shared" si="19"/>
        <v>210543</v>
      </c>
      <c r="F133" s="68">
        <f t="shared" si="20"/>
        <v>842155</v>
      </c>
      <c r="G133" s="68">
        <f t="shared" si="21"/>
        <v>947426.5</v>
      </c>
      <c r="H133" s="130">
        <f t="shared" si="15"/>
        <v>337800.1050699398</v>
      </c>
      <c r="I133" s="139">
        <f t="shared" si="16"/>
        <v>337800.1050699398</v>
      </c>
      <c r="J133" s="67">
        <f t="shared" si="22"/>
        <v>0</v>
      </c>
      <c r="K133" s="67"/>
      <c r="L133" s="132"/>
      <c r="M133" s="67">
        <f t="shared" si="23"/>
        <v>0</v>
      </c>
      <c r="N133" s="132"/>
      <c r="O133" s="67">
        <f t="shared" si="24"/>
        <v>0</v>
      </c>
      <c r="P133" s="67">
        <f t="shared" si="25"/>
        <v>0</v>
      </c>
    </row>
    <row r="134" spans="2:16" ht="12.5">
      <c r="B134" s="9" t="str">
        <f t="shared" si="18"/>
        <v/>
      </c>
      <c r="C134" s="62">
        <f>IF(D93="","-",+C133+1)</f>
        <v>2059</v>
      </c>
      <c r="D134" s="63">
        <f>IF(F133+SUM(E$99:E133)=D$92,F133,D$92-SUM(E$99:E133))</f>
        <v>842155</v>
      </c>
      <c r="E134" s="69">
        <f t="shared" si="19"/>
        <v>210543</v>
      </c>
      <c r="F134" s="68">
        <f t="shared" si="20"/>
        <v>631612</v>
      </c>
      <c r="G134" s="68">
        <f t="shared" si="21"/>
        <v>736883.5</v>
      </c>
      <c r="H134" s="130">
        <f t="shared" si="15"/>
        <v>309520.2409614941</v>
      </c>
      <c r="I134" s="139">
        <f t="shared" si="16"/>
        <v>309520.2409614941</v>
      </c>
      <c r="J134" s="67">
        <f t="shared" si="22"/>
        <v>0</v>
      </c>
      <c r="K134" s="67"/>
      <c r="L134" s="132"/>
      <c r="M134" s="67">
        <f t="shared" si="23"/>
        <v>0</v>
      </c>
      <c r="N134" s="132"/>
      <c r="O134" s="67">
        <f t="shared" si="24"/>
        <v>0</v>
      </c>
      <c r="P134" s="67">
        <f t="shared" si="25"/>
        <v>0</v>
      </c>
    </row>
    <row r="135" spans="2:16" ht="12.5">
      <c r="B135" s="9" t="str">
        <f t="shared" si="18"/>
        <v/>
      </c>
      <c r="C135" s="62">
        <f>IF(D93="","-",+C134+1)</f>
        <v>2060</v>
      </c>
      <c r="D135" s="63">
        <f>IF(F134+SUM(E$99:E134)=D$92,F134,D$92-SUM(E$99:E134))</f>
        <v>631612</v>
      </c>
      <c r="E135" s="69">
        <f t="shared" si="19"/>
        <v>210543</v>
      </c>
      <c r="F135" s="68">
        <f t="shared" si="20"/>
        <v>421069</v>
      </c>
      <c r="G135" s="68">
        <f t="shared" si="21"/>
        <v>526340.5</v>
      </c>
      <c r="H135" s="130">
        <f t="shared" si="15"/>
        <v>281240.37685304839</v>
      </c>
      <c r="I135" s="139">
        <f t="shared" si="16"/>
        <v>281240.37685304839</v>
      </c>
      <c r="J135" s="67">
        <f t="shared" si="22"/>
        <v>0</v>
      </c>
      <c r="K135" s="67"/>
      <c r="L135" s="132"/>
      <c r="M135" s="67">
        <f t="shared" si="23"/>
        <v>0</v>
      </c>
      <c r="N135" s="132"/>
      <c r="O135" s="67">
        <f t="shared" si="24"/>
        <v>0</v>
      </c>
      <c r="P135" s="67">
        <f t="shared" si="25"/>
        <v>0</v>
      </c>
    </row>
    <row r="136" spans="2:16" ht="12.5">
      <c r="B136" s="9" t="str">
        <f t="shared" si="18"/>
        <v/>
      </c>
      <c r="C136" s="62">
        <f>IF(D93="","-",+C135+1)</f>
        <v>2061</v>
      </c>
      <c r="D136" s="63">
        <f>IF(F135+SUM(E$99:E135)=D$92,F135,D$92-SUM(E$99:E135))</f>
        <v>421069</v>
      </c>
      <c r="E136" s="69">
        <f t="shared" si="19"/>
        <v>210543</v>
      </c>
      <c r="F136" s="68">
        <f t="shared" si="20"/>
        <v>210526</v>
      </c>
      <c r="G136" s="68">
        <f t="shared" si="21"/>
        <v>315797.5</v>
      </c>
      <c r="H136" s="130">
        <f t="shared" si="15"/>
        <v>252960.51274460269</v>
      </c>
      <c r="I136" s="139">
        <f t="shared" si="16"/>
        <v>252960.51274460269</v>
      </c>
      <c r="J136" s="67">
        <f t="shared" si="22"/>
        <v>0</v>
      </c>
      <c r="K136" s="67"/>
      <c r="L136" s="132"/>
      <c r="M136" s="67">
        <f t="shared" si="23"/>
        <v>0</v>
      </c>
      <c r="N136" s="132"/>
      <c r="O136" s="67">
        <f t="shared" si="24"/>
        <v>0</v>
      </c>
      <c r="P136" s="67">
        <f t="shared" si="25"/>
        <v>0</v>
      </c>
    </row>
    <row r="137" spans="2:16" ht="12.5">
      <c r="B137" s="9" t="str">
        <f t="shared" si="18"/>
        <v/>
      </c>
      <c r="C137" s="62">
        <f>IF(D93="","-",+C136+1)</f>
        <v>2062</v>
      </c>
      <c r="D137" s="63">
        <f>IF(F136+SUM(E$99:E136)=D$92,F136,D$92-SUM(E$99:E136))</f>
        <v>210526</v>
      </c>
      <c r="E137" s="69">
        <f t="shared" si="19"/>
        <v>210526</v>
      </c>
      <c r="F137" s="68">
        <f t="shared" si="20"/>
        <v>0</v>
      </c>
      <c r="G137" s="68">
        <f t="shared" si="21"/>
        <v>105263</v>
      </c>
      <c r="H137" s="130">
        <f t="shared" si="15"/>
        <v>224664.79034518992</v>
      </c>
      <c r="I137" s="139">
        <f t="shared" si="16"/>
        <v>224664.79034518992</v>
      </c>
      <c r="J137" s="67">
        <f t="shared" si="22"/>
        <v>0</v>
      </c>
      <c r="K137" s="67"/>
      <c r="L137" s="132"/>
      <c r="M137" s="67">
        <f t="shared" si="23"/>
        <v>0</v>
      </c>
      <c r="N137" s="132"/>
      <c r="O137" s="67">
        <f t="shared" si="24"/>
        <v>0</v>
      </c>
      <c r="P137" s="67">
        <f t="shared" si="25"/>
        <v>0</v>
      </c>
    </row>
    <row r="138" spans="2:16" ht="12.5">
      <c r="B138" s="9" t="str">
        <f t="shared" si="18"/>
        <v/>
      </c>
      <c r="C138" s="62">
        <f>IF(D93="","-",+C137+1)</f>
        <v>2063</v>
      </c>
      <c r="D138" s="63">
        <f>IF(F137+SUM(E$99:E137)=D$92,F137,D$92-SUM(E$99:E137))</f>
        <v>0</v>
      </c>
      <c r="E138" s="69">
        <f t="shared" si="19"/>
        <v>0</v>
      </c>
      <c r="F138" s="68">
        <f t="shared" si="20"/>
        <v>0</v>
      </c>
      <c r="G138" s="68">
        <f t="shared" si="21"/>
        <v>0</v>
      </c>
      <c r="H138" s="130">
        <f t="shared" si="15"/>
        <v>0</v>
      </c>
      <c r="I138" s="139">
        <f t="shared" si="16"/>
        <v>0</v>
      </c>
      <c r="J138" s="67">
        <f t="shared" si="22"/>
        <v>0</v>
      </c>
      <c r="K138" s="67"/>
      <c r="L138" s="132"/>
      <c r="M138" s="67">
        <f t="shared" si="23"/>
        <v>0</v>
      </c>
      <c r="N138" s="132"/>
      <c r="O138" s="67">
        <f t="shared" si="24"/>
        <v>0</v>
      </c>
      <c r="P138" s="67">
        <f t="shared" si="25"/>
        <v>0</v>
      </c>
    </row>
    <row r="139" spans="2:16" ht="12.5">
      <c r="B139" s="9" t="str">
        <f t="shared" si="18"/>
        <v/>
      </c>
      <c r="C139" s="62">
        <f>IF(D93="","-",+C138+1)</f>
        <v>2064</v>
      </c>
      <c r="D139" s="63">
        <f>IF(F138+SUM(E$99:E138)=D$92,F138,D$92-SUM(E$99:E138))</f>
        <v>0</v>
      </c>
      <c r="E139" s="69">
        <f t="shared" si="19"/>
        <v>0</v>
      </c>
      <c r="F139" s="68">
        <f t="shared" si="20"/>
        <v>0</v>
      </c>
      <c r="G139" s="68">
        <f t="shared" si="21"/>
        <v>0</v>
      </c>
      <c r="H139" s="130">
        <f t="shared" si="15"/>
        <v>0</v>
      </c>
      <c r="I139" s="139">
        <f t="shared" si="16"/>
        <v>0</v>
      </c>
      <c r="J139" s="67">
        <f t="shared" si="22"/>
        <v>0</v>
      </c>
      <c r="K139" s="67"/>
      <c r="L139" s="132"/>
      <c r="M139" s="67">
        <f t="shared" si="23"/>
        <v>0</v>
      </c>
      <c r="N139" s="132"/>
      <c r="O139" s="67">
        <f t="shared" si="24"/>
        <v>0</v>
      </c>
      <c r="P139" s="67">
        <f t="shared" si="25"/>
        <v>0</v>
      </c>
    </row>
    <row r="140" spans="2:16" ht="12.5">
      <c r="B140" s="9" t="str">
        <f t="shared" si="18"/>
        <v/>
      </c>
      <c r="C140" s="62">
        <f>IF(D93="","-",+C139+1)</f>
        <v>2065</v>
      </c>
      <c r="D140" s="63">
        <f>IF(F139+SUM(E$99:E139)=D$92,F139,D$92-SUM(E$99:E139))</f>
        <v>0</v>
      </c>
      <c r="E140" s="69">
        <f t="shared" si="19"/>
        <v>0</v>
      </c>
      <c r="F140" s="68">
        <f t="shared" si="20"/>
        <v>0</v>
      </c>
      <c r="G140" s="68">
        <f t="shared" si="21"/>
        <v>0</v>
      </c>
      <c r="H140" s="130">
        <f t="shared" si="15"/>
        <v>0</v>
      </c>
      <c r="I140" s="139">
        <f t="shared" si="16"/>
        <v>0</v>
      </c>
      <c r="J140" s="67">
        <f t="shared" si="22"/>
        <v>0</v>
      </c>
      <c r="K140" s="67"/>
      <c r="L140" s="132"/>
      <c r="M140" s="67">
        <f t="shared" si="23"/>
        <v>0</v>
      </c>
      <c r="N140" s="132"/>
      <c r="O140" s="67">
        <f t="shared" si="24"/>
        <v>0</v>
      </c>
      <c r="P140" s="67">
        <f t="shared" si="25"/>
        <v>0</v>
      </c>
    </row>
    <row r="141" spans="2:16" ht="12.5">
      <c r="B141" s="9" t="str">
        <f t="shared" si="18"/>
        <v/>
      </c>
      <c r="C141" s="62">
        <f>IF(D93="","-",+C140+1)</f>
        <v>2066</v>
      </c>
      <c r="D141" s="63">
        <f>IF(F140+SUM(E$99:E140)=D$92,F140,D$92-SUM(E$99:E140))</f>
        <v>0</v>
      </c>
      <c r="E141" s="69">
        <f t="shared" si="19"/>
        <v>0</v>
      </c>
      <c r="F141" s="68">
        <f t="shared" si="20"/>
        <v>0</v>
      </c>
      <c r="G141" s="68">
        <f t="shared" si="21"/>
        <v>0</v>
      </c>
      <c r="H141" s="130">
        <f t="shared" si="15"/>
        <v>0</v>
      </c>
      <c r="I141" s="139">
        <f t="shared" si="16"/>
        <v>0</v>
      </c>
      <c r="J141" s="67">
        <f t="shared" si="22"/>
        <v>0</v>
      </c>
      <c r="K141" s="67"/>
      <c r="L141" s="132"/>
      <c r="M141" s="67">
        <f t="shared" si="23"/>
        <v>0</v>
      </c>
      <c r="N141" s="132"/>
      <c r="O141" s="67">
        <f t="shared" si="24"/>
        <v>0</v>
      </c>
      <c r="P141" s="67">
        <f t="shared" si="25"/>
        <v>0</v>
      </c>
    </row>
    <row r="142" spans="2:16" ht="12.5">
      <c r="B142" s="9" t="str">
        <f t="shared" si="18"/>
        <v/>
      </c>
      <c r="C142" s="62">
        <f>IF(D93="","-",+C141+1)</f>
        <v>2067</v>
      </c>
      <c r="D142" s="63">
        <f>IF(F141+SUM(E$99:E141)=D$92,F141,D$92-SUM(E$99:E141))</f>
        <v>0</v>
      </c>
      <c r="E142" s="69">
        <f t="shared" si="19"/>
        <v>0</v>
      </c>
      <c r="F142" s="68">
        <f t="shared" si="20"/>
        <v>0</v>
      </c>
      <c r="G142" s="68">
        <f t="shared" si="21"/>
        <v>0</v>
      </c>
      <c r="H142" s="130">
        <f t="shared" si="15"/>
        <v>0</v>
      </c>
      <c r="I142" s="139">
        <f t="shared" si="16"/>
        <v>0</v>
      </c>
      <c r="J142" s="67">
        <f t="shared" si="22"/>
        <v>0</v>
      </c>
      <c r="K142" s="67"/>
      <c r="L142" s="132"/>
      <c r="M142" s="67">
        <f t="shared" si="23"/>
        <v>0</v>
      </c>
      <c r="N142" s="132"/>
      <c r="O142" s="67">
        <f t="shared" si="24"/>
        <v>0</v>
      </c>
      <c r="P142" s="67">
        <f t="shared" si="25"/>
        <v>0</v>
      </c>
    </row>
    <row r="143" spans="2:16" ht="12.5">
      <c r="B143" s="9" t="str">
        <f t="shared" si="18"/>
        <v/>
      </c>
      <c r="C143" s="62">
        <f>IF(D93="","-",+C142+1)</f>
        <v>2068</v>
      </c>
      <c r="D143" s="63">
        <f>IF(F142+SUM(E$99:E142)=D$92,F142,D$92-SUM(E$99:E142))</f>
        <v>0</v>
      </c>
      <c r="E143" s="69">
        <f t="shared" si="19"/>
        <v>0</v>
      </c>
      <c r="F143" s="68">
        <f t="shared" si="20"/>
        <v>0</v>
      </c>
      <c r="G143" s="68">
        <f t="shared" si="21"/>
        <v>0</v>
      </c>
      <c r="H143" s="130">
        <f t="shared" si="15"/>
        <v>0</v>
      </c>
      <c r="I143" s="139">
        <f t="shared" si="16"/>
        <v>0</v>
      </c>
      <c r="J143" s="67">
        <f t="shared" si="22"/>
        <v>0</v>
      </c>
      <c r="K143" s="67"/>
      <c r="L143" s="132"/>
      <c r="M143" s="67">
        <f t="shared" si="23"/>
        <v>0</v>
      </c>
      <c r="N143" s="132"/>
      <c r="O143" s="67">
        <f t="shared" si="24"/>
        <v>0</v>
      </c>
      <c r="P143" s="67">
        <f t="shared" si="25"/>
        <v>0</v>
      </c>
    </row>
    <row r="144" spans="2:16" ht="12.5">
      <c r="B144" s="9" t="str">
        <f t="shared" si="18"/>
        <v/>
      </c>
      <c r="C144" s="62">
        <f>IF(D93="","-",+C143+1)</f>
        <v>2069</v>
      </c>
      <c r="D144" s="63">
        <f>IF(F143+SUM(E$99:E143)=D$92,F143,D$92-SUM(E$99:E143))</f>
        <v>0</v>
      </c>
      <c r="E144" s="69">
        <f t="shared" si="19"/>
        <v>0</v>
      </c>
      <c r="F144" s="68">
        <f t="shared" si="20"/>
        <v>0</v>
      </c>
      <c r="G144" s="68">
        <f t="shared" si="21"/>
        <v>0</v>
      </c>
      <c r="H144" s="130">
        <f t="shared" si="15"/>
        <v>0</v>
      </c>
      <c r="I144" s="139">
        <f t="shared" si="16"/>
        <v>0</v>
      </c>
      <c r="J144" s="67">
        <f t="shared" si="22"/>
        <v>0</v>
      </c>
      <c r="K144" s="67"/>
      <c r="L144" s="132"/>
      <c r="M144" s="67">
        <f t="shared" si="23"/>
        <v>0</v>
      </c>
      <c r="N144" s="132"/>
      <c r="O144" s="67">
        <f t="shared" si="24"/>
        <v>0</v>
      </c>
      <c r="P144" s="67">
        <f t="shared" si="25"/>
        <v>0</v>
      </c>
    </row>
    <row r="145" spans="2:16" ht="12.5">
      <c r="B145" s="9" t="str">
        <f t="shared" si="18"/>
        <v/>
      </c>
      <c r="C145" s="62">
        <f>IF(D93="","-",+C144+1)</f>
        <v>2070</v>
      </c>
      <c r="D145" s="63">
        <f>IF(F144+SUM(E$99:E144)=D$92,F144,D$92-SUM(E$99:E144))</f>
        <v>0</v>
      </c>
      <c r="E145" s="69">
        <f t="shared" si="19"/>
        <v>0</v>
      </c>
      <c r="F145" s="68">
        <f t="shared" si="20"/>
        <v>0</v>
      </c>
      <c r="G145" s="68">
        <f t="shared" si="21"/>
        <v>0</v>
      </c>
      <c r="H145" s="130">
        <f t="shared" si="15"/>
        <v>0</v>
      </c>
      <c r="I145" s="139">
        <f t="shared" si="16"/>
        <v>0</v>
      </c>
      <c r="J145" s="67">
        <f t="shared" si="22"/>
        <v>0</v>
      </c>
      <c r="K145" s="67"/>
      <c r="L145" s="132"/>
      <c r="M145" s="67">
        <f t="shared" si="23"/>
        <v>0</v>
      </c>
      <c r="N145" s="132"/>
      <c r="O145" s="67">
        <f t="shared" si="24"/>
        <v>0</v>
      </c>
      <c r="P145" s="67">
        <f t="shared" si="25"/>
        <v>0</v>
      </c>
    </row>
    <row r="146" spans="2:16" ht="12.5">
      <c r="B146" s="9" t="str">
        <f t="shared" si="18"/>
        <v/>
      </c>
      <c r="C146" s="62">
        <f>IF(D93="","-",+C145+1)</f>
        <v>2071</v>
      </c>
      <c r="D146" s="63">
        <f>IF(F145+SUM(E$99:E145)=D$92,F145,D$92-SUM(E$99:E145))</f>
        <v>0</v>
      </c>
      <c r="E146" s="69">
        <f t="shared" si="19"/>
        <v>0</v>
      </c>
      <c r="F146" s="68">
        <f t="shared" si="20"/>
        <v>0</v>
      </c>
      <c r="G146" s="68">
        <f t="shared" si="21"/>
        <v>0</v>
      </c>
      <c r="H146" s="130">
        <f t="shared" si="15"/>
        <v>0</v>
      </c>
      <c r="I146" s="139">
        <f t="shared" si="16"/>
        <v>0</v>
      </c>
      <c r="J146" s="67">
        <f t="shared" si="22"/>
        <v>0</v>
      </c>
      <c r="K146" s="67"/>
      <c r="L146" s="132"/>
      <c r="M146" s="67">
        <f t="shared" si="23"/>
        <v>0</v>
      </c>
      <c r="N146" s="132"/>
      <c r="O146" s="67">
        <f t="shared" si="24"/>
        <v>0</v>
      </c>
      <c r="P146" s="67">
        <f t="shared" si="25"/>
        <v>0</v>
      </c>
    </row>
    <row r="147" spans="2:16" ht="12.5">
      <c r="B147" s="9" t="str">
        <f t="shared" si="18"/>
        <v/>
      </c>
      <c r="C147" s="62">
        <f>IF(D93="","-",+C146+1)</f>
        <v>2072</v>
      </c>
      <c r="D147" s="63">
        <f>IF(F146+SUM(E$99:E146)=D$92,F146,D$92-SUM(E$99:E146))</f>
        <v>0</v>
      </c>
      <c r="E147" s="69">
        <f t="shared" si="19"/>
        <v>0</v>
      </c>
      <c r="F147" s="68">
        <f t="shared" si="20"/>
        <v>0</v>
      </c>
      <c r="G147" s="68">
        <f t="shared" si="21"/>
        <v>0</v>
      </c>
      <c r="H147" s="130">
        <f t="shared" si="15"/>
        <v>0</v>
      </c>
      <c r="I147" s="139">
        <f t="shared" si="16"/>
        <v>0</v>
      </c>
      <c r="J147" s="67">
        <f t="shared" si="22"/>
        <v>0</v>
      </c>
      <c r="K147" s="67"/>
      <c r="L147" s="132"/>
      <c r="M147" s="67">
        <f t="shared" si="23"/>
        <v>0</v>
      </c>
      <c r="N147" s="132"/>
      <c r="O147" s="67">
        <f t="shared" si="24"/>
        <v>0</v>
      </c>
      <c r="P147" s="67">
        <f t="shared" si="25"/>
        <v>0</v>
      </c>
    </row>
    <row r="148" spans="2:16" ht="12.5">
      <c r="B148" s="9" t="str">
        <f t="shared" si="18"/>
        <v/>
      </c>
      <c r="C148" s="62">
        <f>IF(D93="","-",+C147+1)</f>
        <v>2073</v>
      </c>
      <c r="D148" s="63">
        <f>IF(F147+SUM(E$99:E147)=D$92,F147,D$92-SUM(E$99:E147))</f>
        <v>0</v>
      </c>
      <c r="E148" s="69">
        <f t="shared" si="19"/>
        <v>0</v>
      </c>
      <c r="F148" s="68">
        <f t="shared" si="20"/>
        <v>0</v>
      </c>
      <c r="G148" s="68">
        <f t="shared" si="21"/>
        <v>0</v>
      </c>
      <c r="H148" s="130">
        <f t="shared" si="15"/>
        <v>0</v>
      </c>
      <c r="I148" s="139">
        <f t="shared" si="16"/>
        <v>0</v>
      </c>
      <c r="J148" s="67">
        <f t="shared" si="22"/>
        <v>0</v>
      </c>
      <c r="K148" s="67"/>
      <c r="L148" s="132"/>
      <c r="M148" s="67">
        <f t="shared" si="23"/>
        <v>0</v>
      </c>
      <c r="N148" s="132"/>
      <c r="O148" s="67">
        <f t="shared" si="24"/>
        <v>0</v>
      </c>
      <c r="P148" s="67">
        <f t="shared" si="25"/>
        <v>0</v>
      </c>
    </row>
    <row r="149" spans="2:16" ht="12.5">
      <c r="B149" s="9" t="str">
        <f t="shared" si="18"/>
        <v/>
      </c>
      <c r="C149" s="62">
        <f>IF(D93="","-",+C148+1)</f>
        <v>2074</v>
      </c>
      <c r="D149" s="63">
        <f>IF(F148+SUM(E$99:E148)=D$92,F148,D$92-SUM(E$99:E148))</f>
        <v>0</v>
      </c>
      <c r="E149" s="69">
        <f t="shared" si="19"/>
        <v>0</v>
      </c>
      <c r="F149" s="68">
        <f t="shared" si="20"/>
        <v>0</v>
      </c>
      <c r="G149" s="68">
        <f t="shared" si="21"/>
        <v>0</v>
      </c>
      <c r="H149" s="130">
        <f t="shared" si="15"/>
        <v>0</v>
      </c>
      <c r="I149" s="139">
        <f t="shared" si="16"/>
        <v>0</v>
      </c>
      <c r="J149" s="67">
        <f t="shared" si="22"/>
        <v>0</v>
      </c>
      <c r="K149" s="67"/>
      <c r="L149" s="132"/>
      <c r="M149" s="67">
        <f t="shared" si="23"/>
        <v>0</v>
      </c>
      <c r="N149" s="132"/>
      <c r="O149" s="67">
        <f t="shared" si="24"/>
        <v>0</v>
      </c>
      <c r="P149" s="67">
        <f t="shared" si="25"/>
        <v>0</v>
      </c>
    </row>
    <row r="150" spans="2:16" ht="12.5">
      <c r="B150" s="9" t="str">
        <f t="shared" si="18"/>
        <v/>
      </c>
      <c r="C150" s="62">
        <f>IF(D93="","-",+C149+1)</f>
        <v>2075</v>
      </c>
      <c r="D150" s="63">
        <f>IF(F149+SUM(E$99:E149)=D$92,F149,D$92-SUM(E$99:E149))</f>
        <v>0</v>
      </c>
      <c r="E150" s="69">
        <f t="shared" si="19"/>
        <v>0</v>
      </c>
      <c r="F150" s="68">
        <f t="shared" si="20"/>
        <v>0</v>
      </c>
      <c r="G150" s="68">
        <f t="shared" si="21"/>
        <v>0</v>
      </c>
      <c r="H150" s="130">
        <f t="shared" si="15"/>
        <v>0</v>
      </c>
      <c r="I150" s="139">
        <f t="shared" si="16"/>
        <v>0</v>
      </c>
      <c r="J150" s="67">
        <f t="shared" si="22"/>
        <v>0</v>
      </c>
      <c r="K150" s="67"/>
      <c r="L150" s="132"/>
      <c r="M150" s="67">
        <f t="shared" si="23"/>
        <v>0</v>
      </c>
      <c r="N150" s="132"/>
      <c r="O150" s="67">
        <f t="shared" si="24"/>
        <v>0</v>
      </c>
      <c r="P150" s="67">
        <f t="shared" si="25"/>
        <v>0</v>
      </c>
    </row>
    <row r="151" spans="2:16" ht="12.5">
      <c r="B151" s="9" t="str">
        <f t="shared" si="18"/>
        <v/>
      </c>
      <c r="C151" s="62">
        <f>IF(D93="","-",+C150+1)</f>
        <v>2076</v>
      </c>
      <c r="D151" s="63">
        <f>IF(F150+SUM(E$99:E150)=D$92,F150,D$92-SUM(E$99:E150))</f>
        <v>0</v>
      </c>
      <c r="E151" s="69">
        <f t="shared" si="19"/>
        <v>0</v>
      </c>
      <c r="F151" s="68">
        <f t="shared" si="20"/>
        <v>0</v>
      </c>
      <c r="G151" s="68">
        <f t="shared" si="21"/>
        <v>0</v>
      </c>
      <c r="H151" s="130">
        <f t="shared" si="15"/>
        <v>0</v>
      </c>
      <c r="I151" s="139">
        <f t="shared" si="16"/>
        <v>0</v>
      </c>
      <c r="J151" s="67">
        <f t="shared" si="22"/>
        <v>0</v>
      </c>
      <c r="K151" s="67"/>
      <c r="L151" s="132"/>
      <c r="M151" s="67">
        <f t="shared" si="23"/>
        <v>0</v>
      </c>
      <c r="N151" s="132"/>
      <c r="O151" s="67">
        <f t="shared" si="24"/>
        <v>0</v>
      </c>
      <c r="P151" s="67">
        <f t="shared" si="25"/>
        <v>0</v>
      </c>
    </row>
    <row r="152" spans="2:16" ht="12.5">
      <c r="B152" s="9" t="str">
        <f t="shared" si="18"/>
        <v/>
      </c>
      <c r="C152" s="62">
        <f>IF(D93="","-",+C151+1)</f>
        <v>2077</v>
      </c>
      <c r="D152" s="63">
        <f>IF(F151+SUM(E$99:E151)=D$92,F151,D$92-SUM(E$99:E151))</f>
        <v>0</v>
      </c>
      <c r="E152" s="69">
        <f t="shared" si="19"/>
        <v>0</v>
      </c>
      <c r="F152" s="68">
        <f t="shared" si="20"/>
        <v>0</v>
      </c>
      <c r="G152" s="68">
        <f t="shared" si="21"/>
        <v>0</v>
      </c>
      <c r="H152" s="130">
        <f t="shared" si="15"/>
        <v>0</v>
      </c>
      <c r="I152" s="139">
        <f t="shared" si="16"/>
        <v>0</v>
      </c>
      <c r="J152" s="67">
        <f t="shared" si="22"/>
        <v>0</v>
      </c>
      <c r="K152" s="67"/>
      <c r="L152" s="132"/>
      <c r="M152" s="67">
        <f t="shared" si="23"/>
        <v>0</v>
      </c>
      <c r="N152" s="132"/>
      <c r="O152" s="67">
        <f t="shared" si="24"/>
        <v>0</v>
      </c>
      <c r="P152" s="67">
        <f t="shared" si="25"/>
        <v>0</v>
      </c>
    </row>
    <row r="153" spans="2:16" ht="12.5">
      <c r="B153" s="9" t="str">
        <f t="shared" si="18"/>
        <v/>
      </c>
      <c r="C153" s="62">
        <f>IF(D93="","-",+C152+1)</f>
        <v>2078</v>
      </c>
      <c r="D153" s="63">
        <f>IF(F152+SUM(E$99:E152)=D$92,F152,D$92-SUM(E$99:E152))</f>
        <v>0</v>
      </c>
      <c r="E153" s="69">
        <f t="shared" si="19"/>
        <v>0</v>
      </c>
      <c r="F153" s="68">
        <f t="shared" si="20"/>
        <v>0</v>
      </c>
      <c r="G153" s="68">
        <f t="shared" si="21"/>
        <v>0</v>
      </c>
      <c r="H153" s="130">
        <f t="shared" si="15"/>
        <v>0</v>
      </c>
      <c r="I153" s="139">
        <f t="shared" si="16"/>
        <v>0</v>
      </c>
      <c r="J153" s="67">
        <f t="shared" si="22"/>
        <v>0</v>
      </c>
      <c r="K153" s="67"/>
      <c r="L153" s="132"/>
      <c r="M153" s="67">
        <f t="shared" si="23"/>
        <v>0</v>
      </c>
      <c r="N153" s="132"/>
      <c r="O153" s="67">
        <f t="shared" si="24"/>
        <v>0</v>
      </c>
      <c r="P153" s="67">
        <f t="shared" si="25"/>
        <v>0</v>
      </c>
    </row>
    <row r="154" spans="2:16" ht="13" thickBot="1">
      <c r="B154" s="9" t="str">
        <f t="shared" si="18"/>
        <v/>
      </c>
      <c r="C154" s="72">
        <f>IF(D93="","-",+C153+1)</f>
        <v>2079</v>
      </c>
      <c r="D154" s="98">
        <f>IF(F153+SUM(E$99:E153)=D$92,F153,D$92-SUM(E$99:E153))</f>
        <v>0</v>
      </c>
      <c r="E154" s="74">
        <f t="shared" si="19"/>
        <v>0</v>
      </c>
      <c r="F154" s="73">
        <f t="shared" si="20"/>
        <v>0</v>
      </c>
      <c r="G154" s="73">
        <f t="shared" si="21"/>
        <v>0</v>
      </c>
      <c r="H154" s="140">
        <f t="shared" si="15"/>
        <v>0</v>
      </c>
      <c r="I154" s="141">
        <f t="shared" si="16"/>
        <v>0</v>
      </c>
      <c r="J154" s="76">
        <f t="shared" si="22"/>
        <v>0</v>
      </c>
      <c r="K154" s="67"/>
      <c r="L154" s="133"/>
      <c r="M154" s="76">
        <f t="shared" si="23"/>
        <v>0</v>
      </c>
      <c r="N154" s="133"/>
      <c r="O154" s="76">
        <f t="shared" si="24"/>
        <v>0</v>
      </c>
      <c r="P154" s="76">
        <f t="shared" si="25"/>
        <v>0</v>
      </c>
    </row>
    <row r="155" spans="2:16" ht="12.5">
      <c r="C155" s="63" t="s">
        <v>77</v>
      </c>
      <c r="D155" s="20"/>
      <c r="E155" s="20">
        <f>SUM(E99:E154)</f>
        <v>8000617</v>
      </c>
      <c r="F155" s="20"/>
      <c r="G155" s="20"/>
      <c r="H155" s="20">
        <f>SUM(H99:H154)</f>
        <v>28955909.534471761</v>
      </c>
      <c r="I155" s="20">
        <f>SUM(I99:I154)</f>
        <v>28955909.534471761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9" priority="1" stopIfTrue="1" operator="equal">
      <formula>$I$10</formula>
    </cfRule>
  </conditionalFormatting>
  <conditionalFormatting sqref="C99:C154">
    <cfRule type="cellIs" dxfId="8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46BFDA-F2FC-4696-97B5-7BCAD6DA8173}">
  <dimension ref="A1:P162"/>
  <sheetViews>
    <sheetView zoomScaleNormal="100" zoomScaleSheetLayoutView="78" workbookViewId="0">
      <selection activeCell="Q18" sqref="Q18:V52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414" t="str">
        <f ca="1">"PSO Project "&amp;RIGHT(MID(CELL("filename",$A$1),FIND("]",CELL("filename",$A$1))+1,256),2)&amp;" of "&amp;COUNT('P.001:P.xyz - blank'!$P$3)-1</f>
        <v>PSO Project 33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279</v>
      </c>
      <c r="L5" s="24"/>
      <c r="M5" s="25"/>
      <c r="N5" s="26">
        <v>0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280</v>
      </c>
      <c r="L6" s="30"/>
      <c r="M6" s="4"/>
      <c r="N6" s="31">
        <v>0</v>
      </c>
      <c r="O6" s="1"/>
      <c r="P6" s="1"/>
    </row>
    <row r="7" spans="1:16" ht="13.5" thickBot="1">
      <c r="C7" s="32" t="s">
        <v>46</v>
      </c>
      <c r="D7" s="104" t="s">
        <v>364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 t="s">
        <v>363</v>
      </c>
      <c r="E9" s="645" t="s">
        <v>383</v>
      </c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>
        <v>0</v>
      </c>
      <c r="E10" s="12" t="s">
        <v>51</v>
      </c>
      <c r="F10" s="42"/>
      <c r="G10" s="44"/>
      <c r="H10" s="44"/>
      <c r="I10" s="45">
        <f>+'PSO.WS.F.BPU.ATRR.Projected'!L19</f>
        <v>2024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2025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10</v>
      </c>
      <c r="E12" s="46" t="s">
        <v>56</v>
      </c>
      <c r="F12" s="44"/>
      <c r="G12" s="7"/>
      <c r="H12" s="7"/>
      <c r="I12" s="50">
        <f>'PSO.WS.F.BPU.ATRR.Projected'!$F$81</f>
        <v>0.11374018757958901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0.11374018757958901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0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281</v>
      </c>
      <c r="H15" s="143" t="s">
        <v>282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2025</v>
      </c>
      <c r="D17" s="63">
        <v>0</v>
      </c>
      <c r="E17" s="64">
        <f>IF(D10&gt;=100000,I$14/12*(12-D12),0)</f>
        <v>0</v>
      </c>
      <c r="F17" s="68">
        <f>IF(D11=C17,+D10-E17,+D17-E17)</f>
        <v>0</v>
      </c>
      <c r="G17" s="64">
        <f>(D17+F17)/2*I$12+E17</f>
        <v>0</v>
      </c>
      <c r="H17" s="52">
        <f>+(D17+F17)/2*I$13+E17</f>
        <v>0</v>
      </c>
      <c r="I17" s="65">
        <f>H17-G17</f>
        <v>0</v>
      </c>
      <c r="J17" s="65"/>
      <c r="K17" s="134"/>
      <c r="L17" s="66">
        <f t="shared" ref="L17:L72" si="0">IF(K17&lt;&gt;0,+G17-K17,0)</f>
        <v>0</v>
      </c>
      <c r="M17" s="134"/>
      <c r="N17" s="66">
        <f t="shared" ref="N17:N72" si="1">IF(M17&lt;&gt;0,+H17-M17,0)</f>
        <v>0</v>
      </c>
      <c r="O17" s="67">
        <f t="shared" ref="O17:O72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2026</v>
      </c>
      <c r="D18" s="71">
        <f>IF(F17+SUM(E$17:E17)=D$10,F17,D$10-SUM(E$17:E17))</f>
        <v>0</v>
      </c>
      <c r="E18" s="69">
        <f>IF(+I$14&lt;F17,I$14,D18)</f>
        <v>0</v>
      </c>
      <c r="F18" s="68">
        <f>+D18-E18</f>
        <v>0</v>
      </c>
      <c r="G18" s="70">
        <f>(D18+F18)/2*I$12+E18</f>
        <v>0</v>
      </c>
      <c r="H18" s="52">
        <f>+(D18+F18)/2*I$13+E18</f>
        <v>0</v>
      </c>
      <c r="I18" s="65">
        <f>H18-G18</f>
        <v>0</v>
      </c>
      <c r="J18" s="65"/>
      <c r="K18" s="132"/>
      <c r="L18" s="67">
        <f t="shared" si="0"/>
        <v>0</v>
      </c>
      <c r="M18" s="132"/>
      <c r="N18" s="67">
        <f t="shared" si="1"/>
        <v>0</v>
      </c>
      <c r="O18" s="67">
        <f t="shared" si="2"/>
        <v>0</v>
      </c>
      <c r="P18" s="4"/>
    </row>
    <row r="19" spans="2:16" ht="12.5">
      <c r="B19" s="9" t="str">
        <f>IF(D19=F18,"","IU")</f>
        <v/>
      </c>
      <c r="C19" s="62">
        <f>IF(D11="","-",+C18+1)</f>
        <v>2027</v>
      </c>
      <c r="D19" s="71">
        <f>IF(F18+SUM(E$17:E18)=D$10,F18,D$10-SUM(E$17:E18))</f>
        <v>0</v>
      </c>
      <c r="E19" s="69">
        <f t="shared" ref="E19:E71" si="3">IF(+I$14&lt;F18,I$14,D19)</f>
        <v>0</v>
      </c>
      <c r="F19" s="68">
        <f t="shared" ref="F19:F71" si="4">+D19-E19</f>
        <v>0</v>
      </c>
      <c r="G19" s="70">
        <f t="shared" ref="G19:G71" si="5">(D19+F19)/2*I$12+E19</f>
        <v>0</v>
      </c>
      <c r="H19" s="52">
        <f t="shared" ref="H19:H71" si="6">+(D19+F19)/2*I$13+E19</f>
        <v>0</v>
      </c>
      <c r="I19" s="65">
        <f t="shared" ref="I19:I71" si="7">H19-G19</f>
        <v>0</v>
      </c>
      <c r="J19" s="65"/>
      <c r="K19" s="132"/>
      <c r="L19" s="67">
        <f t="shared" si="0"/>
        <v>0</v>
      </c>
      <c r="M19" s="132"/>
      <c r="N19" s="67">
        <f t="shared" si="1"/>
        <v>0</v>
      </c>
      <c r="O19" s="67">
        <f t="shared" si="2"/>
        <v>0</v>
      </c>
      <c r="P19" s="4"/>
    </row>
    <row r="20" spans="2:16" ht="12.5">
      <c r="B20" s="9" t="str">
        <f t="shared" ref="B20:B72" si="8">IF(D20=F19,"","IU")</f>
        <v/>
      </c>
      <c r="C20" s="62">
        <f>IF(D11="","-",+C19+1)</f>
        <v>2028</v>
      </c>
      <c r="D20" s="71">
        <f>IF(F19+SUM(E$17:E19)=D$10,F19,D$10-SUM(E$17:E19))</f>
        <v>0</v>
      </c>
      <c r="E20" s="69">
        <f t="shared" si="3"/>
        <v>0</v>
      </c>
      <c r="F20" s="68">
        <f t="shared" si="4"/>
        <v>0</v>
      </c>
      <c r="G20" s="70">
        <f t="shared" si="5"/>
        <v>0</v>
      </c>
      <c r="H20" s="52">
        <f t="shared" si="6"/>
        <v>0</v>
      </c>
      <c r="I20" s="65">
        <f t="shared" si="7"/>
        <v>0</v>
      </c>
      <c r="J20" s="65"/>
      <c r="K20" s="132"/>
      <c r="L20" s="67">
        <f t="shared" si="0"/>
        <v>0</v>
      </c>
      <c r="M20" s="132"/>
      <c r="N20" s="67">
        <f t="shared" si="1"/>
        <v>0</v>
      </c>
      <c r="O20" s="67">
        <f t="shared" si="2"/>
        <v>0</v>
      </c>
      <c r="P20" s="4"/>
    </row>
    <row r="21" spans="2:16" ht="12.5">
      <c r="B21" s="9" t="str">
        <f t="shared" si="8"/>
        <v/>
      </c>
      <c r="C21" s="62">
        <f>IF(D11="","-",+C20+1)</f>
        <v>2029</v>
      </c>
      <c r="D21" s="71">
        <f>IF(F20+SUM(E$17:E20)=D$10,F20,D$10-SUM(E$17:E20))</f>
        <v>0</v>
      </c>
      <c r="E21" s="69">
        <f t="shared" si="3"/>
        <v>0</v>
      </c>
      <c r="F21" s="68">
        <f t="shared" si="4"/>
        <v>0</v>
      </c>
      <c r="G21" s="70">
        <f t="shared" si="5"/>
        <v>0</v>
      </c>
      <c r="H21" s="52">
        <f t="shared" si="6"/>
        <v>0</v>
      </c>
      <c r="I21" s="65">
        <f t="shared" si="7"/>
        <v>0</v>
      </c>
      <c r="J21" s="65"/>
      <c r="K21" s="132"/>
      <c r="L21" s="67">
        <f t="shared" si="0"/>
        <v>0</v>
      </c>
      <c r="M21" s="132"/>
      <c r="N21" s="67">
        <f t="shared" si="1"/>
        <v>0</v>
      </c>
      <c r="O21" s="67">
        <f t="shared" si="2"/>
        <v>0</v>
      </c>
      <c r="P21" s="4"/>
    </row>
    <row r="22" spans="2:16" ht="12.5">
      <c r="B22" s="9" t="str">
        <f t="shared" si="8"/>
        <v/>
      </c>
      <c r="C22" s="62">
        <f>IF(D11="","-",+C21+1)</f>
        <v>2030</v>
      </c>
      <c r="D22" s="71">
        <f>IF(F21+SUM(E$17:E21)=D$10,F21,D$10-SUM(E$17:E21))</f>
        <v>0</v>
      </c>
      <c r="E22" s="69">
        <f t="shared" si="3"/>
        <v>0</v>
      </c>
      <c r="F22" s="68">
        <f t="shared" si="4"/>
        <v>0</v>
      </c>
      <c r="G22" s="70">
        <f t="shared" si="5"/>
        <v>0</v>
      </c>
      <c r="H22" s="52">
        <f t="shared" si="6"/>
        <v>0</v>
      </c>
      <c r="I22" s="65">
        <f t="shared" si="7"/>
        <v>0</v>
      </c>
      <c r="J22" s="65"/>
      <c r="K22" s="132"/>
      <c r="L22" s="67">
        <f t="shared" si="0"/>
        <v>0</v>
      </c>
      <c r="M22" s="132"/>
      <c r="N22" s="67">
        <f t="shared" si="1"/>
        <v>0</v>
      </c>
      <c r="O22" s="67">
        <f t="shared" si="2"/>
        <v>0</v>
      </c>
      <c r="P22" s="4"/>
    </row>
    <row r="23" spans="2:16" ht="12.5">
      <c r="B23" s="9" t="str">
        <f t="shared" si="8"/>
        <v/>
      </c>
      <c r="C23" s="62">
        <f>IF(D11="","-",+C22+1)</f>
        <v>2031</v>
      </c>
      <c r="D23" s="71">
        <f>IF(F22+SUM(E$17:E22)=D$10,F22,D$10-SUM(E$17:E22))</f>
        <v>0</v>
      </c>
      <c r="E23" s="69">
        <f t="shared" si="3"/>
        <v>0</v>
      </c>
      <c r="F23" s="68">
        <f t="shared" si="4"/>
        <v>0</v>
      </c>
      <c r="G23" s="70">
        <f t="shared" si="5"/>
        <v>0</v>
      </c>
      <c r="H23" s="52">
        <f t="shared" si="6"/>
        <v>0</v>
      </c>
      <c r="I23" s="65">
        <f t="shared" si="7"/>
        <v>0</v>
      </c>
      <c r="J23" s="65"/>
      <c r="K23" s="132"/>
      <c r="L23" s="67">
        <f t="shared" si="0"/>
        <v>0</v>
      </c>
      <c r="M23" s="132"/>
      <c r="N23" s="67">
        <f t="shared" si="1"/>
        <v>0</v>
      </c>
      <c r="O23" s="67">
        <f t="shared" si="2"/>
        <v>0</v>
      </c>
      <c r="P23" s="4"/>
    </row>
    <row r="24" spans="2:16" ht="12.5">
      <c r="B24" s="9" t="str">
        <f t="shared" si="8"/>
        <v/>
      </c>
      <c r="C24" s="62">
        <f>IF(D11="","-",+C23+1)</f>
        <v>2032</v>
      </c>
      <c r="D24" s="71">
        <f>IF(F23+SUM(E$17:E23)=D$10,F23,D$10-SUM(E$17:E23))</f>
        <v>0</v>
      </c>
      <c r="E24" s="69">
        <f t="shared" si="3"/>
        <v>0</v>
      </c>
      <c r="F24" s="68">
        <f t="shared" si="4"/>
        <v>0</v>
      </c>
      <c r="G24" s="70">
        <f t="shared" si="5"/>
        <v>0</v>
      </c>
      <c r="H24" s="52">
        <f t="shared" si="6"/>
        <v>0</v>
      </c>
      <c r="I24" s="65">
        <f t="shared" si="7"/>
        <v>0</v>
      </c>
      <c r="J24" s="65"/>
      <c r="K24" s="132"/>
      <c r="L24" s="67">
        <f t="shared" si="0"/>
        <v>0</v>
      </c>
      <c r="M24" s="132"/>
      <c r="N24" s="67">
        <f t="shared" si="1"/>
        <v>0</v>
      </c>
      <c r="O24" s="67">
        <f t="shared" si="2"/>
        <v>0</v>
      </c>
      <c r="P24" s="4"/>
    </row>
    <row r="25" spans="2:16" ht="12.5">
      <c r="B25" s="9" t="str">
        <f t="shared" si="8"/>
        <v/>
      </c>
      <c r="C25" s="62">
        <f>IF(D11="","-",+C24+1)</f>
        <v>2033</v>
      </c>
      <c r="D25" s="71">
        <f>IF(F24+SUM(E$17:E24)=D$10,F24,D$10-SUM(E$17:E24))</f>
        <v>0</v>
      </c>
      <c r="E25" s="69">
        <f t="shared" si="3"/>
        <v>0</v>
      </c>
      <c r="F25" s="68">
        <f t="shared" si="4"/>
        <v>0</v>
      </c>
      <c r="G25" s="70">
        <f t="shared" si="5"/>
        <v>0</v>
      </c>
      <c r="H25" s="52">
        <f t="shared" si="6"/>
        <v>0</v>
      </c>
      <c r="I25" s="65">
        <f t="shared" si="7"/>
        <v>0</v>
      </c>
      <c r="J25" s="65"/>
      <c r="K25" s="132"/>
      <c r="L25" s="67">
        <f t="shared" si="0"/>
        <v>0</v>
      </c>
      <c r="M25" s="132"/>
      <c r="N25" s="67">
        <f t="shared" si="1"/>
        <v>0</v>
      </c>
      <c r="O25" s="67">
        <f t="shared" si="2"/>
        <v>0</v>
      </c>
      <c r="P25" s="4"/>
    </row>
    <row r="26" spans="2:16" ht="12.5">
      <c r="B26" s="9" t="str">
        <f t="shared" si="8"/>
        <v/>
      </c>
      <c r="C26" s="62">
        <f>IF(D11="","-",+C25+1)</f>
        <v>2034</v>
      </c>
      <c r="D26" s="71">
        <f>IF(F25+SUM(E$17:E25)=D$10,F25,D$10-SUM(E$17:E25))</f>
        <v>0</v>
      </c>
      <c r="E26" s="69">
        <f t="shared" si="3"/>
        <v>0</v>
      </c>
      <c r="F26" s="68">
        <f t="shared" si="4"/>
        <v>0</v>
      </c>
      <c r="G26" s="70">
        <f t="shared" si="5"/>
        <v>0</v>
      </c>
      <c r="H26" s="52">
        <f t="shared" si="6"/>
        <v>0</v>
      </c>
      <c r="I26" s="65">
        <f t="shared" si="7"/>
        <v>0</v>
      </c>
      <c r="J26" s="65"/>
      <c r="K26" s="132"/>
      <c r="L26" s="67">
        <f t="shared" si="0"/>
        <v>0</v>
      </c>
      <c r="M26" s="132"/>
      <c r="N26" s="67">
        <f t="shared" si="1"/>
        <v>0</v>
      </c>
      <c r="O26" s="67">
        <f t="shared" si="2"/>
        <v>0</v>
      </c>
      <c r="P26" s="4"/>
    </row>
    <row r="27" spans="2:16" ht="12.5">
      <c r="B27" s="9" t="str">
        <f t="shared" si="8"/>
        <v/>
      </c>
      <c r="C27" s="62">
        <f>IF(D11="","-",+C26+1)</f>
        <v>2035</v>
      </c>
      <c r="D27" s="71">
        <f>IF(F26+SUM(E$17:E26)=D$10,F26,D$10-SUM(E$17:E26))</f>
        <v>0</v>
      </c>
      <c r="E27" s="69">
        <f t="shared" si="3"/>
        <v>0</v>
      </c>
      <c r="F27" s="68">
        <f t="shared" si="4"/>
        <v>0</v>
      </c>
      <c r="G27" s="70">
        <f t="shared" si="5"/>
        <v>0</v>
      </c>
      <c r="H27" s="52">
        <f t="shared" si="6"/>
        <v>0</v>
      </c>
      <c r="I27" s="65">
        <f t="shared" si="7"/>
        <v>0</v>
      </c>
      <c r="J27" s="65"/>
      <c r="K27" s="132"/>
      <c r="L27" s="67">
        <f t="shared" si="0"/>
        <v>0</v>
      </c>
      <c r="M27" s="132"/>
      <c r="N27" s="67">
        <f t="shared" si="1"/>
        <v>0</v>
      </c>
      <c r="O27" s="67">
        <f t="shared" si="2"/>
        <v>0</v>
      </c>
      <c r="P27" s="4"/>
    </row>
    <row r="28" spans="2:16" ht="12.5">
      <c r="B28" s="9" t="str">
        <f t="shared" si="8"/>
        <v/>
      </c>
      <c r="C28" s="62">
        <f>IF(D11="","-",+C27+1)</f>
        <v>2036</v>
      </c>
      <c r="D28" s="71">
        <f>IF(F27+SUM(E$17:E27)=D$10,F27,D$10-SUM(E$17:E27))</f>
        <v>0</v>
      </c>
      <c r="E28" s="69">
        <f t="shared" si="3"/>
        <v>0</v>
      </c>
      <c r="F28" s="68">
        <f t="shared" si="4"/>
        <v>0</v>
      </c>
      <c r="G28" s="70">
        <f t="shared" si="5"/>
        <v>0</v>
      </c>
      <c r="H28" s="52">
        <f t="shared" si="6"/>
        <v>0</v>
      </c>
      <c r="I28" s="65">
        <f t="shared" si="7"/>
        <v>0</v>
      </c>
      <c r="J28" s="65"/>
      <c r="K28" s="132"/>
      <c r="L28" s="67">
        <f t="shared" si="0"/>
        <v>0</v>
      </c>
      <c r="M28" s="132"/>
      <c r="N28" s="67">
        <f t="shared" si="1"/>
        <v>0</v>
      </c>
      <c r="O28" s="67">
        <f t="shared" si="2"/>
        <v>0</v>
      </c>
      <c r="P28" s="4"/>
    </row>
    <row r="29" spans="2:16" ht="12.5">
      <c r="B29" s="9" t="str">
        <f t="shared" si="8"/>
        <v/>
      </c>
      <c r="C29" s="62">
        <f>IF(D11="","-",+C28+1)</f>
        <v>2037</v>
      </c>
      <c r="D29" s="71">
        <f>IF(F28+SUM(E$17:E28)=D$10,F28,D$10-SUM(E$17:E28))</f>
        <v>0</v>
      </c>
      <c r="E29" s="69">
        <f t="shared" si="3"/>
        <v>0</v>
      </c>
      <c r="F29" s="68">
        <f t="shared" si="4"/>
        <v>0</v>
      </c>
      <c r="G29" s="70">
        <f t="shared" si="5"/>
        <v>0</v>
      </c>
      <c r="H29" s="52">
        <f t="shared" si="6"/>
        <v>0</v>
      </c>
      <c r="I29" s="65">
        <f t="shared" si="7"/>
        <v>0</v>
      </c>
      <c r="J29" s="65"/>
      <c r="K29" s="132"/>
      <c r="L29" s="67">
        <f t="shared" si="0"/>
        <v>0</v>
      </c>
      <c r="M29" s="132"/>
      <c r="N29" s="67">
        <f t="shared" si="1"/>
        <v>0</v>
      </c>
      <c r="O29" s="67">
        <f t="shared" si="2"/>
        <v>0</v>
      </c>
      <c r="P29" s="4"/>
    </row>
    <row r="30" spans="2:16" ht="12.5">
      <c r="B30" s="9" t="str">
        <f t="shared" si="8"/>
        <v/>
      </c>
      <c r="C30" s="62">
        <f>IF(D11="","-",+C29+1)</f>
        <v>2038</v>
      </c>
      <c r="D30" s="71">
        <f>IF(F29+SUM(E$17:E29)=D$10,F29,D$10-SUM(E$17:E29))</f>
        <v>0</v>
      </c>
      <c r="E30" s="69">
        <f t="shared" si="3"/>
        <v>0</v>
      </c>
      <c r="F30" s="68">
        <f t="shared" si="4"/>
        <v>0</v>
      </c>
      <c r="G30" s="70">
        <f t="shared" si="5"/>
        <v>0</v>
      </c>
      <c r="H30" s="52">
        <f t="shared" si="6"/>
        <v>0</v>
      </c>
      <c r="I30" s="65">
        <f t="shared" si="7"/>
        <v>0</v>
      </c>
      <c r="J30" s="65"/>
      <c r="K30" s="132"/>
      <c r="L30" s="67">
        <f t="shared" si="0"/>
        <v>0</v>
      </c>
      <c r="M30" s="132"/>
      <c r="N30" s="67">
        <f t="shared" si="1"/>
        <v>0</v>
      </c>
      <c r="O30" s="67">
        <f t="shared" si="2"/>
        <v>0</v>
      </c>
      <c r="P30" s="4"/>
    </row>
    <row r="31" spans="2:16" ht="12.5">
      <c r="B31" s="9" t="str">
        <f t="shared" si="8"/>
        <v/>
      </c>
      <c r="C31" s="62">
        <f>IF(D11="","-",+C30+1)</f>
        <v>2039</v>
      </c>
      <c r="D31" s="71">
        <f>IF(F30+SUM(E$17:E30)=D$10,F30,D$10-SUM(E$17:E30))</f>
        <v>0</v>
      </c>
      <c r="E31" s="69">
        <f t="shared" si="3"/>
        <v>0</v>
      </c>
      <c r="F31" s="68">
        <f t="shared" si="4"/>
        <v>0</v>
      </c>
      <c r="G31" s="70">
        <f t="shared" si="5"/>
        <v>0</v>
      </c>
      <c r="H31" s="52">
        <f t="shared" si="6"/>
        <v>0</v>
      </c>
      <c r="I31" s="65">
        <f t="shared" si="7"/>
        <v>0</v>
      </c>
      <c r="J31" s="65"/>
      <c r="K31" s="132"/>
      <c r="L31" s="67">
        <f t="shared" si="0"/>
        <v>0</v>
      </c>
      <c r="M31" s="132"/>
      <c r="N31" s="67">
        <f t="shared" si="1"/>
        <v>0</v>
      </c>
      <c r="O31" s="67">
        <f t="shared" si="2"/>
        <v>0</v>
      </c>
      <c r="P31" s="4"/>
    </row>
    <row r="32" spans="2:16" ht="12.5">
      <c r="B32" s="9" t="str">
        <f t="shared" si="8"/>
        <v/>
      </c>
      <c r="C32" s="62">
        <f>IF(D11="","-",+C31+1)</f>
        <v>2040</v>
      </c>
      <c r="D32" s="71">
        <f>IF(F31+SUM(E$17:E31)=D$10,F31,D$10-SUM(E$17:E31))</f>
        <v>0</v>
      </c>
      <c r="E32" s="69">
        <f t="shared" si="3"/>
        <v>0</v>
      </c>
      <c r="F32" s="68">
        <f t="shared" si="4"/>
        <v>0</v>
      </c>
      <c r="G32" s="70">
        <f t="shared" si="5"/>
        <v>0</v>
      </c>
      <c r="H32" s="52">
        <f t="shared" si="6"/>
        <v>0</v>
      </c>
      <c r="I32" s="65">
        <f t="shared" si="7"/>
        <v>0</v>
      </c>
      <c r="J32" s="65"/>
      <c r="K32" s="132"/>
      <c r="L32" s="67">
        <f t="shared" si="0"/>
        <v>0</v>
      </c>
      <c r="M32" s="132"/>
      <c r="N32" s="67">
        <f t="shared" si="1"/>
        <v>0</v>
      </c>
      <c r="O32" s="67">
        <f t="shared" si="2"/>
        <v>0</v>
      </c>
      <c r="P32" s="4"/>
    </row>
    <row r="33" spans="2:16" ht="12.5">
      <c r="B33" s="9" t="str">
        <f t="shared" si="8"/>
        <v/>
      </c>
      <c r="C33" s="62">
        <f>IF(D11="","-",+C32+1)</f>
        <v>2041</v>
      </c>
      <c r="D33" s="71">
        <f>IF(F32+SUM(E$17:E32)=D$10,F32,D$10-SUM(E$17:E32))</f>
        <v>0</v>
      </c>
      <c r="E33" s="69">
        <f t="shared" si="3"/>
        <v>0</v>
      </c>
      <c r="F33" s="68">
        <f t="shared" si="4"/>
        <v>0</v>
      </c>
      <c r="G33" s="70">
        <f t="shared" si="5"/>
        <v>0</v>
      </c>
      <c r="H33" s="52">
        <f t="shared" si="6"/>
        <v>0</v>
      </c>
      <c r="I33" s="65">
        <f t="shared" si="7"/>
        <v>0</v>
      </c>
      <c r="J33" s="65"/>
      <c r="K33" s="132"/>
      <c r="L33" s="67">
        <f t="shared" si="0"/>
        <v>0</v>
      </c>
      <c r="M33" s="132"/>
      <c r="N33" s="67">
        <f t="shared" si="1"/>
        <v>0</v>
      </c>
      <c r="O33" s="67">
        <f t="shared" si="2"/>
        <v>0</v>
      </c>
      <c r="P33" s="4"/>
    </row>
    <row r="34" spans="2:16" ht="12.5">
      <c r="B34" s="9" t="str">
        <f t="shared" si="8"/>
        <v/>
      </c>
      <c r="C34" s="62">
        <f>IF(D11="","-",+C33+1)</f>
        <v>2042</v>
      </c>
      <c r="D34" s="71">
        <f>IF(F33+SUM(E$17:E33)=D$10,F33,D$10-SUM(E$17:E33))</f>
        <v>0</v>
      </c>
      <c r="E34" s="69">
        <f t="shared" si="3"/>
        <v>0</v>
      </c>
      <c r="F34" s="68">
        <f t="shared" si="4"/>
        <v>0</v>
      </c>
      <c r="G34" s="70">
        <f t="shared" si="5"/>
        <v>0</v>
      </c>
      <c r="H34" s="52">
        <f t="shared" si="6"/>
        <v>0</v>
      </c>
      <c r="I34" s="65">
        <f t="shared" si="7"/>
        <v>0</v>
      </c>
      <c r="J34" s="65"/>
      <c r="K34" s="132"/>
      <c r="L34" s="67">
        <f t="shared" si="0"/>
        <v>0</v>
      </c>
      <c r="M34" s="132"/>
      <c r="N34" s="67">
        <f t="shared" si="1"/>
        <v>0</v>
      </c>
      <c r="O34" s="67">
        <f t="shared" si="2"/>
        <v>0</v>
      </c>
      <c r="P34" s="4"/>
    </row>
    <row r="35" spans="2:16" ht="12.5">
      <c r="B35" s="9" t="str">
        <f t="shared" si="8"/>
        <v/>
      </c>
      <c r="C35" s="62">
        <f>IF(D11="","-",+C34+1)</f>
        <v>2043</v>
      </c>
      <c r="D35" s="71">
        <f>IF(F34+SUM(E$17:E34)=D$10,F34,D$10-SUM(E$17:E34))</f>
        <v>0</v>
      </c>
      <c r="E35" s="69">
        <f t="shared" si="3"/>
        <v>0</v>
      </c>
      <c r="F35" s="68">
        <f t="shared" si="4"/>
        <v>0</v>
      </c>
      <c r="G35" s="70">
        <f t="shared" si="5"/>
        <v>0</v>
      </c>
      <c r="H35" s="52">
        <f t="shared" si="6"/>
        <v>0</v>
      </c>
      <c r="I35" s="65">
        <f t="shared" si="7"/>
        <v>0</v>
      </c>
      <c r="J35" s="65"/>
      <c r="K35" s="132"/>
      <c r="L35" s="67">
        <f t="shared" si="0"/>
        <v>0</v>
      </c>
      <c r="M35" s="132"/>
      <c r="N35" s="67">
        <f t="shared" si="1"/>
        <v>0</v>
      </c>
      <c r="O35" s="67">
        <f t="shared" si="2"/>
        <v>0</v>
      </c>
      <c r="P35" s="4"/>
    </row>
    <row r="36" spans="2:16" ht="12.5">
      <c r="B36" s="9" t="str">
        <f t="shared" si="8"/>
        <v/>
      </c>
      <c r="C36" s="62">
        <f>IF(D11="","-",+C35+1)</f>
        <v>2044</v>
      </c>
      <c r="D36" s="71">
        <f>IF(F35+SUM(E$17:E35)=D$10,F35,D$10-SUM(E$17:E35))</f>
        <v>0</v>
      </c>
      <c r="E36" s="69">
        <f t="shared" si="3"/>
        <v>0</v>
      </c>
      <c r="F36" s="68">
        <f t="shared" si="4"/>
        <v>0</v>
      </c>
      <c r="G36" s="70">
        <f t="shared" si="5"/>
        <v>0</v>
      </c>
      <c r="H36" s="52">
        <f t="shared" si="6"/>
        <v>0</v>
      </c>
      <c r="I36" s="65">
        <f t="shared" si="7"/>
        <v>0</v>
      </c>
      <c r="J36" s="65"/>
      <c r="K36" s="132"/>
      <c r="L36" s="67">
        <f t="shared" si="0"/>
        <v>0</v>
      </c>
      <c r="M36" s="132"/>
      <c r="N36" s="67">
        <f t="shared" si="1"/>
        <v>0</v>
      </c>
      <c r="O36" s="67">
        <f t="shared" si="2"/>
        <v>0</v>
      </c>
      <c r="P36" s="4"/>
    </row>
    <row r="37" spans="2:16" ht="12.5">
      <c r="B37" s="9" t="str">
        <f t="shared" si="8"/>
        <v/>
      </c>
      <c r="C37" s="62">
        <f>IF(D11="","-",+C36+1)</f>
        <v>2045</v>
      </c>
      <c r="D37" s="71">
        <f>IF(F36+SUM(E$17:E36)=D$10,F36,D$10-SUM(E$17:E36))</f>
        <v>0</v>
      </c>
      <c r="E37" s="69">
        <f t="shared" si="3"/>
        <v>0</v>
      </c>
      <c r="F37" s="68">
        <f t="shared" si="4"/>
        <v>0</v>
      </c>
      <c r="G37" s="70">
        <f t="shared" si="5"/>
        <v>0</v>
      </c>
      <c r="H37" s="52">
        <f t="shared" si="6"/>
        <v>0</v>
      </c>
      <c r="I37" s="65">
        <f t="shared" si="7"/>
        <v>0</v>
      </c>
      <c r="J37" s="65"/>
      <c r="K37" s="132"/>
      <c r="L37" s="67">
        <f t="shared" si="0"/>
        <v>0</v>
      </c>
      <c r="M37" s="132"/>
      <c r="N37" s="67">
        <f t="shared" si="1"/>
        <v>0</v>
      </c>
      <c r="O37" s="67">
        <f t="shared" si="2"/>
        <v>0</v>
      </c>
      <c r="P37" s="4"/>
    </row>
    <row r="38" spans="2:16" ht="12.5">
      <c r="B38" s="9" t="str">
        <f t="shared" si="8"/>
        <v/>
      </c>
      <c r="C38" s="62">
        <f>IF(D11="","-",+C37+1)</f>
        <v>2046</v>
      </c>
      <c r="D38" s="71">
        <f>IF(F37+SUM(E$17:E37)=D$10,F37,D$10-SUM(E$17:E37))</f>
        <v>0</v>
      </c>
      <c r="E38" s="69">
        <f t="shared" si="3"/>
        <v>0</v>
      </c>
      <c r="F38" s="68">
        <f t="shared" si="4"/>
        <v>0</v>
      </c>
      <c r="G38" s="70">
        <f t="shared" si="5"/>
        <v>0</v>
      </c>
      <c r="H38" s="52">
        <f t="shared" si="6"/>
        <v>0</v>
      </c>
      <c r="I38" s="65">
        <f t="shared" si="7"/>
        <v>0</v>
      </c>
      <c r="J38" s="65"/>
      <c r="K38" s="132"/>
      <c r="L38" s="67">
        <f t="shared" si="0"/>
        <v>0</v>
      </c>
      <c r="M38" s="132"/>
      <c r="N38" s="67">
        <f t="shared" si="1"/>
        <v>0</v>
      </c>
      <c r="O38" s="67">
        <f t="shared" si="2"/>
        <v>0</v>
      </c>
      <c r="P38" s="4"/>
    </row>
    <row r="39" spans="2:16" ht="12.5">
      <c r="B39" s="9" t="str">
        <f t="shared" si="8"/>
        <v/>
      </c>
      <c r="C39" s="62">
        <f>IF(D11="","-",+C38+1)</f>
        <v>2047</v>
      </c>
      <c r="D39" s="71">
        <f>IF(F38+SUM(E$17:E38)=D$10,F38,D$10-SUM(E$17:E38))</f>
        <v>0</v>
      </c>
      <c r="E39" s="69">
        <f t="shared" si="3"/>
        <v>0</v>
      </c>
      <c r="F39" s="68">
        <f t="shared" si="4"/>
        <v>0</v>
      </c>
      <c r="G39" s="70">
        <f t="shared" si="5"/>
        <v>0</v>
      </c>
      <c r="H39" s="52">
        <f t="shared" si="6"/>
        <v>0</v>
      </c>
      <c r="I39" s="65">
        <f t="shared" si="7"/>
        <v>0</v>
      </c>
      <c r="J39" s="65"/>
      <c r="K39" s="132"/>
      <c r="L39" s="67">
        <f t="shared" si="0"/>
        <v>0</v>
      </c>
      <c r="M39" s="132"/>
      <c r="N39" s="67">
        <f t="shared" si="1"/>
        <v>0</v>
      </c>
      <c r="O39" s="67">
        <f t="shared" si="2"/>
        <v>0</v>
      </c>
      <c r="P39" s="4"/>
    </row>
    <row r="40" spans="2:16" ht="12.5">
      <c r="B40" s="9" t="str">
        <f t="shared" si="8"/>
        <v/>
      </c>
      <c r="C40" s="62">
        <f>IF(D11="","-",+C39+1)</f>
        <v>2048</v>
      </c>
      <c r="D40" s="71">
        <f>IF(F39+SUM(E$17:E39)=D$10,F39,D$10-SUM(E$17:E39))</f>
        <v>0</v>
      </c>
      <c r="E40" s="69">
        <f t="shared" si="3"/>
        <v>0</v>
      </c>
      <c r="F40" s="68">
        <f t="shared" si="4"/>
        <v>0</v>
      </c>
      <c r="G40" s="70">
        <f t="shared" si="5"/>
        <v>0</v>
      </c>
      <c r="H40" s="52">
        <f t="shared" si="6"/>
        <v>0</v>
      </c>
      <c r="I40" s="65">
        <f t="shared" si="7"/>
        <v>0</v>
      </c>
      <c r="J40" s="65"/>
      <c r="K40" s="132"/>
      <c r="L40" s="67">
        <f t="shared" si="0"/>
        <v>0</v>
      </c>
      <c r="M40" s="132"/>
      <c r="N40" s="67">
        <f t="shared" si="1"/>
        <v>0</v>
      </c>
      <c r="O40" s="67">
        <f t="shared" si="2"/>
        <v>0</v>
      </c>
      <c r="P40" s="4"/>
    </row>
    <row r="41" spans="2:16" ht="12.5">
      <c r="B41" s="9" t="str">
        <f t="shared" si="8"/>
        <v/>
      </c>
      <c r="C41" s="62">
        <f>IF(D11="","-",+C40+1)</f>
        <v>2049</v>
      </c>
      <c r="D41" s="71">
        <f>IF(F40+SUM(E$17:E40)=D$10,F40,D$10-SUM(E$17:E40))</f>
        <v>0</v>
      </c>
      <c r="E41" s="69">
        <f t="shared" si="3"/>
        <v>0</v>
      </c>
      <c r="F41" s="68">
        <f t="shared" si="4"/>
        <v>0</v>
      </c>
      <c r="G41" s="70">
        <f t="shared" si="5"/>
        <v>0</v>
      </c>
      <c r="H41" s="52">
        <f t="shared" si="6"/>
        <v>0</v>
      </c>
      <c r="I41" s="65">
        <f t="shared" si="7"/>
        <v>0</v>
      </c>
      <c r="J41" s="65"/>
      <c r="K41" s="132"/>
      <c r="L41" s="67">
        <f t="shared" si="0"/>
        <v>0</v>
      </c>
      <c r="M41" s="132"/>
      <c r="N41" s="67">
        <f t="shared" si="1"/>
        <v>0</v>
      </c>
      <c r="O41" s="67">
        <f t="shared" si="2"/>
        <v>0</v>
      </c>
      <c r="P41" s="4"/>
    </row>
    <row r="42" spans="2:16" ht="12.5">
      <c r="B42" s="9" t="str">
        <f t="shared" si="8"/>
        <v/>
      </c>
      <c r="C42" s="62">
        <f>IF(D11="","-",+C41+1)</f>
        <v>2050</v>
      </c>
      <c r="D42" s="71">
        <f>IF(F41+SUM(E$17:E41)=D$10,F41,D$10-SUM(E$17:E41))</f>
        <v>0</v>
      </c>
      <c r="E42" s="69">
        <f t="shared" si="3"/>
        <v>0</v>
      </c>
      <c r="F42" s="68">
        <f t="shared" si="4"/>
        <v>0</v>
      </c>
      <c r="G42" s="70">
        <f t="shared" si="5"/>
        <v>0</v>
      </c>
      <c r="H42" s="52">
        <f t="shared" si="6"/>
        <v>0</v>
      </c>
      <c r="I42" s="65">
        <f t="shared" si="7"/>
        <v>0</v>
      </c>
      <c r="J42" s="65"/>
      <c r="K42" s="132"/>
      <c r="L42" s="67">
        <f t="shared" si="0"/>
        <v>0</v>
      </c>
      <c r="M42" s="132"/>
      <c r="N42" s="67">
        <f t="shared" si="1"/>
        <v>0</v>
      </c>
      <c r="O42" s="67">
        <f t="shared" si="2"/>
        <v>0</v>
      </c>
      <c r="P42" s="4"/>
    </row>
    <row r="43" spans="2:16" ht="12.5">
      <c r="B43" s="9" t="str">
        <f t="shared" si="8"/>
        <v/>
      </c>
      <c r="C43" s="62">
        <f>IF(D11="","-",+C42+1)</f>
        <v>2051</v>
      </c>
      <c r="D43" s="71">
        <f>IF(F42+SUM(E$17:E42)=D$10,F42,D$10-SUM(E$17:E42))</f>
        <v>0</v>
      </c>
      <c r="E43" s="69">
        <f t="shared" si="3"/>
        <v>0</v>
      </c>
      <c r="F43" s="68">
        <f t="shared" si="4"/>
        <v>0</v>
      </c>
      <c r="G43" s="70">
        <f t="shared" si="5"/>
        <v>0</v>
      </c>
      <c r="H43" s="52">
        <f t="shared" si="6"/>
        <v>0</v>
      </c>
      <c r="I43" s="65">
        <f t="shared" si="7"/>
        <v>0</v>
      </c>
      <c r="J43" s="65"/>
      <c r="K43" s="132"/>
      <c r="L43" s="67">
        <f t="shared" si="0"/>
        <v>0</v>
      </c>
      <c r="M43" s="132"/>
      <c r="N43" s="67">
        <f t="shared" si="1"/>
        <v>0</v>
      </c>
      <c r="O43" s="67">
        <f t="shared" si="2"/>
        <v>0</v>
      </c>
      <c r="P43" s="4"/>
    </row>
    <row r="44" spans="2:16" ht="12.5">
      <c r="B44" s="9" t="str">
        <f t="shared" si="8"/>
        <v/>
      </c>
      <c r="C44" s="62">
        <f>IF(D11="","-",+C43+1)</f>
        <v>2052</v>
      </c>
      <c r="D44" s="71">
        <f>IF(F43+SUM(E$17:E43)=D$10,F43,D$10-SUM(E$17:E43))</f>
        <v>0</v>
      </c>
      <c r="E44" s="69">
        <f t="shared" si="3"/>
        <v>0</v>
      </c>
      <c r="F44" s="68">
        <f t="shared" si="4"/>
        <v>0</v>
      </c>
      <c r="G44" s="70">
        <f t="shared" si="5"/>
        <v>0</v>
      </c>
      <c r="H44" s="52">
        <f t="shared" si="6"/>
        <v>0</v>
      </c>
      <c r="I44" s="65">
        <f t="shared" si="7"/>
        <v>0</v>
      </c>
      <c r="J44" s="65"/>
      <c r="K44" s="132"/>
      <c r="L44" s="67">
        <f t="shared" si="0"/>
        <v>0</v>
      </c>
      <c r="M44" s="132"/>
      <c r="N44" s="67">
        <f t="shared" si="1"/>
        <v>0</v>
      </c>
      <c r="O44" s="67">
        <f t="shared" si="2"/>
        <v>0</v>
      </c>
      <c r="P44" s="4"/>
    </row>
    <row r="45" spans="2:16" ht="12.5">
      <c r="B45" s="9" t="str">
        <f t="shared" si="8"/>
        <v/>
      </c>
      <c r="C45" s="62">
        <f>IF(D11="","-",+C44+1)</f>
        <v>2053</v>
      </c>
      <c r="D45" s="71">
        <f>IF(F44+SUM(E$17:E44)=D$10,F44,D$10-SUM(E$17:E44))</f>
        <v>0</v>
      </c>
      <c r="E45" s="69">
        <f t="shared" si="3"/>
        <v>0</v>
      </c>
      <c r="F45" s="68">
        <f t="shared" si="4"/>
        <v>0</v>
      </c>
      <c r="G45" s="70">
        <f t="shared" si="5"/>
        <v>0</v>
      </c>
      <c r="H45" s="52">
        <f t="shared" si="6"/>
        <v>0</v>
      </c>
      <c r="I45" s="65">
        <f t="shared" si="7"/>
        <v>0</v>
      </c>
      <c r="J45" s="65"/>
      <c r="K45" s="132"/>
      <c r="L45" s="67">
        <f t="shared" si="0"/>
        <v>0</v>
      </c>
      <c r="M45" s="132"/>
      <c r="N45" s="67">
        <f t="shared" si="1"/>
        <v>0</v>
      </c>
      <c r="O45" s="67">
        <f t="shared" si="2"/>
        <v>0</v>
      </c>
      <c r="P45" s="4"/>
    </row>
    <row r="46" spans="2:16" ht="12.5">
      <c r="B46" s="9" t="str">
        <f t="shared" si="8"/>
        <v/>
      </c>
      <c r="C46" s="62">
        <f>IF(D11="","-",+C45+1)</f>
        <v>2054</v>
      </c>
      <c r="D46" s="71">
        <f>IF(F45+SUM(E$17:E45)=D$10,F45,D$10-SUM(E$17:E45))</f>
        <v>0</v>
      </c>
      <c r="E46" s="69">
        <f t="shared" si="3"/>
        <v>0</v>
      </c>
      <c r="F46" s="68">
        <f t="shared" si="4"/>
        <v>0</v>
      </c>
      <c r="G46" s="70">
        <f t="shared" si="5"/>
        <v>0</v>
      </c>
      <c r="H46" s="52">
        <f t="shared" si="6"/>
        <v>0</v>
      </c>
      <c r="I46" s="65">
        <f t="shared" si="7"/>
        <v>0</v>
      </c>
      <c r="J46" s="65"/>
      <c r="K46" s="132"/>
      <c r="L46" s="67">
        <f t="shared" si="0"/>
        <v>0</v>
      </c>
      <c r="M46" s="132"/>
      <c r="N46" s="67">
        <f t="shared" si="1"/>
        <v>0</v>
      </c>
      <c r="O46" s="67">
        <f t="shared" si="2"/>
        <v>0</v>
      </c>
      <c r="P46" s="4"/>
    </row>
    <row r="47" spans="2:16" ht="12.5">
      <c r="B47" s="9" t="str">
        <f t="shared" si="8"/>
        <v/>
      </c>
      <c r="C47" s="62">
        <f>IF(D11="","-",+C46+1)</f>
        <v>2055</v>
      </c>
      <c r="D47" s="71">
        <f>IF(F46+SUM(E$17:E46)=D$10,F46,D$10-SUM(E$17:E46))</f>
        <v>0</v>
      </c>
      <c r="E47" s="69">
        <f t="shared" si="3"/>
        <v>0</v>
      </c>
      <c r="F47" s="68">
        <f t="shared" si="4"/>
        <v>0</v>
      </c>
      <c r="G47" s="70">
        <f t="shared" si="5"/>
        <v>0</v>
      </c>
      <c r="H47" s="52">
        <f t="shared" si="6"/>
        <v>0</v>
      </c>
      <c r="I47" s="65">
        <f t="shared" si="7"/>
        <v>0</v>
      </c>
      <c r="J47" s="65"/>
      <c r="K47" s="132"/>
      <c r="L47" s="67">
        <f t="shared" si="0"/>
        <v>0</v>
      </c>
      <c r="M47" s="132"/>
      <c r="N47" s="67">
        <f t="shared" si="1"/>
        <v>0</v>
      </c>
      <c r="O47" s="67">
        <f t="shared" si="2"/>
        <v>0</v>
      </c>
      <c r="P47" s="4"/>
    </row>
    <row r="48" spans="2:16" ht="12.5">
      <c r="B48" s="9" t="str">
        <f t="shared" si="8"/>
        <v/>
      </c>
      <c r="C48" s="62">
        <f>IF(D11="","-",+C47+1)</f>
        <v>2056</v>
      </c>
      <c r="D48" s="71">
        <f>IF(F47+SUM(E$17:E47)=D$10,F47,D$10-SUM(E$17:E47))</f>
        <v>0</v>
      </c>
      <c r="E48" s="69">
        <f t="shared" si="3"/>
        <v>0</v>
      </c>
      <c r="F48" s="68">
        <f t="shared" si="4"/>
        <v>0</v>
      </c>
      <c r="G48" s="70">
        <f t="shared" si="5"/>
        <v>0</v>
      </c>
      <c r="H48" s="52">
        <f t="shared" si="6"/>
        <v>0</v>
      </c>
      <c r="I48" s="65">
        <f t="shared" si="7"/>
        <v>0</v>
      </c>
      <c r="J48" s="65"/>
      <c r="K48" s="132"/>
      <c r="L48" s="67">
        <f t="shared" si="0"/>
        <v>0</v>
      </c>
      <c r="M48" s="132"/>
      <c r="N48" s="67">
        <f t="shared" si="1"/>
        <v>0</v>
      </c>
      <c r="O48" s="67">
        <f t="shared" si="2"/>
        <v>0</v>
      </c>
      <c r="P48" s="4"/>
    </row>
    <row r="49" spans="2:16" ht="12.5">
      <c r="B49" s="9" t="str">
        <f t="shared" si="8"/>
        <v/>
      </c>
      <c r="C49" s="62">
        <f>IF(D11="","-",+C48+1)</f>
        <v>2057</v>
      </c>
      <c r="D49" s="71">
        <f>IF(F48+SUM(E$17:E48)=D$10,F48,D$10-SUM(E$17:E48))</f>
        <v>0</v>
      </c>
      <c r="E49" s="69">
        <f t="shared" si="3"/>
        <v>0</v>
      </c>
      <c r="F49" s="68">
        <f t="shared" si="4"/>
        <v>0</v>
      </c>
      <c r="G49" s="70">
        <f t="shared" si="5"/>
        <v>0</v>
      </c>
      <c r="H49" s="52">
        <f t="shared" si="6"/>
        <v>0</v>
      </c>
      <c r="I49" s="65">
        <f t="shared" si="7"/>
        <v>0</v>
      </c>
      <c r="J49" s="65"/>
      <c r="K49" s="132"/>
      <c r="L49" s="67">
        <f t="shared" si="0"/>
        <v>0</v>
      </c>
      <c r="M49" s="132"/>
      <c r="N49" s="67">
        <f t="shared" si="1"/>
        <v>0</v>
      </c>
      <c r="O49" s="67">
        <f t="shared" si="2"/>
        <v>0</v>
      </c>
      <c r="P49" s="4"/>
    </row>
    <row r="50" spans="2:16" ht="12.5">
      <c r="B50" s="9" t="str">
        <f t="shared" si="8"/>
        <v/>
      </c>
      <c r="C50" s="62">
        <f>IF(D11="","-",+C49+1)</f>
        <v>2058</v>
      </c>
      <c r="D50" s="71">
        <f>IF(F49+SUM(E$17:E49)=D$10,F49,D$10-SUM(E$17:E49))</f>
        <v>0</v>
      </c>
      <c r="E50" s="69">
        <f t="shared" si="3"/>
        <v>0</v>
      </c>
      <c r="F50" s="68">
        <f t="shared" si="4"/>
        <v>0</v>
      </c>
      <c r="G50" s="70">
        <f t="shared" si="5"/>
        <v>0</v>
      </c>
      <c r="H50" s="52">
        <f t="shared" si="6"/>
        <v>0</v>
      </c>
      <c r="I50" s="65">
        <f t="shared" si="7"/>
        <v>0</v>
      </c>
      <c r="J50" s="65"/>
      <c r="K50" s="132"/>
      <c r="L50" s="67">
        <f t="shared" si="0"/>
        <v>0</v>
      </c>
      <c r="M50" s="132"/>
      <c r="N50" s="67">
        <f t="shared" si="1"/>
        <v>0</v>
      </c>
      <c r="O50" s="67">
        <f t="shared" si="2"/>
        <v>0</v>
      </c>
      <c r="P50" s="4"/>
    </row>
    <row r="51" spans="2:16" ht="12.5">
      <c r="B51" s="9" t="str">
        <f t="shared" si="8"/>
        <v/>
      </c>
      <c r="C51" s="62">
        <f>IF(D11="","-",+C50+1)</f>
        <v>2059</v>
      </c>
      <c r="D51" s="71">
        <f>IF(F50+SUM(E$17:E50)=D$10,F50,D$10-SUM(E$17:E50))</f>
        <v>0</v>
      </c>
      <c r="E51" s="69">
        <f t="shared" si="3"/>
        <v>0</v>
      </c>
      <c r="F51" s="68">
        <f t="shared" si="4"/>
        <v>0</v>
      </c>
      <c r="G51" s="70">
        <f t="shared" si="5"/>
        <v>0</v>
      </c>
      <c r="H51" s="52">
        <f t="shared" si="6"/>
        <v>0</v>
      </c>
      <c r="I51" s="65">
        <f t="shared" si="7"/>
        <v>0</v>
      </c>
      <c r="J51" s="65"/>
      <c r="K51" s="132"/>
      <c r="L51" s="67">
        <f t="shared" si="0"/>
        <v>0</v>
      </c>
      <c r="M51" s="132"/>
      <c r="N51" s="67">
        <f t="shared" si="1"/>
        <v>0</v>
      </c>
      <c r="O51" s="67">
        <f t="shared" si="2"/>
        <v>0</v>
      </c>
      <c r="P51" s="4"/>
    </row>
    <row r="52" spans="2:16" ht="12.5">
      <c r="B52" s="9" t="str">
        <f t="shared" si="8"/>
        <v/>
      </c>
      <c r="C52" s="62">
        <f>IF(D11="","-",+C51+1)</f>
        <v>2060</v>
      </c>
      <c r="D52" s="71">
        <f>IF(F51+SUM(E$17:E51)=D$10,F51,D$10-SUM(E$17:E51))</f>
        <v>0</v>
      </c>
      <c r="E52" s="69">
        <f t="shared" si="3"/>
        <v>0</v>
      </c>
      <c r="F52" s="68">
        <f t="shared" si="4"/>
        <v>0</v>
      </c>
      <c r="G52" s="70">
        <f t="shared" si="5"/>
        <v>0</v>
      </c>
      <c r="H52" s="52">
        <f t="shared" si="6"/>
        <v>0</v>
      </c>
      <c r="I52" s="65">
        <f t="shared" si="7"/>
        <v>0</v>
      </c>
      <c r="J52" s="65"/>
      <c r="K52" s="132"/>
      <c r="L52" s="67">
        <f t="shared" si="0"/>
        <v>0</v>
      </c>
      <c r="M52" s="132"/>
      <c r="N52" s="67">
        <f t="shared" si="1"/>
        <v>0</v>
      </c>
      <c r="O52" s="67">
        <f t="shared" si="2"/>
        <v>0</v>
      </c>
      <c r="P52" s="4"/>
    </row>
    <row r="53" spans="2:16" ht="12.5">
      <c r="B53" s="9" t="str">
        <f t="shared" si="8"/>
        <v/>
      </c>
      <c r="C53" s="62">
        <f>IF(D11="","-",+C52+1)</f>
        <v>2061</v>
      </c>
      <c r="D53" s="71">
        <f>IF(F52+SUM(E$17:E52)=D$10,F52,D$10-SUM(E$17:E52))</f>
        <v>0</v>
      </c>
      <c r="E53" s="69">
        <f t="shared" si="3"/>
        <v>0</v>
      </c>
      <c r="F53" s="68">
        <f t="shared" si="4"/>
        <v>0</v>
      </c>
      <c r="G53" s="70">
        <f t="shared" si="5"/>
        <v>0</v>
      </c>
      <c r="H53" s="52">
        <f t="shared" si="6"/>
        <v>0</v>
      </c>
      <c r="I53" s="65">
        <f t="shared" si="7"/>
        <v>0</v>
      </c>
      <c r="J53" s="65"/>
      <c r="K53" s="132"/>
      <c r="L53" s="67">
        <f t="shared" si="0"/>
        <v>0</v>
      </c>
      <c r="M53" s="132"/>
      <c r="N53" s="67">
        <f t="shared" si="1"/>
        <v>0</v>
      </c>
      <c r="O53" s="67">
        <f t="shared" si="2"/>
        <v>0</v>
      </c>
      <c r="P53" s="4"/>
    </row>
    <row r="54" spans="2:16" ht="12.5">
      <c r="B54" s="9" t="str">
        <f t="shared" si="8"/>
        <v/>
      </c>
      <c r="C54" s="62">
        <f>IF(D11="","-",+C53+1)</f>
        <v>2062</v>
      </c>
      <c r="D54" s="71">
        <f>IF(F53+SUM(E$17:E53)=D$10,F53,D$10-SUM(E$17:E53))</f>
        <v>0</v>
      </c>
      <c r="E54" s="69">
        <f t="shared" si="3"/>
        <v>0</v>
      </c>
      <c r="F54" s="68">
        <f t="shared" si="4"/>
        <v>0</v>
      </c>
      <c r="G54" s="70">
        <f t="shared" si="5"/>
        <v>0</v>
      </c>
      <c r="H54" s="52">
        <f t="shared" si="6"/>
        <v>0</v>
      </c>
      <c r="I54" s="65">
        <f t="shared" si="7"/>
        <v>0</v>
      </c>
      <c r="J54" s="65"/>
      <c r="K54" s="132"/>
      <c r="L54" s="67">
        <f t="shared" si="0"/>
        <v>0</v>
      </c>
      <c r="M54" s="132"/>
      <c r="N54" s="67">
        <f t="shared" si="1"/>
        <v>0</v>
      </c>
      <c r="O54" s="67">
        <f t="shared" si="2"/>
        <v>0</v>
      </c>
      <c r="P54" s="4"/>
    </row>
    <row r="55" spans="2:16" ht="12.5">
      <c r="B55" s="9" t="str">
        <f t="shared" si="8"/>
        <v/>
      </c>
      <c r="C55" s="62">
        <f>IF(D11="","-",+C54+1)</f>
        <v>2063</v>
      </c>
      <c r="D55" s="71">
        <f>IF(F54+SUM(E$17:E54)=D$10,F54,D$10-SUM(E$17:E54))</f>
        <v>0</v>
      </c>
      <c r="E55" s="69">
        <f t="shared" si="3"/>
        <v>0</v>
      </c>
      <c r="F55" s="68">
        <f t="shared" si="4"/>
        <v>0</v>
      </c>
      <c r="G55" s="70">
        <f t="shared" si="5"/>
        <v>0</v>
      </c>
      <c r="H55" s="52">
        <f t="shared" si="6"/>
        <v>0</v>
      </c>
      <c r="I55" s="65">
        <f t="shared" si="7"/>
        <v>0</v>
      </c>
      <c r="J55" s="65"/>
      <c r="K55" s="132"/>
      <c r="L55" s="67">
        <f t="shared" si="0"/>
        <v>0</v>
      </c>
      <c r="M55" s="132"/>
      <c r="N55" s="67">
        <f t="shared" si="1"/>
        <v>0</v>
      </c>
      <c r="O55" s="67">
        <f t="shared" si="2"/>
        <v>0</v>
      </c>
      <c r="P55" s="4"/>
    </row>
    <row r="56" spans="2:16" ht="12.5">
      <c r="B56" s="9" t="str">
        <f t="shared" si="8"/>
        <v/>
      </c>
      <c r="C56" s="62">
        <f>IF(D11="","-",+C55+1)</f>
        <v>2064</v>
      </c>
      <c r="D56" s="71">
        <f>IF(F55+SUM(E$17:E55)=D$10,F55,D$10-SUM(E$17:E55))</f>
        <v>0</v>
      </c>
      <c r="E56" s="69">
        <f t="shared" si="3"/>
        <v>0</v>
      </c>
      <c r="F56" s="68">
        <f t="shared" si="4"/>
        <v>0</v>
      </c>
      <c r="G56" s="70">
        <f t="shared" si="5"/>
        <v>0</v>
      </c>
      <c r="H56" s="52">
        <f t="shared" si="6"/>
        <v>0</v>
      </c>
      <c r="I56" s="65">
        <f t="shared" si="7"/>
        <v>0</v>
      </c>
      <c r="J56" s="65"/>
      <c r="K56" s="132"/>
      <c r="L56" s="67">
        <f t="shared" si="0"/>
        <v>0</v>
      </c>
      <c r="M56" s="132"/>
      <c r="N56" s="67">
        <f t="shared" si="1"/>
        <v>0</v>
      </c>
      <c r="O56" s="67">
        <f t="shared" si="2"/>
        <v>0</v>
      </c>
      <c r="P56" s="4"/>
    </row>
    <row r="57" spans="2:16" ht="12.5">
      <c r="B57" s="9" t="str">
        <f t="shared" si="8"/>
        <v/>
      </c>
      <c r="C57" s="62">
        <f>IF(D11="","-",+C56+1)</f>
        <v>2065</v>
      </c>
      <c r="D57" s="71">
        <f>IF(F56+SUM(E$17:E56)=D$10,F56,D$10-SUM(E$17:E56))</f>
        <v>0</v>
      </c>
      <c r="E57" s="69">
        <f t="shared" si="3"/>
        <v>0</v>
      </c>
      <c r="F57" s="68">
        <f t="shared" si="4"/>
        <v>0</v>
      </c>
      <c r="G57" s="70">
        <f t="shared" si="5"/>
        <v>0</v>
      </c>
      <c r="H57" s="52">
        <f t="shared" si="6"/>
        <v>0</v>
      </c>
      <c r="I57" s="65">
        <f t="shared" si="7"/>
        <v>0</v>
      </c>
      <c r="J57" s="65"/>
      <c r="K57" s="132"/>
      <c r="L57" s="67">
        <f t="shared" si="0"/>
        <v>0</v>
      </c>
      <c r="M57" s="132"/>
      <c r="N57" s="67">
        <f t="shared" si="1"/>
        <v>0</v>
      </c>
      <c r="O57" s="67">
        <f t="shared" si="2"/>
        <v>0</v>
      </c>
      <c r="P57" s="4"/>
    </row>
    <row r="58" spans="2:16" ht="12.5">
      <c r="B58" s="9" t="str">
        <f t="shared" si="8"/>
        <v/>
      </c>
      <c r="C58" s="62">
        <f>IF(D11="","-",+C57+1)</f>
        <v>2066</v>
      </c>
      <c r="D58" s="71">
        <f>IF(F57+SUM(E$17:E57)=D$10,F57,D$10-SUM(E$17:E57))</f>
        <v>0</v>
      </c>
      <c r="E58" s="69">
        <f t="shared" si="3"/>
        <v>0</v>
      </c>
      <c r="F58" s="68">
        <f t="shared" si="4"/>
        <v>0</v>
      </c>
      <c r="G58" s="70">
        <f t="shared" si="5"/>
        <v>0</v>
      </c>
      <c r="H58" s="52">
        <f t="shared" si="6"/>
        <v>0</v>
      </c>
      <c r="I58" s="65">
        <f t="shared" si="7"/>
        <v>0</v>
      </c>
      <c r="J58" s="65"/>
      <c r="K58" s="132"/>
      <c r="L58" s="67">
        <f t="shared" si="0"/>
        <v>0</v>
      </c>
      <c r="M58" s="132"/>
      <c r="N58" s="67">
        <f t="shared" si="1"/>
        <v>0</v>
      </c>
      <c r="O58" s="67">
        <f t="shared" si="2"/>
        <v>0</v>
      </c>
      <c r="P58" s="4"/>
    </row>
    <row r="59" spans="2:16" ht="12.5">
      <c r="B59" s="9" t="str">
        <f t="shared" si="8"/>
        <v/>
      </c>
      <c r="C59" s="62">
        <f>IF(D11="","-",+C58+1)</f>
        <v>2067</v>
      </c>
      <c r="D59" s="71">
        <f>IF(F58+SUM(E$17:E58)=D$10,F58,D$10-SUM(E$17:E58))</f>
        <v>0</v>
      </c>
      <c r="E59" s="69">
        <f t="shared" si="3"/>
        <v>0</v>
      </c>
      <c r="F59" s="68">
        <f t="shared" si="4"/>
        <v>0</v>
      </c>
      <c r="G59" s="70">
        <f t="shared" si="5"/>
        <v>0</v>
      </c>
      <c r="H59" s="52">
        <f t="shared" si="6"/>
        <v>0</v>
      </c>
      <c r="I59" s="65">
        <f t="shared" si="7"/>
        <v>0</v>
      </c>
      <c r="J59" s="65"/>
      <c r="K59" s="132"/>
      <c r="L59" s="67">
        <f t="shared" si="0"/>
        <v>0</v>
      </c>
      <c r="M59" s="132"/>
      <c r="N59" s="67">
        <f t="shared" si="1"/>
        <v>0</v>
      </c>
      <c r="O59" s="67">
        <f t="shared" si="2"/>
        <v>0</v>
      </c>
      <c r="P59" s="4"/>
    </row>
    <row r="60" spans="2:16" ht="12.5">
      <c r="B60" s="9" t="str">
        <f t="shared" si="8"/>
        <v/>
      </c>
      <c r="C60" s="62">
        <f>IF(D11="","-",+C59+1)</f>
        <v>2068</v>
      </c>
      <c r="D60" s="71">
        <f>IF(F59+SUM(E$17:E59)=D$10,F59,D$10-SUM(E$17:E59))</f>
        <v>0</v>
      </c>
      <c r="E60" s="69">
        <f t="shared" si="3"/>
        <v>0</v>
      </c>
      <c r="F60" s="68">
        <f t="shared" si="4"/>
        <v>0</v>
      </c>
      <c r="G60" s="70">
        <f t="shared" si="5"/>
        <v>0</v>
      </c>
      <c r="H60" s="52">
        <f t="shared" si="6"/>
        <v>0</v>
      </c>
      <c r="I60" s="65">
        <f t="shared" si="7"/>
        <v>0</v>
      </c>
      <c r="J60" s="65"/>
      <c r="K60" s="132"/>
      <c r="L60" s="67">
        <f t="shared" si="0"/>
        <v>0</v>
      </c>
      <c r="M60" s="132"/>
      <c r="N60" s="67">
        <f t="shared" si="1"/>
        <v>0</v>
      </c>
      <c r="O60" s="67">
        <f t="shared" si="2"/>
        <v>0</v>
      </c>
      <c r="P60" s="4"/>
    </row>
    <row r="61" spans="2:16" ht="12.5">
      <c r="B61" s="9" t="str">
        <f t="shared" si="8"/>
        <v/>
      </c>
      <c r="C61" s="62">
        <f>IF(D11="","-",+C60+1)</f>
        <v>2069</v>
      </c>
      <c r="D61" s="71">
        <f>IF(F60+SUM(E$17:E60)=D$10,F60,D$10-SUM(E$17:E60))</f>
        <v>0</v>
      </c>
      <c r="E61" s="69">
        <f t="shared" si="3"/>
        <v>0</v>
      </c>
      <c r="F61" s="68">
        <f t="shared" si="4"/>
        <v>0</v>
      </c>
      <c r="G61" s="70">
        <f t="shared" si="5"/>
        <v>0</v>
      </c>
      <c r="H61" s="52">
        <f t="shared" si="6"/>
        <v>0</v>
      </c>
      <c r="I61" s="65">
        <f t="shared" si="7"/>
        <v>0</v>
      </c>
      <c r="J61" s="65"/>
      <c r="K61" s="132"/>
      <c r="L61" s="67">
        <f t="shared" si="0"/>
        <v>0</v>
      </c>
      <c r="M61" s="132"/>
      <c r="N61" s="67">
        <f t="shared" si="1"/>
        <v>0</v>
      </c>
      <c r="O61" s="67">
        <f t="shared" si="2"/>
        <v>0</v>
      </c>
      <c r="P61" s="4"/>
    </row>
    <row r="62" spans="2:16" ht="12.5">
      <c r="B62" s="9" t="str">
        <f t="shared" si="8"/>
        <v/>
      </c>
      <c r="C62" s="62">
        <f>IF(D11="","-",+C61+1)</f>
        <v>2070</v>
      </c>
      <c r="D62" s="71">
        <f>IF(F61+SUM(E$17:E61)=D$10,F61,D$10-SUM(E$17:E61))</f>
        <v>0</v>
      </c>
      <c r="E62" s="69">
        <f t="shared" si="3"/>
        <v>0</v>
      </c>
      <c r="F62" s="68">
        <f t="shared" si="4"/>
        <v>0</v>
      </c>
      <c r="G62" s="70">
        <f t="shared" si="5"/>
        <v>0</v>
      </c>
      <c r="H62" s="52">
        <f t="shared" si="6"/>
        <v>0</v>
      </c>
      <c r="I62" s="65">
        <f t="shared" si="7"/>
        <v>0</v>
      </c>
      <c r="J62" s="65"/>
      <c r="K62" s="132"/>
      <c r="L62" s="67">
        <f t="shared" si="0"/>
        <v>0</v>
      </c>
      <c r="M62" s="132"/>
      <c r="N62" s="67">
        <f t="shared" si="1"/>
        <v>0</v>
      </c>
      <c r="O62" s="67">
        <f t="shared" si="2"/>
        <v>0</v>
      </c>
      <c r="P62" s="4"/>
    </row>
    <row r="63" spans="2:16" ht="12.5">
      <c r="B63" s="9" t="str">
        <f t="shared" si="8"/>
        <v/>
      </c>
      <c r="C63" s="62">
        <f>IF(D11="","-",+C62+1)</f>
        <v>2071</v>
      </c>
      <c r="D63" s="71">
        <f>IF(F62+SUM(E$17:E62)=D$10,F62,D$10-SUM(E$17:E62))</f>
        <v>0</v>
      </c>
      <c r="E63" s="69">
        <f t="shared" si="3"/>
        <v>0</v>
      </c>
      <c r="F63" s="68">
        <f t="shared" si="4"/>
        <v>0</v>
      </c>
      <c r="G63" s="70">
        <f t="shared" si="5"/>
        <v>0</v>
      </c>
      <c r="H63" s="52">
        <f t="shared" si="6"/>
        <v>0</v>
      </c>
      <c r="I63" s="65">
        <f t="shared" si="7"/>
        <v>0</v>
      </c>
      <c r="J63" s="65"/>
      <c r="K63" s="132"/>
      <c r="L63" s="67">
        <f t="shared" si="0"/>
        <v>0</v>
      </c>
      <c r="M63" s="132"/>
      <c r="N63" s="67">
        <f t="shared" si="1"/>
        <v>0</v>
      </c>
      <c r="O63" s="67">
        <f t="shared" si="2"/>
        <v>0</v>
      </c>
      <c r="P63" s="4"/>
    </row>
    <row r="64" spans="2:16" ht="12.5">
      <c r="B64" s="9" t="str">
        <f t="shared" si="8"/>
        <v/>
      </c>
      <c r="C64" s="62">
        <f>IF(D11="","-",+C63+1)</f>
        <v>2072</v>
      </c>
      <c r="D64" s="71">
        <f>IF(F63+SUM(E$17:E63)=D$10,F63,D$10-SUM(E$17:E63))</f>
        <v>0</v>
      </c>
      <c r="E64" s="69">
        <f t="shared" si="3"/>
        <v>0</v>
      </c>
      <c r="F64" s="68">
        <f t="shared" si="4"/>
        <v>0</v>
      </c>
      <c r="G64" s="70">
        <f t="shared" si="5"/>
        <v>0</v>
      </c>
      <c r="H64" s="52">
        <f t="shared" si="6"/>
        <v>0</v>
      </c>
      <c r="I64" s="65">
        <f t="shared" si="7"/>
        <v>0</v>
      </c>
      <c r="J64" s="65"/>
      <c r="K64" s="132"/>
      <c r="L64" s="67">
        <f t="shared" si="0"/>
        <v>0</v>
      </c>
      <c r="M64" s="132"/>
      <c r="N64" s="67">
        <f t="shared" si="1"/>
        <v>0</v>
      </c>
      <c r="O64" s="67">
        <f t="shared" si="2"/>
        <v>0</v>
      </c>
      <c r="P64" s="4"/>
    </row>
    <row r="65" spans="2:16" ht="12.5">
      <c r="B65" s="9" t="str">
        <f t="shared" si="8"/>
        <v/>
      </c>
      <c r="C65" s="62">
        <f>IF(D11="","-",+C64+1)</f>
        <v>2073</v>
      </c>
      <c r="D65" s="71">
        <f>IF(F64+SUM(E$17:E64)=D$10,F64,D$10-SUM(E$17:E64))</f>
        <v>0</v>
      </c>
      <c r="E65" s="69">
        <f t="shared" si="3"/>
        <v>0</v>
      </c>
      <c r="F65" s="68">
        <f t="shared" si="4"/>
        <v>0</v>
      </c>
      <c r="G65" s="70">
        <f t="shared" si="5"/>
        <v>0</v>
      </c>
      <c r="H65" s="52">
        <f t="shared" si="6"/>
        <v>0</v>
      </c>
      <c r="I65" s="65">
        <f t="shared" si="7"/>
        <v>0</v>
      </c>
      <c r="J65" s="65"/>
      <c r="K65" s="132"/>
      <c r="L65" s="67">
        <f t="shared" si="0"/>
        <v>0</v>
      </c>
      <c r="M65" s="132"/>
      <c r="N65" s="67">
        <f t="shared" si="1"/>
        <v>0</v>
      </c>
      <c r="O65" s="67">
        <f t="shared" si="2"/>
        <v>0</v>
      </c>
      <c r="P65" s="4"/>
    </row>
    <row r="66" spans="2:16" ht="12.5">
      <c r="B66" s="9" t="str">
        <f t="shared" si="8"/>
        <v/>
      </c>
      <c r="C66" s="62">
        <f>IF(D11="","-",+C65+1)</f>
        <v>2074</v>
      </c>
      <c r="D66" s="71">
        <f>IF(F65+SUM(E$17:E65)=D$10,F65,D$10-SUM(E$17:E65))</f>
        <v>0</v>
      </c>
      <c r="E66" s="69">
        <f t="shared" si="3"/>
        <v>0</v>
      </c>
      <c r="F66" s="68">
        <f t="shared" si="4"/>
        <v>0</v>
      </c>
      <c r="G66" s="70">
        <f t="shared" si="5"/>
        <v>0</v>
      </c>
      <c r="H66" s="52">
        <f t="shared" si="6"/>
        <v>0</v>
      </c>
      <c r="I66" s="65">
        <f t="shared" si="7"/>
        <v>0</v>
      </c>
      <c r="J66" s="65"/>
      <c r="K66" s="132"/>
      <c r="L66" s="67">
        <f t="shared" si="0"/>
        <v>0</v>
      </c>
      <c r="M66" s="132"/>
      <c r="N66" s="67">
        <f t="shared" si="1"/>
        <v>0</v>
      </c>
      <c r="O66" s="67">
        <f t="shared" si="2"/>
        <v>0</v>
      </c>
      <c r="P66" s="4"/>
    </row>
    <row r="67" spans="2:16" ht="12.5">
      <c r="B67" s="9" t="str">
        <f t="shared" si="8"/>
        <v/>
      </c>
      <c r="C67" s="62">
        <f>IF(D11="","-",+C66+1)</f>
        <v>2075</v>
      </c>
      <c r="D67" s="71">
        <f>IF(F66+SUM(E$17:E66)=D$10,F66,D$10-SUM(E$17:E66))</f>
        <v>0</v>
      </c>
      <c r="E67" s="69">
        <f t="shared" si="3"/>
        <v>0</v>
      </c>
      <c r="F67" s="68">
        <f t="shared" si="4"/>
        <v>0</v>
      </c>
      <c r="G67" s="70">
        <f t="shared" si="5"/>
        <v>0</v>
      </c>
      <c r="H67" s="52">
        <f t="shared" si="6"/>
        <v>0</v>
      </c>
      <c r="I67" s="65">
        <f t="shared" si="7"/>
        <v>0</v>
      </c>
      <c r="J67" s="65"/>
      <c r="K67" s="132"/>
      <c r="L67" s="67">
        <f t="shared" si="0"/>
        <v>0</v>
      </c>
      <c r="M67" s="132"/>
      <c r="N67" s="67">
        <f t="shared" si="1"/>
        <v>0</v>
      </c>
      <c r="O67" s="67">
        <f t="shared" si="2"/>
        <v>0</v>
      </c>
      <c r="P67" s="4"/>
    </row>
    <row r="68" spans="2:16" ht="12.5">
      <c r="B68" s="9" t="str">
        <f t="shared" si="8"/>
        <v/>
      </c>
      <c r="C68" s="62">
        <f>IF(D11="","-",+C67+1)</f>
        <v>2076</v>
      </c>
      <c r="D68" s="71">
        <f>IF(F67+SUM(E$17:E67)=D$10,F67,D$10-SUM(E$17:E67))</f>
        <v>0</v>
      </c>
      <c r="E68" s="69">
        <f t="shared" si="3"/>
        <v>0</v>
      </c>
      <c r="F68" s="68">
        <f t="shared" si="4"/>
        <v>0</v>
      </c>
      <c r="G68" s="70">
        <f t="shared" si="5"/>
        <v>0</v>
      </c>
      <c r="H68" s="52">
        <f t="shared" si="6"/>
        <v>0</v>
      </c>
      <c r="I68" s="65">
        <f t="shared" si="7"/>
        <v>0</v>
      </c>
      <c r="J68" s="65"/>
      <c r="K68" s="132"/>
      <c r="L68" s="67">
        <f t="shared" si="0"/>
        <v>0</v>
      </c>
      <c r="M68" s="132"/>
      <c r="N68" s="67">
        <f t="shared" si="1"/>
        <v>0</v>
      </c>
      <c r="O68" s="67">
        <f t="shared" si="2"/>
        <v>0</v>
      </c>
      <c r="P68" s="4"/>
    </row>
    <row r="69" spans="2:16" ht="12.5">
      <c r="B69" s="9" t="str">
        <f t="shared" si="8"/>
        <v/>
      </c>
      <c r="C69" s="62">
        <f>IF(D11="","-",+C68+1)</f>
        <v>2077</v>
      </c>
      <c r="D69" s="71">
        <f>IF(F68+SUM(E$17:E68)=D$10,F68,D$10-SUM(E$17:E68))</f>
        <v>0</v>
      </c>
      <c r="E69" s="69">
        <f t="shared" si="3"/>
        <v>0</v>
      </c>
      <c r="F69" s="68">
        <f t="shared" si="4"/>
        <v>0</v>
      </c>
      <c r="G69" s="70">
        <f t="shared" si="5"/>
        <v>0</v>
      </c>
      <c r="H69" s="52">
        <f t="shared" si="6"/>
        <v>0</v>
      </c>
      <c r="I69" s="65">
        <f t="shared" si="7"/>
        <v>0</v>
      </c>
      <c r="J69" s="65"/>
      <c r="K69" s="132"/>
      <c r="L69" s="67">
        <f t="shared" si="0"/>
        <v>0</v>
      </c>
      <c r="M69" s="132"/>
      <c r="N69" s="67">
        <f t="shared" si="1"/>
        <v>0</v>
      </c>
      <c r="O69" s="67">
        <f t="shared" si="2"/>
        <v>0</v>
      </c>
      <c r="P69" s="4"/>
    </row>
    <row r="70" spans="2:16" ht="12.5">
      <c r="B70" s="9" t="str">
        <f t="shared" si="8"/>
        <v/>
      </c>
      <c r="C70" s="62">
        <f>IF(D11="","-",+C69+1)</f>
        <v>2078</v>
      </c>
      <c r="D70" s="71">
        <f>IF(F69+SUM(E$17:E69)=D$10,F69,D$10-SUM(E$17:E69))</f>
        <v>0</v>
      </c>
      <c r="E70" s="69">
        <f t="shared" si="3"/>
        <v>0</v>
      </c>
      <c r="F70" s="68">
        <f t="shared" si="4"/>
        <v>0</v>
      </c>
      <c r="G70" s="70">
        <f t="shared" si="5"/>
        <v>0</v>
      </c>
      <c r="H70" s="52">
        <f t="shared" si="6"/>
        <v>0</v>
      </c>
      <c r="I70" s="65">
        <f t="shared" si="7"/>
        <v>0</v>
      </c>
      <c r="J70" s="65"/>
      <c r="K70" s="132"/>
      <c r="L70" s="67">
        <f t="shared" si="0"/>
        <v>0</v>
      </c>
      <c r="M70" s="132"/>
      <c r="N70" s="67">
        <f t="shared" si="1"/>
        <v>0</v>
      </c>
      <c r="O70" s="67">
        <f t="shared" si="2"/>
        <v>0</v>
      </c>
      <c r="P70" s="4"/>
    </row>
    <row r="71" spans="2:16" ht="12.5">
      <c r="B71" s="9" t="str">
        <f t="shared" si="8"/>
        <v/>
      </c>
      <c r="C71" s="62">
        <f>IF(D11="","-",+C70+1)</f>
        <v>2079</v>
      </c>
      <c r="D71" s="71">
        <f>IF(F70+SUM(E$17:E70)=D$10,F70,D$10-SUM(E$17:E70))</f>
        <v>0</v>
      </c>
      <c r="E71" s="69">
        <f t="shared" si="3"/>
        <v>0</v>
      </c>
      <c r="F71" s="68">
        <f t="shared" si="4"/>
        <v>0</v>
      </c>
      <c r="G71" s="70">
        <f t="shared" si="5"/>
        <v>0</v>
      </c>
      <c r="H71" s="52">
        <f t="shared" si="6"/>
        <v>0</v>
      </c>
      <c r="I71" s="65">
        <f t="shared" si="7"/>
        <v>0</v>
      </c>
      <c r="J71" s="65"/>
      <c r="K71" s="132"/>
      <c r="L71" s="67">
        <f t="shared" si="0"/>
        <v>0</v>
      </c>
      <c r="M71" s="132"/>
      <c r="N71" s="67">
        <f t="shared" si="1"/>
        <v>0</v>
      </c>
      <c r="O71" s="67">
        <f t="shared" si="2"/>
        <v>0</v>
      </c>
      <c r="P71" s="4"/>
    </row>
    <row r="72" spans="2:16" ht="13" thickBot="1">
      <c r="B72" s="9" t="str">
        <f t="shared" si="8"/>
        <v/>
      </c>
      <c r="C72" s="72">
        <f>IF(D11="","-",+C71+1)</f>
        <v>2080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0"/>
        <v>0</v>
      </c>
      <c r="M72" s="133"/>
      <c r="N72" s="76">
        <f t="shared" si="1"/>
        <v>0</v>
      </c>
      <c r="O72" s="76">
        <f t="shared" si="2"/>
        <v>0</v>
      </c>
      <c r="P72" s="4"/>
    </row>
    <row r="73" spans="2:16" ht="12.5">
      <c r="C73" s="63" t="s">
        <v>77</v>
      </c>
      <c r="D73" s="20"/>
      <c r="E73" s="20">
        <f>SUM(E17:E72)</f>
        <v>0</v>
      </c>
      <c r="F73" s="20"/>
      <c r="G73" s="20">
        <f>SUM(G17:G72)</f>
        <v>0</v>
      </c>
      <c r="H73" s="20">
        <f>SUM(H17:H72)</f>
        <v>0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33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2024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Chisholm Substation 345 kV Terminal Upgrades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 t="str">
        <f>+D9</f>
        <v>TP2020266</v>
      </c>
      <c r="E91" s="89" t="str">
        <f>E9</f>
        <v xml:space="preserve">  SPP Project ID = 81717</v>
      </c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D10</f>
        <v>0</v>
      </c>
      <c r="E92" s="10" t="s">
        <v>94</v>
      </c>
      <c r="H92" s="44"/>
      <c r="I92" s="44"/>
      <c r="J92" s="45">
        <f>+'PSO.WS.G.BPU.ATRR.True-up'!M16</f>
        <v>2024</v>
      </c>
      <c r="K92" s="41"/>
      <c r="L92" s="20" t="s">
        <v>95</v>
      </c>
      <c r="P92" s="4"/>
    </row>
    <row r="93" spans="1:16" ht="12.5">
      <c r="C93" s="46" t="s">
        <v>53</v>
      </c>
      <c r="D93" s="102">
        <v>2025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v>10</v>
      </c>
      <c r="E94" s="46" t="s">
        <v>56</v>
      </c>
      <c r="F94" s="44"/>
      <c r="G94" s="44"/>
      <c r="J94" s="50">
        <f>'PSO.WS.G.BPU.ATRR.True-up'!$F$81</f>
        <v>0.13431870975736884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0.13431870975736884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0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281</v>
      </c>
      <c r="I97" s="135" t="s">
        <v>282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2025</v>
      </c>
      <c r="D99" s="63">
        <v>0</v>
      </c>
      <c r="E99" s="70">
        <f>IF(OR(D11=I10,D92&lt;100000),0,J$96/12*(12-D94))</f>
        <v>0</v>
      </c>
      <c r="F99" s="68">
        <f>IF(D93=C99,+D92-E99,+D99-E99)</f>
        <v>0</v>
      </c>
      <c r="G99" s="97">
        <f>+(F99+D99)/2</f>
        <v>0</v>
      </c>
      <c r="H99" s="97">
        <f>+J$94*G99+E99</f>
        <v>0</v>
      </c>
      <c r="I99" s="97">
        <f>+J$95*G99+E99</f>
        <v>0</v>
      </c>
      <c r="J99" s="67">
        <f>+I99-H99</f>
        <v>0</v>
      </c>
      <c r="K99" s="67"/>
      <c r="L99" s="131"/>
      <c r="M99" s="66">
        <f t="shared" ref="M99:M130" si="9">IF(L99&lt;&gt;0,+H99-L99,0)</f>
        <v>0</v>
      </c>
      <c r="N99" s="131"/>
      <c r="O99" s="66">
        <f t="shared" ref="O99:O130" si="10">IF(N99&lt;&gt;0,+I99-N99,0)</f>
        <v>0</v>
      </c>
      <c r="P99" s="66">
        <f t="shared" ref="P99:P130" si="11">+O99-M99</f>
        <v>0</v>
      </c>
    </row>
    <row r="100" spans="1:16" ht="12.5">
      <c r="B100" s="9" t="str">
        <f>IF(D100=F99,"","IU")</f>
        <v/>
      </c>
      <c r="C100" s="62">
        <f>IF(D93="","-",+C99+1)</f>
        <v>2026</v>
      </c>
      <c r="D100" s="63">
        <f>IF(F99+SUM(E$99:E99)=D$92,F99,D$92-SUM(E$99:E99))</f>
        <v>0</v>
      </c>
      <c r="E100" s="69">
        <f>IF(+J$96&lt;F99,J$96,D100)</f>
        <v>0</v>
      </c>
      <c r="F100" s="68">
        <f>+D100-E100</f>
        <v>0</v>
      </c>
      <c r="G100" s="68">
        <f>+(F100+D100)/2</f>
        <v>0</v>
      </c>
      <c r="H100" s="130">
        <f t="shared" ref="H100:H154" si="12">+J$94*G100+E100</f>
        <v>0</v>
      </c>
      <c r="I100" s="139">
        <f t="shared" ref="I100:I154" si="13">+J$95*G100+E100</f>
        <v>0</v>
      </c>
      <c r="J100" s="67">
        <f t="shared" ref="J100:J130" si="14">+I100-H100</f>
        <v>0</v>
      </c>
      <c r="K100" s="67"/>
      <c r="L100" s="132"/>
      <c r="M100" s="67">
        <f t="shared" si="9"/>
        <v>0</v>
      </c>
      <c r="N100" s="132"/>
      <c r="O100" s="67">
        <f t="shared" si="10"/>
        <v>0</v>
      </c>
      <c r="P100" s="67">
        <f t="shared" si="11"/>
        <v>0</v>
      </c>
    </row>
    <row r="101" spans="1:16" ht="12.5">
      <c r="B101" s="9" t="str">
        <f t="shared" ref="B101:B154" si="15">IF(D101=F100,"","IU")</f>
        <v/>
      </c>
      <c r="C101" s="62">
        <f>IF(D93="","-",+C100+1)</f>
        <v>2027</v>
      </c>
      <c r="D101" s="63">
        <f>IF(F100+SUM(E$99:E100)=D$92,F100,D$92-SUM(E$99:E100))</f>
        <v>0</v>
      </c>
      <c r="E101" s="69">
        <f t="shared" ref="E101:E154" si="16">IF(+J$96&lt;F100,J$96,D101)</f>
        <v>0</v>
      </c>
      <c r="F101" s="68">
        <f t="shared" ref="F101:F154" si="17">+D101-E101</f>
        <v>0</v>
      </c>
      <c r="G101" s="68">
        <f t="shared" ref="G101:G154" si="18">+(F101+D101)/2</f>
        <v>0</v>
      </c>
      <c r="H101" s="130">
        <f t="shared" si="12"/>
        <v>0</v>
      </c>
      <c r="I101" s="139">
        <f t="shared" si="13"/>
        <v>0</v>
      </c>
      <c r="J101" s="67">
        <f t="shared" si="14"/>
        <v>0</v>
      </c>
      <c r="K101" s="67"/>
      <c r="L101" s="132"/>
      <c r="M101" s="67">
        <f t="shared" si="9"/>
        <v>0</v>
      </c>
      <c r="N101" s="132"/>
      <c r="O101" s="67">
        <f t="shared" si="10"/>
        <v>0</v>
      </c>
      <c r="P101" s="67">
        <f t="shared" si="11"/>
        <v>0</v>
      </c>
    </row>
    <row r="102" spans="1:16" ht="12.5">
      <c r="B102" s="9" t="str">
        <f t="shared" si="15"/>
        <v/>
      </c>
      <c r="C102" s="62">
        <f>IF(D93="","-",+C101+1)</f>
        <v>2028</v>
      </c>
      <c r="D102" s="63">
        <f>IF(F101+SUM(E$99:E101)=D$92,F101,D$92-SUM(E$99:E101))</f>
        <v>0</v>
      </c>
      <c r="E102" s="69">
        <f t="shared" si="16"/>
        <v>0</v>
      </c>
      <c r="F102" s="68">
        <f t="shared" si="17"/>
        <v>0</v>
      </c>
      <c r="G102" s="68">
        <f t="shared" si="18"/>
        <v>0</v>
      </c>
      <c r="H102" s="130">
        <f t="shared" si="12"/>
        <v>0</v>
      </c>
      <c r="I102" s="139">
        <f t="shared" si="13"/>
        <v>0</v>
      </c>
      <c r="J102" s="67">
        <f t="shared" si="14"/>
        <v>0</v>
      </c>
      <c r="K102" s="67"/>
      <c r="L102" s="132"/>
      <c r="M102" s="67">
        <f t="shared" si="9"/>
        <v>0</v>
      </c>
      <c r="N102" s="132"/>
      <c r="O102" s="67">
        <f t="shared" si="10"/>
        <v>0</v>
      </c>
      <c r="P102" s="67">
        <f t="shared" si="11"/>
        <v>0</v>
      </c>
    </row>
    <row r="103" spans="1:16" ht="12.5">
      <c r="B103" s="9" t="str">
        <f t="shared" si="15"/>
        <v/>
      </c>
      <c r="C103" s="62">
        <f>IF(D93="","-",+C102+1)</f>
        <v>2029</v>
      </c>
      <c r="D103" s="63">
        <f>IF(F102+SUM(E$99:E102)=D$92,F102,D$92-SUM(E$99:E102))</f>
        <v>0</v>
      </c>
      <c r="E103" s="69">
        <f t="shared" si="16"/>
        <v>0</v>
      </c>
      <c r="F103" s="68">
        <f t="shared" si="17"/>
        <v>0</v>
      </c>
      <c r="G103" s="68">
        <f t="shared" si="18"/>
        <v>0</v>
      </c>
      <c r="H103" s="130">
        <f t="shared" si="12"/>
        <v>0</v>
      </c>
      <c r="I103" s="139">
        <f t="shared" si="13"/>
        <v>0</v>
      </c>
      <c r="J103" s="67">
        <f t="shared" si="14"/>
        <v>0</v>
      </c>
      <c r="K103" s="67"/>
      <c r="L103" s="132"/>
      <c r="M103" s="67">
        <f t="shared" si="9"/>
        <v>0</v>
      </c>
      <c r="N103" s="132"/>
      <c r="O103" s="67">
        <f t="shared" si="10"/>
        <v>0</v>
      </c>
      <c r="P103" s="67">
        <f t="shared" si="11"/>
        <v>0</v>
      </c>
    </row>
    <row r="104" spans="1:16" ht="12.5">
      <c r="B104" s="9" t="str">
        <f t="shared" si="15"/>
        <v/>
      </c>
      <c r="C104" s="62">
        <f>IF(D93="","-",+C103+1)</f>
        <v>2030</v>
      </c>
      <c r="D104" s="63">
        <f>IF(F103+SUM(E$99:E103)=D$92,F103,D$92-SUM(E$99:E103))</f>
        <v>0</v>
      </c>
      <c r="E104" s="69">
        <f t="shared" si="16"/>
        <v>0</v>
      </c>
      <c r="F104" s="68">
        <f t="shared" si="17"/>
        <v>0</v>
      </c>
      <c r="G104" s="68">
        <f t="shared" si="18"/>
        <v>0</v>
      </c>
      <c r="H104" s="130">
        <f t="shared" si="12"/>
        <v>0</v>
      </c>
      <c r="I104" s="139">
        <f t="shared" si="13"/>
        <v>0</v>
      </c>
      <c r="J104" s="67">
        <f t="shared" si="14"/>
        <v>0</v>
      </c>
      <c r="K104" s="67"/>
      <c r="L104" s="132"/>
      <c r="M104" s="67">
        <f t="shared" si="9"/>
        <v>0</v>
      </c>
      <c r="N104" s="132"/>
      <c r="O104" s="67">
        <f t="shared" si="10"/>
        <v>0</v>
      </c>
      <c r="P104" s="67">
        <f t="shared" si="11"/>
        <v>0</v>
      </c>
    </row>
    <row r="105" spans="1:16" ht="12.5">
      <c r="B105" s="9" t="str">
        <f t="shared" si="15"/>
        <v/>
      </c>
      <c r="C105" s="62">
        <f>IF(D93="","-",+C104+1)</f>
        <v>2031</v>
      </c>
      <c r="D105" s="63">
        <f>IF(F104+SUM(E$99:E104)=D$92,F104,D$92-SUM(E$99:E104))</f>
        <v>0</v>
      </c>
      <c r="E105" s="69">
        <f t="shared" si="16"/>
        <v>0</v>
      </c>
      <c r="F105" s="68">
        <f t="shared" si="17"/>
        <v>0</v>
      </c>
      <c r="G105" s="68">
        <f t="shared" si="18"/>
        <v>0</v>
      </c>
      <c r="H105" s="130">
        <f t="shared" si="12"/>
        <v>0</v>
      </c>
      <c r="I105" s="139">
        <f t="shared" si="13"/>
        <v>0</v>
      </c>
      <c r="J105" s="67">
        <f t="shared" si="14"/>
        <v>0</v>
      </c>
      <c r="K105" s="67"/>
      <c r="L105" s="132"/>
      <c r="M105" s="67">
        <f t="shared" si="9"/>
        <v>0</v>
      </c>
      <c r="N105" s="132"/>
      <c r="O105" s="67">
        <f t="shared" si="10"/>
        <v>0</v>
      </c>
      <c r="P105" s="67">
        <f t="shared" si="11"/>
        <v>0</v>
      </c>
    </row>
    <row r="106" spans="1:16" ht="12.5">
      <c r="B106" s="9" t="str">
        <f t="shared" si="15"/>
        <v/>
      </c>
      <c r="C106" s="62">
        <f>IF(D93="","-",+C105+1)</f>
        <v>2032</v>
      </c>
      <c r="D106" s="63">
        <f>IF(F105+SUM(E$99:E105)=D$92,F105,D$92-SUM(E$99:E105))</f>
        <v>0</v>
      </c>
      <c r="E106" s="69">
        <f t="shared" si="16"/>
        <v>0</v>
      </c>
      <c r="F106" s="68">
        <f t="shared" si="17"/>
        <v>0</v>
      </c>
      <c r="G106" s="68">
        <f t="shared" si="18"/>
        <v>0</v>
      </c>
      <c r="H106" s="130">
        <f t="shared" si="12"/>
        <v>0</v>
      </c>
      <c r="I106" s="139">
        <f t="shared" si="13"/>
        <v>0</v>
      </c>
      <c r="J106" s="67">
        <f t="shared" si="14"/>
        <v>0</v>
      </c>
      <c r="K106" s="67"/>
      <c r="L106" s="132"/>
      <c r="M106" s="67">
        <f t="shared" si="9"/>
        <v>0</v>
      </c>
      <c r="N106" s="132"/>
      <c r="O106" s="67">
        <f t="shared" si="10"/>
        <v>0</v>
      </c>
      <c r="P106" s="67">
        <f t="shared" si="11"/>
        <v>0</v>
      </c>
    </row>
    <row r="107" spans="1:16" ht="12.5">
      <c r="B107" s="9" t="str">
        <f t="shared" si="15"/>
        <v/>
      </c>
      <c r="C107" s="62">
        <f>IF(D93="","-",+C106+1)</f>
        <v>2033</v>
      </c>
      <c r="D107" s="63">
        <f>IF(F106+SUM(E$99:E106)=D$92,F106,D$92-SUM(E$99:E106))</f>
        <v>0</v>
      </c>
      <c r="E107" s="69">
        <f t="shared" si="16"/>
        <v>0</v>
      </c>
      <c r="F107" s="68">
        <f t="shared" si="17"/>
        <v>0</v>
      </c>
      <c r="G107" s="68">
        <f t="shared" si="18"/>
        <v>0</v>
      </c>
      <c r="H107" s="130">
        <f t="shared" si="12"/>
        <v>0</v>
      </c>
      <c r="I107" s="139">
        <f t="shared" si="13"/>
        <v>0</v>
      </c>
      <c r="J107" s="67">
        <f t="shared" si="14"/>
        <v>0</v>
      </c>
      <c r="K107" s="67"/>
      <c r="L107" s="132"/>
      <c r="M107" s="67">
        <f t="shared" si="9"/>
        <v>0</v>
      </c>
      <c r="N107" s="132"/>
      <c r="O107" s="67">
        <f t="shared" si="10"/>
        <v>0</v>
      </c>
      <c r="P107" s="67">
        <f t="shared" si="11"/>
        <v>0</v>
      </c>
    </row>
    <row r="108" spans="1:16" ht="12.5">
      <c r="B108" s="9" t="str">
        <f t="shared" si="15"/>
        <v/>
      </c>
      <c r="C108" s="62">
        <f>IF(D93="","-",+C107+1)</f>
        <v>2034</v>
      </c>
      <c r="D108" s="63">
        <f>IF(F107+SUM(E$99:E107)=D$92,F107,D$92-SUM(E$99:E107))</f>
        <v>0</v>
      </c>
      <c r="E108" s="69">
        <f t="shared" si="16"/>
        <v>0</v>
      </c>
      <c r="F108" s="68">
        <f t="shared" si="17"/>
        <v>0</v>
      </c>
      <c r="G108" s="68">
        <f t="shared" si="18"/>
        <v>0</v>
      </c>
      <c r="H108" s="130">
        <f t="shared" si="12"/>
        <v>0</v>
      </c>
      <c r="I108" s="139">
        <f t="shared" si="13"/>
        <v>0</v>
      </c>
      <c r="J108" s="67">
        <f t="shared" si="14"/>
        <v>0</v>
      </c>
      <c r="K108" s="67"/>
      <c r="L108" s="132"/>
      <c r="M108" s="67">
        <f t="shared" si="9"/>
        <v>0</v>
      </c>
      <c r="N108" s="132"/>
      <c r="O108" s="67">
        <f t="shared" si="10"/>
        <v>0</v>
      </c>
      <c r="P108" s="67">
        <f t="shared" si="11"/>
        <v>0</v>
      </c>
    </row>
    <row r="109" spans="1:16" ht="12.5">
      <c r="B109" s="9" t="str">
        <f t="shared" si="15"/>
        <v/>
      </c>
      <c r="C109" s="62">
        <f>IF(D93="","-",+C108+1)</f>
        <v>2035</v>
      </c>
      <c r="D109" s="63">
        <f>IF(F108+SUM(E$99:E108)=D$92,F108,D$92-SUM(E$99:E108))</f>
        <v>0</v>
      </c>
      <c r="E109" s="69">
        <f t="shared" si="16"/>
        <v>0</v>
      </c>
      <c r="F109" s="68">
        <f t="shared" si="17"/>
        <v>0</v>
      </c>
      <c r="G109" s="68">
        <f t="shared" si="18"/>
        <v>0</v>
      </c>
      <c r="H109" s="130">
        <f t="shared" si="12"/>
        <v>0</v>
      </c>
      <c r="I109" s="139">
        <f t="shared" si="13"/>
        <v>0</v>
      </c>
      <c r="J109" s="67">
        <f t="shared" si="14"/>
        <v>0</v>
      </c>
      <c r="K109" s="67"/>
      <c r="L109" s="132"/>
      <c r="M109" s="67">
        <f t="shared" si="9"/>
        <v>0</v>
      </c>
      <c r="N109" s="132"/>
      <c r="O109" s="67">
        <f t="shared" si="10"/>
        <v>0</v>
      </c>
      <c r="P109" s="67">
        <f t="shared" si="11"/>
        <v>0</v>
      </c>
    </row>
    <row r="110" spans="1:16" ht="12.5">
      <c r="B110" s="9" t="str">
        <f t="shared" si="15"/>
        <v/>
      </c>
      <c r="C110" s="62">
        <f>IF(D93="","-",+C109+1)</f>
        <v>2036</v>
      </c>
      <c r="D110" s="63">
        <f>IF(F109+SUM(E$99:E109)=D$92,F109,D$92-SUM(E$99:E109))</f>
        <v>0</v>
      </c>
      <c r="E110" s="69">
        <f t="shared" si="16"/>
        <v>0</v>
      </c>
      <c r="F110" s="68">
        <f t="shared" si="17"/>
        <v>0</v>
      </c>
      <c r="G110" s="68">
        <f t="shared" si="18"/>
        <v>0</v>
      </c>
      <c r="H110" s="130">
        <f t="shared" si="12"/>
        <v>0</v>
      </c>
      <c r="I110" s="139">
        <f t="shared" si="13"/>
        <v>0</v>
      </c>
      <c r="J110" s="67">
        <f t="shared" si="14"/>
        <v>0</v>
      </c>
      <c r="K110" s="67"/>
      <c r="L110" s="132"/>
      <c r="M110" s="67">
        <f t="shared" si="9"/>
        <v>0</v>
      </c>
      <c r="N110" s="132"/>
      <c r="O110" s="67">
        <f t="shared" si="10"/>
        <v>0</v>
      </c>
      <c r="P110" s="67">
        <f t="shared" si="11"/>
        <v>0</v>
      </c>
    </row>
    <row r="111" spans="1:16" ht="12.5">
      <c r="B111" s="9" t="str">
        <f t="shared" si="15"/>
        <v/>
      </c>
      <c r="C111" s="62">
        <f>IF(D93="","-",+C110+1)</f>
        <v>2037</v>
      </c>
      <c r="D111" s="63">
        <f>IF(F110+SUM(E$99:E110)=D$92,F110,D$92-SUM(E$99:E110))</f>
        <v>0</v>
      </c>
      <c r="E111" s="69">
        <f t="shared" si="16"/>
        <v>0</v>
      </c>
      <c r="F111" s="68">
        <f t="shared" si="17"/>
        <v>0</v>
      </c>
      <c r="G111" s="68">
        <f t="shared" si="18"/>
        <v>0</v>
      </c>
      <c r="H111" s="130">
        <f t="shared" si="12"/>
        <v>0</v>
      </c>
      <c r="I111" s="139">
        <f t="shared" si="13"/>
        <v>0</v>
      </c>
      <c r="J111" s="67">
        <f t="shared" si="14"/>
        <v>0</v>
      </c>
      <c r="K111" s="67"/>
      <c r="L111" s="132"/>
      <c r="M111" s="67">
        <f t="shared" si="9"/>
        <v>0</v>
      </c>
      <c r="N111" s="132"/>
      <c r="O111" s="67">
        <f t="shared" si="10"/>
        <v>0</v>
      </c>
      <c r="P111" s="67">
        <f t="shared" si="11"/>
        <v>0</v>
      </c>
    </row>
    <row r="112" spans="1:16" ht="12.5">
      <c r="B112" s="9" t="str">
        <f t="shared" si="15"/>
        <v/>
      </c>
      <c r="C112" s="62">
        <f>IF(D93="","-",+C111+1)</f>
        <v>2038</v>
      </c>
      <c r="D112" s="63">
        <f>IF(F111+SUM(E$99:E111)=D$92,F111,D$92-SUM(E$99:E111))</f>
        <v>0</v>
      </c>
      <c r="E112" s="69">
        <f t="shared" si="16"/>
        <v>0</v>
      </c>
      <c r="F112" s="68">
        <f t="shared" si="17"/>
        <v>0</v>
      </c>
      <c r="G112" s="68">
        <f t="shared" si="18"/>
        <v>0</v>
      </c>
      <c r="H112" s="130">
        <f t="shared" si="12"/>
        <v>0</v>
      </c>
      <c r="I112" s="139">
        <f t="shared" si="13"/>
        <v>0</v>
      </c>
      <c r="J112" s="67">
        <f t="shared" si="14"/>
        <v>0</v>
      </c>
      <c r="K112" s="67"/>
      <c r="L112" s="132"/>
      <c r="M112" s="67">
        <f t="shared" si="9"/>
        <v>0</v>
      </c>
      <c r="N112" s="132"/>
      <c r="O112" s="67">
        <f t="shared" si="10"/>
        <v>0</v>
      </c>
      <c r="P112" s="67">
        <f t="shared" si="11"/>
        <v>0</v>
      </c>
    </row>
    <row r="113" spans="2:16" ht="12.5">
      <c r="B113" s="9" t="str">
        <f t="shared" si="15"/>
        <v/>
      </c>
      <c r="C113" s="62">
        <f>IF(D93="","-",+C112+1)</f>
        <v>2039</v>
      </c>
      <c r="D113" s="63">
        <f>IF(F112+SUM(E$99:E112)=D$92,F112,D$92-SUM(E$99:E112))</f>
        <v>0</v>
      </c>
      <c r="E113" s="69">
        <f t="shared" si="16"/>
        <v>0</v>
      </c>
      <c r="F113" s="68">
        <f t="shared" si="17"/>
        <v>0</v>
      </c>
      <c r="G113" s="68">
        <f t="shared" si="18"/>
        <v>0</v>
      </c>
      <c r="H113" s="130">
        <f t="shared" si="12"/>
        <v>0</v>
      </c>
      <c r="I113" s="139">
        <f t="shared" si="13"/>
        <v>0</v>
      </c>
      <c r="J113" s="67">
        <f t="shared" si="14"/>
        <v>0</v>
      </c>
      <c r="K113" s="67"/>
      <c r="L113" s="132"/>
      <c r="M113" s="67">
        <f t="shared" si="9"/>
        <v>0</v>
      </c>
      <c r="N113" s="132"/>
      <c r="O113" s="67">
        <f t="shared" si="10"/>
        <v>0</v>
      </c>
      <c r="P113" s="67">
        <f t="shared" si="11"/>
        <v>0</v>
      </c>
    </row>
    <row r="114" spans="2:16" ht="12.5">
      <c r="B114" s="9" t="str">
        <f t="shared" si="15"/>
        <v/>
      </c>
      <c r="C114" s="62">
        <f>IF(D93="","-",+C113+1)</f>
        <v>2040</v>
      </c>
      <c r="D114" s="63">
        <f>IF(F113+SUM(E$99:E113)=D$92,F113,D$92-SUM(E$99:E113))</f>
        <v>0</v>
      </c>
      <c r="E114" s="69">
        <f t="shared" si="16"/>
        <v>0</v>
      </c>
      <c r="F114" s="68">
        <f t="shared" si="17"/>
        <v>0</v>
      </c>
      <c r="G114" s="68">
        <f t="shared" si="18"/>
        <v>0</v>
      </c>
      <c r="H114" s="130">
        <f t="shared" si="12"/>
        <v>0</v>
      </c>
      <c r="I114" s="139">
        <f t="shared" si="13"/>
        <v>0</v>
      </c>
      <c r="J114" s="67">
        <f t="shared" si="14"/>
        <v>0</v>
      </c>
      <c r="K114" s="67"/>
      <c r="L114" s="132"/>
      <c r="M114" s="67">
        <f t="shared" si="9"/>
        <v>0</v>
      </c>
      <c r="N114" s="132"/>
      <c r="O114" s="67">
        <f t="shared" si="10"/>
        <v>0</v>
      </c>
      <c r="P114" s="67">
        <f t="shared" si="11"/>
        <v>0</v>
      </c>
    </row>
    <row r="115" spans="2:16" ht="12.5">
      <c r="B115" s="9" t="str">
        <f t="shared" si="15"/>
        <v/>
      </c>
      <c r="C115" s="62">
        <f>IF(D93="","-",+C114+1)</f>
        <v>2041</v>
      </c>
      <c r="D115" s="63">
        <f>IF(F114+SUM(E$99:E114)=D$92,F114,D$92-SUM(E$99:E114))</f>
        <v>0</v>
      </c>
      <c r="E115" s="69">
        <f t="shared" si="16"/>
        <v>0</v>
      </c>
      <c r="F115" s="68">
        <f t="shared" si="17"/>
        <v>0</v>
      </c>
      <c r="G115" s="68">
        <f t="shared" si="18"/>
        <v>0</v>
      </c>
      <c r="H115" s="130">
        <f t="shared" si="12"/>
        <v>0</v>
      </c>
      <c r="I115" s="139">
        <f t="shared" si="13"/>
        <v>0</v>
      </c>
      <c r="J115" s="67">
        <f t="shared" si="14"/>
        <v>0</v>
      </c>
      <c r="K115" s="67"/>
      <c r="L115" s="132"/>
      <c r="M115" s="67">
        <f t="shared" si="9"/>
        <v>0</v>
      </c>
      <c r="N115" s="132"/>
      <c r="O115" s="67">
        <f t="shared" si="10"/>
        <v>0</v>
      </c>
      <c r="P115" s="67">
        <f t="shared" si="11"/>
        <v>0</v>
      </c>
    </row>
    <row r="116" spans="2:16" ht="12.5">
      <c r="B116" s="9" t="str">
        <f t="shared" si="15"/>
        <v/>
      </c>
      <c r="C116" s="62">
        <f>IF(D93="","-",+C115+1)</f>
        <v>2042</v>
      </c>
      <c r="D116" s="63">
        <f>IF(F115+SUM(E$99:E115)=D$92,F115,D$92-SUM(E$99:E115))</f>
        <v>0</v>
      </c>
      <c r="E116" s="69">
        <f t="shared" si="16"/>
        <v>0</v>
      </c>
      <c r="F116" s="68">
        <f t="shared" si="17"/>
        <v>0</v>
      </c>
      <c r="G116" s="68">
        <f t="shared" si="18"/>
        <v>0</v>
      </c>
      <c r="H116" s="130">
        <f t="shared" si="12"/>
        <v>0</v>
      </c>
      <c r="I116" s="139">
        <f t="shared" si="13"/>
        <v>0</v>
      </c>
      <c r="J116" s="67">
        <f t="shared" si="14"/>
        <v>0</v>
      </c>
      <c r="K116" s="67"/>
      <c r="L116" s="132"/>
      <c r="M116" s="67">
        <f t="shared" si="9"/>
        <v>0</v>
      </c>
      <c r="N116" s="132"/>
      <c r="O116" s="67">
        <f t="shared" si="10"/>
        <v>0</v>
      </c>
      <c r="P116" s="67">
        <f t="shared" si="11"/>
        <v>0</v>
      </c>
    </row>
    <row r="117" spans="2:16" ht="12.5">
      <c r="B117" s="9" t="str">
        <f t="shared" si="15"/>
        <v/>
      </c>
      <c r="C117" s="62">
        <f>IF(D93="","-",+C116+1)</f>
        <v>2043</v>
      </c>
      <c r="D117" s="63">
        <f>IF(F116+SUM(E$99:E116)=D$92,F116,D$92-SUM(E$99:E116))</f>
        <v>0</v>
      </c>
      <c r="E117" s="69">
        <f t="shared" si="16"/>
        <v>0</v>
      </c>
      <c r="F117" s="68">
        <f t="shared" si="17"/>
        <v>0</v>
      </c>
      <c r="G117" s="68">
        <f t="shared" si="18"/>
        <v>0</v>
      </c>
      <c r="H117" s="130">
        <f t="shared" si="12"/>
        <v>0</v>
      </c>
      <c r="I117" s="139">
        <f t="shared" si="13"/>
        <v>0</v>
      </c>
      <c r="J117" s="67">
        <f t="shared" si="14"/>
        <v>0</v>
      </c>
      <c r="K117" s="67"/>
      <c r="L117" s="132"/>
      <c r="M117" s="67">
        <f t="shared" si="9"/>
        <v>0</v>
      </c>
      <c r="N117" s="132"/>
      <c r="O117" s="67">
        <f t="shared" si="10"/>
        <v>0</v>
      </c>
      <c r="P117" s="67">
        <f t="shared" si="11"/>
        <v>0</v>
      </c>
    </row>
    <row r="118" spans="2:16" ht="12.5">
      <c r="B118" s="9" t="str">
        <f t="shared" si="15"/>
        <v/>
      </c>
      <c r="C118" s="62">
        <f>IF(D93="","-",+C117+1)</f>
        <v>2044</v>
      </c>
      <c r="D118" s="63">
        <f>IF(F117+SUM(E$99:E117)=D$92,F117,D$92-SUM(E$99:E117))</f>
        <v>0</v>
      </c>
      <c r="E118" s="69">
        <f t="shared" si="16"/>
        <v>0</v>
      </c>
      <c r="F118" s="68">
        <f t="shared" si="17"/>
        <v>0</v>
      </c>
      <c r="G118" s="68">
        <f t="shared" si="18"/>
        <v>0</v>
      </c>
      <c r="H118" s="130">
        <f t="shared" si="12"/>
        <v>0</v>
      </c>
      <c r="I118" s="139">
        <f t="shared" si="13"/>
        <v>0</v>
      </c>
      <c r="J118" s="67">
        <f t="shared" si="14"/>
        <v>0</v>
      </c>
      <c r="K118" s="67"/>
      <c r="L118" s="132"/>
      <c r="M118" s="67">
        <f t="shared" si="9"/>
        <v>0</v>
      </c>
      <c r="N118" s="132"/>
      <c r="O118" s="67">
        <f t="shared" si="10"/>
        <v>0</v>
      </c>
      <c r="P118" s="67">
        <f t="shared" si="11"/>
        <v>0</v>
      </c>
    </row>
    <row r="119" spans="2:16" ht="12.5">
      <c r="B119" s="9" t="str">
        <f t="shared" si="15"/>
        <v/>
      </c>
      <c r="C119" s="62">
        <f>IF(D93="","-",+C118+1)</f>
        <v>2045</v>
      </c>
      <c r="D119" s="63">
        <f>IF(F118+SUM(E$99:E118)=D$92,F118,D$92-SUM(E$99:E118))</f>
        <v>0</v>
      </c>
      <c r="E119" s="69">
        <f t="shared" si="16"/>
        <v>0</v>
      </c>
      <c r="F119" s="68">
        <f t="shared" si="17"/>
        <v>0</v>
      </c>
      <c r="G119" s="68">
        <f t="shared" si="18"/>
        <v>0</v>
      </c>
      <c r="H119" s="130">
        <f t="shared" si="12"/>
        <v>0</v>
      </c>
      <c r="I119" s="139">
        <f t="shared" si="13"/>
        <v>0</v>
      </c>
      <c r="J119" s="67">
        <f t="shared" si="14"/>
        <v>0</v>
      </c>
      <c r="K119" s="67"/>
      <c r="L119" s="132"/>
      <c r="M119" s="67">
        <f t="shared" si="9"/>
        <v>0</v>
      </c>
      <c r="N119" s="132"/>
      <c r="O119" s="67">
        <f t="shared" si="10"/>
        <v>0</v>
      </c>
      <c r="P119" s="67">
        <f t="shared" si="11"/>
        <v>0</v>
      </c>
    </row>
    <row r="120" spans="2:16" ht="12.5">
      <c r="B120" s="9" t="str">
        <f t="shared" si="15"/>
        <v/>
      </c>
      <c r="C120" s="62">
        <f>IF(D93="","-",+C119+1)</f>
        <v>2046</v>
      </c>
      <c r="D120" s="63">
        <f>IF(F119+SUM(E$99:E119)=D$92,F119,D$92-SUM(E$99:E119))</f>
        <v>0</v>
      </c>
      <c r="E120" s="69">
        <f t="shared" si="16"/>
        <v>0</v>
      </c>
      <c r="F120" s="68">
        <f t="shared" si="17"/>
        <v>0</v>
      </c>
      <c r="G120" s="68">
        <f t="shared" si="18"/>
        <v>0</v>
      </c>
      <c r="H120" s="130">
        <f t="shared" si="12"/>
        <v>0</v>
      </c>
      <c r="I120" s="139">
        <f t="shared" si="13"/>
        <v>0</v>
      </c>
      <c r="J120" s="67">
        <f t="shared" si="14"/>
        <v>0</v>
      </c>
      <c r="K120" s="67"/>
      <c r="L120" s="132"/>
      <c r="M120" s="67">
        <f t="shared" si="9"/>
        <v>0</v>
      </c>
      <c r="N120" s="132"/>
      <c r="O120" s="67">
        <f t="shared" si="10"/>
        <v>0</v>
      </c>
      <c r="P120" s="67">
        <f t="shared" si="11"/>
        <v>0</v>
      </c>
    </row>
    <row r="121" spans="2:16" ht="12.5">
      <c r="B121" s="9" t="str">
        <f t="shared" si="15"/>
        <v/>
      </c>
      <c r="C121" s="62">
        <f>IF(D93="","-",+C120+1)</f>
        <v>2047</v>
      </c>
      <c r="D121" s="63">
        <f>IF(F120+SUM(E$99:E120)=D$92,F120,D$92-SUM(E$99:E120))</f>
        <v>0</v>
      </c>
      <c r="E121" s="69">
        <f t="shared" si="16"/>
        <v>0</v>
      </c>
      <c r="F121" s="68">
        <f t="shared" si="17"/>
        <v>0</v>
      </c>
      <c r="G121" s="68">
        <f t="shared" si="18"/>
        <v>0</v>
      </c>
      <c r="H121" s="130">
        <f t="shared" si="12"/>
        <v>0</v>
      </c>
      <c r="I121" s="139">
        <f t="shared" si="13"/>
        <v>0</v>
      </c>
      <c r="J121" s="67">
        <f t="shared" si="14"/>
        <v>0</v>
      </c>
      <c r="K121" s="67"/>
      <c r="L121" s="132"/>
      <c r="M121" s="67">
        <f t="shared" si="9"/>
        <v>0</v>
      </c>
      <c r="N121" s="132"/>
      <c r="O121" s="67">
        <f t="shared" si="10"/>
        <v>0</v>
      </c>
      <c r="P121" s="67">
        <f t="shared" si="11"/>
        <v>0</v>
      </c>
    </row>
    <row r="122" spans="2:16" ht="12.5">
      <c r="B122" s="9" t="str">
        <f t="shared" si="15"/>
        <v/>
      </c>
      <c r="C122" s="62">
        <f>IF(D93="","-",+C121+1)</f>
        <v>2048</v>
      </c>
      <c r="D122" s="63">
        <f>IF(F121+SUM(E$99:E121)=D$92,F121,D$92-SUM(E$99:E121))</f>
        <v>0</v>
      </c>
      <c r="E122" s="69">
        <f t="shared" si="16"/>
        <v>0</v>
      </c>
      <c r="F122" s="68">
        <f t="shared" si="17"/>
        <v>0</v>
      </c>
      <c r="G122" s="68">
        <f t="shared" si="18"/>
        <v>0</v>
      </c>
      <c r="H122" s="130">
        <f t="shared" si="12"/>
        <v>0</v>
      </c>
      <c r="I122" s="139">
        <f t="shared" si="13"/>
        <v>0</v>
      </c>
      <c r="J122" s="67">
        <f t="shared" si="14"/>
        <v>0</v>
      </c>
      <c r="K122" s="67"/>
      <c r="L122" s="132"/>
      <c r="M122" s="67">
        <f t="shared" si="9"/>
        <v>0</v>
      </c>
      <c r="N122" s="132"/>
      <c r="O122" s="67">
        <f t="shared" si="10"/>
        <v>0</v>
      </c>
      <c r="P122" s="67">
        <f t="shared" si="11"/>
        <v>0</v>
      </c>
    </row>
    <row r="123" spans="2:16" ht="12.5">
      <c r="B123" s="9" t="str">
        <f t="shared" si="15"/>
        <v/>
      </c>
      <c r="C123" s="62">
        <f>IF(D93="","-",+C122+1)</f>
        <v>2049</v>
      </c>
      <c r="D123" s="63">
        <f>IF(F122+SUM(E$99:E122)=D$92,F122,D$92-SUM(E$99:E122))</f>
        <v>0</v>
      </c>
      <c r="E123" s="69">
        <f t="shared" si="16"/>
        <v>0</v>
      </c>
      <c r="F123" s="68">
        <f t="shared" si="17"/>
        <v>0</v>
      </c>
      <c r="G123" s="68">
        <f t="shared" si="18"/>
        <v>0</v>
      </c>
      <c r="H123" s="130">
        <f t="shared" si="12"/>
        <v>0</v>
      </c>
      <c r="I123" s="139">
        <f t="shared" si="13"/>
        <v>0</v>
      </c>
      <c r="J123" s="67">
        <f t="shared" si="14"/>
        <v>0</v>
      </c>
      <c r="K123" s="67"/>
      <c r="L123" s="132"/>
      <c r="M123" s="67">
        <f t="shared" si="9"/>
        <v>0</v>
      </c>
      <c r="N123" s="132"/>
      <c r="O123" s="67">
        <f t="shared" si="10"/>
        <v>0</v>
      </c>
      <c r="P123" s="67">
        <f t="shared" si="11"/>
        <v>0</v>
      </c>
    </row>
    <row r="124" spans="2:16" ht="12.5">
      <c r="B124" s="9" t="str">
        <f t="shared" si="15"/>
        <v/>
      </c>
      <c r="C124" s="62">
        <f>IF(D93="","-",+C123+1)</f>
        <v>2050</v>
      </c>
      <c r="D124" s="63">
        <f>IF(F123+SUM(E$99:E123)=D$92,F123,D$92-SUM(E$99:E123))</f>
        <v>0</v>
      </c>
      <c r="E124" s="69">
        <f t="shared" si="16"/>
        <v>0</v>
      </c>
      <c r="F124" s="68">
        <f t="shared" si="17"/>
        <v>0</v>
      </c>
      <c r="G124" s="68">
        <f t="shared" si="18"/>
        <v>0</v>
      </c>
      <c r="H124" s="130">
        <f t="shared" si="12"/>
        <v>0</v>
      </c>
      <c r="I124" s="139">
        <f t="shared" si="13"/>
        <v>0</v>
      </c>
      <c r="J124" s="67">
        <f t="shared" si="14"/>
        <v>0</v>
      </c>
      <c r="K124" s="67"/>
      <c r="L124" s="132"/>
      <c r="M124" s="67">
        <f t="shared" si="9"/>
        <v>0</v>
      </c>
      <c r="N124" s="132"/>
      <c r="O124" s="67">
        <f t="shared" si="10"/>
        <v>0</v>
      </c>
      <c r="P124" s="67">
        <f t="shared" si="11"/>
        <v>0</v>
      </c>
    </row>
    <row r="125" spans="2:16" ht="12.5">
      <c r="B125" s="9" t="str">
        <f t="shared" si="15"/>
        <v/>
      </c>
      <c r="C125" s="62">
        <f>IF(D93="","-",+C124+1)</f>
        <v>2051</v>
      </c>
      <c r="D125" s="63">
        <f>IF(F124+SUM(E$99:E124)=D$92,F124,D$92-SUM(E$99:E124))</f>
        <v>0</v>
      </c>
      <c r="E125" s="69">
        <f t="shared" si="16"/>
        <v>0</v>
      </c>
      <c r="F125" s="68">
        <f t="shared" si="17"/>
        <v>0</v>
      </c>
      <c r="G125" s="68">
        <f t="shared" si="18"/>
        <v>0</v>
      </c>
      <c r="H125" s="130">
        <f t="shared" si="12"/>
        <v>0</v>
      </c>
      <c r="I125" s="139">
        <f t="shared" si="13"/>
        <v>0</v>
      </c>
      <c r="J125" s="67">
        <f t="shared" si="14"/>
        <v>0</v>
      </c>
      <c r="K125" s="67"/>
      <c r="L125" s="132"/>
      <c r="M125" s="67">
        <f t="shared" si="9"/>
        <v>0</v>
      </c>
      <c r="N125" s="132"/>
      <c r="O125" s="67">
        <f t="shared" si="10"/>
        <v>0</v>
      </c>
      <c r="P125" s="67">
        <f t="shared" si="11"/>
        <v>0</v>
      </c>
    </row>
    <row r="126" spans="2:16" ht="12.5">
      <c r="B126" s="9" t="str">
        <f t="shared" si="15"/>
        <v/>
      </c>
      <c r="C126" s="62">
        <f>IF(D93="","-",+C125+1)</f>
        <v>2052</v>
      </c>
      <c r="D126" s="63">
        <f>IF(F125+SUM(E$99:E125)=D$92,F125,D$92-SUM(E$99:E125))</f>
        <v>0</v>
      </c>
      <c r="E126" s="69">
        <f t="shared" si="16"/>
        <v>0</v>
      </c>
      <c r="F126" s="68">
        <f t="shared" si="17"/>
        <v>0</v>
      </c>
      <c r="G126" s="68">
        <f t="shared" si="18"/>
        <v>0</v>
      </c>
      <c r="H126" s="130">
        <f t="shared" si="12"/>
        <v>0</v>
      </c>
      <c r="I126" s="139">
        <f t="shared" si="13"/>
        <v>0</v>
      </c>
      <c r="J126" s="67">
        <f t="shared" si="14"/>
        <v>0</v>
      </c>
      <c r="K126" s="67"/>
      <c r="L126" s="132"/>
      <c r="M126" s="67">
        <f t="shared" si="9"/>
        <v>0</v>
      </c>
      <c r="N126" s="132"/>
      <c r="O126" s="67">
        <f t="shared" si="10"/>
        <v>0</v>
      </c>
      <c r="P126" s="67">
        <f t="shared" si="11"/>
        <v>0</v>
      </c>
    </row>
    <row r="127" spans="2:16" ht="12.5">
      <c r="B127" s="9" t="str">
        <f t="shared" si="15"/>
        <v/>
      </c>
      <c r="C127" s="62">
        <f>IF(D93="","-",+C126+1)</f>
        <v>2053</v>
      </c>
      <c r="D127" s="63">
        <f>IF(F126+SUM(E$99:E126)=D$92,F126,D$92-SUM(E$99:E126))</f>
        <v>0</v>
      </c>
      <c r="E127" s="69">
        <f t="shared" si="16"/>
        <v>0</v>
      </c>
      <c r="F127" s="68">
        <f t="shared" si="17"/>
        <v>0</v>
      </c>
      <c r="G127" s="68">
        <f t="shared" si="18"/>
        <v>0</v>
      </c>
      <c r="H127" s="130">
        <f t="shared" si="12"/>
        <v>0</v>
      </c>
      <c r="I127" s="139">
        <f t="shared" si="13"/>
        <v>0</v>
      </c>
      <c r="J127" s="67">
        <f t="shared" si="14"/>
        <v>0</v>
      </c>
      <c r="K127" s="67"/>
      <c r="L127" s="132"/>
      <c r="M127" s="67">
        <f t="shared" si="9"/>
        <v>0</v>
      </c>
      <c r="N127" s="132"/>
      <c r="O127" s="67">
        <f t="shared" si="10"/>
        <v>0</v>
      </c>
      <c r="P127" s="67">
        <f t="shared" si="11"/>
        <v>0</v>
      </c>
    </row>
    <row r="128" spans="2:16" ht="12.5">
      <c r="B128" s="9" t="str">
        <f t="shared" si="15"/>
        <v/>
      </c>
      <c r="C128" s="62">
        <f>IF(D93="","-",+C127+1)</f>
        <v>2054</v>
      </c>
      <c r="D128" s="63">
        <f>IF(F127+SUM(E$99:E127)=D$92,F127,D$92-SUM(E$99:E127))</f>
        <v>0</v>
      </c>
      <c r="E128" s="69">
        <f t="shared" si="16"/>
        <v>0</v>
      </c>
      <c r="F128" s="68">
        <f t="shared" si="17"/>
        <v>0</v>
      </c>
      <c r="G128" s="68">
        <f t="shared" si="18"/>
        <v>0</v>
      </c>
      <c r="H128" s="130">
        <f t="shared" si="12"/>
        <v>0</v>
      </c>
      <c r="I128" s="139">
        <f t="shared" si="13"/>
        <v>0</v>
      </c>
      <c r="J128" s="67">
        <f t="shared" si="14"/>
        <v>0</v>
      </c>
      <c r="K128" s="67"/>
      <c r="L128" s="132"/>
      <c r="M128" s="67">
        <f t="shared" si="9"/>
        <v>0</v>
      </c>
      <c r="N128" s="132"/>
      <c r="O128" s="67">
        <f t="shared" si="10"/>
        <v>0</v>
      </c>
      <c r="P128" s="67">
        <f t="shared" si="11"/>
        <v>0</v>
      </c>
    </row>
    <row r="129" spans="2:16" ht="12.5">
      <c r="B129" s="9" t="str">
        <f t="shared" si="15"/>
        <v/>
      </c>
      <c r="C129" s="62">
        <f>IF(D93="","-",+C128+1)</f>
        <v>2055</v>
      </c>
      <c r="D129" s="63">
        <f>IF(F128+SUM(E$99:E128)=D$92,F128,D$92-SUM(E$99:E128))</f>
        <v>0</v>
      </c>
      <c r="E129" s="69">
        <f t="shared" si="16"/>
        <v>0</v>
      </c>
      <c r="F129" s="68">
        <f t="shared" si="17"/>
        <v>0</v>
      </c>
      <c r="G129" s="68">
        <f t="shared" si="18"/>
        <v>0</v>
      </c>
      <c r="H129" s="130">
        <f t="shared" si="12"/>
        <v>0</v>
      </c>
      <c r="I129" s="139">
        <f t="shared" si="13"/>
        <v>0</v>
      </c>
      <c r="J129" s="67">
        <f t="shared" si="14"/>
        <v>0</v>
      </c>
      <c r="K129" s="67"/>
      <c r="L129" s="132"/>
      <c r="M129" s="67">
        <f t="shared" si="9"/>
        <v>0</v>
      </c>
      <c r="N129" s="132"/>
      <c r="O129" s="67">
        <f t="shared" si="10"/>
        <v>0</v>
      </c>
      <c r="P129" s="67">
        <f t="shared" si="11"/>
        <v>0</v>
      </c>
    </row>
    <row r="130" spans="2:16" ht="12.5">
      <c r="B130" s="9" t="str">
        <f t="shared" si="15"/>
        <v/>
      </c>
      <c r="C130" s="62">
        <f>IF(D93="","-",+C129+1)</f>
        <v>2056</v>
      </c>
      <c r="D130" s="63">
        <f>IF(F129+SUM(E$99:E129)=D$92,F129,D$92-SUM(E$99:E129))</f>
        <v>0</v>
      </c>
      <c r="E130" s="69">
        <f t="shared" si="16"/>
        <v>0</v>
      </c>
      <c r="F130" s="68">
        <f t="shared" si="17"/>
        <v>0</v>
      </c>
      <c r="G130" s="68">
        <f t="shared" si="18"/>
        <v>0</v>
      </c>
      <c r="H130" s="130">
        <f t="shared" si="12"/>
        <v>0</v>
      </c>
      <c r="I130" s="139">
        <f t="shared" si="13"/>
        <v>0</v>
      </c>
      <c r="J130" s="67">
        <f t="shared" si="14"/>
        <v>0</v>
      </c>
      <c r="K130" s="67"/>
      <c r="L130" s="132"/>
      <c r="M130" s="67">
        <f t="shared" si="9"/>
        <v>0</v>
      </c>
      <c r="N130" s="132"/>
      <c r="O130" s="67">
        <f t="shared" si="10"/>
        <v>0</v>
      </c>
      <c r="P130" s="67">
        <f t="shared" si="11"/>
        <v>0</v>
      </c>
    </row>
    <row r="131" spans="2:16" ht="12.5">
      <c r="B131" s="9" t="str">
        <f t="shared" si="15"/>
        <v/>
      </c>
      <c r="C131" s="62">
        <f>IF(D93="","-",+C130+1)</f>
        <v>2057</v>
      </c>
      <c r="D131" s="63">
        <f>IF(F130+SUM(E$99:E130)=D$92,F130,D$92-SUM(E$99:E130))</f>
        <v>0</v>
      </c>
      <c r="E131" s="69">
        <f t="shared" si="16"/>
        <v>0</v>
      </c>
      <c r="F131" s="68">
        <f t="shared" si="17"/>
        <v>0</v>
      </c>
      <c r="G131" s="68">
        <f t="shared" si="18"/>
        <v>0</v>
      </c>
      <c r="H131" s="130">
        <f t="shared" si="12"/>
        <v>0</v>
      </c>
      <c r="I131" s="139">
        <f t="shared" si="13"/>
        <v>0</v>
      </c>
      <c r="J131" s="67">
        <f t="shared" ref="J131:J154" si="19">+I541-H541</f>
        <v>0</v>
      </c>
      <c r="K131" s="67"/>
      <c r="L131" s="132"/>
      <c r="M131" s="67">
        <f t="shared" ref="M131:M154" si="20">IF(L541&lt;&gt;0,+H541-L541,0)</f>
        <v>0</v>
      </c>
      <c r="N131" s="132"/>
      <c r="O131" s="67">
        <f t="shared" ref="O131:O154" si="21">IF(N541&lt;&gt;0,+I541-N541,0)</f>
        <v>0</v>
      </c>
      <c r="P131" s="67">
        <f t="shared" ref="P131:P154" si="22">+O541-M541</f>
        <v>0</v>
      </c>
    </row>
    <row r="132" spans="2:16" ht="12.5">
      <c r="B132" s="9" t="str">
        <f t="shared" si="15"/>
        <v/>
      </c>
      <c r="C132" s="62">
        <f>IF(D93="","-",+C131+1)</f>
        <v>2058</v>
      </c>
      <c r="D132" s="63">
        <f>IF(F131+SUM(E$99:E131)=D$92,F131,D$92-SUM(E$99:E131))</f>
        <v>0</v>
      </c>
      <c r="E132" s="69">
        <f t="shared" si="16"/>
        <v>0</v>
      </c>
      <c r="F132" s="68">
        <f t="shared" si="17"/>
        <v>0</v>
      </c>
      <c r="G132" s="68">
        <f t="shared" si="18"/>
        <v>0</v>
      </c>
      <c r="H132" s="130">
        <f t="shared" si="12"/>
        <v>0</v>
      </c>
      <c r="I132" s="139">
        <f t="shared" si="13"/>
        <v>0</v>
      </c>
      <c r="J132" s="67">
        <f t="shared" si="19"/>
        <v>0</v>
      </c>
      <c r="K132" s="67"/>
      <c r="L132" s="132"/>
      <c r="M132" s="67">
        <f t="shared" si="20"/>
        <v>0</v>
      </c>
      <c r="N132" s="132"/>
      <c r="O132" s="67">
        <f t="shared" si="21"/>
        <v>0</v>
      </c>
      <c r="P132" s="67">
        <f t="shared" si="22"/>
        <v>0</v>
      </c>
    </row>
    <row r="133" spans="2:16" ht="12.5">
      <c r="B133" s="9" t="str">
        <f t="shared" si="15"/>
        <v/>
      </c>
      <c r="C133" s="62">
        <f>IF(D93="","-",+C132+1)</f>
        <v>2059</v>
      </c>
      <c r="D133" s="63">
        <f>IF(F132+SUM(E$99:E132)=D$92,F132,D$92-SUM(E$99:E132))</f>
        <v>0</v>
      </c>
      <c r="E133" s="69">
        <f t="shared" si="16"/>
        <v>0</v>
      </c>
      <c r="F133" s="68">
        <f t="shared" si="17"/>
        <v>0</v>
      </c>
      <c r="G133" s="68">
        <f t="shared" si="18"/>
        <v>0</v>
      </c>
      <c r="H133" s="130">
        <f t="shared" si="12"/>
        <v>0</v>
      </c>
      <c r="I133" s="139">
        <f t="shared" si="13"/>
        <v>0</v>
      </c>
      <c r="J133" s="67">
        <f t="shared" si="19"/>
        <v>0</v>
      </c>
      <c r="K133" s="67"/>
      <c r="L133" s="132"/>
      <c r="M133" s="67">
        <f t="shared" si="20"/>
        <v>0</v>
      </c>
      <c r="N133" s="132"/>
      <c r="O133" s="67">
        <f t="shared" si="21"/>
        <v>0</v>
      </c>
      <c r="P133" s="67">
        <f t="shared" si="22"/>
        <v>0</v>
      </c>
    </row>
    <row r="134" spans="2:16" ht="12.5">
      <c r="B134" s="9" t="str">
        <f t="shared" si="15"/>
        <v/>
      </c>
      <c r="C134" s="62">
        <f>IF(D93="","-",+C133+1)</f>
        <v>2060</v>
      </c>
      <c r="D134" s="63">
        <f>IF(F133+SUM(E$99:E133)=D$92,F133,D$92-SUM(E$99:E133))</f>
        <v>0</v>
      </c>
      <c r="E134" s="69">
        <f t="shared" si="16"/>
        <v>0</v>
      </c>
      <c r="F134" s="68">
        <f t="shared" si="17"/>
        <v>0</v>
      </c>
      <c r="G134" s="68">
        <f t="shared" si="18"/>
        <v>0</v>
      </c>
      <c r="H134" s="130">
        <f t="shared" si="12"/>
        <v>0</v>
      </c>
      <c r="I134" s="139">
        <f t="shared" si="13"/>
        <v>0</v>
      </c>
      <c r="J134" s="67">
        <f t="shared" si="19"/>
        <v>0</v>
      </c>
      <c r="K134" s="67"/>
      <c r="L134" s="132"/>
      <c r="M134" s="67">
        <f t="shared" si="20"/>
        <v>0</v>
      </c>
      <c r="N134" s="132"/>
      <c r="O134" s="67">
        <f t="shared" si="21"/>
        <v>0</v>
      </c>
      <c r="P134" s="67">
        <f t="shared" si="22"/>
        <v>0</v>
      </c>
    </row>
    <row r="135" spans="2:16" ht="12.5">
      <c r="B135" s="9" t="str">
        <f t="shared" si="15"/>
        <v/>
      </c>
      <c r="C135" s="62">
        <f>IF(D93="","-",+C134+1)</f>
        <v>2061</v>
      </c>
      <c r="D135" s="63">
        <f>IF(F134+SUM(E$99:E134)=D$92,F134,D$92-SUM(E$99:E134))</f>
        <v>0</v>
      </c>
      <c r="E135" s="69">
        <f t="shared" si="16"/>
        <v>0</v>
      </c>
      <c r="F135" s="68">
        <f t="shared" si="17"/>
        <v>0</v>
      </c>
      <c r="G135" s="68">
        <f t="shared" si="18"/>
        <v>0</v>
      </c>
      <c r="H135" s="130">
        <f t="shared" si="12"/>
        <v>0</v>
      </c>
      <c r="I135" s="139">
        <f t="shared" si="13"/>
        <v>0</v>
      </c>
      <c r="J135" s="67">
        <f t="shared" si="19"/>
        <v>0</v>
      </c>
      <c r="K135" s="67"/>
      <c r="L135" s="132"/>
      <c r="M135" s="67">
        <f t="shared" si="20"/>
        <v>0</v>
      </c>
      <c r="N135" s="132"/>
      <c r="O135" s="67">
        <f t="shared" si="21"/>
        <v>0</v>
      </c>
      <c r="P135" s="67">
        <f t="shared" si="22"/>
        <v>0</v>
      </c>
    </row>
    <row r="136" spans="2:16" ht="12.5">
      <c r="B136" s="9" t="str">
        <f t="shared" si="15"/>
        <v/>
      </c>
      <c r="C136" s="62">
        <f>IF(D93="","-",+C135+1)</f>
        <v>2062</v>
      </c>
      <c r="D136" s="63">
        <f>IF(F135+SUM(E$99:E135)=D$92,F135,D$92-SUM(E$99:E135))</f>
        <v>0</v>
      </c>
      <c r="E136" s="69">
        <f t="shared" si="16"/>
        <v>0</v>
      </c>
      <c r="F136" s="68">
        <f t="shared" si="17"/>
        <v>0</v>
      </c>
      <c r="G136" s="68">
        <f t="shared" si="18"/>
        <v>0</v>
      </c>
      <c r="H136" s="130">
        <f t="shared" si="12"/>
        <v>0</v>
      </c>
      <c r="I136" s="139">
        <f t="shared" si="13"/>
        <v>0</v>
      </c>
      <c r="J136" s="67">
        <f t="shared" si="19"/>
        <v>0</v>
      </c>
      <c r="K136" s="67"/>
      <c r="L136" s="132"/>
      <c r="M136" s="67">
        <f t="shared" si="20"/>
        <v>0</v>
      </c>
      <c r="N136" s="132"/>
      <c r="O136" s="67">
        <f t="shared" si="21"/>
        <v>0</v>
      </c>
      <c r="P136" s="67">
        <f t="shared" si="22"/>
        <v>0</v>
      </c>
    </row>
    <row r="137" spans="2:16" ht="12.5">
      <c r="B137" s="9" t="str">
        <f t="shared" si="15"/>
        <v/>
      </c>
      <c r="C137" s="62">
        <f>IF(D93="","-",+C136+1)</f>
        <v>2063</v>
      </c>
      <c r="D137" s="63">
        <f>IF(F136+SUM(E$99:E136)=D$92,F136,D$92-SUM(E$99:E136))</f>
        <v>0</v>
      </c>
      <c r="E137" s="69">
        <f t="shared" si="16"/>
        <v>0</v>
      </c>
      <c r="F137" s="68">
        <f t="shared" si="17"/>
        <v>0</v>
      </c>
      <c r="G137" s="68">
        <f t="shared" si="18"/>
        <v>0</v>
      </c>
      <c r="H137" s="130">
        <f t="shared" si="12"/>
        <v>0</v>
      </c>
      <c r="I137" s="139">
        <f t="shared" si="13"/>
        <v>0</v>
      </c>
      <c r="J137" s="67">
        <f t="shared" si="19"/>
        <v>0</v>
      </c>
      <c r="K137" s="67"/>
      <c r="L137" s="132"/>
      <c r="M137" s="67">
        <f t="shared" si="20"/>
        <v>0</v>
      </c>
      <c r="N137" s="132"/>
      <c r="O137" s="67">
        <f t="shared" si="21"/>
        <v>0</v>
      </c>
      <c r="P137" s="67">
        <f t="shared" si="22"/>
        <v>0</v>
      </c>
    </row>
    <row r="138" spans="2:16" ht="12.5">
      <c r="B138" s="9" t="str">
        <f t="shared" si="15"/>
        <v/>
      </c>
      <c r="C138" s="62">
        <f>IF(D93="","-",+C137+1)</f>
        <v>2064</v>
      </c>
      <c r="D138" s="63">
        <f>IF(F137+SUM(E$99:E137)=D$92,F137,D$92-SUM(E$99:E137))</f>
        <v>0</v>
      </c>
      <c r="E138" s="69">
        <f t="shared" si="16"/>
        <v>0</v>
      </c>
      <c r="F138" s="68">
        <f t="shared" si="17"/>
        <v>0</v>
      </c>
      <c r="G138" s="68">
        <f t="shared" si="18"/>
        <v>0</v>
      </c>
      <c r="H138" s="130">
        <f t="shared" si="12"/>
        <v>0</v>
      </c>
      <c r="I138" s="139">
        <f t="shared" si="13"/>
        <v>0</v>
      </c>
      <c r="J138" s="67">
        <f t="shared" si="19"/>
        <v>0</v>
      </c>
      <c r="K138" s="67"/>
      <c r="L138" s="132"/>
      <c r="M138" s="67">
        <f t="shared" si="20"/>
        <v>0</v>
      </c>
      <c r="N138" s="132"/>
      <c r="O138" s="67">
        <f t="shared" si="21"/>
        <v>0</v>
      </c>
      <c r="P138" s="67">
        <f t="shared" si="22"/>
        <v>0</v>
      </c>
    </row>
    <row r="139" spans="2:16" ht="12.5">
      <c r="B139" s="9" t="str">
        <f t="shared" si="15"/>
        <v/>
      </c>
      <c r="C139" s="62">
        <f>IF(D93="","-",+C138+1)</f>
        <v>2065</v>
      </c>
      <c r="D139" s="63">
        <f>IF(F138+SUM(E$99:E138)=D$92,F138,D$92-SUM(E$99:E138))</f>
        <v>0</v>
      </c>
      <c r="E139" s="69">
        <f t="shared" si="16"/>
        <v>0</v>
      </c>
      <c r="F139" s="68">
        <f t="shared" si="17"/>
        <v>0</v>
      </c>
      <c r="G139" s="68">
        <f t="shared" si="18"/>
        <v>0</v>
      </c>
      <c r="H139" s="130">
        <f t="shared" si="12"/>
        <v>0</v>
      </c>
      <c r="I139" s="139">
        <f t="shared" si="13"/>
        <v>0</v>
      </c>
      <c r="J139" s="67">
        <f t="shared" si="19"/>
        <v>0</v>
      </c>
      <c r="K139" s="67"/>
      <c r="L139" s="132"/>
      <c r="M139" s="67">
        <f t="shared" si="20"/>
        <v>0</v>
      </c>
      <c r="N139" s="132"/>
      <c r="O139" s="67">
        <f t="shared" si="21"/>
        <v>0</v>
      </c>
      <c r="P139" s="67">
        <f t="shared" si="22"/>
        <v>0</v>
      </c>
    </row>
    <row r="140" spans="2:16" ht="12.5">
      <c r="B140" s="9" t="str">
        <f t="shared" si="15"/>
        <v/>
      </c>
      <c r="C140" s="62">
        <f>IF(D93="","-",+C139+1)</f>
        <v>2066</v>
      </c>
      <c r="D140" s="63">
        <f>IF(F139+SUM(E$99:E139)=D$92,F139,D$92-SUM(E$99:E139))</f>
        <v>0</v>
      </c>
      <c r="E140" s="69">
        <f t="shared" si="16"/>
        <v>0</v>
      </c>
      <c r="F140" s="68">
        <f t="shared" si="17"/>
        <v>0</v>
      </c>
      <c r="G140" s="68">
        <f t="shared" si="18"/>
        <v>0</v>
      </c>
      <c r="H140" s="130">
        <f t="shared" si="12"/>
        <v>0</v>
      </c>
      <c r="I140" s="139">
        <f t="shared" si="13"/>
        <v>0</v>
      </c>
      <c r="J140" s="67">
        <f t="shared" si="19"/>
        <v>0</v>
      </c>
      <c r="K140" s="67"/>
      <c r="L140" s="132"/>
      <c r="M140" s="67">
        <f t="shared" si="20"/>
        <v>0</v>
      </c>
      <c r="N140" s="132"/>
      <c r="O140" s="67">
        <f t="shared" si="21"/>
        <v>0</v>
      </c>
      <c r="P140" s="67">
        <f t="shared" si="22"/>
        <v>0</v>
      </c>
    </row>
    <row r="141" spans="2:16" ht="12.5">
      <c r="B141" s="9" t="str">
        <f t="shared" si="15"/>
        <v/>
      </c>
      <c r="C141" s="62">
        <f>IF(D93="","-",+C140+1)</f>
        <v>2067</v>
      </c>
      <c r="D141" s="63">
        <f>IF(F140+SUM(E$99:E140)=D$92,F140,D$92-SUM(E$99:E140))</f>
        <v>0</v>
      </c>
      <c r="E141" s="69">
        <f t="shared" si="16"/>
        <v>0</v>
      </c>
      <c r="F141" s="68">
        <f t="shared" si="17"/>
        <v>0</v>
      </c>
      <c r="G141" s="68">
        <f t="shared" si="18"/>
        <v>0</v>
      </c>
      <c r="H141" s="130">
        <f t="shared" si="12"/>
        <v>0</v>
      </c>
      <c r="I141" s="139">
        <f t="shared" si="13"/>
        <v>0</v>
      </c>
      <c r="J141" s="67">
        <f t="shared" si="19"/>
        <v>0</v>
      </c>
      <c r="K141" s="67"/>
      <c r="L141" s="132"/>
      <c r="M141" s="67">
        <f t="shared" si="20"/>
        <v>0</v>
      </c>
      <c r="N141" s="132"/>
      <c r="O141" s="67">
        <f t="shared" si="21"/>
        <v>0</v>
      </c>
      <c r="P141" s="67">
        <f t="shared" si="22"/>
        <v>0</v>
      </c>
    </row>
    <row r="142" spans="2:16" ht="12.5">
      <c r="B142" s="9" t="str">
        <f t="shared" si="15"/>
        <v/>
      </c>
      <c r="C142" s="62">
        <f>IF(D93="","-",+C141+1)</f>
        <v>2068</v>
      </c>
      <c r="D142" s="63">
        <f>IF(F141+SUM(E$99:E141)=D$92,F141,D$92-SUM(E$99:E141))</f>
        <v>0</v>
      </c>
      <c r="E142" s="69">
        <f t="shared" si="16"/>
        <v>0</v>
      </c>
      <c r="F142" s="68">
        <f t="shared" si="17"/>
        <v>0</v>
      </c>
      <c r="G142" s="68">
        <f t="shared" si="18"/>
        <v>0</v>
      </c>
      <c r="H142" s="130">
        <f t="shared" si="12"/>
        <v>0</v>
      </c>
      <c r="I142" s="139">
        <f t="shared" si="13"/>
        <v>0</v>
      </c>
      <c r="J142" s="67">
        <f t="shared" si="19"/>
        <v>0</v>
      </c>
      <c r="K142" s="67"/>
      <c r="L142" s="132"/>
      <c r="M142" s="67">
        <f t="shared" si="20"/>
        <v>0</v>
      </c>
      <c r="N142" s="132"/>
      <c r="O142" s="67">
        <f t="shared" si="21"/>
        <v>0</v>
      </c>
      <c r="P142" s="67">
        <f t="shared" si="22"/>
        <v>0</v>
      </c>
    </row>
    <row r="143" spans="2:16" ht="12.5">
      <c r="B143" s="9" t="str">
        <f t="shared" si="15"/>
        <v/>
      </c>
      <c r="C143" s="62">
        <f>IF(D93="","-",+C142+1)</f>
        <v>2069</v>
      </c>
      <c r="D143" s="63">
        <f>IF(F142+SUM(E$99:E142)=D$92,F142,D$92-SUM(E$99:E142))</f>
        <v>0</v>
      </c>
      <c r="E143" s="69">
        <f t="shared" si="16"/>
        <v>0</v>
      </c>
      <c r="F143" s="68">
        <f t="shared" si="17"/>
        <v>0</v>
      </c>
      <c r="G143" s="68">
        <f t="shared" si="18"/>
        <v>0</v>
      </c>
      <c r="H143" s="130">
        <f t="shared" si="12"/>
        <v>0</v>
      </c>
      <c r="I143" s="139">
        <f t="shared" si="13"/>
        <v>0</v>
      </c>
      <c r="J143" s="67">
        <f t="shared" si="19"/>
        <v>0</v>
      </c>
      <c r="K143" s="67"/>
      <c r="L143" s="132"/>
      <c r="M143" s="67">
        <f t="shared" si="20"/>
        <v>0</v>
      </c>
      <c r="N143" s="132"/>
      <c r="O143" s="67">
        <f t="shared" si="21"/>
        <v>0</v>
      </c>
      <c r="P143" s="67">
        <f t="shared" si="22"/>
        <v>0</v>
      </c>
    </row>
    <row r="144" spans="2:16" ht="12.5">
      <c r="B144" s="9" t="str">
        <f t="shared" si="15"/>
        <v/>
      </c>
      <c r="C144" s="62">
        <f>IF(D93="","-",+C143+1)</f>
        <v>2070</v>
      </c>
      <c r="D144" s="63">
        <f>IF(F143+SUM(E$99:E143)=D$92,F143,D$92-SUM(E$99:E143))</f>
        <v>0</v>
      </c>
      <c r="E144" s="69">
        <f t="shared" si="16"/>
        <v>0</v>
      </c>
      <c r="F144" s="68">
        <f t="shared" si="17"/>
        <v>0</v>
      </c>
      <c r="G144" s="68">
        <f t="shared" si="18"/>
        <v>0</v>
      </c>
      <c r="H144" s="130">
        <f t="shared" si="12"/>
        <v>0</v>
      </c>
      <c r="I144" s="139">
        <f t="shared" si="13"/>
        <v>0</v>
      </c>
      <c r="J144" s="67">
        <f t="shared" si="19"/>
        <v>0</v>
      </c>
      <c r="K144" s="67"/>
      <c r="L144" s="132"/>
      <c r="M144" s="67">
        <f t="shared" si="20"/>
        <v>0</v>
      </c>
      <c r="N144" s="132"/>
      <c r="O144" s="67">
        <f t="shared" si="21"/>
        <v>0</v>
      </c>
      <c r="P144" s="67">
        <f t="shared" si="22"/>
        <v>0</v>
      </c>
    </row>
    <row r="145" spans="2:16" ht="12.5">
      <c r="B145" s="9" t="str">
        <f t="shared" si="15"/>
        <v/>
      </c>
      <c r="C145" s="62">
        <f>IF(D93="","-",+C144+1)</f>
        <v>2071</v>
      </c>
      <c r="D145" s="63">
        <f>IF(F144+SUM(E$99:E144)=D$92,F144,D$92-SUM(E$99:E144))</f>
        <v>0</v>
      </c>
      <c r="E145" s="69">
        <f t="shared" si="16"/>
        <v>0</v>
      </c>
      <c r="F145" s="68">
        <f t="shared" si="17"/>
        <v>0</v>
      </c>
      <c r="G145" s="68">
        <f t="shared" si="18"/>
        <v>0</v>
      </c>
      <c r="H145" s="130">
        <f t="shared" si="12"/>
        <v>0</v>
      </c>
      <c r="I145" s="139">
        <f t="shared" si="13"/>
        <v>0</v>
      </c>
      <c r="J145" s="67">
        <f t="shared" si="19"/>
        <v>0</v>
      </c>
      <c r="K145" s="67"/>
      <c r="L145" s="132"/>
      <c r="M145" s="67">
        <f t="shared" si="20"/>
        <v>0</v>
      </c>
      <c r="N145" s="132"/>
      <c r="O145" s="67">
        <f t="shared" si="21"/>
        <v>0</v>
      </c>
      <c r="P145" s="67">
        <f t="shared" si="22"/>
        <v>0</v>
      </c>
    </row>
    <row r="146" spans="2:16" ht="12.5">
      <c r="B146" s="9" t="str">
        <f t="shared" si="15"/>
        <v/>
      </c>
      <c r="C146" s="62">
        <f>IF(D93="","-",+C145+1)</f>
        <v>2072</v>
      </c>
      <c r="D146" s="63">
        <f>IF(F145+SUM(E$99:E145)=D$92,F145,D$92-SUM(E$99:E145))</f>
        <v>0</v>
      </c>
      <c r="E146" s="69">
        <f t="shared" si="16"/>
        <v>0</v>
      </c>
      <c r="F146" s="68">
        <f t="shared" si="17"/>
        <v>0</v>
      </c>
      <c r="G146" s="68">
        <f t="shared" si="18"/>
        <v>0</v>
      </c>
      <c r="H146" s="130">
        <f t="shared" si="12"/>
        <v>0</v>
      </c>
      <c r="I146" s="139">
        <f t="shared" si="13"/>
        <v>0</v>
      </c>
      <c r="J146" s="67">
        <f t="shared" si="19"/>
        <v>0</v>
      </c>
      <c r="K146" s="67"/>
      <c r="L146" s="132"/>
      <c r="M146" s="67">
        <f t="shared" si="20"/>
        <v>0</v>
      </c>
      <c r="N146" s="132"/>
      <c r="O146" s="67">
        <f t="shared" si="21"/>
        <v>0</v>
      </c>
      <c r="P146" s="67">
        <f t="shared" si="22"/>
        <v>0</v>
      </c>
    </row>
    <row r="147" spans="2:16" ht="12.5">
      <c r="B147" s="9" t="str">
        <f t="shared" si="15"/>
        <v/>
      </c>
      <c r="C147" s="62">
        <f>IF(D93="","-",+C146+1)</f>
        <v>2073</v>
      </c>
      <c r="D147" s="63">
        <f>IF(F146+SUM(E$99:E146)=D$92,F146,D$92-SUM(E$99:E146))</f>
        <v>0</v>
      </c>
      <c r="E147" s="69">
        <f t="shared" si="16"/>
        <v>0</v>
      </c>
      <c r="F147" s="68">
        <f t="shared" si="17"/>
        <v>0</v>
      </c>
      <c r="G147" s="68">
        <f t="shared" si="18"/>
        <v>0</v>
      </c>
      <c r="H147" s="130">
        <f t="shared" si="12"/>
        <v>0</v>
      </c>
      <c r="I147" s="139">
        <f t="shared" si="13"/>
        <v>0</v>
      </c>
      <c r="J147" s="67">
        <f t="shared" si="19"/>
        <v>0</v>
      </c>
      <c r="K147" s="67"/>
      <c r="L147" s="132"/>
      <c r="M147" s="67">
        <f t="shared" si="20"/>
        <v>0</v>
      </c>
      <c r="N147" s="132"/>
      <c r="O147" s="67">
        <f t="shared" si="21"/>
        <v>0</v>
      </c>
      <c r="P147" s="67">
        <f t="shared" si="22"/>
        <v>0</v>
      </c>
    </row>
    <row r="148" spans="2:16" ht="12.5">
      <c r="B148" s="9" t="str">
        <f t="shared" si="15"/>
        <v/>
      </c>
      <c r="C148" s="62">
        <f>IF(D93="","-",+C147+1)</f>
        <v>2074</v>
      </c>
      <c r="D148" s="63">
        <f>IF(F147+SUM(E$99:E147)=D$92,F147,D$92-SUM(E$99:E147))</f>
        <v>0</v>
      </c>
      <c r="E148" s="69">
        <f t="shared" si="16"/>
        <v>0</v>
      </c>
      <c r="F148" s="68">
        <f t="shared" si="17"/>
        <v>0</v>
      </c>
      <c r="G148" s="68">
        <f t="shared" si="18"/>
        <v>0</v>
      </c>
      <c r="H148" s="130">
        <f t="shared" si="12"/>
        <v>0</v>
      </c>
      <c r="I148" s="139">
        <f t="shared" si="13"/>
        <v>0</v>
      </c>
      <c r="J148" s="67">
        <f t="shared" si="19"/>
        <v>0</v>
      </c>
      <c r="K148" s="67"/>
      <c r="L148" s="132"/>
      <c r="M148" s="67">
        <f t="shared" si="20"/>
        <v>0</v>
      </c>
      <c r="N148" s="132"/>
      <c r="O148" s="67">
        <f t="shared" si="21"/>
        <v>0</v>
      </c>
      <c r="P148" s="67">
        <f t="shared" si="22"/>
        <v>0</v>
      </c>
    </row>
    <row r="149" spans="2:16" ht="12.5">
      <c r="B149" s="9" t="str">
        <f t="shared" si="15"/>
        <v/>
      </c>
      <c r="C149" s="62">
        <f>IF(D93="","-",+C148+1)</f>
        <v>2075</v>
      </c>
      <c r="D149" s="63">
        <f>IF(F148+SUM(E$99:E148)=D$92,F148,D$92-SUM(E$99:E148))</f>
        <v>0</v>
      </c>
      <c r="E149" s="69">
        <f t="shared" si="16"/>
        <v>0</v>
      </c>
      <c r="F149" s="68">
        <f t="shared" si="17"/>
        <v>0</v>
      </c>
      <c r="G149" s="68">
        <f t="shared" si="18"/>
        <v>0</v>
      </c>
      <c r="H149" s="130">
        <f t="shared" si="12"/>
        <v>0</v>
      </c>
      <c r="I149" s="139">
        <f t="shared" si="13"/>
        <v>0</v>
      </c>
      <c r="J149" s="67">
        <f t="shared" si="19"/>
        <v>0</v>
      </c>
      <c r="K149" s="67"/>
      <c r="L149" s="132"/>
      <c r="M149" s="67">
        <f t="shared" si="20"/>
        <v>0</v>
      </c>
      <c r="N149" s="132"/>
      <c r="O149" s="67">
        <f t="shared" si="21"/>
        <v>0</v>
      </c>
      <c r="P149" s="67">
        <f t="shared" si="22"/>
        <v>0</v>
      </c>
    </row>
    <row r="150" spans="2:16" ht="12.5">
      <c r="B150" s="9" t="str">
        <f t="shared" si="15"/>
        <v/>
      </c>
      <c r="C150" s="62">
        <f>IF(D93="","-",+C149+1)</f>
        <v>2076</v>
      </c>
      <c r="D150" s="63">
        <f>IF(F149+SUM(E$99:E149)=D$92,F149,D$92-SUM(E$99:E149))</f>
        <v>0</v>
      </c>
      <c r="E150" s="69">
        <f t="shared" si="16"/>
        <v>0</v>
      </c>
      <c r="F150" s="68">
        <f t="shared" si="17"/>
        <v>0</v>
      </c>
      <c r="G150" s="68">
        <f t="shared" si="18"/>
        <v>0</v>
      </c>
      <c r="H150" s="130">
        <f t="shared" si="12"/>
        <v>0</v>
      </c>
      <c r="I150" s="139">
        <f t="shared" si="13"/>
        <v>0</v>
      </c>
      <c r="J150" s="67">
        <f t="shared" si="19"/>
        <v>0</v>
      </c>
      <c r="K150" s="67"/>
      <c r="L150" s="132"/>
      <c r="M150" s="67">
        <f t="shared" si="20"/>
        <v>0</v>
      </c>
      <c r="N150" s="132"/>
      <c r="O150" s="67">
        <f t="shared" si="21"/>
        <v>0</v>
      </c>
      <c r="P150" s="67">
        <f t="shared" si="22"/>
        <v>0</v>
      </c>
    </row>
    <row r="151" spans="2:16" ht="12.5">
      <c r="B151" s="9" t="str">
        <f t="shared" si="15"/>
        <v/>
      </c>
      <c r="C151" s="62">
        <f>IF(D93="","-",+C150+1)</f>
        <v>2077</v>
      </c>
      <c r="D151" s="63">
        <f>IF(F150+SUM(E$99:E150)=D$92,F150,D$92-SUM(E$99:E150))</f>
        <v>0</v>
      </c>
      <c r="E151" s="69">
        <f t="shared" si="16"/>
        <v>0</v>
      </c>
      <c r="F151" s="68">
        <f t="shared" si="17"/>
        <v>0</v>
      </c>
      <c r="G151" s="68">
        <f t="shared" si="18"/>
        <v>0</v>
      </c>
      <c r="H151" s="130">
        <f t="shared" si="12"/>
        <v>0</v>
      </c>
      <c r="I151" s="139">
        <f t="shared" si="13"/>
        <v>0</v>
      </c>
      <c r="J151" s="67">
        <f t="shared" si="19"/>
        <v>0</v>
      </c>
      <c r="K151" s="67"/>
      <c r="L151" s="132"/>
      <c r="M151" s="67">
        <f t="shared" si="20"/>
        <v>0</v>
      </c>
      <c r="N151" s="132"/>
      <c r="O151" s="67">
        <f t="shared" si="21"/>
        <v>0</v>
      </c>
      <c r="P151" s="67">
        <f t="shared" si="22"/>
        <v>0</v>
      </c>
    </row>
    <row r="152" spans="2:16" ht="12.5">
      <c r="B152" s="9" t="str">
        <f t="shared" si="15"/>
        <v/>
      </c>
      <c r="C152" s="62">
        <f>IF(D93="","-",+C151+1)</f>
        <v>2078</v>
      </c>
      <c r="D152" s="63">
        <f>IF(F151+SUM(E$99:E151)=D$92,F151,D$92-SUM(E$99:E151))</f>
        <v>0</v>
      </c>
      <c r="E152" s="69">
        <f t="shared" si="16"/>
        <v>0</v>
      </c>
      <c r="F152" s="68">
        <f t="shared" si="17"/>
        <v>0</v>
      </c>
      <c r="G152" s="68">
        <f t="shared" si="18"/>
        <v>0</v>
      </c>
      <c r="H152" s="130">
        <f t="shared" si="12"/>
        <v>0</v>
      </c>
      <c r="I152" s="139">
        <f t="shared" si="13"/>
        <v>0</v>
      </c>
      <c r="J152" s="67">
        <f t="shared" si="19"/>
        <v>0</v>
      </c>
      <c r="K152" s="67"/>
      <c r="L152" s="132"/>
      <c r="M152" s="67">
        <f t="shared" si="20"/>
        <v>0</v>
      </c>
      <c r="N152" s="132"/>
      <c r="O152" s="67">
        <f t="shared" si="21"/>
        <v>0</v>
      </c>
      <c r="P152" s="67">
        <f t="shared" si="22"/>
        <v>0</v>
      </c>
    </row>
    <row r="153" spans="2:16" ht="12.5">
      <c r="B153" s="9" t="str">
        <f t="shared" si="15"/>
        <v/>
      </c>
      <c r="C153" s="62">
        <f>IF(D93="","-",+C152+1)</f>
        <v>2079</v>
      </c>
      <c r="D153" s="63">
        <f>IF(F152+SUM(E$99:E152)=D$92,F152,D$92-SUM(E$99:E152))</f>
        <v>0</v>
      </c>
      <c r="E153" s="69">
        <f t="shared" si="16"/>
        <v>0</v>
      </c>
      <c r="F153" s="68">
        <f t="shared" si="17"/>
        <v>0</v>
      </c>
      <c r="G153" s="68">
        <f t="shared" si="18"/>
        <v>0</v>
      </c>
      <c r="H153" s="130">
        <f t="shared" si="12"/>
        <v>0</v>
      </c>
      <c r="I153" s="139">
        <f t="shared" si="13"/>
        <v>0</v>
      </c>
      <c r="J153" s="67">
        <f t="shared" si="19"/>
        <v>0</v>
      </c>
      <c r="K153" s="67"/>
      <c r="L153" s="132"/>
      <c r="M153" s="67">
        <f t="shared" si="20"/>
        <v>0</v>
      </c>
      <c r="N153" s="132"/>
      <c r="O153" s="67">
        <f t="shared" si="21"/>
        <v>0</v>
      </c>
      <c r="P153" s="67">
        <f t="shared" si="22"/>
        <v>0</v>
      </c>
    </row>
    <row r="154" spans="2:16" ht="13" thickBot="1">
      <c r="B154" s="9" t="str">
        <f t="shared" si="15"/>
        <v/>
      </c>
      <c r="C154" s="72">
        <f>IF(D93="","-",+C153+1)</f>
        <v>2080</v>
      </c>
      <c r="D154" s="98">
        <f>IF(F153+SUM(E$99:E153)=D$92,F153,D$92-SUM(E$99:E153))</f>
        <v>0</v>
      </c>
      <c r="E154" s="74">
        <f t="shared" si="16"/>
        <v>0</v>
      </c>
      <c r="F154" s="73">
        <f t="shared" si="17"/>
        <v>0</v>
      </c>
      <c r="G154" s="73">
        <f t="shared" si="18"/>
        <v>0</v>
      </c>
      <c r="H154" s="140">
        <f t="shared" si="12"/>
        <v>0</v>
      </c>
      <c r="I154" s="141">
        <f t="shared" si="13"/>
        <v>0</v>
      </c>
      <c r="J154" s="76">
        <f t="shared" si="19"/>
        <v>0</v>
      </c>
      <c r="K154" s="67"/>
      <c r="L154" s="133"/>
      <c r="M154" s="76">
        <f t="shared" si="20"/>
        <v>0</v>
      </c>
      <c r="N154" s="133"/>
      <c r="O154" s="76">
        <f t="shared" si="21"/>
        <v>0</v>
      </c>
      <c r="P154" s="76">
        <f t="shared" si="22"/>
        <v>0</v>
      </c>
    </row>
    <row r="155" spans="2:16" ht="12.5">
      <c r="C155" s="63" t="s">
        <v>77</v>
      </c>
      <c r="D155" s="20"/>
      <c r="E155" s="20">
        <f>SUM(E99:E154)</f>
        <v>0</v>
      </c>
      <c r="F155" s="20"/>
      <c r="G155" s="20"/>
      <c r="H155" s="20">
        <f>SUM(H99:H154)</f>
        <v>0</v>
      </c>
      <c r="I155" s="20">
        <f>SUM(I99:I154)</f>
        <v>0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7" priority="1" stopIfTrue="1" operator="equal">
      <formula>$I$10</formula>
    </cfRule>
  </conditionalFormatting>
  <conditionalFormatting sqref="C99:C154">
    <cfRule type="cellIs" dxfId="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C3A5AB-6B68-43D1-9DAC-17D812842DF2}">
  <dimension ref="A1:P162"/>
  <sheetViews>
    <sheetView topLeftCell="A92" zoomScaleNormal="100" zoomScaleSheetLayoutView="78" workbookViewId="0">
      <selection activeCell="Q18" sqref="Q18:V52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414" t="str">
        <f ca="1">"PSO Project "&amp;RIGHT(MID(CELL("filename",$A$1),FIND("]",CELL("filename",$A$1))+1,256),2)&amp;" of "&amp;COUNT('P.001:P.xyz - blank'!$P$3)-1</f>
        <v>PSO Project 34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279</v>
      </c>
      <c r="L5" s="24"/>
      <c r="M5" s="25"/>
      <c r="N5" s="26">
        <v>0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280</v>
      </c>
      <c r="L6" s="30"/>
      <c r="M6" s="4"/>
      <c r="N6" s="31">
        <v>0</v>
      </c>
      <c r="O6" s="1"/>
      <c r="P6" s="1"/>
    </row>
    <row r="7" spans="1:16" ht="13.5" thickBot="1">
      <c r="C7" s="32" t="s">
        <v>46</v>
      </c>
      <c r="D7" s="104" t="s">
        <v>366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 t="s">
        <v>365</v>
      </c>
      <c r="E9" s="645" t="s">
        <v>384</v>
      </c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>
        <v>0</v>
      </c>
      <c r="E10" s="12" t="s">
        <v>51</v>
      </c>
      <c r="F10" s="42"/>
      <c r="G10" s="44"/>
      <c r="H10" s="44"/>
      <c r="I10" s="45">
        <f>+'PSO.WS.F.BPU.ATRR.Projected'!L19</f>
        <v>2024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2025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5</v>
      </c>
      <c r="E12" s="46" t="s">
        <v>56</v>
      </c>
      <c r="F12" s="44"/>
      <c r="G12" s="7"/>
      <c r="H12" s="7"/>
      <c r="I12" s="50">
        <f>'PSO.WS.F.BPU.ATRR.Projected'!$F$81</f>
        <v>0.11374018757958901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0.11374018757958901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0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281</v>
      </c>
      <c r="H15" s="143" t="s">
        <v>282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2025</v>
      </c>
      <c r="D17" s="63">
        <v>0</v>
      </c>
      <c r="E17" s="64">
        <f>IF(D10&gt;=100000,I$14/12*(12-D12),0)</f>
        <v>0</v>
      </c>
      <c r="F17" s="68">
        <f>IF(D11=C17,+D10-E17,+D17-E17)</f>
        <v>0</v>
      </c>
      <c r="G17" s="64">
        <f>(D17+F17)/2*I$12+E17</f>
        <v>0</v>
      </c>
      <c r="H17" s="52">
        <f>+(D17+F17)/2*I$13+E17</f>
        <v>0</v>
      </c>
      <c r="I17" s="65">
        <f>H17-G17</f>
        <v>0</v>
      </c>
      <c r="J17" s="65"/>
      <c r="K17" s="134"/>
      <c r="L17" s="66">
        <f t="shared" ref="L17:L72" si="0">IF(K17&lt;&gt;0,+G17-K17,0)</f>
        <v>0</v>
      </c>
      <c r="M17" s="134"/>
      <c r="N17" s="66">
        <f t="shared" ref="N17:N72" si="1">IF(M17&lt;&gt;0,+H17-M17,0)</f>
        <v>0</v>
      </c>
      <c r="O17" s="67">
        <f t="shared" ref="O17:O72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2026</v>
      </c>
      <c r="D18" s="71">
        <f>IF(F17+SUM(E$17:E17)=D$10,F17,D$10-SUM(E$17:E17))</f>
        <v>0</v>
      </c>
      <c r="E18" s="69">
        <f>IF(+I$14&lt;F17,I$14,D18)</f>
        <v>0</v>
      </c>
      <c r="F18" s="68">
        <f>+D18-E18</f>
        <v>0</v>
      </c>
      <c r="G18" s="70">
        <f>(D18+F18)/2*I$12+E18</f>
        <v>0</v>
      </c>
      <c r="H18" s="52">
        <f>+(D18+F18)/2*I$13+E18</f>
        <v>0</v>
      </c>
      <c r="I18" s="65">
        <f>H18-G18</f>
        <v>0</v>
      </c>
      <c r="J18" s="65"/>
      <c r="K18" s="132"/>
      <c r="L18" s="67">
        <f t="shared" si="0"/>
        <v>0</v>
      </c>
      <c r="M18" s="132"/>
      <c r="N18" s="67">
        <f t="shared" si="1"/>
        <v>0</v>
      </c>
      <c r="O18" s="67">
        <f t="shared" si="2"/>
        <v>0</v>
      </c>
      <c r="P18" s="4"/>
    </row>
    <row r="19" spans="2:16" ht="12.5">
      <c r="B19" s="9" t="str">
        <f>IF(D19=F18,"","IU")</f>
        <v/>
      </c>
      <c r="C19" s="62">
        <f>IF(D11="","-",+C18+1)</f>
        <v>2027</v>
      </c>
      <c r="D19" s="71">
        <f>IF(F18+SUM(E$17:E18)=D$10,F18,D$10-SUM(E$17:E18))</f>
        <v>0</v>
      </c>
      <c r="E19" s="69">
        <f t="shared" ref="E19:E71" si="3">IF(+I$14&lt;F18,I$14,D19)</f>
        <v>0</v>
      </c>
      <c r="F19" s="68">
        <f t="shared" ref="F19:F71" si="4">+D19-E19</f>
        <v>0</v>
      </c>
      <c r="G19" s="70">
        <f t="shared" ref="G19:G71" si="5">(D19+F19)/2*I$12+E19</f>
        <v>0</v>
      </c>
      <c r="H19" s="52">
        <f t="shared" ref="H19:H71" si="6">+(D19+F19)/2*I$13+E19</f>
        <v>0</v>
      </c>
      <c r="I19" s="65">
        <f t="shared" ref="I19:I71" si="7">H19-G19</f>
        <v>0</v>
      </c>
      <c r="J19" s="65"/>
      <c r="K19" s="132"/>
      <c r="L19" s="67">
        <f t="shared" si="0"/>
        <v>0</v>
      </c>
      <c r="M19" s="132"/>
      <c r="N19" s="67">
        <f t="shared" si="1"/>
        <v>0</v>
      </c>
      <c r="O19" s="67">
        <f t="shared" si="2"/>
        <v>0</v>
      </c>
      <c r="P19" s="4"/>
    </row>
    <row r="20" spans="2:16" ht="12.5">
      <c r="B20" s="9" t="str">
        <f t="shared" ref="B20:B72" si="8">IF(D20=F19,"","IU")</f>
        <v/>
      </c>
      <c r="C20" s="62">
        <f>IF(D11="","-",+C19+1)</f>
        <v>2028</v>
      </c>
      <c r="D20" s="71">
        <f>IF(F19+SUM(E$17:E19)=D$10,F19,D$10-SUM(E$17:E19))</f>
        <v>0</v>
      </c>
      <c r="E20" s="69">
        <f t="shared" si="3"/>
        <v>0</v>
      </c>
      <c r="F20" s="68">
        <f t="shared" si="4"/>
        <v>0</v>
      </c>
      <c r="G20" s="70">
        <f t="shared" si="5"/>
        <v>0</v>
      </c>
      <c r="H20" s="52">
        <f t="shared" si="6"/>
        <v>0</v>
      </c>
      <c r="I20" s="65">
        <f t="shared" si="7"/>
        <v>0</v>
      </c>
      <c r="J20" s="65"/>
      <c r="K20" s="132"/>
      <c r="L20" s="67">
        <f t="shared" si="0"/>
        <v>0</v>
      </c>
      <c r="M20" s="132"/>
      <c r="N20" s="67">
        <f t="shared" si="1"/>
        <v>0</v>
      </c>
      <c r="O20" s="67">
        <f t="shared" si="2"/>
        <v>0</v>
      </c>
      <c r="P20" s="4"/>
    </row>
    <row r="21" spans="2:16" ht="12.5">
      <c r="B21" s="9" t="str">
        <f t="shared" si="8"/>
        <v/>
      </c>
      <c r="C21" s="62">
        <f>IF(D11="","-",+C20+1)</f>
        <v>2029</v>
      </c>
      <c r="D21" s="71">
        <f>IF(F20+SUM(E$17:E20)=D$10,F20,D$10-SUM(E$17:E20))</f>
        <v>0</v>
      </c>
      <c r="E21" s="69">
        <f t="shared" si="3"/>
        <v>0</v>
      </c>
      <c r="F21" s="68">
        <f t="shared" si="4"/>
        <v>0</v>
      </c>
      <c r="G21" s="70">
        <f t="shared" si="5"/>
        <v>0</v>
      </c>
      <c r="H21" s="52">
        <f t="shared" si="6"/>
        <v>0</v>
      </c>
      <c r="I21" s="65">
        <f t="shared" si="7"/>
        <v>0</v>
      </c>
      <c r="J21" s="65"/>
      <c r="K21" s="132"/>
      <c r="L21" s="67">
        <f t="shared" si="0"/>
        <v>0</v>
      </c>
      <c r="M21" s="132"/>
      <c r="N21" s="67">
        <f t="shared" si="1"/>
        <v>0</v>
      </c>
      <c r="O21" s="67">
        <f t="shared" si="2"/>
        <v>0</v>
      </c>
      <c r="P21" s="4"/>
    </row>
    <row r="22" spans="2:16" ht="12.5">
      <c r="B22" s="9" t="str">
        <f t="shared" si="8"/>
        <v/>
      </c>
      <c r="C22" s="62">
        <f>IF(D11="","-",+C21+1)</f>
        <v>2030</v>
      </c>
      <c r="D22" s="71">
        <f>IF(F21+SUM(E$17:E21)=D$10,F21,D$10-SUM(E$17:E21))</f>
        <v>0</v>
      </c>
      <c r="E22" s="69">
        <f t="shared" si="3"/>
        <v>0</v>
      </c>
      <c r="F22" s="68">
        <f t="shared" si="4"/>
        <v>0</v>
      </c>
      <c r="G22" s="70">
        <f t="shared" si="5"/>
        <v>0</v>
      </c>
      <c r="H22" s="52">
        <f t="shared" si="6"/>
        <v>0</v>
      </c>
      <c r="I22" s="65">
        <f t="shared" si="7"/>
        <v>0</v>
      </c>
      <c r="J22" s="65"/>
      <c r="K22" s="132"/>
      <c r="L22" s="67">
        <f t="shared" si="0"/>
        <v>0</v>
      </c>
      <c r="M22" s="132"/>
      <c r="N22" s="67">
        <f t="shared" si="1"/>
        <v>0</v>
      </c>
      <c r="O22" s="67">
        <f t="shared" si="2"/>
        <v>0</v>
      </c>
      <c r="P22" s="4"/>
    </row>
    <row r="23" spans="2:16" ht="12.5">
      <c r="B23" s="9" t="str">
        <f t="shared" si="8"/>
        <v/>
      </c>
      <c r="C23" s="62">
        <f>IF(D11="","-",+C22+1)</f>
        <v>2031</v>
      </c>
      <c r="D23" s="71">
        <f>IF(F22+SUM(E$17:E22)=D$10,F22,D$10-SUM(E$17:E22))</f>
        <v>0</v>
      </c>
      <c r="E23" s="69">
        <f t="shared" si="3"/>
        <v>0</v>
      </c>
      <c r="F23" s="68">
        <f t="shared" si="4"/>
        <v>0</v>
      </c>
      <c r="G23" s="70">
        <f t="shared" si="5"/>
        <v>0</v>
      </c>
      <c r="H23" s="52">
        <f t="shared" si="6"/>
        <v>0</v>
      </c>
      <c r="I23" s="65">
        <f t="shared" si="7"/>
        <v>0</v>
      </c>
      <c r="J23" s="65"/>
      <c r="K23" s="132"/>
      <c r="L23" s="67">
        <f t="shared" si="0"/>
        <v>0</v>
      </c>
      <c r="M23" s="132"/>
      <c r="N23" s="67">
        <f t="shared" si="1"/>
        <v>0</v>
      </c>
      <c r="O23" s="67">
        <f t="shared" si="2"/>
        <v>0</v>
      </c>
      <c r="P23" s="4"/>
    </row>
    <row r="24" spans="2:16" ht="12.5">
      <c r="B24" s="9" t="str">
        <f t="shared" si="8"/>
        <v/>
      </c>
      <c r="C24" s="62">
        <f>IF(D11="","-",+C23+1)</f>
        <v>2032</v>
      </c>
      <c r="D24" s="71">
        <f>IF(F23+SUM(E$17:E23)=D$10,F23,D$10-SUM(E$17:E23))</f>
        <v>0</v>
      </c>
      <c r="E24" s="69">
        <f t="shared" si="3"/>
        <v>0</v>
      </c>
      <c r="F24" s="68">
        <f t="shared" si="4"/>
        <v>0</v>
      </c>
      <c r="G24" s="70">
        <f t="shared" si="5"/>
        <v>0</v>
      </c>
      <c r="H24" s="52">
        <f t="shared" si="6"/>
        <v>0</v>
      </c>
      <c r="I24" s="65">
        <f t="shared" si="7"/>
        <v>0</v>
      </c>
      <c r="J24" s="65"/>
      <c r="K24" s="132"/>
      <c r="L24" s="67">
        <f t="shared" si="0"/>
        <v>0</v>
      </c>
      <c r="M24" s="132"/>
      <c r="N24" s="67">
        <f t="shared" si="1"/>
        <v>0</v>
      </c>
      <c r="O24" s="67">
        <f t="shared" si="2"/>
        <v>0</v>
      </c>
      <c r="P24" s="4"/>
    </row>
    <row r="25" spans="2:16" ht="12.5">
      <c r="B25" s="9" t="str">
        <f t="shared" si="8"/>
        <v/>
      </c>
      <c r="C25" s="62">
        <f>IF(D11="","-",+C24+1)</f>
        <v>2033</v>
      </c>
      <c r="D25" s="71">
        <f>IF(F24+SUM(E$17:E24)=D$10,F24,D$10-SUM(E$17:E24))</f>
        <v>0</v>
      </c>
      <c r="E25" s="69">
        <f t="shared" si="3"/>
        <v>0</v>
      </c>
      <c r="F25" s="68">
        <f t="shared" si="4"/>
        <v>0</v>
      </c>
      <c r="G25" s="70">
        <f t="shared" si="5"/>
        <v>0</v>
      </c>
      <c r="H25" s="52">
        <f t="shared" si="6"/>
        <v>0</v>
      </c>
      <c r="I25" s="65">
        <f t="shared" si="7"/>
        <v>0</v>
      </c>
      <c r="J25" s="65"/>
      <c r="K25" s="132"/>
      <c r="L25" s="67">
        <f t="shared" si="0"/>
        <v>0</v>
      </c>
      <c r="M25" s="132"/>
      <c r="N25" s="67">
        <f t="shared" si="1"/>
        <v>0</v>
      </c>
      <c r="O25" s="67">
        <f t="shared" si="2"/>
        <v>0</v>
      </c>
      <c r="P25" s="4"/>
    </row>
    <row r="26" spans="2:16" ht="12.5">
      <c r="B26" s="9" t="str">
        <f t="shared" si="8"/>
        <v/>
      </c>
      <c r="C26" s="62">
        <f>IF(D11="","-",+C25+1)</f>
        <v>2034</v>
      </c>
      <c r="D26" s="71">
        <f>IF(F25+SUM(E$17:E25)=D$10,F25,D$10-SUM(E$17:E25))</f>
        <v>0</v>
      </c>
      <c r="E26" s="69">
        <f t="shared" si="3"/>
        <v>0</v>
      </c>
      <c r="F26" s="68">
        <f t="shared" si="4"/>
        <v>0</v>
      </c>
      <c r="G26" s="70">
        <f t="shared" si="5"/>
        <v>0</v>
      </c>
      <c r="H26" s="52">
        <f t="shared" si="6"/>
        <v>0</v>
      </c>
      <c r="I26" s="65">
        <f t="shared" si="7"/>
        <v>0</v>
      </c>
      <c r="J26" s="65"/>
      <c r="K26" s="132"/>
      <c r="L26" s="67">
        <f t="shared" si="0"/>
        <v>0</v>
      </c>
      <c r="M26" s="132"/>
      <c r="N26" s="67">
        <f t="shared" si="1"/>
        <v>0</v>
      </c>
      <c r="O26" s="67">
        <f t="shared" si="2"/>
        <v>0</v>
      </c>
      <c r="P26" s="4"/>
    </row>
    <row r="27" spans="2:16" ht="12.5">
      <c r="B27" s="9" t="str">
        <f t="shared" si="8"/>
        <v/>
      </c>
      <c r="C27" s="62">
        <f>IF(D11="","-",+C26+1)</f>
        <v>2035</v>
      </c>
      <c r="D27" s="71">
        <f>IF(F26+SUM(E$17:E26)=D$10,F26,D$10-SUM(E$17:E26))</f>
        <v>0</v>
      </c>
      <c r="E27" s="69">
        <f t="shared" si="3"/>
        <v>0</v>
      </c>
      <c r="F27" s="68">
        <f t="shared" si="4"/>
        <v>0</v>
      </c>
      <c r="G27" s="70">
        <f t="shared" si="5"/>
        <v>0</v>
      </c>
      <c r="H27" s="52">
        <f t="shared" si="6"/>
        <v>0</v>
      </c>
      <c r="I27" s="65">
        <f t="shared" si="7"/>
        <v>0</v>
      </c>
      <c r="J27" s="65"/>
      <c r="K27" s="132"/>
      <c r="L27" s="67">
        <f t="shared" si="0"/>
        <v>0</v>
      </c>
      <c r="M27" s="132"/>
      <c r="N27" s="67">
        <f t="shared" si="1"/>
        <v>0</v>
      </c>
      <c r="O27" s="67">
        <f t="shared" si="2"/>
        <v>0</v>
      </c>
      <c r="P27" s="4"/>
    </row>
    <row r="28" spans="2:16" ht="12.5">
      <c r="B28" s="9" t="str">
        <f t="shared" si="8"/>
        <v/>
      </c>
      <c r="C28" s="62">
        <f>IF(D11="","-",+C27+1)</f>
        <v>2036</v>
      </c>
      <c r="D28" s="71">
        <f>IF(F27+SUM(E$17:E27)=D$10,F27,D$10-SUM(E$17:E27))</f>
        <v>0</v>
      </c>
      <c r="E28" s="69">
        <f t="shared" si="3"/>
        <v>0</v>
      </c>
      <c r="F28" s="68">
        <f t="shared" si="4"/>
        <v>0</v>
      </c>
      <c r="G28" s="70">
        <f t="shared" si="5"/>
        <v>0</v>
      </c>
      <c r="H28" s="52">
        <f t="shared" si="6"/>
        <v>0</v>
      </c>
      <c r="I28" s="65">
        <f t="shared" si="7"/>
        <v>0</v>
      </c>
      <c r="J28" s="65"/>
      <c r="K28" s="132"/>
      <c r="L28" s="67">
        <f t="shared" si="0"/>
        <v>0</v>
      </c>
      <c r="M28" s="132"/>
      <c r="N28" s="67">
        <f t="shared" si="1"/>
        <v>0</v>
      </c>
      <c r="O28" s="67">
        <f t="shared" si="2"/>
        <v>0</v>
      </c>
      <c r="P28" s="4"/>
    </row>
    <row r="29" spans="2:16" ht="12.5">
      <c r="B29" s="9" t="str">
        <f t="shared" si="8"/>
        <v/>
      </c>
      <c r="C29" s="62">
        <f>IF(D11="","-",+C28+1)</f>
        <v>2037</v>
      </c>
      <c r="D29" s="71">
        <f>IF(F28+SUM(E$17:E28)=D$10,F28,D$10-SUM(E$17:E28))</f>
        <v>0</v>
      </c>
      <c r="E29" s="69">
        <f t="shared" si="3"/>
        <v>0</v>
      </c>
      <c r="F29" s="68">
        <f t="shared" si="4"/>
        <v>0</v>
      </c>
      <c r="G29" s="70">
        <f t="shared" si="5"/>
        <v>0</v>
      </c>
      <c r="H29" s="52">
        <f t="shared" si="6"/>
        <v>0</v>
      </c>
      <c r="I29" s="65">
        <f t="shared" si="7"/>
        <v>0</v>
      </c>
      <c r="J29" s="65"/>
      <c r="K29" s="132"/>
      <c r="L29" s="67">
        <f t="shared" si="0"/>
        <v>0</v>
      </c>
      <c r="M29" s="132"/>
      <c r="N29" s="67">
        <f t="shared" si="1"/>
        <v>0</v>
      </c>
      <c r="O29" s="67">
        <f t="shared" si="2"/>
        <v>0</v>
      </c>
      <c r="P29" s="4"/>
    </row>
    <row r="30" spans="2:16" ht="12.5">
      <c r="B30" s="9" t="str">
        <f t="shared" si="8"/>
        <v/>
      </c>
      <c r="C30" s="62">
        <f>IF(D11="","-",+C29+1)</f>
        <v>2038</v>
      </c>
      <c r="D30" s="71">
        <f>IF(F29+SUM(E$17:E29)=D$10,F29,D$10-SUM(E$17:E29))</f>
        <v>0</v>
      </c>
      <c r="E30" s="69">
        <f t="shared" si="3"/>
        <v>0</v>
      </c>
      <c r="F30" s="68">
        <f t="shared" si="4"/>
        <v>0</v>
      </c>
      <c r="G30" s="70">
        <f t="shared" si="5"/>
        <v>0</v>
      </c>
      <c r="H30" s="52">
        <f t="shared" si="6"/>
        <v>0</v>
      </c>
      <c r="I30" s="65">
        <f t="shared" si="7"/>
        <v>0</v>
      </c>
      <c r="J30" s="65"/>
      <c r="K30" s="132"/>
      <c r="L30" s="67">
        <f t="shared" si="0"/>
        <v>0</v>
      </c>
      <c r="M30" s="132"/>
      <c r="N30" s="67">
        <f t="shared" si="1"/>
        <v>0</v>
      </c>
      <c r="O30" s="67">
        <f t="shared" si="2"/>
        <v>0</v>
      </c>
      <c r="P30" s="4"/>
    </row>
    <row r="31" spans="2:16" ht="12.5">
      <c r="B31" s="9" t="str">
        <f t="shared" si="8"/>
        <v/>
      </c>
      <c r="C31" s="62">
        <f>IF(D11="","-",+C30+1)</f>
        <v>2039</v>
      </c>
      <c r="D31" s="71">
        <f>IF(F30+SUM(E$17:E30)=D$10,F30,D$10-SUM(E$17:E30))</f>
        <v>0</v>
      </c>
      <c r="E31" s="69">
        <f t="shared" si="3"/>
        <v>0</v>
      </c>
      <c r="F31" s="68">
        <f t="shared" si="4"/>
        <v>0</v>
      </c>
      <c r="G31" s="70">
        <f t="shared" si="5"/>
        <v>0</v>
      </c>
      <c r="H31" s="52">
        <f t="shared" si="6"/>
        <v>0</v>
      </c>
      <c r="I31" s="65">
        <f t="shared" si="7"/>
        <v>0</v>
      </c>
      <c r="J31" s="65"/>
      <c r="K31" s="132"/>
      <c r="L31" s="67">
        <f t="shared" si="0"/>
        <v>0</v>
      </c>
      <c r="M31" s="132"/>
      <c r="N31" s="67">
        <f t="shared" si="1"/>
        <v>0</v>
      </c>
      <c r="O31" s="67">
        <f t="shared" si="2"/>
        <v>0</v>
      </c>
      <c r="P31" s="4"/>
    </row>
    <row r="32" spans="2:16" ht="12.5">
      <c r="B32" s="9" t="str">
        <f t="shared" si="8"/>
        <v/>
      </c>
      <c r="C32" s="62">
        <f>IF(D11="","-",+C31+1)</f>
        <v>2040</v>
      </c>
      <c r="D32" s="71">
        <f>IF(F31+SUM(E$17:E31)=D$10,F31,D$10-SUM(E$17:E31))</f>
        <v>0</v>
      </c>
      <c r="E32" s="69">
        <f t="shared" si="3"/>
        <v>0</v>
      </c>
      <c r="F32" s="68">
        <f t="shared" si="4"/>
        <v>0</v>
      </c>
      <c r="G32" s="70">
        <f t="shared" si="5"/>
        <v>0</v>
      </c>
      <c r="H32" s="52">
        <f t="shared" si="6"/>
        <v>0</v>
      </c>
      <c r="I32" s="65">
        <f t="shared" si="7"/>
        <v>0</v>
      </c>
      <c r="J32" s="65"/>
      <c r="K32" s="132"/>
      <c r="L32" s="67">
        <f t="shared" si="0"/>
        <v>0</v>
      </c>
      <c r="M32" s="132"/>
      <c r="N32" s="67">
        <f t="shared" si="1"/>
        <v>0</v>
      </c>
      <c r="O32" s="67">
        <f t="shared" si="2"/>
        <v>0</v>
      </c>
      <c r="P32" s="4"/>
    </row>
    <row r="33" spans="2:16" ht="12.5">
      <c r="B33" s="9" t="str">
        <f t="shared" si="8"/>
        <v/>
      </c>
      <c r="C33" s="62">
        <f>IF(D11="","-",+C32+1)</f>
        <v>2041</v>
      </c>
      <c r="D33" s="71">
        <f>IF(F32+SUM(E$17:E32)=D$10,F32,D$10-SUM(E$17:E32))</f>
        <v>0</v>
      </c>
      <c r="E33" s="69">
        <f t="shared" si="3"/>
        <v>0</v>
      </c>
      <c r="F33" s="68">
        <f t="shared" si="4"/>
        <v>0</v>
      </c>
      <c r="G33" s="70">
        <f t="shared" si="5"/>
        <v>0</v>
      </c>
      <c r="H33" s="52">
        <f t="shared" si="6"/>
        <v>0</v>
      </c>
      <c r="I33" s="65">
        <f t="shared" si="7"/>
        <v>0</v>
      </c>
      <c r="J33" s="65"/>
      <c r="K33" s="132"/>
      <c r="L33" s="67">
        <f t="shared" si="0"/>
        <v>0</v>
      </c>
      <c r="M33" s="132"/>
      <c r="N33" s="67">
        <f t="shared" si="1"/>
        <v>0</v>
      </c>
      <c r="O33" s="67">
        <f t="shared" si="2"/>
        <v>0</v>
      </c>
      <c r="P33" s="4"/>
    </row>
    <row r="34" spans="2:16" ht="12.5">
      <c r="B34" s="9" t="str">
        <f t="shared" si="8"/>
        <v/>
      </c>
      <c r="C34" s="62">
        <f>IF(D11="","-",+C33+1)</f>
        <v>2042</v>
      </c>
      <c r="D34" s="71">
        <f>IF(F33+SUM(E$17:E33)=D$10,F33,D$10-SUM(E$17:E33))</f>
        <v>0</v>
      </c>
      <c r="E34" s="69">
        <f t="shared" si="3"/>
        <v>0</v>
      </c>
      <c r="F34" s="68">
        <f t="shared" si="4"/>
        <v>0</v>
      </c>
      <c r="G34" s="70">
        <f t="shared" si="5"/>
        <v>0</v>
      </c>
      <c r="H34" s="52">
        <f t="shared" si="6"/>
        <v>0</v>
      </c>
      <c r="I34" s="65">
        <f t="shared" si="7"/>
        <v>0</v>
      </c>
      <c r="J34" s="65"/>
      <c r="K34" s="132"/>
      <c r="L34" s="67">
        <f t="shared" si="0"/>
        <v>0</v>
      </c>
      <c r="M34" s="132"/>
      <c r="N34" s="67">
        <f t="shared" si="1"/>
        <v>0</v>
      </c>
      <c r="O34" s="67">
        <f t="shared" si="2"/>
        <v>0</v>
      </c>
      <c r="P34" s="4"/>
    </row>
    <row r="35" spans="2:16" ht="12.5">
      <c r="B35" s="9" t="str">
        <f t="shared" si="8"/>
        <v/>
      </c>
      <c r="C35" s="62">
        <f>IF(D11="","-",+C34+1)</f>
        <v>2043</v>
      </c>
      <c r="D35" s="71">
        <f>IF(F34+SUM(E$17:E34)=D$10,F34,D$10-SUM(E$17:E34))</f>
        <v>0</v>
      </c>
      <c r="E35" s="69">
        <f t="shared" si="3"/>
        <v>0</v>
      </c>
      <c r="F35" s="68">
        <f t="shared" si="4"/>
        <v>0</v>
      </c>
      <c r="G35" s="70">
        <f t="shared" si="5"/>
        <v>0</v>
      </c>
      <c r="H35" s="52">
        <f t="shared" si="6"/>
        <v>0</v>
      </c>
      <c r="I35" s="65">
        <f t="shared" si="7"/>
        <v>0</v>
      </c>
      <c r="J35" s="65"/>
      <c r="K35" s="132"/>
      <c r="L35" s="67">
        <f t="shared" si="0"/>
        <v>0</v>
      </c>
      <c r="M35" s="132"/>
      <c r="N35" s="67">
        <f t="shared" si="1"/>
        <v>0</v>
      </c>
      <c r="O35" s="67">
        <f t="shared" si="2"/>
        <v>0</v>
      </c>
      <c r="P35" s="4"/>
    </row>
    <row r="36" spans="2:16" ht="12.5">
      <c r="B36" s="9" t="str">
        <f t="shared" si="8"/>
        <v/>
      </c>
      <c r="C36" s="62">
        <f>IF(D11="","-",+C35+1)</f>
        <v>2044</v>
      </c>
      <c r="D36" s="71">
        <f>IF(F35+SUM(E$17:E35)=D$10,F35,D$10-SUM(E$17:E35))</f>
        <v>0</v>
      </c>
      <c r="E36" s="69">
        <f t="shared" si="3"/>
        <v>0</v>
      </c>
      <c r="F36" s="68">
        <f t="shared" si="4"/>
        <v>0</v>
      </c>
      <c r="G36" s="70">
        <f t="shared" si="5"/>
        <v>0</v>
      </c>
      <c r="H36" s="52">
        <f t="shared" si="6"/>
        <v>0</v>
      </c>
      <c r="I36" s="65">
        <f t="shared" si="7"/>
        <v>0</v>
      </c>
      <c r="J36" s="65"/>
      <c r="K36" s="132"/>
      <c r="L36" s="67">
        <f t="shared" si="0"/>
        <v>0</v>
      </c>
      <c r="M36" s="132"/>
      <c r="N36" s="67">
        <f t="shared" si="1"/>
        <v>0</v>
      </c>
      <c r="O36" s="67">
        <f t="shared" si="2"/>
        <v>0</v>
      </c>
      <c r="P36" s="4"/>
    </row>
    <row r="37" spans="2:16" ht="12.5">
      <c r="B37" s="9" t="str">
        <f t="shared" si="8"/>
        <v/>
      </c>
      <c r="C37" s="62">
        <f>IF(D11="","-",+C36+1)</f>
        <v>2045</v>
      </c>
      <c r="D37" s="71">
        <f>IF(F36+SUM(E$17:E36)=D$10,F36,D$10-SUM(E$17:E36))</f>
        <v>0</v>
      </c>
      <c r="E37" s="69">
        <f t="shared" si="3"/>
        <v>0</v>
      </c>
      <c r="F37" s="68">
        <f t="shared" si="4"/>
        <v>0</v>
      </c>
      <c r="G37" s="70">
        <f t="shared" si="5"/>
        <v>0</v>
      </c>
      <c r="H37" s="52">
        <f t="shared" si="6"/>
        <v>0</v>
      </c>
      <c r="I37" s="65">
        <f t="shared" si="7"/>
        <v>0</v>
      </c>
      <c r="J37" s="65"/>
      <c r="K37" s="132"/>
      <c r="L37" s="67">
        <f t="shared" si="0"/>
        <v>0</v>
      </c>
      <c r="M37" s="132"/>
      <c r="N37" s="67">
        <f t="shared" si="1"/>
        <v>0</v>
      </c>
      <c r="O37" s="67">
        <f t="shared" si="2"/>
        <v>0</v>
      </c>
      <c r="P37" s="4"/>
    </row>
    <row r="38" spans="2:16" ht="12.5">
      <c r="B38" s="9" t="str">
        <f t="shared" si="8"/>
        <v/>
      </c>
      <c r="C38" s="62">
        <f>IF(D11="","-",+C37+1)</f>
        <v>2046</v>
      </c>
      <c r="D38" s="71">
        <f>IF(F37+SUM(E$17:E37)=D$10,F37,D$10-SUM(E$17:E37))</f>
        <v>0</v>
      </c>
      <c r="E38" s="69">
        <f t="shared" si="3"/>
        <v>0</v>
      </c>
      <c r="F38" s="68">
        <f t="shared" si="4"/>
        <v>0</v>
      </c>
      <c r="G38" s="70">
        <f t="shared" si="5"/>
        <v>0</v>
      </c>
      <c r="H38" s="52">
        <f t="shared" si="6"/>
        <v>0</v>
      </c>
      <c r="I38" s="65">
        <f t="shared" si="7"/>
        <v>0</v>
      </c>
      <c r="J38" s="65"/>
      <c r="K38" s="132"/>
      <c r="L38" s="67">
        <f t="shared" si="0"/>
        <v>0</v>
      </c>
      <c r="M38" s="132"/>
      <c r="N38" s="67">
        <f t="shared" si="1"/>
        <v>0</v>
      </c>
      <c r="O38" s="67">
        <f t="shared" si="2"/>
        <v>0</v>
      </c>
      <c r="P38" s="4"/>
    </row>
    <row r="39" spans="2:16" ht="12.5">
      <c r="B39" s="9" t="str">
        <f t="shared" si="8"/>
        <v/>
      </c>
      <c r="C39" s="62">
        <f>IF(D11="","-",+C38+1)</f>
        <v>2047</v>
      </c>
      <c r="D39" s="71">
        <f>IF(F38+SUM(E$17:E38)=D$10,F38,D$10-SUM(E$17:E38))</f>
        <v>0</v>
      </c>
      <c r="E39" s="69">
        <f t="shared" si="3"/>
        <v>0</v>
      </c>
      <c r="F39" s="68">
        <f t="shared" si="4"/>
        <v>0</v>
      </c>
      <c r="G39" s="70">
        <f t="shared" si="5"/>
        <v>0</v>
      </c>
      <c r="H39" s="52">
        <f t="shared" si="6"/>
        <v>0</v>
      </c>
      <c r="I39" s="65">
        <f t="shared" si="7"/>
        <v>0</v>
      </c>
      <c r="J39" s="65"/>
      <c r="K39" s="132"/>
      <c r="L39" s="67">
        <f t="shared" si="0"/>
        <v>0</v>
      </c>
      <c r="M39" s="132"/>
      <c r="N39" s="67">
        <f t="shared" si="1"/>
        <v>0</v>
      </c>
      <c r="O39" s="67">
        <f t="shared" si="2"/>
        <v>0</v>
      </c>
      <c r="P39" s="4"/>
    </row>
    <row r="40" spans="2:16" ht="12.5">
      <c r="B40" s="9" t="str">
        <f t="shared" si="8"/>
        <v/>
      </c>
      <c r="C40" s="62">
        <f>IF(D11="","-",+C39+1)</f>
        <v>2048</v>
      </c>
      <c r="D40" s="71">
        <f>IF(F39+SUM(E$17:E39)=D$10,F39,D$10-SUM(E$17:E39))</f>
        <v>0</v>
      </c>
      <c r="E40" s="69">
        <f t="shared" si="3"/>
        <v>0</v>
      </c>
      <c r="F40" s="68">
        <f t="shared" si="4"/>
        <v>0</v>
      </c>
      <c r="G40" s="70">
        <f t="shared" si="5"/>
        <v>0</v>
      </c>
      <c r="H40" s="52">
        <f t="shared" si="6"/>
        <v>0</v>
      </c>
      <c r="I40" s="65">
        <f t="shared" si="7"/>
        <v>0</v>
      </c>
      <c r="J40" s="65"/>
      <c r="K40" s="132"/>
      <c r="L40" s="67">
        <f t="shared" si="0"/>
        <v>0</v>
      </c>
      <c r="M40" s="132"/>
      <c r="N40" s="67">
        <f t="shared" si="1"/>
        <v>0</v>
      </c>
      <c r="O40" s="67">
        <f t="shared" si="2"/>
        <v>0</v>
      </c>
      <c r="P40" s="4"/>
    </row>
    <row r="41" spans="2:16" ht="12.5">
      <c r="B41" s="9" t="str">
        <f t="shared" si="8"/>
        <v/>
      </c>
      <c r="C41" s="62">
        <f>IF(D11="","-",+C40+1)</f>
        <v>2049</v>
      </c>
      <c r="D41" s="71">
        <f>IF(F40+SUM(E$17:E40)=D$10,F40,D$10-SUM(E$17:E40))</f>
        <v>0</v>
      </c>
      <c r="E41" s="69">
        <f t="shared" si="3"/>
        <v>0</v>
      </c>
      <c r="F41" s="68">
        <f t="shared" si="4"/>
        <v>0</v>
      </c>
      <c r="G41" s="70">
        <f t="shared" si="5"/>
        <v>0</v>
      </c>
      <c r="H41" s="52">
        <f t="shared" si="6"/>
        <v>0</v>
      </c>
      <c r="I41" s="65">
        <f t="shared" si="7"/>
        <v>0</v>
      </c>
      <c r="J41" s="65"/>
      <c r="K41" s="132"/>
      <c r="L41" s="67">
        <f t="shared" si="0"/>
        <v>0</v>
      </c>
      <c r="M41" s="132"/>
      <c r="N41" s="67">
        <f t="shared" si="1"/>
        <v>0</v>
      </c>
      <c r="O41" s="67">
        <f t="shared" si="2"/>
        <v>0</v>
      </c>
      <c r="P41" s="4"/>
    </row>
    <row r="42" spans="2:16" ht="12.5">
      <c r="B42" s="9" t="str">
        <f t="shared" si="8"/>
        <v/>
      </c>
      <c r="C42" s="62">
        <f>IF(D11="","-",+C41+1)</f>
        <v>2050</v>
      </c>
      <c r="D42" s="71">
        <f>IF(F41+SUM(E$17:E41)=D$10,F41,D$10-SUM(E$17:E41))</f>
        <v>0</v>
      </c>
      <c r="E42" s="69">
        <f t="shared" si="3"/>
        <v>0</v>
      </c>
      <c r="F42" s="68">
        <f t="shared" si="4"/>
        <v>0</v>
      </c>
      <c r="G42" s="70">
        <f t="shared" si="5"/>
        <v>0</v>
      </c>
      <c r="H42" s="52">
        <f t="shared" si="6"/>
        <v>0</v>
      </c>
      <c r="I42" s="65">
        <f t="shared" si="7"/>
        <v>0</v>
      </c>
      <c r="J42" s="65"/>
      <c r="K42" s="132"/>
      <c r="L42" s="67">
        <f t="shared" si="0"/>
        <v>0</v>
      </c>
      <c r="M42" s="132"/>
      <c r="N42" s="67">
        <f t="shared" si="1"/>
        <v>0</v>
      </c>
      <c r="O42" s="67">
        <f t="shared" si="2"/>
        <v>0</v>
      </c>
      <c r="P42" s="4"/>
    </row>
    <row r="43" spans="2:16" ht="12.5">
      <c r="B43" s="9" t="str">
        <f t="shared" si="8"/>
        <v/>
      </c>
      <c r="C43" s="62">
        <f>IF(D11="","-",+C42+1)</f>
        <v>2051</v>
      </c>
      <c r="D43" s="71">
        <f>IF(F42+SUM(E$17:E42)=D$10,F42,D$10-SUM(E$17:E42))</f>
        <v>0</v>
      </c>
      <c r="E43" s="69">
        <f t="shared" si="3"/>
        <v>0</v>
      </c>
      <c r="F43" s="68">
        <f t="shared" si="4"/>
        <v>0</v>
      </c>
      <c r="G43" s="70">
        <f t="shared" si="5"/>
        <v>0</v>
      </c>
      <c r="H43" s="52">
        <f t="shared" si="6"/>
        <v>0</v>
      </c>
      <c r="I43" s="65">
        <f t="shared" si="7"/>
        <v>0</v>
      </c>
      <c r="J43" s="65"/>
      <c r="K43" s="132"/>
      <c r="L43" s="67">
        <f t="shared" si="0"/>
        <v>0</v>
      </c>
      <c r="M43" s="132"/>
      <c r="N43" s="67">
        <f t="shared" si="1"/>
        <v>0</v>
      </c>
      <c r="O43" s="67">
        <f t="shared" si="2"/>
        <v>0</v>
      </c>
      <c r="P43" s="4"/>
    </row>
    <row r="44" spans="2:16" ht="12.5">
      <c r="B44" s="9" t="str">
        <f t="shared" si="8"/>
        <v/>
      </c>
      <c r="C44" s="62">
        <f>IF(D11="","-",+C43+1)</f>
        <v>2052</v>
      </c>
      <c r="D44" s="71">
        <f>IF(F43+SUM(E$17:E43)=D$10,F43,D$10-SUM(E$17:E43))</f>
        <v>0</v>
      </c>
      <c r="E44" s="69">
        <f t="shared" si="3"/>
        <v>0</v>
      </c>
      <c r="F44" s="68">
        <f t="shared" si="4"/>
        <v>0</v>
      </c>
      <c r="G44" s="70">
        <f t="shared" si="5"/>
        <v>0</v>
      </c>
      <c r="H44" s="52">
        <f t="shared" si="6"/>
        <v>0</v>
      </c>
      <c r="I44" s="65">
        <f t="shared" si="7"/>
        <v>0</v>
      </c>
      <c r="J44" s="65"/>
      <c r="K44" s="132"/>
      <c r="L44" s="67">
        <f t="shared" si="0"/>
        <v>0</v>
      </c>
      <c r="M44" s="132"/>
      <c r="N44" s="67">
        <f t="shared" si="1"/>
        <v>0</v>
      </c>
      <c r="O44" s="67">
        <f t="shared" si="2"/>
        <v>0</v>
      </c>
      <c r="P44" s="4"/>
    </row>
    <row r="45" spans="2:16" ht="12.5">
      <c r="B45" s="9" t="str">
        <f t="shared" si="8"/>
        <v/>
      </c>
      <c r="C45" s="62">
        <f>IF(D11="","-",+C44+1)</f>
        <v>2053</v>
      </c>
      <c r="D45" s="71">
        <f>IF(F44+SUM(E$17:E44)=D$10,F44,D$10-SUM(E$17:E44))</f>
        <v>0</v>
      </c>
      <c r="E45" s="69">
        <f t="shared" si="3"/>
        <v>0</v>
      </c>
      <c r="F45" s="68">
        <f t="shared" si="4"/>
        <v>0</v>
      </c>
      <c r="G45" s="70">
        <f t="shared" si="5"/>
        <v>0</v>
      </c>
      <c r="H45" s="52">
        <f t="shared" si="6"/>
        <v>0</v>
      </c>
      <c r="I45" s="65">
        <f t="shared" si="7"/>
        <v>0</v>
      </c>
      <c r="J45" s="65"/>
      <c r="K45" s="132"/>
      <c r="L45" s="67">
        <f t="shared" si="0"/>
        <v>0</v>
      </c>
      <c r="M45" s="132"/>
      <c r="N45" s="67">
        <f t="shared" si="1"/>
        <v>0</v>
      </c>
      <c r="O45" s="67">
        <f t="shared" si="2"/>
        <v>0</v>
      </c>
      <c r="P45" s="4"/>
    </row>
    <row r="46" spans="2:16" ht="12.5">
      <c r="B46" s="9" t="str">
        <f t="shared" si="8"/>
        <v/>
      </c>
      <c r="C46" s="62">
        <f>IF(D11="","-",+C45+1)</f>
        <v>2054</v>
      </c>
      <c r="D46" s="71">
        <f>IF(F45+SUM(E$17:E45)=D$10,F45,D$10-SUM(E$17:E45))</f>
        <v>0</v>
      </c>
      <c r="E46" s="69">
        <f t="shared" si="3"/>
        <v>0</v>
      </c>
      <c r="F46" s="68">
        <f t="shared" si="4"/>
        <v>0</v>
      </c>
      <c r="G46" s="70">
        <f t="shared" si="5"/>
        <v>0</v>
      </c>
      <c r="H46" s="52">
        <f t="shared" si="6"/>
        <v>0</v>
      </c>
      <c r="I46" s="65">
        <f t="shared" si="7"/>
        <v>0</v>
      </c>
      <c r="J46" s="65"/>
      <c r="K46" s="132"/>
      <c r="L46" s="67">
        <f t="shared" si="0"/>
        <v>0</v>
      </c>
      <c r="M46" s="132"/>
      <c r="N46" s="67">
        <f t="shared" si="1"/>
        <v>0</v>
      </c>
      <c r="O46" s="67">
        <f t="shared" si="2"/>
        <v>0</v>
      </c>
      <c r="P46" s="4"/>
    </row>
    <row r="47" spans="2:16" ht="12.5">
      <c r="B47" s="9" t="str">
        <f t="shared" si="8"/>
        <v/>
      </c>
      <c r="C47" s="62">
        <f>IF(D11="","-",+C46+1)</f>
        <v>2055</v>
      </c>
      <c r="D47" s="71">
        <f>IF(F46+SUM(E$17:E46)=D$10,F46,D$10-SUM(E$17:E46))</f>
        <v>0</v>
      </c>
      <c r="E47" s="69">
        <f t="shared" si="3"/>
        <v>0</v>
      </c>
      <c r="F47" s="68">
        <f t="shared" si="4"/>
        <v>0</v>
      </c>
      <c r="G47" s="70">
        <f t="shared" si="5"/>
        <v>0</v>
      </c>
      <c r="H47" s="52">
        <f t="shared" si="6"/>
        <v>0</v>
      </c>
      <c r="I47" s="65">
        <f t="shared" si="7"/>
        <v>0</v>
      </c>
      <c r="J47" s="65"/>
      <c r="K47" s="132"/>
      <c r="L47" s="67">
        <f t="shared" si="0"/>
        <v>0</v>
      </c>
      <c r="M47" s="132"/>
      <c r="N47" s="67">
        <f t="shared" si="1"/>
        <v>0</v>
      </c>
      <c r="O47" s="67">
        <f t="shared" si="2"/>
        <v>0</v>
      </c>
      <c r="P47" s="4"/>
    </row>
    <row r="48" spans="2:16" ht="12.5">
      <c r="B48" s="9" t="str">
        <f t="shared" si="8"/>
        <v/>
      </c>
      <c r="C48" s="62">
        <f>IF(D11="","-",+C47+1)</f>
        <v>2056</v>
      </c>
      <c r="D48" s="71">
        <f>IF(F47+SUM(E$17:E47)=D$10,F47,D$10-SUM(E$17:E47))</f>
        <v>0</v>
      </c>
      <c r="E48" s="69">
        <f t="shared" si="3"/>
        <v>0</v>
      </c>
      <c r="F48" s="68">
        <f t="shared" si="4"/>
        <v>0</v>
      </c>
      <c r="G48" s="70">
        <f t="shared" si="5"/>
        <v>0</v>
      </c>
      <c r="H48" s="52">
        <f t="shared" si="6"/>
        <v>0</v>
      </c>
      <c r="I48" s="65">
        <f t="shared" si="7"/>
        <v>0</v>
      </c>
      <c r="J48" s="65"/>
      <c r="K48" s="132"/>
      <c r="L48" s="67">
        <f t="shared" si="0"/>
        <v>0</v>
      </c>
      <c r="M48" s="132"/>
      <c r="N48" s="67">
        <f t="shared" si="1"/>
        <v>0</v>
      </c>
      <c r="O48" s="67">
        <f t="shared" si="2"/>
        <v>0</v>
      </c>
      <c r="P48" s="4"/>
    </row>
    <row r="49" spans="2:16" ht="12.5">
      <c r="B49" s="9" t="str">
        <f t="shared" si="8"/>
        <v/>
      </c>
      <c r="C49" s="62">
        <f>IF(D11="","-",+C48+1)</f>
        <v>2057</v>
      </c>
      <c r="D49" s="71">
        <f>IF(F48+SUM(E$17:E48)=D$10,F48,D$10-SUM(E$17:E48))</f>
        <v>0</v>
      </c>
      <c r="E49" s="69">
        <f t="shared" si="3"/>
        <v>0</v>
      </c>
      <c r="F49" s="68">
        <f t="shared" si="4"/>
        <v>0</v>
      </c>
      <c r="G49" s="70">
        <f t="shared" si="5"/>
        <v>0</v>
      </c>
      <c r="H49" s="52">
        <f t="shared" si="6"/>
        <v>0</v>
      </c>
      <c r="I49" s="65">
        <f t="shared" si="7"/>
        <v>0</v>
      </c>
      <c r="J49" s="65"/>
      <c r="K49" s="132"/>
      <c r="L49" s="67">
        <f t="shared" si="0"/>
        <v>0</v>
      </c>
      <c r="M49" s="132"/>
      <c r="N49" s="67">
        <f t="shared" si="1"/>
        <v>0</v>
      </c>
      <c r="O49" s="67">
        <f t="shared" si="2"/>
        <v>0</v>
      </c>
      <c r="P49" s="4"/>
    </row>
    <row r="50" spans="2:16" ht="12.5">
      <c r="B50" s="9" t="str">
        <f t="shared" si="8"/>
        <v/>
      </c>
      <c r="C50" s="62">
        <f>IF(D11="","-",+C49+1)</f>
        <v>2058</v>
      </c>
      <c r="D50" s="71">
        <f>IF(F49+SUM(E$17:E49)=D$10,F49,D$10-SUM(E$17:E49))</f>
        <v>0</v>
      </c>
      <c r="E50" s="69">
        <f t="shared" si="3"/>
        <v>0</v>
      </c>
      <c r="F50" s="68">
        <f t="shared" si="4"/>
        <v>0</v>
      </c>
      <c r="G50" s="70">
        <f t="shared" si="5"/>
        <v>0</v>
      </c>
      <c r="H50" s="52">
        <f t="shared" si="6"/>
        <v>0</v>
      </c>
      <c r="I50" s="65">
        <f t="shared" si="7"/>
        <v>0</v>
      </c>
      <c r="J50" s="65"/>
      <c r="K50" s="132"/>
      <c r="L50" s="67">
        <f t="shared" si="0"/>
        <v>0</v>
      </c>
      <c r="M50" s="132"/>
      <c r="N50" s="67">
        <f t="shared" si="1"/>
        <v>0</v>
      </c>
      <c r="O50" s="67">
        <f t="shared" si="2"/>
        <v>0</v>
      </c>
      <c r="P50" s="4"/>
    </row>
    <row r="51" spans="2:16" ht="12.5">
      <c r="B51" s="9" t="str">
        <f t="shared" si="8"/>
        <v/>
      </c>
      <c r="C51" s="62">
        <f>IF(D11="","-",+C50+1)</f>
        <v>2059</v>
      </c>
      <c r="D51" s="71">
        <f>IF(F50+SUM(E$17:E50)=D$10,F50,D$10-SUM(E$17:E50))</f>
        <v>0</v>
      </c>
      <c r="E51" s="69">
        <f t="shared" si="3"/>
        <v>0</v>
      </c>
      <c r="F51" s="68">
        <f t="shared" si="4"/>
        <v>0</v>
      </c>
      <c r="G51" s="70">
        <f t="shared" si="5"/>
        <v>0</v>
      </c>
      <c r="H51" s="52">
        <f t="shared" si="6"/>
        <v>0</v>
      </c>
      <c r="I51" s="65">
        <f t="shared" si="7"/>
        <v>0</v>
      </c>
      <c r="J51" s="65"/>
      <c r="K51" s="132"/>
      <c r="L51" s="67">
        <f t="shared" si="0"/>
        <v>0</v>
      </c>
      <c r="M51" s="132"/>
      <c r="N51" s="67">
        <f t="shared" si="1"/>
        <v>0</v>
      </c>
      <c r="O51" s="67">
        <f t="shared" si="2"/>
        <v>0</v>
      </c>
      <c r="P51" s="4"/>
    </row>
    <row r="52" spans="2:16" ht="12.5">
      <c r="B52" s="9" t="str">
        <f t="shared" si="8"/>
        <v/>
      </c>
      <c r="C52" s="62">
        <f>IF(D11="","-",+C51+1)</f>
        <v>2060</v>
      </c>
      <c r="D52" s="71">
        <f>IF(F51+SUM(E$17:E51)=D$10,F51,D$10-SUM(E$17:E51))</f>
        <v>0</v>
      </c>
      <c r="E52" s="69">
        <f t="shared" si="3"/>
        <v>0</v>
      </c>
      <c r="F52" s="68">
        <f t="shared" si="4"/>
        <v>0</v>
      </c>
      <c r="G52" s="70">
        <f t="shared" si="5"/>
        <v>0</v>
      </c>
      <c r="H52" s="52">
        <f t="shared" si="6"/>
        <v>0</v>
      </c>
      <c r="I52" s="65">
        <f t="shared" si="7"/>
        <v>0</v>
      </c>
      <c r="J52" s="65"/>
      <c r="K52" s="132"/>
      <c r="L52" s="67">
        <f t="shared" si="0"/>
        <v>0</v>
      </c>
      <c r="M52" s="132"/>
      <c r="N52" s="67">
        <f t="shared" si="1"/>
        <v>0</v>
      </c>
      <c r="O52" s="67">
        <f t="shared" si="2"/>
        <v>0</v>
      </c>
      <c r="P52" s="4"/>
    </row>
    <row r="53" spans="2:16" ht="12.5">
      <c r="B53" s="9" t="str">
        <f t="shared" si="8"/>
        <v/>
      </c>
      <c r="C53" s="62">
        <f>IF(D11="","-",+C52+1)</f>
        <v>2061</v>
      </c>
      <c r="D53" s="71">
        <f>IF(F52+SUM(E$17:E52)=D$10,F52,D$10-SUM(E$17:E52))</f>
        <v>0</v>
      </c>
      <c r="E53" s="69">
        <f t="shared" si="3"/>
        <v>0</v>
      </c>
      <c r="F53" s="68">
        <f t="shared" si="4"/>
        <v>0</v>
      </c>
      <c r="G53" s="70">
        <f t="shared" si="5"/>
        <v>0</v>
      </c>
      <c r="H53" s="52">
        <f t="shared" si="6"/>
        <v>0</v>
      </c>
      <c r="I53" s="65">
        <f t="shared" si="7"/>
        <v>0</v>
      </c>
      <c r="J53" s="65"/>
      <c r="K53" s="132"/>
      <c r="L53" s="67">
        <f t="shared" si="0"/>
        <v>0</v>
      </c>
      <c r="M53" s="132"/>
      <c r="N53" s="67">
        <f t="shared" si="1"/>
        <v>0</v>
      </c>
      <c r="O53" s="67">
        <f t="shared" si="2"/>
        <v>0</v>
      </c>
      <c r="P53" s="4"/>
    </row>
    <row r="54" spans="2:16" ht="12.5">
      <c r="B54" s="9" t="str">
        <f t="shared" si="8"/>
        <v/>
      </c>
      <c r="C54" s="62">
        <f>IF(D11="","-",+C53+1)</f>
        <v>2062</v>
      </c>
      <c r="D54" s="71">
        <f>IF(F53+SUM(E$17:E53)=D$10,F53,D$10-SUM(E$17:E53))</f>
        <v>0</v>
      </c>
      <c r="E54" s="69">
        <f t="shared" si="3"/>
        <v>0</v>
      </c>
      <c r="F54" s="68">
        <f t="shared" si="4"/>
        <v>0</v>
      </c>
      <c r="G54" s="70">
        <f t="shared" si="5"/>
        <v>0</v>
      </c>
      <c r="H54" s="52">
        <f t="shared" si="6"/>
        <v>0</v>
      </c>
      <c r="I54" s="65">
        <f t="shared" si="7"/>
        <v>0</v>
      </c>
      <c r="J54" s="65"/>
      <c r="K54" s="132"/>
      <c r="L54" s="67">
        <f t="shared" si="0"/>
        <v>0</v>
      </c>
      <c r="M54" s="132"/>
      <c r="N54" s="67">
        <f t="shared" si="1"/>
        <v>0</v>
      </c>
      <c r="O54" s="67">
        <f t="shared" si="2"/>
        <v>0</v>
      </c>
      <c r="P54" s="4"/>
    </row>
    <row r="55" spans="2:16" ht="12.5">
      <c r="B55" s="9" t="str">
        <f t="shared" si="8"/>
        <v/>
      </c>
      <c r="C55" s="62">
        <f>IF(D11="","-",+C54+1)</f>
        <v>2063</v>
      </c>
      <c r="D55" s="71">
        <f>IF(F54+SUM(E$17:E54)=D$10,F54,D$10-SUM(E$17:E54))</f>
        <v>0</v>
      </c>
      <c r="E55" s="69">
        <f t="shared" si="3"/>
        <v>0</v>
      </c>
      <c r="F55" s="68">
        <f t="shared" si="4"/>
        <v>0</v>
      </c>
      <c r="G55" s="70">
        <f t="shared" si="5"/>
        <v>0</v>
      </c>
      <c r="H55" s="52">
        <f t="shared" si="6"/>
        <v>0</v>
      </c>
      <c r="I55" s="65">
        <f t="shared" si="7"/>
        <v>0</v>
      </c>
      <c r="J55" s="65"/>
      <c r="K55" s="132"/>
      <c r="L55" s="67">
        <f t="shared" si="0"/>
        <v>0</v>
      </c>
      <c r="M55" s="132"/>
      <c r="N55" s="67">
        <f t="shared" si="1"/>
        <v>0</v>
      </c>
      <c r="O55" s="67">
        <f t="shared" si="2"/>
        <v>0</v>
      </c>
      <c r="P55" s="4"/>
    </row>
    <row r="56" spans="2:16" ht="12.5">
      <c r="B56" s="9" t="str">
        <f t="shared" si="8"/>
        <v/>
      </c>
      <c r="C56" s="62">
        <f>IF(D11="","-",+C55+1)</f>
        <v>2064</v>
      </c>
      <c r="D56" s="71">
        <f>IF(F55+SUM(E$17:E55)=D$10,F55,D$10-SUM(E$17:E55))</f>
        <v>0</v>
      </c>
      <c r="E56" s="69">
        <f t="shared" si="3"/>
        <v>0</v>
      </c>
      <c r="F56" s="68">
        <f t="shared" si="4"/>
        <v>0</v>
      </c>
      <c r="G56" s="70">
        <f t="shared" si="5"/>
        <v>0</v>
      </c>
      <c r="H56" s="52">
        <f t="shared" si="6"/>
        <v>0</v>
      </c>
      <c r="I56" s="65">
        <f t="shared" si="7"/>
        <v>0</v>
      </c>
      <c r="J56" s="65"/>
      <c r="K56" s="132"/>
      <c r="L56" s="67">
        <f t="shared" si="0"/>
        <v>0</v>
      </c>
      <c r="M56" s="132"/>
      <c r="N56" s="67">
        <f t="shared" si="1"/>
        <v>0</v>
      </c>
      <c r="O56" s="67">
        <f t="shared" si="2"/>
        <v>0</v>
      </c>
      <c r="P56" s="4"/>
    </row>
    <row r="57" spans="2:16" ht="12.5">
      <c r="B57" s="9" t="str">
        <f t="shared" si="8"/>
        <v/>
      </c>
      <c r="C57" s="62">
        <f>IF(D11="","-",+C56+1)</f>
        <v>2065</v>
      </c>
      <c r="D57" s="71">
        <f>IF(F56+SUM(E$17:E56)=D$10,F56,D$10-SUM(E$17:E56))</f>
        <v>0</v>
      </c>
      <c r="E57" s="69">
        <f t="shared" si="3"/>
        <v>0</v>
      </c>
      <c r="F57" s="68">
        <f t="shared" si="4"/>
        <v>0</v>
      </c>
      <c r="G57" s="70">
        <f t="shared" si="5"/>
        <v>0</v>
      </c>
      <c r="H57" s="52">
        <f t="shared" si="6"/>
        <v>0</v>
      </c>
      <c r="I57" s="65">
        <f t="shared" si="7"/>
        <v>0</v>
      </c>
      <c r="J57" s="65"/>
      <c r="K57" s="132"/>
      <c r="L57" s="67">
        <f t="shared" si="0"/>
        <v>0</v>
      </c>
      <c r="M57" s="132"/>
      <c r="N57" s="67">
        <f t="shared" si="1"/>
        <v>0</v>
      </c>
      <c r="O57" s="67">
        <f t="shared" si="2"/>
        <v>0</v>
      </c>
      <c r="P57" s="4"/>
    </row>
    <row r="58" spans="2:16" ht="12.5">
      <c r="B58" s="9" t="str">
        <f t="shared" si="8"/>
        <v/>
      </c>
      <c r="C58" s="62">
        <f>IF(D11="","-",+C57+1)</f>
        <v>2066</v>
      </c>
      <c r="D58" s="71">
        <f>IF(F57+SUM(E$17:E57)=D$10,F57,D$10-SUM(E$17:E57))</f>
        <v>0</v>
      </c>
      <c r="E58" s="69">
        <f t="shared" si="3"/>
        <v>0</v>
      </c>
      <c r="F58" s="68">
        <f t="shared" si="4"/>
        <v>0</v>
      </c>
      <c r="G58" s="70">
        <f t="shared" si="5"/>
        <v>0</v>
      </c>
      <c r="H58" s="52">
        <f t="shared" si="6"/>
        <v>0</v>
      </c>
      <c r="I58" s="65">
        <f t="shared" si="7"/>
        <v>0</v>
      </c>
      <c r="J58" s="65"/>
      <c r="K58" s="132"/>
      <c r="L58" s="67">
        <f t="shared" si="0"/>
        <v>0</v>
      </c>
      <c r="M58" s="132"/>
      <c r="N58" s="67">
        <f t="shared" si="1"/>
        <v>0</v>
      </c>
      <c r="O58" s="67">
        <f t="shared" si="2"/>
        <v>0</v>
      </c>
      <c r="P58" s="4"/>
    </row>
    <row r="59" spans="2:16" ht="12.5">
      <c r="B59" s="9" t="str">
        <f t="shared" si="8"/>
        <v/>
      </c>
      <c r="C59" s="62">
        <f>IF(D11="","-",+C58+1)</f>
        <v>2067</v>
      </c>
      <c r="D59" s="71">
        <f>IF(F58+SUM(E$17:E58)=D$10,F58,D$10-SUM(E$17:E58))</f>
        <v>0</v>
      </c>
      <c r="E59" s="69">
        <f t="shared" si="3"/>
        <v>0</v>
      </c>
      <c r="F59" s="68">
        <f t="shared" si="4"/>
        <v>0</v>
      </c>
      <c r="G59" s="70">
        <f t="shared" si="5"/>
        <v>0</v>
      </c>
      <c r="H59" s="52">
        <f t="shared" si="6"/>
        <v>0</v>
      </c>
      <c r="I59" s="65">
        <f t="shared" si="7"/>
        <v>0</v>
      </c>
      <c r="J59" s="65"/>
      <c r="K59" s="132"/>
      <c r="L59" s="67">
        <f t="shared" si="0"/>
        <v>0</v>
      </c>
      <c r="M59" s="132"/>
      <c r="N59" s="67">
        <f t="shared" si="1"/>
        <v>0</v>
      </c>
      <c r="O59" s="67">
        <f t="shared" si="2"/>
        <v>0</v>
      </c>
      <c r="P59" s="4"/>
    </row>
    <row r="60" spans="2:16" ht="12.5">
      <c r="B60" s="9" t="str">
        <f t="shared" si="8"/>
        <v/>
      </c>
      <c r="C60" s="62">
        <f>IF(D11="","-",+C59+1)</f>
        <v>2068</v>
      </c>
      <c r="D60" s="71">
        <f>IF(F59+SUM(E$17:E59)=D$10,F59,D$10-SUM(E$17:E59))</f>
        <v>0</v>
      </c>
      <c r="E60" s="69">
        <f t="shared" si="3"/>
        <v>0</v>
      </c>
      <c r="F60" s="68">
        <f t="shared" si="4"/>
        <v>0</v>
      </c>
      <c r="G60" s="70">
        <f t="shared" si="5"/>
        <v>0</v>
      </c>
      <c r="H60" s="52">
        <f t="shared" si="6"/>
        <v>0</v>
      </c>
      <c r="I60" s="65">
        <f t="shared" si="7"/>
        <v>0</v>
      </c>
      <c r="J60" s="65"/>
      <c r="K60" s="132"/>
      <c r="L60" s="67">
        <f t="shared" si="0"/>
        <v>0</v>
      </c>
      <c r="M60" s="132"/>
      <c r="N60" s="67">
        <f t="shared" si="1"/>
        <v>0</v>
      </c>
      <c r="O60" s="67">
        <f t="shared" si="2"/>
        <v>0</v>
      </c>
      <c r="P60" s="4"/>
    </row>
    <row r="61" spans="2:16" ht="12.5">
      <c r="B61" s="9" t="str">
        <f t="shared" si="8"/>
        <v/>
      </c>
      <c r="C61" s="62">
        <f>IF(D11="","-",+C60+1)</f>
        <v>2069</v>
      </c>
      <c r="D61" s="71">
        <f>IF(F60+SUM(E$17:E60)=D$10,F60,D$10-SUM(E$17:E60))</f>
        <v>0</v>
      </c>
      <c r="E61" s="69">
        <f t="shared" si="3"/>
        <v>0</v>
      </c>
      <c r="F61" s="68">
        <f t="shared" si="4"/>
        <v>0</v>
      </c>
      <c r="G61" s="70">
        <f t="shared" si="5"/>
        <v>0</v>
      </c>
      <c r="H61" s="52">
        <f t="shared" si="6"/>
        <v>0</v>
      </c>
      <c r="I61" s="65">
        <f t="shared" si="7"/>
        <v>0</v>
      </c>
      <c r="J61" s="65"/>
      <c r="K61" s="132"/>
      <c r="L61" s="67">
        <f t="shared" si="0"/>
        <v>0</v>
      </c>
      <c r="M61" s="132"/>
      <c r="N61" s="67">
        <f t="shared" si="1"/>
        <v>0</v>
      </c>
      <c r="O61" s="67">
        <f t="shared" si="2"/>
        <v>0</v>
      </c>
      <c r="P61" s="4"/>
    </row>
    <row r="62" spans="2:16" ht="12.5">
      <c r="B62" s="9" t="str">
        <f t="shared" si="8"/>
        <v/>
      </c>
      <c r="C62" s="62">
        <f>IF(D11="","-",+C61+1)</f>
        <v>2070</v>
      </c>
      <c r="D62" s="71">
        <f>IF(F61+SUM(E$17:E61)=D$10,F61,D$10-SUM(E$17:E61))</f>
        <v>0</v>
      </c>
      <c r="E62" s="69">
        <f t="shared" si="3"/>
        <v>0</v>
      </c>
      <c r="F62" s="68">
        <f t="shared" si="4"/>
        <v>0</v>
      </c>
      <c r="G62" s="70">
        <f t="shared" si="5"/>
        <v>0</v>
      </c>
      <c r="H62" s="52">
        <f t="shared" si="6"/>
        <v>0</v>
      </c>
      <c r="I62" s="65">
        <f t="shared" si="7"/>
        <v>0</v>
      </c>
      <c r="J62" s="65"/>
      <c r="K62" s="132"/>
      <c r="L62" s="67">
        <f t="shared" si="0"/>
        <v>0</v>
      </c>
      <c r="M62" s="132"/>
      <c r="N62" s="67">
        <f t="shared" si="1"/>
        <v>0</v>
      </c>
      <c r="O62" s="67">
        <f t="shared" si="2"/>
        <v>0</v>
      </c>
      <c r="P62" s="4"/>
    </row>
    <row r="63" spans="2:16" ht="12.5">
      <c r="B63" s="9" t="str">
        <f t="shared" si="8"/>
        <v/>
      </c>
      <c r="C63" s="62">
        <f>IF(D11="","-",+C62+1)</f>
        <v>2071</v>
      </c>
      <c r="D63" s="71">
        <f>IF(F62+SUM(E$17:E62)=D$10,F62,D$10-SUM(E$17:E62))</f>
        <v>0</v>
      </c>
      <c r="E63" s="69">
        <f t="shared" si="3"/>
        <v>0</v>
      </c>
      <c r="F63" s="68">
        <f t="shared" si="4"/>
        <v>0</v>
      </c>
      <c r="G63" s="70">
        <f t="shared" si="5"/>
        <v>0</v>
      </c>
      <c r="H63" s="52">
        <f t="shared" si="6"/>
        <v>0</v>
      </c>
      <c r="I63" s="65">
        <f t="shared" si="7"/>
        <v>0</v>
      </c>
      <c r="J63" s="65"/>
      <c r="K63" s="132"/>
      <c r="L63" s="67">
        <f t="shared" si="0"/>
        <v>0</v>
      </c>
      <c r="M63" s="132"/>
      <c r="N63" s="67">
        <f t="shared" si="1"/>
        <v>0</v>
      </c>
      <c r="O63" s="67">
        <f t="shared" si="2"/>
        <v>0</v>
      </c>
      <c r="P63" s="4"/>
    </row>
    <row r="64" spans="2:16" ht="12.5">
      <c r="B64" s="9" t="str">
        <f t="shared" si="8"/>
        <v/>
      </c>
      <c r="C64" s="62">
        <f>IF(D11="","-",+C63+1)</f>
        <v>2072</v>
      </c>
      <c r="D64" s="71">
        <f>IF(F63+SUM(E$17:E63)=D$10,F63,D$10-SUM(E$17:E63))</f>
        <v>0</v>
      </c>
      <c r="E64" s="69">
        <f t="shared" si="3"/>
        <v>0</v>
      </c>
      <c r="F64" s="68">
        <f t="shared" si="4"/>
        <v>0</v>
      </c>
      <c r="G64" s="70">
        <f t="shared" si="5"/>
        <v>0</v>
      </c>
      <c r="H64" s="52">
        <f t="shared" si="6"/>
        <v>0</v>
      </c>
      <c r="I64" s="65">
        <f t="shared" si="7"/>
        <v>0</v>
      </c>
      <c r="J64" s="65"/>
      <c r="K64" s="132"/>
      <c r="L64" s="67">
        <f t="shared" si="0"/>
        <v>0</v>
      </c>
      <c r="M64" s="132"/>
      <c r="N64" s="67">
        <f t="shared" si="1"/>
        <v>0</v>
      </c>
      <c r="O64" s="67">
        <f t="shared" si="2"/>
        <v>0</v>
      </c>
      <c r="P64" s="4"/>
    </row>
    <row r="65" spans="2:16" ht="12.5">
      <c r="B65" s="9" t="str">
        <f t="shared" si="8"/>
        <v/>
      </c>
      <c r="C65" s="62">
        <f>IF(D11="","-",+C64+1)</f>
        <v>2073</v>
      </c>
      <c r="D65" s="71">
        <f>IF(F64+SUM(E$17:E64)=D$10,F64,D$10-SUM(E$17:E64))</f>
        <v>0</v>
      </c>
      <c r="E65" s="69">
        <f t="shared" si="3"/>
        <v>0</v>
      </c>
      <c r="F65" s="68">
        <f t="shared" si="4"/>
        <v>0</v>
      </c>
      <c r="G65" s="70">
        <f t="shared" si="5"/>
        <v>0</v>
      </c>
      <c r="H65" s="52">
        <f t="shared" si="6"/>
        <v>0</v>
      </c>
      <c r="I65" s="65">
        <f t="shared" si="7"/>
        <v>0</v>
      </c>
      <c r="J65" s="65"/>
      <c r="K65" s="132"/>
      <c r="L65" s="67">
        <f t="shared" si="0"/>
        <v>0</v>
      </c>
      <c r="M65" s="132"/>
      <c r="N65" s="67">
        <f t="shared" si="1"/>
        <v>0</v>
      </c>
      <c r="O65" s="67">
        <f t="shared" si="2"/>
        <v>0</v>
      </c>
      <c r="P65" s="4"/>
    </row>
    <row r="66" spans="2:16" ht="12.5">
      <c r="B66" s="9" t="str">
        <f t="shared" si="8"/>
        <v/>
      </c>
      <c r="C66" s="62">
        <f>IF(D11="","-",+C65+1)</f>
        <v>2074</v>
      </c>
      <c r="D66" s="71">
        <f>IF(F65+SUM(E$17:E65)=D$10,F65,D$10-SUM(E$17:E65))</f>
        <v>0</v>
      </c>
      <c r="E66" s="69">
        <f t="shared" si="3"/>
        <v>0</v>
      </c>
      <c r="F66" s="68">
        <f t="shared" si="4"/>
        <v>0</v>
      </c>
      <c r="G66" s="70">
        <f t="shared" si="5"/>
        <v>0</v>
      </c>
      <c r="H66" s="52">
        <f t="shared" si="6"/>
        <v>0</v>
      </c>
      <c r="I66" s="65">
        <f t="shared" si="7"/>
        <v>0</v>
      </c>
      <c r="J66" s="65"/>
      <c r="K66" s="132"/>
      <c r="L66" s="67">
        <f t="shared" si="0"/>
        <v>0</v>
      </c>
      <c r="M66" s="132"/>
      <c r="N66" s="67">
        <f t="shared" si="1"/>
        <v>0</v>
      </c>
      <c r="O66" s="67">
        <f t="shared" si="2"/>
        <v>0</v>
      </c>
      <c r="P66" s="4"/>
    </row>
    <row r="67" spans="2:16" ht="12.5">
      <c r="B67" s="9" t="str">
        <f t="shared" si="8"/>
        <v/>
      </c>
      <c r="C67" s="62">
        <f>IF(D11="","-",+C66+1)</f>
        <v>2075</v>
      </c>
      <c r="D67" s="71">
        <f>IF(F66+SUM(E$17:E66)=D$10,F66,D$10-SUM(E$17:E66))</f>
        <v>0</v>
      </c>
      <c r="E67" s="69">
        <f t="shared" si="3"/>
        <v>0</v>
      </c>
      <c r="F67" s="68">
        <f t="shared" si="4"/>
        <v>0</v>
      </c>
      <c r="G67" s="70">
        <f t="shared" si="5"/>
        <v>0</v>
      </c>
      <c r="H67" s="52">
        <f t="shared" si="6"/>
        <v>0</v>
      </c>
      <c r="I67" s="65">
        <f t="shared" si="7"/>
        <v>0</v>
      </c>
      <c r="J67" s="65"/>
      <c r="K67" s="132"/>
      <c r="L67" s="67">
        <f t="shared" si="0"/>
        <v>0</v>
      </c>
      <c r="M67" s="132"/>
      <c r="N67" s="67">
        <f t="shared" si="1"/>
        <v>0</v>
      </c>
      <c r="O67" s="67">
        <f t="shared" si="2"/>
        <v>0</v>
      </c>
      <c r="P67" s="4"/>
    </row>
    <row r="68" spans="2:16" ht="12.5">
      <c r="B68" s="9" t="str">
        <f t="shared" si="8"/>
        <v/>
      </c>
      <c r="C68" s="62">
        <f>IF(D11="","-",+C67+1)</f>
        <v>2076</v>
      </c>
      <c r="D68" s="71">
        <f>IF(F67+SUM(E$17:E67)=D$10,F67,D$10-SUM(E$17:E67))</f>
        <v>0</v>
      </c>
      <c r="E68" s="69">
        <f t="shared" si="3"/>
        <v>0</v>
      </c>
      <c r="F68" s="68">
        <f t="shared" si="4"/>
        <v>0</v>
      </c>
      <c r="G68" s="70">
        <f t="shared" si="5"/>
        <v>0</v>
      </c>
      <c r="H68" s="52">
        <f t="shared" si="6"/>
        <v>0</v>
      </c>
      <c r="I68" s="65">
        <f t="shared" si="7"/>
        <v>0</v>
      </c>
      <c r="J68" s="65"/>
      <c r="K68" s="132"/>
      <c r="L68" s="67">
        <f t="shared" si="0"/>
        <v>0</v>
      </c>
      <c r="M68" s="132"/>
      <c r="N68" s="67">
        <f t="shared" si="1"/>
        <v>0</v>
      </c>
      <c r="O68" s="67">
        <f t="shared" si="2"/>
        <v>0</v>
      </c>
      <c r="P68" s="4"/>
    </row>
    <row r="69" spans="2:16" ht="12.5">
      <c r="B69" s="9" t="str">
        <f t="shared" si="8"/>
        <v/>
      </c>
      <c r="C69" s="62">
        <f>IF(D11="","-",+C68+1)</f>
        <v>2077</v>
      </c>
      <c r="D69" s="71">
        <f>IF(F68+SUM(E$17:E68)=D$10,F68,D$10-SUM(E$17:E68))</f>
        <v>0</v>
      </c>
      <c r="E69" s="69">
        <f t="shared" si="3"/>
        <v>0</v>
      </c>
      <c r="F69" s="68">
        <f t="shared" si="4"/>
        <v>0</v>
      </c>
      <c r="G69" s="70">
        <f t="shared" si="5"/>
        <v>0</v>
      </c>
      <c r="H69" s="52">
        <f t="shared" si="6"/>
        <v>0</v>
      </c>
      <c r="I69" s="65">
        <f t="shared" si="7"/>
        <v>0</v>
      </c>
      <c r="J69" s="65"/>
      <c r="K69" s="132"/>
      <c r="L69" s="67">
        <f t="shared" si="0"/>
        <v>0</v>
      </c>
      <c r="M69" s="132"/>
      <c r="N69" s="67">
        <f t="shared" si="1"/>
        <v>0</v>
      </c>
      <c r="O69" s="67">
        <f t="shared" si="2"/>
        <v>0</v>
      </c>
      <c r="P69" s="4"/>
    </row>
    <row r="70" spans="2:16" ht="12.5">
      <c r="B70" s="9" t="str">
        <f t="shared" si="8"/>
        <v/>
      </c>
      <c r="C70" s="62">
        <f>IF(D11="","-",+C69+1)</f>
        <v>2078</v>
      </c>
      <c r="D70" s="71">
        <f>IF(F69+SUM(E$17:E69)=D$10,F69,D$10-SUM(E$17:E69))</f>
        <v>0</v>
      </c>
      <c r="E70" s="69">
        <f t="shared" si="3"/>
        <v>0</v>
      </c>
      <c r="F70" s="68">
        <f t="shared" si="4"/>
        <v>0</v>
      </c>
      <c r="G70" s="70">
        <f t="shared" si="5"/>
        <v>0</v>
      </c>
      <c r="H70" s="52">
        <f t="shared" si="6"/>
        <v>0</v>
      </c>
      <c r="I70" s="65">
        <f t="shared" si="7"/>
        <v>0</v>
      </c>
      <c r="J70" s="65"/>
      <c r="K70" s="132"/>
      <c r="L70" s="67">
        <f t="shared" si="0"/>
        <v>0</v>
      </c>
      <c r="M70" s="132"/>
      <c r="N70" s="67">
        <f t="shared" si="1"/>
        <v>0</v>
      </c>
      <c r="O70" s="67">
        <f t="shared" si="2"/>
        <v>0</v>
      </c>
      <c r="P70" s="4"/>
    </row>
    <row r="71" spans="2:16" ht="12.5">
      <c r="B71" s="9" t="str">
        <f t="shared" si="8"/>
        <v/>
      </c>
      <c r="C71" s="62">
        <f>IF(D11="","-",+C70+1)</f>
        <v>2079</v>
      </c>
      <c r="D71" s="71">
        <f>IF(F70+SUM(E$17:E70)=D$10,F70,D$10-SUM(E$17:E70))</f>
        <v>0</v>
      </c>
      <c r="E71" s="69">
        <f t="shared" si="3"/>
        <v>0</v>
      </c>
      <c r="F71" s="68">
        <f t="shared" si="4"/>
        <v>0</v>
      </c>
      <c r="G71" s="70">
        <f t="shared" si="5"/>
        <v>0</v>
      </c>
      <c r="H71" s="52">
        <f t="shared" si="6"/>
        <v>0</v>
      </c>
      <c r="I71" s="65">
        <f t="shared" si="7"/>
        <v>0</v>
      </c>
      <c r="J71" s="65"/>
      <c r="K71" s="132"/>
      <c r="L71" s="67">
        <f t="shared" si="0"/>
        <v>0</v>
      </c>
      <c r="M71" s="132"/>
      <c r="N71" s="67">
        <f t="shared" si="1"/>
        <v>0</v>
      </c>
      <c r="O71" s="67">
        <f t="shared" si="2"/>
        <v>0</v>
      </c>
      <c r="P71" s="4"/>
    </row>
    <row r="72" spans="2:16" ht="13" thickBot="1">
      <c r="B72" s="9" t="str">
        <f t="shared" si="8"/>
        <v/>
      </c>
      <c r="C72" s="72">
        <f>IF(D11="","-",+C71+1)</f>
        <v>2080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0"/>
        <v>0</v>
      </c>
      <c r="M72" s="133"/>
      <c r="N72" s="76">
        <f t="shared" si="1"/>
        <v>0</v>
      </c>
      <c r="O72" s="76">
        <f t="shared" si="2"/>
        <v>0</v>
      </c>
      <c r="P72" s="4"/>
    </row>
    <row r="73" spans="2:16" ht="12.5">
      <c r="C73" s="63" t="s">
        <v>77</v>
      </c>
      <c r="D73" s="20"/>
      <c r="E73" s="20">
        <f>SUM(E17:E72)</f>
        <v>0</v>
      </c>
      <c r="F73" s="20"/>
      <c r="G73" s="20">
        <f>SUM(G17:G72)</f>
        <v>0</v>
      </c>
      <c r="H73" s="20">
        <f>SUM(H17:H72)</f>
        <v>0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34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2024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Sooner - Wekiwa 345 kV Terminal Upgrades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 t="str">
        <f>+D9</f>
        <v>TP2019146</v>
      </c>
      <c r="E91" s="89" t="str">
        <f>E9</f>
        <v xml:space="preserve">  SPP Project ID = 81561</v>
      </c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D10</f>
        <v>0</v>
      </c>
      <c r="E92" s="10" t="s">
        <v>94</v>
      </c>
      <c r="H92" s="44"/>
      <c r="I92" s="44"/>
      <c r="J92" s="45">
        <f>+'PSO.WS.G.BPU.ATRR.True-up'!M16</f>
        <v>2024</v>
      </c>
      <c r="K92" s="41"/>
      <c r="L92" s="20" t="s">
        <v>95</v>
      </c>
      <c r="P92" s="4"/>
    </row>
    <row r="93" spans="1:16" ht="12.5">
      <c r="C93" s="46" t="s">
        <v>53</v>
      </c>
      <c r="D93" s="102">
        <v>2025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v>5</v>
      </c>
      <c r="E94" s="46" t="s">
        <v>56</v>
      </c>
      <c r="F94" s="44"/>
      <c r="G94" s="44"/>
      <c r="J94" s="50">
        <f>'PSO.WS.G.BPU.ATRR.True-up'!$F$81</f>
        <v>0.13431870975736884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0.13431870975736884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0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281</v>
      </c>
      <c r="I97" s="135" t="s">
        <v>282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2025</v>
      </c>
      <c r="D99" s="63">
        <v>0</v>
      </c>
      <c r="E99" s="70">
        <f>IF(OR(D11=I10,D92&lt;100000),0,J$96/12*(12-D94))</f>
        <v>0</v>
      </c>
      <c r="F99" s="68">
        <f>IF(D93=C99,+D92-E99,+D99-E99)</f>
        <v>0</v>
      </c>
      <c r="G99" s="97">
        <f>+(F99+D99)/2</f>
        <v>0</v>
      </c>
      <c r="H99" s="97">
        <f>+J$94*G99+E99</f>
        <v>0</v>
      </c>
      <c r="I99" s="97">
        <f>+J$95*G99+E99</f>
        <v>0</v>
      </c>
      <c r="J99" s="67">
        <f>+I99-H99</f>
        <v>0</v>
      </c>
      <c r="K99" s="67"/>
      <c r="L99" s="131"/>
      <c r="M99" s="66">
        <f t="shared" ref="M99:M130" si="9">IF(L99&lt;&gt;0,+H99-L99,0)</f>
        <v>0</v>
      </c>
      <c r="N99" s="131"/>
      <c r="O99" s="66">
        <f t="shared" ref="O99:O130" si="10">IF(N99&lt;&gt;0,+I99-N99,0)</f>
        <v>0</v>
      </c>
      <c r="P99" s="66">
        <f t="shared" ref="P99:P130" si="11">+O99-M99</f>
        <v>0</v>
      </c>
    </row>
    <row r="100" spans="1:16" ht="12.5">
      <c r="B100" s="9" t="str">
        <f>IF(D100=F99,"","IU")</f>
        <v/>
      </c>
      <c r="C100" s="62">
        <f>IF(D93="","-",+C99+1)</f>
        <v>2026</v>
      </c>
      <c r="D100" s="63">
        <f>IF(F99+SUM(E$99:E99)=D$92,F99,D$92-SUM(E$99:E99))</f>
        <v>0</v>
      </c>
      <c r="E100" s="69">
        <f>IF(+J$96&lt;F99,J$96,D100)</f>
        <v>0</v>
      </c>
      <c r="F100" s="68">
        <f>+D100-E100</f>
        <v>0</v>
      </c>
      <c r="G100" s="68">
        <f>+(F100+D100)/2</f>
        <v>0</v>
      </c>
      <c r="H100" s="130">
        <f t="shared" ref="H100:H154" si="12">+J$94*G100+E100</f>
        <v>0</v>
      </c>
      <c r="I100" s="139">
        <f t="shared" ref="I100:I154" si="13">+J$95*G100+E100</f>
        <v>0</v>
      </c>
      <c r="J100" s="67">
        <f t="shared" ref="J100:J130" si="14">+I100-H100</f>
        <v>0</v>
      </c>
      <c r="K100" s="67"/>
      <c r="L100" s="132"/>
      <c r="M100" s="67">
        <f t="shared" si="9"/>
        <v>0</v>
      </c>
      <c r="N100" s="132"/>
      <c r="O100" s="67">
        <f t="shared" si="10"/>
        <v>0</v>
      </c>
      <c r="P100" s="67">
        <f t="shared" si="11"/>
        <v>0</v>
      </c>
    </row>
    <row r="101" spans="1:16" ht="12.5">
      <c r="B101" s="9" t="str">
        <f t="shared" ref="B101:B154" si="15">IF(D101=F100,"","IU")</f>
        <v/>
      </c>
      <c r="C101" s="62">
        <f>IF(D93="","-",+C100+1)</f>
        <v>2027</v>
      </c>
      <c r="D101" s="63">
        <f>IF(F100+SUM(E$99:E100)=D$92,F100,D$92-SUM(E$99:E100))</f>
        <v>0</v>
      </c>
      <c r="E101" s="69">
        <f t="shared" ref="E101:E154" si="16">IF(+J$96&lt;F100,J$96,D101)</f>
        <v>0</v>
      </c>
      <c r="F101" s="68">
        <f t="shared" ref="F101:F154" si="17">+D101-E101</f>
        <v>0</v>
      </c>
      <c r="G101" s="68">
        <f t="shared" ref="G101:G154" si="18">+(F101+D101)/2</f>
        <v>0</v>
      </c>
      <c r="H101" s="130">
        <f t="shared" si="12"/>
        <v>0</v>
      </c>
      <c r="I101" s="139">
        <f t="shared" si="13"/>
        <v>0</v>
      </c>
      <c r="J101" s="67">
        <f t="shared" si="14"/>
        <v>0</v>
      </c>
      <c r="K101" s="67"/>
      <c r="L101" s="132"/>
      <c r="M101" s="67">
        <f t="shared" si="9"/>
        <v>0</v>
      </c>
      <c r="N101" s="132"/>
      <c r="O101" s="67">
        <f t="shared" si="10"/>
        <v>0</v>
      </c>
      <c r="P101" s="67">
        <f t="shared" si="11"/>
        <v>0</v>
      </c>
    </row>
    <row r="102" spans="1:16" ht="12.5">
      <c r="B102" s="9" t="str">
        <f t="shared" si="15"/>
        <v/>
      </c>
      <c r="C102" s="62">
        <f>IF(D93="","-",+C101+1)</f>
        <v>2028</v>
      </c>
      <c r="D102" s="63">
        <f>IF(F101+SUM(E$99:E101)=D$92,F101,D$92-SUM(E$99:E101))</f>
        <v>0</v>
      </c>
      <c r="E102" s="69">
        <f t="shared" si="16"/>
        <v>0</v>
      </c>
      <c r="F102" s="68">
        <f t="shared" si="17"/>
        <v>0</v>
      </c>
      <c r="G102" s="68">
        <f t="shared" si="18"/>
        <v>0</v>
      </c>
      <c r="H102" s="130">
        <f t="shared" si="12"/>
        <v>0</v>
      </c>
      <c r="I102" s="139">
        <f t="shared" si="13"/>
        <v>0</v>
      </c>
      <c r="J102" s="67">
        <f t="shared" si="14"/>
        <v>0</v>
      </c>
      <c r="K102" s="67"/>
      <c r="L102" s="132"/>
      <c r="M102" s="67">
        <f t="shared" si="9"/>
        <v>0</v>
      </c>
      <c r="N102" s="132"/>
      <c r="O102" s="67">
        <f t="shared" si="10"/>
        <v>0</v>
      </c>
      <c r="P102" s="67">
        <f t="shared" si="11"/>
        <v>0</v>
      </c>
    </row>
    <row r="103" spans="1:16" ht="12.5">
      <c r="B103" s="9" t="str">
        <f t="shared" si="15"/>
        <v/>
      </c>
      <c r="C103" s="62">
        <f>IF(D93="","-",+C102+1)</f>
        <v>2029</v>
      </c>
      <c r="D103" s="63">
        <f>IF(F102+SUM(E$99:E102)=D$92,F102,D$92-SUM(E$99:E102))</f>
        <v>0</v>
      </c>
      <c r="E103" s="69">
        <f t="shared" si="16"/>
        <v>0</v>
      </c>
      <c r="F103" s="68">
        <f t="shared" si="17"/>
        <v>0</v>
      </c>
      <c r="G103" s="68">
        <f t="shared" si="18"/>
        <v>0</v>
      </c>
      <c r="H103" s="130">
        <f t="shared" si="12"/>
        <v>0</v>
      </c>
      <c r="I103" s="139">
        <f t="shared" si="13"/>
        <v>0</v>
      </c>
      <c r="J103" s="67">
        <f t="shared" si="14"/>
        <v>0</v>
      </c>
      <c r="K103" s="67"/>
      <c r="L103" s="132"/>
      <c r="M103" s="67">
        <f t="shared" si="9"/>
        <v>0</v>
      </c>
      <c r="N103" s="132"/>
      <c r="O103" s="67">
        <f t="shared" si="10"/>
        <v>0</v>
      </c>
      <c r="P103" s="67">
        <f t="shared" si="11"/>
        <v>0</v>
      </c>
    </row>
    <row r="104" spans="1:16" ht="12.5">
      <c r="B104" s="9" t="str">
        <f t="shared" si="15"/>
        <v/>
      </c>
      <c r="C104" s="62">
        <f>IF(D93="","-",+C103+1)</f>
        <v>2030</v>
      </c>
      <c r="D104" s="63">
        <f>IF(F103+SUM(E$99:E103)=D$92,F103,D$92-SUM(E$99:E103))</f>
        <v>0</v>
      </c>
      <c r="E104" s="69">
        <f t="shared" si="16"/>
        <v>0</v>
      </c>
      <c r="F104" s="68">
        <f t="shared" si="17"/>
        <v>0</v>
      </c>
      <c r="G104" s="68">
        <f t="shared" si="18"/>
        <v>0</v>
      </c>
      <c r="H104" s="130">
        <f t="shared" si="12"/>
        <v>0</v>
      </c>
      <c r="I104" s="139">
        <f t="shared" si="13"/>
        <v>0</v>
      </c>
      <c r="J104" s="67">
        <f t="shared" si="14"/>
        <v>0</v>
      </c>
      <c r="K104" s="67"/>
      <c r="L104" s="132"/>
      <c r="M104" s="67">
        <f t="shared" si="9"/>
        <v>0</v>
      </c>
      <c r="N104" s="132"/>
      <c r="O104" s="67">
        <f t="shared" si="10"/>
        <v>0</v>
      </c>
      <c r="P104" s="67">
        <f t="shared" si="11"/>
        <v>0</v>
      </c>
    </row>
    <row r="105" spans="1:16" ht="12.5">
      <c r="B105" s="9" t="str">
        <f t="shared" si="15"/>
        <v/>
      </c>
      <c r="C105" s="62">
        <f>IF(D93="","-",+C104+1)</f>
        <v>2031</v>
      </c>
      <c r="D105" s="63">
        <f>IF(F104+SUM(E$99:E104)=D$92,F104,D$92-SUM(E$99:E104))</f>
        <v>0</v>
      </c>
      <c r="E105" s="69">
        <f t="shared" si="16"/>
        <v>0</v>
      </c>
      <c r="F105" s="68">
        <f t="shared" si="17"/>
        <v>0</v>
      </c>
      <c r="G105" s="68">
        <f t="shared" si="18"/>
        <v>0</v>
      </c>
      <c r="H105" s="130">
        <f t="shared" si="12"/>
        <v>0</v>
      </c>
      <c r="I105" s="139">
        <f t="shared" si="13"/>
        <v>0</v>
      </c>
      <c r="J105" s="67">
        <f t="shared" si="14"/>
        <v>0</v>
      </c>
      <c r="K105" s="67"/>
      <c r="L105" s="132"/>
      <c r="M105" s="67">
        <f t="shared" si="9"/>
        <v>0</v>
      </c>
      <c r="N105" s="132"/>
      <c r="O105" s="67">
        <f t="shared" si="10"/>
        <v>0</v>
      </c>
      <c r="P105" s="67">
        <f t="shared" si="11"/>
        <v>0</v>
      </c>
    </row>
    <row r="106" spans="1:16" ht="12.5">
      <c r="B106" s="9" t="str">
        <f t="shared" si="15"/>
        <v/>
      </c>
      <c r="C106" s="62">
        <f>IF(D93="","-",+C105+1)</f>
        <v>2032</v>
      </c>
      <c r="D106" s="63">
        <f>IF(F105+SUM(E$99:E105)=D$92,F105,D$92-SUM(E$99:E105))</f>
        <v>0</v>
      </c>
      <c r="E106" s="69">
        <f t="shared" si="16"/>
        <v>0</v>
      </c>
      <c r="F106" s="68">
        <f t="shared" si="17"/>
        <v>0</v>
      </c>
      <c r="G106" s="68">
        <f t="shared" si="18"/>
        <v>0</v>
      </c>
      <c r="H106" s="130">
        <f t="shared" si="12"/>
        <v>0</v>
      </c>
      <c r="I106" s="139">
        <f t="shared" si="13"/>
        <v>0</v>
      </c>
      <c r="J106" s="67">
        <f t="shared" si="14"/>
        <v>0</v>
      </c>
      <c r="K106" s="67"/>
      <c r="L106" s="132"/>
      <c r="M106" s="67">
        <f t="shared" si="9"/>
        <v>0</v>
      </c>
      <c r="N106" s="132"/>
      <c r="O106" s="67">
        <f t="shared" si="10"/>
        <v>0</v>
      </c>
      <c r="P106" s="67">
        <f t="shared" si="11"/>
        <v>0</v>
      </c>
    </row>
    <row r="107" spans="1:16" ht="12.5">
      <c r="B107" s="9" t="str">
        <f t="shared" si="15"/>
        <v/>
      </c>
      <c r="C107" s="62">
        <f>IF(D93="","-",+C106+1)</f>
        <v>2033</v>
      </c>
      <c r="D107" s="63">
        <f>IF(F106+SUM(E$99:E106)=D$92,F106,D$92-SUM(E$99:E106))</f>
        <v>0</v>
      </c>
      <c r="E107" s="69">
        <f t="shared" si="16"/>
        <v>0</v>
      </c>
      <c r="F107" s="68">
        <f t="shared" si="17"/>
        <v>0</v>
      </c>
      <c r="G107" s="68">
        <f t="shared" si="18"/>
        <v>0</v>
      </c>
      <c r="H107" s="130">
        <f t="shared" si="12"/>
        <v>0</v>
      </c>
      <c r="I107" s="139">
        <f t="shared" si="13"/>
        <v>0</v>
      </c>
      <c r="J107" s="67">
        <f t="shared" si="14"/>
        <v>0</v>
      </c>
      <c r="K107" s="67"/>
      <c r="L107" s="132"/>
      <c r="M107" s="67">
        <f t="shared" si="9"/>
        <v>0</v>
      </c>
      <c r="N107" s="132"/>
      <c r="O107" s="67">
        <f t="shared" si="10"/>
        <v>0</v>
      </c>
      <c r="P107" s="67">
        <f t="shared" si="11"/>
        <v>0</v>
      </c>
    </row>
    <row r="108" spans="1:16" ht="12.5">
      <c r="B108" s="9" t="str">
        <f t="shared" si="15"/>
        <v/>
      </c>
      <c r="C108" s="62">
        <f>IF(D93="","-",+C107+1)</f>
        <v>2034</v>
      </c>
      <c r="D108" s="63">
        <f>IF(F107+SUM(E$99:E107)=D$92,F107,D$92-SUM(E$99:E107))</f>
        <v>0</v>
      </c>
      <c r="E108" s="69">
        <f t="shared" si="16"/>
        <v>0</v>
      </c>
      <c r="F108" s="68">
        <f t="shared" si="17"/>
        <v>0</v>
      </c>
      <c r="G108" s="68">
        <f t="shared" si="18"/>
        <v>0</v>
      </c>
      <c r="H108" s="130">
        <f t="shared" si="12"/>
        <v>0</v>
      </c>
      <c r="I108" s="139">
        <f t="shared" si="13"/>
        <v>0</v>
      </c>
      <c r="J108" s="67">
        <f t="shared" si="14"/>
        <v>0</v>
      </c>
      <c r="K108" s="67"/>
      <c r="L108" s="132"/>
      <c r="M108" s="67">
        <f t="shared" si="9"/>
        <v>0</v>
      </c>
      <c r="N108" s="132"/>
      <c r="O108" s="67">
        <f t="shared" si="10"/>
        <v>0</v>
      </c>
      <c r="P108" s="67">
        <f t="shared" si="11"/>
        <v>0</v>
      </c>
    </row>
    <row r="109" spans="1:16" ht="12.5">
      <c r="B109" s="9" t="str">
        <f t="shared" si="15"/>
        <v/>
      </c>
      <c r="C109" s="62">
        <f>IF(D93="","-",+C108+1)</f>
        <v>2035</v>
      </c>
      <c r="D109" s="63">
        <f>IF(F108+SUM(E$99:E108)=D$92,F108,D$92-SUM(E$99:E108))</f>
        <v>0</v>
      </c>
      <c r="E109" s="69">
        <f t="shared" si="16"/>
        <v>0</v>
      </c>
      <c r="F109" s="68">
        <f t="shared" si="17"/>
        <v>0</v>
      </c>
      <c r="G109" s="68">
        <f t="shared" si="18"/>
        <v>0</v>
      </c>
      <c r="H109" s="130">
        <f t="shared" si="12"/>
        <v>0</v>
      </c>
      <c r="I109" s="139">
        <f t="shared" si="13"/>
        <v>0</v>
      </c>
      <c r="J109" s="67">
        <f t="shared" si="14"/>
        <v>0</v>
      </c>
      <c r="K109" s="67"/>
      <c r="L109" s="132"/>
      <c r="M109" s="67">
        <f t="shared" si="9"/>
        <v>0</v>
      </c>
      <c r="N109" s="132"/>
      <c r="O109" s="67">
        <f t="shared" si="10"/>
        <v>0</v>
      </c>
      <c r="P109" s="67">
        <f t="shared" si="11"/>
        <v>0</v>
      </c>
    </row>
    <row r="110" spans="1:16" ht="12.5">
      <c r="B110" s="9" t="str">
        <f t="shared" si="15"/>
        <v/>
      </c>
      <c r="C110" s="62">
        <f>IF(D93="","-",+C109+1)</f>
        <v>2036</v>
      </c>
      <c r="D110" s="63">
        <f>IF(F109+SUM(E$99:E109)=D$92,F109,D$92-SUM(E$99:E109))</f>
        <v>0</v>
      </c>
      <c r="E110" s="69">
        <f t="shared" si="16"/>
        <v>0</v>
      </c>
      <c r="F110" s="68">
        <f t="shared" si="17"/>
        <v>0</v>
      </c>
      <c r="G110" s="68">
        <f t="shared" si="18"/>
        <v>0</v>
      </c>
      <c r="H110" s="130">
        <f t="shared" si="12"/>
        <v>0</v>
      </c>
      <c r="I110" s="139">
        <f t="shared" si="13"/>
        <v>0</v>
      </c>
      <c r="J110" s="67">
        <f t="shared" si="14"/>
        <v>0</v>
      </c>
      <c r="K110" s="67"/>
      <c r="L110" s="132"/>
      <c r="M110" s="67">
        <f t="shared" si="9"/>
        <v>0</v>
      </c>
      <c r="N110" s="132"/>
      <c r="O110" s="67">
        <f t="shared" si="10"/>
        <v>0</v>
      </c>
      <c r="P110" s="67">
        <f t="shared" si="11"/>
        <v>0</v>
      </c>
    </row>
    <row r="111" spans="1:16" ht="12.5">
      <c r="B111" s="9" t="str">
        <f t="shared" si="15"/>
        <v/>
      </c>
      <c r="C111" s="62">
        <f>IF(D93="","-",+C110+1)</f>
        <v>2037</v>
      </c>
      <c r="D111" s="63">
        <f>IF(F110+SUM(E$99:E110)=D$92,F110,D$92-SUM(E$99:E110))</f>
        <v>0</v>
      </c>
      <c r="E111" s="69">
        <f t="shared" si="16"/>
        <v>0</v>
      </c>
      <c r="F111" s="68">
        <f t="shared" si="17"/>
        <v>0</v>
      </c>
      <c r="G111" s="68">
        <f t="shared" si="18"/>
        <v>0</v>
      </c>
      <c r="H111" s="130">
        <f t="shared" si="12"/>
        <v>0</v>
      </c>
      <c r="I111" s="139">
        <f t="shared" si="13"/>
        <v>0</v>
      </c>
      <c r="J111" s="67">
        <f t="shared" si="14"/>
        <v>0</v>
      </c>
      <c r="K111" s="67"/>
      <c r="L111" s="132"/>
      <c r="M111" s="67">
        <f t="shared" si="9"/>
        <v>0</v>
      </c>
      <c r="N111" s="132"/>
      <c r="O111" s="67">
        <f t="shared" si="10"/>
        <v>0</v>
      </c>
      <c r="P111" s="67">
        <f t="shared" si="11"/>
        <v>0</v>
      </c>
    </row>
    <row r="112" spans="1:16" ht="12.5">
      <c r="B112" s="9" t="str">
        <f t="shared" si="15"/>
        <v/>
      </c>
      <c r="C112" s="62">
        <f>IF(D93="","-",+C111+1)</f>
        <v>2038</v>
      </c>
      <c r="D112" s="63">
        <f>IF(F111+SUM(E$99:E111)=D$92,F111,D$92-SUM(E$99:E111))</f>
        <v>0</v>
      </c>
      <c r="E112" s="69">
        <f t="shared" si="16"/>
        <v>0</v>
      </c>
      <c r="F112" s="68">
        <f t="shared" si="17"/>
        <v>0</v>
      </c>
      <c r="G112" s="68">
        <f t="shared" si="18"/>
        <v>0</v>
      </c>
      <c r="H112" s="130">
        <f t="shared" si="12"/>
        <v>0</v>
      </c>
      <c r="I112" s="139">
        <f t="shared" si="13"/>
        <v>0</v>
      </c>
      <c r="J112" s="67">
        <f t="shared" si="14"/>
        <v>0</v>
      </c>
      <c r="K112" s="67"/>
      <c r="L112" s="132"/>
      <c r="M112" s="67">
        <f t="shared" si="9"/>
        <v>0</v>
      </c>
      <c r="N112" s="132"/>
      <c r="O112" s="67">
        <f t="shared" si="10"/>
        <v>0</v>
      </c>
      <c r="P112" s="67">
        <f t="shared" si="11"/>
        <v>0</v>
      </c>
    </row>
    <row r="113" spans="2:16" ht="12.5">
      <c r="B113" s="9" t="str">
        <f t="shared" si="15"/>
        <v/>
      </c>
      <c r="C113" s="62">
        <f>IF(D93="","-",+C112+1)</f>
        <v>2039</v>
      </c>
      <c r="D113" s="63">
        <f>IF(F112+SUM(E$99:E112)=D$92,F112,D$92-SUM(E$99:E112))</f>
        <v>0</v>
      </c>
      <c r="E113" s="69">
        <f t="shared" si="16"/>
        <v>0</v>
      </c>
      <c r="F113" s="68">
        <f t="shared" si="17"/>
        <v>0</v>
      </c>
      <c r="G113" s="68">
        <f t="shared" si="18"/>
        <v>0</v>
      </c>
      <c r="H113" s="130">
        <f t="shared" si="12"/>
        <v>0</v>
      </c>
      <c r="I113" s="139">
        <f t="shared" si="13"/>
        <v>0</v>
      </c>
      <c r="J113" s="67">
        <f t="shared" si="14"/>
        <v>0</v>
      </c>
      <c r="K113" s="67"/>
      <c r="L113" s="132"/>
      <c r="M113" s="67">
        <f t="shared" si="9"/>
        <v>0</v>
      </c>
      <c r="N113" s="132"/>
      <c r="O113" s="67">
        <f t="shared" si="10"/>
        <v>0</v>
      </c>
      <c r="P113" s="67">
        <f t="shared" si="11"/>
        <v>0</v>
      </c>
    </row>
    <row r="114" spans="2:16" ht="12.5">
      <c r="B114" s="9" t="str">
        <f t="shared" si="15"/>
        <v/>
      </c>
      <c r="C114" s="62">
        <f>IF(D93="","-",+C113+1)</f>
        <v>2040</v>
      </c>
      <c r="D114" s="63">
        <f>IF(F113+SUM(E$99:E113)=D$92,F113,D$92-SUM(E$99:E113))</f>
        <v>0</v>
      </c>
      <c r="E114" s="69">
        <f t="shared" si="16"/>
        <v>0</v>
      </c>
      <c r="F114" s="68">
        <f t="shared" si="17"/>
        <v>0</v>
      </c>
      <c r="G114" s="68">
        <f t="shared" si="18"/>
        <v>0</v>
      </c>
      <c r="H114" s="130">
        <f t="shared" si="12"/>
        <v>0</v>
      </c>
      <c r="I114" s="139">
        <f t="shared" si="13"/>
        <v>0</v>
      </c>
      <c r="J114" s="67">
        <f t="shared" si="14"/>
        <v>0</v>
      </c>
      <c r="K114" s="67"/>
      <c r="L114" s="132"/>
      <c r="M114" s="67">
        <f t="shared" si="9"/>
        <v>0</v>
      </c>
      <c r="N114" s="132"/>
      <c r="O114" s="67">
        <f t="shared" si="10"/>
        <v>0</v>
      </c>
      <c r="P114" s="67">
        <f t="shared" si="11"/>
        <v>0</v>
      </c>
    </row>
    <row r="115" spans="2:16" ht="12.5">
      <c r="B115" s="9" t="str">
        <f t="shared" si="15"/>
        <v/>
      </c>
      <c r="C115" s="62">
        <f>IF(D93="","-",+C114+1)</f>
        <v>2041</v>
      </c>
      <c r="D115" s="63">
        <f>IF(F114+SUM(E$99:E114)=D$92,F114,D$92-SUM(E$99:E114))</f>
        <v>0</v>
      </c>
      <c r="E115" s="69">
        <f t="shared" si="16"/>
        <v>0</v>
      </c>
      <c r="F115" s="68">
        <f t="shared" si="17"/>
        <v>0</v>
      </c>
      <c r="G115" s="68">
        <f t="shared" si="18"/>
        <v>0</v>
      </c>
      <c r="H115" s="130">
        <f t="shared" si="12"/>
        <v>0</v>
      </c>
      <c r="I115" s="139">
        <f t="shared" si="13"/>
        <v>0</v>
      </c>
      <c r="J115" s="67">
        <f t="shared" si="14"/>
        <v>0</v>
      </c>
      <c r="K115" s="67"/>
      <c r="L115" s="132"/>
      <c r="M115" s="67">
        <f t="shared" si="9"/>
        <v>0</v>
      </c>
      <c r="N115" s="132"/>
      <c r="O115" s="67">
        <f t="shared" si="10"/>
        <v>0</v>
      </c>
      <c r="P115" s="67">
        <f t="shared" si="11"/>
        <v>0</v>
      </c>
    </row>
    <row r="116" spans="2:16" ht="12.5">
      <c r="B116" s="9" t="str">
        <f t="shared" si="15"/>
        <v/>
      </c>
      <c r="C116" s="62">
        <f>IF(D93="","-",+C115+1)</f>
        <v>2042</v>
      </c>
      <c r="D116" s="63">
        <f>IF(F115+SUM(E$99:E115)=D$92,F115,D$92-SUM(E$99:E115))</f>
        <v>0</v>
      </c>
      <c r="E116" s="69">
        <f t="shared" si="16"/>
        <v>0</v>
      </c>
      <c r="F116" s="68">
        <f t="shared" si="17"/>
        <v>0</v>
      </c>
      <c r="G116" s="68">
        <f t="shared" si="18"/>
        <v>0</v>
      </c>
      <c r="H116" s="130">
        <f t="shared" si="12"/>
        <v>0</v>
      </c>
      <c r="I116" s="139">
        <f t="shared" si="13"/>
        <v>0</v>
      </c>
      <c r="J116" s="67">
        <f t="shared" si="14"/>
        <v>0</v>
      </c>
      <c r="K116" s="67"/>
      <c r="L116" s="132"/>
      <c r="M116" s="67">
        <f t="shared" si="9"/>
        <v>0</v>
      </c>
      <c r="N116" s="132"/>
      <c r="O116" s="67">
        <f t="shared" si="10"/>
        <v>0</v>
      </c>
      <c r="P116" s="67">
        <f t="shared" si="11"/>
        <v>0</v>
      </c>
    </row>
    <row r="117" spans="2:16" ht="12.5">
      <c r="B117" s="9" t="str">
        <f t="shared" si="15"/>
        <v/>
      </c>
      <c r="C117" s="62">
        <f>IF(D93="","-",+C116+1)</f>
        <v>2043</v>
      </c>
      <c r="D117" s="63">
        <f>IF(F116+SUM(E$99:E116)=D$92,F116,D$92-SUM(E$99:E116))</f>
        <v>0</v>
      </c>
      <c r="E117" s="69">
        <f t="shared" si="16"/>
        <v>0</v>
      </c>
      <c r="F117" s="68">
        <f t="shared" si="17"/>
        <v>0</v>
      </c>
      <c r="G117" s="68">
        <f t="shared" si="18"/>
        <v>0</v>
      </c>
      <c r="H117" s="130">
        <f t="shared" si="12"/>
        <v>0</v>
      </c>
      <c r="I117" s="139">
        <f t="shared" si="13"/>
        <v>0</v>
      </c>
      <c r="J117" s="67">
        <f t="shared" si="14"/>
        <v>0</v>
      </c>
      <c r="K117" s="67"/>
      <c r="L117" s="132"/>
      <c r="M117" s="67">
        <f t="shared" si="9"/>
        <v>0</v>
      </c>
      <c r="N117" s="132"/>
      <c r="O117" s="67">
        <f t="shared" si="10"/>
        <v>0</v>
      </c>
      <c r="P117" s="67">
        <f t="shared" si="11"/>
        <v>0</v>
      </c>
    </row>
    <row r="118" spans="2:16" ht="12.5">
      <c r="B118" s="9" t="str">
        <f t="shared" si="15"/>
        <v/>
      </c>
      <c r="C118" s="62">
        <f>IF(D93="","-",+C117+1)</f>
        <v>2044</v>
      </c>
      <c r="D118" s="63">
        <f>IF(F117+SUM(E$99:E117)=D$92,F117,D$92-SUM(E$99:E117))</f>
        <v>0</v>
      </c>
      <c r="E118" s="69">
        <f t="shared" si="16"/>
        <v>0</v>
      </c>
      <c r="F118" s="68">
        <f t="shared" si="17"/>
        <v>0</v>
      </c>
      <c r="G118" s="68">
        <f t="shared" si="18"/>
        <v>0</v>
      </c>
      <c r="H118" s="130">
        <f t="shared" si="12"/>
        <v>0</v>
      </c>
      <c r="I118" s="139">
        <f t="shared" si="13"/>
        <v>0</v>
      </c>
      <c r="J118" s="67">
        <f t="shared" si="14"/>
        <v>0</v>
      </c>
      <c r="K118" s="67"/>
      <c r="L118" s="132"/>
      <c r="M118" s="67">
        <f t="shared" si="9"/>
        <v>0</v>
      </c>
      <c r="N118" s="132"/>
      <c r="O118" s="67">
        <f t="shared" si="10"/>
        <v>0</v>
      </c>
      <c r="P118" s="67">
        <f t="shared" si="11"/>
        <v>0</v>
      </c>
    </row>
    <row r="119" spans="2:16" ht="12.5">
      <c r="B119" s="9" t="str">
        <f t="shared" si="15"/>
        <v/>
      </c>
      <c r="C119" s="62">
        <f>IF(D93="","-",+C118+1)</f>
        <v>2045</v>
      </c>
      <c r="D119" s="63">
        <f>IF(F118+SUM(E$99:E118)=D$92,F118,D$92-SUM(E$99:E118))</f>
        <v>0</v>
      </c>
      <c r="E119" s="69">
        <f t="shared" si="16"/>
        <v>0</v>
      </c>
      <c r="F119" s="68">
        <f t="shared" si="17"/>
        <v>0</v>
      </c>
      <c r="G119" s="68">
        <f t="shared" si="18"/>
        <v>0</v>
      </c>
      <c r="H119" s="130">
        <f t="shared" si="12"/>
        <v>0</v>
      </c>
      <c r="I119" s="139">
        <f t="shared" si="13"/>
        <v>0</v>
      </c>
      <c r="J119" s="67">
        <f t="shared" si="14"/>
        <v>0</v>
      </c>
      <c r="K119" s="67"/>
      <c r="L119" s="132"/>
      <c r="M119" s="67">
        <f t="shared" si="9"/>
        <v>0</v>
      </c>
      <c r="N119" s="132"/>
      <c r="O119" s="67">
        <f t="shared" si="10"/>
        <v>0</v>
      </c>
      <c r="P119" s="67">
        <f t="shared" si="11"/>
        <v>0</v>
      </c>
    </row>
    <row r="120" spans="2:16" ht="12.5">
      <c r="B120" s="9" t="str">
        <f t="shared" si="15"/>
        <v/>
      </c>
      <c r="C120" s="62">
        <f>IF(D93="","-",+C119+1)</f>
        <v>2046</v>
      </c>
      <c r="D120" s="63">
        <f>IF(F119+SUM(E$99:E119)=D$92,F119,D$92-SUM(E$99:E119))</f>
        <v>0</v>
      </c>
      <c r="E120" s="69">
        <f t="shared" si="16"/>
        <v>0</v>
      </c>
      <c r="F120" s="68">
        <f t="shared" si="17"/>
        <v>0</v>
      </c>
      <c r="G120" s="68">
        <f t="shared" si="18"/>
        <v>0</v>
      </c>
      <c r="H120" s="130">
        <f t="shared" si="12"/>
        <v>0</v>
      </c>
      <c r="I120" s="139">
        <f t="shared" si="13"/>
        <v>0</v>
      </c>
      <c r="J120" s="67">
        <f t="shared" si="14"/>
        <v>0</v>
      </c>
      <c r="K120" s="67"/>
      <c r="L120" s="132"/>
      <c r="M120" s="67">
        <f t="shared" si="9"/>
        <v>0</v>
      </c>
      <c r="N120" s="132"/>
      <c r="O120" s="67">
        <f t="shared" si="10"/>
        <v>0</v>
      </c>
      <c r="P120" s="67">
        <f t="shared" si="11"/>
        <v>0</v>
      </c>
    </row>
    <row r="121" spans="2:16" ht="12.5">
      <c r="B121" s="9" t="str">
        <f t="shared" si="15"/>
        <v/>
      </c>
      <c r="C121" s="62">
        <f>IF(D93="","-",+C120+1)</f>
        <v>2047</v>
      </c>
      <c r="D121" s="63">
        <f>IF(F120+SUM(E$99:E120)=D$92,F120,D$92-SUM(E$99:E120))</f>
        <v>0</v>
      </c>
      <c r="E121" s="69">
        <f t="shared" si="16"/>
        <v>0</v>
      </c>
      <c r="F121" s="68">
        <f t="shared" si="17"/>
        <v>0</v>
      </c>
      <c r="G121" s="68">
        <f t="shared" si="18"/>
        <v>0</v>
      </c>
      <c r="H121" s="130">
        <f t="shared" si="12"/>
        <v>0</v>
      </c>
      <c r="I121" s="139">
        <f t="shared" si="13"/>
        <v>0</v>
      </c>
      <c r="J121" s="67">
        <f t="shared" si="14"/>
        <v>0</v>
      </c>
      <c r="K121" s="67"/>
      <c r="L121" s="132"/>
      <c r="M121" s="67">
        <f t="shared" si="9"/>
        <v>0</v>
      </c>
      <c r="N121" s="132"/>
      <c r="O121" s="67">
        <f t="shared" si="10"/>
        <v>0</v>
      </c>
      <c r="P121" s="67">
        <f t="shared" si="11"/>
        <v>0</v>
      </c>
    </row>
    <row r="122" spans="2:16" ht="12.5">
      <c r="B122" s="9" t="str">
        <f t="shared" si="15"/>
        <v/>
      </c>
      <c r="C122" s="62">
        <f>IF(D93="","-",+C121+1)</f>
        <v>2048</v>
      </c>
      <c r="D122" s="63">
        <f>IF(F121+SUM(E$99:E121)=D$92,F121,D$92-SUM(E$99:E121))</f>
        <v>0</v>
      </c>
      <c r="E122" s="69">
        <f t="shared" si="16"/>
        <v>0</v>
      </c>
      <c r="F122" s="68">
        <f t="shared" si="17"/>
        <v>0</v>
      </c>
      <c r="G122" s="68">
        <f t="shared" si="18"/>
        <v>0</v>
      </c>
      <c r="H122" s="130">
        <f t="shared" si="12"/>
        <v>0</v>
      </c>
      <c r="I122" s="139">
        <f t="shared" si="13"/>
        <v>0</v>
      </c>
      <c r="J122" s="67">
        <f t="shared" si="14"/>
        <v>0</v>
      </c>
      <c r="K122" s="67"/>
      <c r="L122" s="132"/>
      <c r="M122" s="67">
        <f t="shared" si="9"/>
        <v>0</v>
      </c>
      <c r="N122" s="132"/>
      <c r="O122" s="67">
        <f t="shared" si="10"/>
        <v>0</v>
      </c>
      <c r="P122" s="67">
        <f t="shared" si="11"/>
        <v>0</v>
      </c>
    </row>
    <row r="123" spans="2:16" ht="12.5">
      <c r="B123" s="9" t="str">
        <f t="shared" si="15"/>
        <v/>
      </c>
      <c r="C123" s="62">
        <f>IF(D93="","-",+C122+1)</f>
        <v>2049</v>
      </c>
      <c r="D123" s="63">
        <f>IF(F122+SUM(E$99:E122)=D$92,F122,D$92-SUM(E$99:E122))</f>
        <v>0</v>
      </c>
      <c r="E123" s="69">
        <f t="shared" si="16"/>
        <v>0</v>
      </c>
      <c r="F123" s="68">
        <f t="shared" si="17"/>
        <v>0</v>
      </c>
      <c r="G123" s="68">
        <f t="shared" si="18"/>
        <v>0</v>
      </c>
      <c r="H123" s="130">
        <f t="shared" si="12"/>
        <v>0</v>
      </c>
      <c r="I123" s="139">
        <f t="shared" si="13"/>
        <v>0</v>
      </c>
      <c r="J123" s="67">
        <f t="shared" si="14"/>
        <v>0</v>
      </c>
      <c r="K123" s="67"/>
      <c r="L123" s="132"/>
      <c r="M123" s="67">
        <f t="shared" si="9"/>
        <v>0</v>
      </c>
      <c r="N123" s="132"/>
      <c r="O123" s="67">
        <f t="shared" si="10"/>
        <v>0</v>
      </c>
      <c r="P123" s="67">
        <f t="shared" si="11"/>
        <v>0</v>
      </c>
    </row>
    <row r="124" spans="2:16" ht="12.5">
      <c r="B124" s="9" t="str">
        <f t="shared" si="15"/>
        <v/>
      </c>
      <c r="C124" s="62">
        <f>IF(D93="","-",+C123+1)</f>
        <v>2050</v>
      </c>
      <c r="D124" s="63">
        <f>IF(F123+SUM(E$99:E123)=D$92,F123,D$92-SUM(E$99:E123))</f>
        <v>0</v>
      </c>
      <c r="E124" s="69">
        <f t="shared" si="16"/>
        <v>0</v>
      </c>
      <c r="F124" s="68">
        <f t="shared" si="17"/>
        <v>0</v>
      </c>
      <c r="G124" s="68">
        <f t="shared" si="18"/>
        <v>0</v>
      </c>
      <c r="H124" s="130">
        <f t="shared" si="12"/>
        <v>0</v>
      </c>
      <c r="I124" s="139">
        <f t="shared" si="13"/>
        <v>0</v>
      </c>
      <c r="J124" s="67">
        <f t="shared" si="14"/>
        <v>0</v>
      </c>
      <c r="K124" s="67"/>
      <c r="L124" s="132"/>
      <c r="M124" s="67">
        <f t="shared" si="9"/>
        <v>0</v>
      </c>
      <c r="N124" s="132"/>
      <c r="O124" s="67">
        <f t="shared" si="10"/>
        <v>0</v>
      </c>
      <c r="P124" s="67">
        <f t="shared" si="11"/>
        <v>0</v>
      </c>
    </row>
    <row r="125" spans="2:16" ht="12.5">
      <c r="B125" s="9" t="str">
        <f t="shared" si="15"/>
        <v/>
      </c>
      <c r="C125" s="62">
        <f>IF(D93="","-",+C124+1)</f>
        <v>2051</v>
      </c>
      <c r="D125" s="63">
        <f>IF(F124+SUM(E$99:E124)=D$92,F124,D$92-SUM(E$99:E124))</f>
        <v>0</v>
      </c>
      <c r="E125" s="69">
        <f t="shared" si="16"/>
        <v>0</v>
      </c>
      <c r="F125" s="68">
        <f t="shared" si="17"/>
        <v>0</v>
      </c>
      <c r="G125" s="68">
        <f t="shared" si="18"/>
        <v>0</v>
      </c>
      <c r="H125" s="130">
        <f t="shared" si="12"/>
        <v>0</v>
      </c>
      <c r="I125" s="139">
        <f t="shared" si="13"/>
        <v>0</v>
      </c>
      <c r="J125" s="67">
        <f t="shared" si="14"/>
        <v>0</v>
      </c>
      <c r="K125" s="67"/>
      <c r="L125" s="132"/>
      <c r="M125" s="67">
        <f t="shared" si="9"/>
        <v>0</v>
      </c>
      <c r="N125" s="132"/>
      <c r="O125" s="67">
        <f t="shared" si="10"/>
        <v>0</v>
      </c>
      <c r="P125" s="67">
        <f t="shared" si="11"/>
        <v>0</v>
      </c>
    </row>
    <row r="126" spans="2:16" ht="12.5">
      <c r="B126" s="9" t="str">
        <f t="shared" si="15"/>
        <v/>
      </c>
      <c r="C126" s="62">
        <f>IF(D93="","-",+C125+1)</f>
        <v>2052</v>
      </c>
      <c r="D126" s="63">
        <f>IF(F125+SUM(E$99:E125)=D$92,F125,D$92-SUM(E$99:E125))</f>
        <v>0</v>
      </c>
      <c r="E126" s="69">
        <f t="shared" si="16"/>
        <v>0</v>
      </c>
      <c r="F126" s="68">
        <f t="shared" si="17"/>
        <v>0</v>
      </c>
      <c r="G126" s="68">
        <f t="shared" si="18"/>
        <v>0</v>
      </c>
      <c r="H126" s="130">
        <f t="shared" si="12"/>
        <v>0</v>
      </c>
      <c r="I126" s="139">
        <f t="shared" si="13"/>
        <v>0</v>
      </c>
      <c r="J126" s="67">
        <f t="shared" si="14"/>
        <v>0</v>
      </c>
      <c r="K126" s="67"/>
      <c r="L126" s="132"/>
      <c r="M126" s="67">
        <f t="shared" si="9"/>
        <v>0</v>
      </c>
      <c r="N126" s="132"/>
      <c r="O126" s="67">
        <f t="shared" si="10"/>
        <v>0</v>
      </c>
      <c r="P126" s="67">
        <f t="shared" si="11"/>
        <v>0</v>
      </c>
    </row>
    <row r="127" spans="2:16" ht="12.5">
      <c r="B127" s="9" t="str">
        <f t="shared" si="15"/>
        <v/>
      </c>
      <c r="C127" s="62">
        <f>IF(D93="","-",+C126+1)</f>
        <v>2053</v>
      </c>
      <c r="D127" s="63">
        <f>IF(F126+SUM(E$99:E126)=D$92,F126,D$92-SUM(E$99:E126))</f>
        <v>0</v>
      </c>
      <c r="E127" s="69">
        <f t="shared" si="16"/>
        <v>0</v>
      </c>
      <c r="F127" s="68">
        <f t="shared" si="17"/>
        <v>0</v>
      </c>
      <c r="G127" s="68">
        <f t="shared" si="18"/>
        <v>0</v>
      </c>
      <c r="H127" s="130">
        <f t="shared" si="12"/>
        <v>0</v>
      </c>
      <c r="I127" s="139">
        <f t="shared" si="13"/>
        <v>0</v>
      </c>
      <c r="J127" s="67">
        <f t="shared" si="14"/>
        <v>0</v>
      </c>
      <c r="K127" s="67"/>
      <c r="L127" s="132"/>
      <c r="M127" s="67">
        <f t="shared" si="9"/>
        <v>0</v>
      </c>
      <c r="N127" s="132"/>
      <c r="O127" s="67">
        <f t="shared" si="10"/>
        <v>0</v>
      </c>
      <c r="P127" s="67">
        <f t="shared" si="11"/>
        <v>0</v>
      </c>
    </row>
    <row r="128" spans="2:16" ht="12.5">
      <c r="B128" s="9" t="str">
        <f t="shared" si="15"/>
        <v/>
      </c>
      <c r="C128" s="62">
        <f>IF(D93="","-",+C127+1)</f>
        <v>2054</v>
      </c>
      <c r="D128" s="63">
        <f>IF(F127+SUM(E$99:E127)=D$92,F127,D$92-SUM(E$99:E127))</f>
        <v>0</v>
      </c>
      <c r="E128" s="69">
        <f t="shared" si="16"/>
        <v>0</v>
      </c>
      <c r="F128" s="68">
        <f t="shared" si="17"/>
        <v>0</v>
      </c>
      <c r="G128" s="68">
        <f t="shared" si="18"/>
        <v>0</v>
      </c>
      <c r="H128" s="130">
        <f t="shared" si="12"/>
        <v>0</v>
      </c>
      <c r="I128" s="139">
        <f t="shared" si="13"/>
        <v>0</v>
      </c>
      <c r="J128" s="67">
        <f t="shared" si="14"/>
        <v>0</v>
      </c>
      <c r="K128" s="67"/>
      <c r="L128" s="132"/>
      <c r="M128" s="67">
        <f t="shared" si="9"/>
        <v>0</v>
      </c>
      <c r="N128" s="132"/>
      <c r="O128" s="67">
        <f t="shared" si="10"/>
        <v>0</v>
      </c>
      <c r="P128" s="67">
        <f t="shared" si="11"/>
        <v>0</v>
      </c>
    </row>
    <row r="129" spans="2:16" ht="12.5">
      <c r="B129" s="9" t="str">
        <f t="shared" si="15"/>
        <v/>
      </c>
      <c r="C129" s="62">
        <f>IF(D93="","-",+C128+1)</f>
        <v>2055</v>
      </c>
      <c r="D129" s="63">
        <f>IF(F128+SUM(E$99:E128)=D$92,F128,D$92-SUM(E$99:E128))</f>
        <v>0</v>
      </c>
      <c r="E129" s="69">
        <f t="shared" si="16"/>
        <v>0</v>
      </c>
      <c r="F129" s="68">
        <f t="shared" si="17"/>
        <v>0</v>
      </c>
      <c r="G129" s="68">
        <f t="shared" si="18"/>
        <v>0</v>
      </c>
      <c r="H129" s="130">
        <f t="shared" si="12"/>
        <v>0</v>
      </c>
      <c r="I129" s="139">
        <f t="shared" si="13"/>
        <v>0</v>
      </c>
      <c r="J129" s="67">
        <f t="shared" si="14"/>
        <v>0</v>
      </c>
      <c r="K129" s="67"/>
      <c r="L129" s="132"/>
      <c r="M129" s="67">
        <f t="shared" si="9"/>
        <v>0</v>
      </c>
      <c r="N129" s="132"/>
      <c r="O129" s="67">
        <f t="shared" si="10"/>
        <v>0</v>
      </c>
      <c r="P129" s="67">
        <f t="shared" si="11"/>
        <v>0</v>
      </c>
    </row>
    <row r="130" spans="2:16" ht="12.5">
      <c r="B130" s="9" t="str">
        <f t="shared" si="15"/>
        <v/>
      </c>
      <c r="C130" s="62">
        <f>IF(D93="","-",+C129+1)</f>
        <v>2056</v>
      </c>
      <c r="D130" s="63">
        <f>IF(F129+SUM(E$99:E129)=D$92,F129,D$92-SUM(E$99:E129))</f>
        <v>0</v>
      </c>
      <c r="E130" s="69">
        <f t="shared" si="16"/>
        <v>0</v>
      </c>
      <c r="F130" s="68">
        <f t="shared" si="17"/>
        <v>0</v>
      </c>
      <c r="G130" s="68">
        <f t="shared" si="18"/>
        <v>0</v>
      </c>
      <c r="H130" s="130">
        <f t="shared" si="12"/>
        <v>0</v>
      </c>
      <c r="I130" s="139">
        <f t="shared" si="13"/>
        <v>0</v>
      </c>
      <c r="J130" s="67">
        <f t="shared" si="14"/>
        <v>0</v>
      </c>
      <c r="K130" s="67"/>
      <c r="L130" s="132"/>
      <c r="M130" s="67">
        <f t="shared" si="9"/>
        <v>0</v>
      </c>
      <c r="N130" s="132"/>
      <c r="O130" s="67">
        <f t="shared" si="10"/>
        <v>0</v>
      </c>
      <c r="P130" s="67">
        <f t="shared" si="11"/>
        <v>0</v>
      </c>
    </row>
    <row r="131" spans="2:16" ht="12.5">
      <c r="B131" s="9" t="str">
        <f t="shared" si="15"/>
        <v/>
      </c>
      <c r="C131" s="62">
        <f>IF(D93="","-",+C130+1)</f>
        <v>2057</v>
      </c>
      <c r="D131" s="63">
        <f>IF(F130+SUM(E$99:E130)=D$92,F130,D$92-SUM(E$99:E130))</f>
        <v>0</v>
      </c>
      <c r="E131" s="69">
        <f t="shared" si="16"/>
        <v>0</v>
      </c>
      <c r="F131" s="68">
        <f t="shared" si="17"/>
        <v>0</v>
      </c>
      <c r="G131" s="68">
        <f t="shared" si="18"/>
        <v>0</v>
      </c>
      <c r="H131" s="130">
        <f t="shared" si="12"/>
        <v>0</v>
      </c>
      <c r="I131" s="139">
        <f t="shared" si="13"/>
        <v>0</v>
      </c>
      <c r="J131" s="67">
        <f t="shared" ref="J131:J154" si="19">+I541-H541</f>
        <v>0</v>
      </c>
      <c r="K131" s="67"/>
      <c r="L131" s="132"/>
      <c r="M131" s="67">
        <f t="shared" ref="M131:M154" si="20">IF(L541&lt;&gt;0,+H541-L541,0)</f>
        <v>0</v>
      </c>
      <c r="N131" s="132"/>
      <c r="O131" s="67">
        <f t="shared" ref="O131:O154" si="21">IF(N541&lt;&gt;0,+I541-N541,0)</f>
        <v>0</v>
      </c>
      <c r="P131" s="67">
        <f t="shared" ref="P131:P154" si="22">+O541-M541</f>
        <v>0</v>
      </c>
    </row>
    <row r="132" spans="2:16" ht="12.5">
      <c r="B132" s="9" t="str">
        <f t="shared" si="15"/>
        <v/>
      </c>
      <c r="C132" s="62">
        <f>IF(D93="","-",+C131+1)</f>
        <v>2058</v>
      </c>
      <c r="D132" s="63">
        <f>IF(F131+SUM(E$99:E131)=D$92,F131,D$92-SUM(E$99:E131))</f>
        <v>0</v>
      </c>
      <c r="E132" s="69">
        <f t="shared" si="16"/>
        <v>0</v>
      </c>
      <c r="F132" s="68">
        <f t="shared" si="17"/>
        <v>0</v>
      </c>
      <c r="G132" s="68">
        <f t="shared" si="18"/>
        <v>0</v>
      </c>
      <c r="H132" s="130">
        <f t="shared" si="12"/>
        <v>0</v>
      </c>
      <c r="I132" s="139">
        <f t="shared" si="13"/>
        <v>0</v>
      </c>
      <c r="J132" s="67">
        <f t="shared" si="19"/>
        <v>0</v>
      </c>
      <c r="K132" s="67"/>
      <c r="L132" s="132"/>
      <c r="M132" s="67">
        <f t="shared" si="20"/>
        <v>0</v>
      </c>
      <c r="N132" s="132"/>
      <c r="O132" s="67">
        <f t="shared" si="21"/>
        <v>0</v>
      </c>
      <c r="P132" s="67">
        <f t="shared" si="22"/>
        <v>0</v>
      </c>
    </row>
    <row r="133" spans="2:16" ht="12.5">
      <c r="B133" s="9" t="str">
        <f t="shared" si="15"/>
        <v/>
      </c>
      <c r="C133" s="62">
        <f>IF(D93="","-",+C132+1)</f>
        <v>2059</v>
      </c>
      <c r="D133" s="63">
        <f>IF(F132+SUM(E$99:E132)=D$92,F132,D$92-SUM(E$99:E132))</f>
        <v>0</v>
      </c>
      <c r="E133" s="69">
        <f t="shared" si="16"/>
        <v>0</v>
      </c>
      <c r="F133" s="68">
        <f t="shared" si="17"/>
        <v>0</v>
      </c>
      <c r="G133" s="68">
        <f t="shared" si="18"/>
        <v>0</v>
      </c>
      <c r="H133" s="130">
        <f t="shared" si="12"/>
        <v>0</v>
      </c>
      <c r="I133" s="139">
        <f t="shared" si="13"/>
        <v>0</v>
      </c>
      <c r="J133" s="67">
        <f t="shared" si="19"/>
        <v>0</v>
      </c>
      <c r="K133" s="67"/>
      <c r="L133" s="132"/>
      <c r="M133" s="67">
        <f t="shared" si="20"/>
        <v>0</v>
      </c>
      <c r="N133" s="132"/>
      <c r="O133" s="67">
        <f t="shared" si="21"/>
        <v>0</v>
      </c>
      <c r="P133" s="67">
        <f t="shared" si="22"/>
        <v>0</v>
      </c>
    </row>
    <row r="134" spans="2:16" ht="12.5">
      <c r="B134" s="9" t="str">
        <f t="shared" si="15"/>
        <v/>
      </c>
      <c r="C134" s="62">
        <f>IF(D93="","-",+C133+1)</f>
        <v>2060</v>
      </c>
      <c r="D134" s="63">
        <f>IF(F133+SUM(E$99:E133)=D$92,F133,D$92-SUM(E$99:E133))</f>
        <v>0</v>
      </c>
      <c r="E134" s="69">
        <f t="shared" si="16"/>
        <v>0</v>
      </c>
      <c r="F134" s="68">
        <f t="shared" si="17"/>
        <v>0</v>
      </c>
      <c r="G134" s="68">
        <f t="shared" si="18"/>
        <v>0</v>
      </c>
      <c r="H134" s="130">
        <f t="shared" si="12"/>
        <v>0</v>
      </c>
      <c r="I134" s="139">
        <f t="shared" si="13"/>
        <v>0</v>
      </c>
      <c r="J134" s="67">
        <f t="shared" si="19"/>
        <v>0</v>
      </c>
      <c r="K134" s="67"/>
      <c r="L134" s="132"/>
      <c r="M134" s="67">
        <f t="shared" si="20"/>
        <v>0</v>
      </c>
      <c r="N134" s="132"/>
      <c r="O134" s="67">
        <f t="shared" si="21"/>
        <v>0</v>
      </c>
      <c r="P134" s="67">
        <f t="shared" si="22"/>
        <v>0</v>
      </c>
    </row>
    <row r="135" spans="2:16" ht="12.5">
      <c r="B135" s="9" t="str">
        <f t="shared" si="15"/>
        <v/>
      </c>
      <c r="C135" s="62">
        <f>IF(D93="","-",+C134+1)</f>
        <v>2061</v>
      </c>
      <c r="D135" s="63">
        <f>IF(F134+SUM(E$99:E134)=D$92,F134,D$92-SUM(E$99:E134))</f>
        <v>0</v>
      </c>
      <c r="E135" s="69">
        <f t="shared" si="16"/>
        <v>0</v>
      </c>
      <c r="F135" s="68">
        <f t="shared" si="17"/>
        <v>0</v>
      </c>
      <c r="G135" s="68">
        <f t="shared" si="18"/>
        <v>0</v>
      </c>
      <c r="H135" s="130">
        <f t="shared" si="12"/>
        <v>0</v>
      </c>
      <c r="I135" s="139">
        <f t="shared" si="13"/>
        <v>0</v>
      </c>
      <c r="J135" s="67">
        <f t="shared" si="19"/>
        <v>0</v>
      </c>
      <c r="K135" s="67"/>
      <c r="L135" s="132"/>
      <c r="M135" s="67">
        <f t="shared" si="20"/>
        <v>0</v>
      </c>
      <c r="N135" s="132"/>
      <c r="O135" s="67">
        <f t="shared" si="21"/>
        <v>0</v>
      </c>
      <c r="P135" s="67">
        <f t="shared" si="22"/>
        <v>0</v>
      </c>
    </row>
    <row r="136" spans="2:16" ht="12.5">
      <c r="B136" s="9" t="str">
        <f t="shared" si="15"/>
        <v/>
      </c>
      <c r="C136" s="62">
        <f>IF(D93="","-",+C135+1)</f>
        <v>2062</v>
      </c>
      <c r="D136" s="63">
        <f>IF(F135+SUM(E$99:E135)=D$92,F135,D$92-SUM(E$99:E135))</f>
        <v>0</v>
      </c>
      <c r="E136" s="69">
        <f t="shared" si="16"/>
        <v>0</v>
      </c>
      <c r="F136" s="68">
        <f t="shared" si="17"/>
        <v>0</v>
      </c>
      <c r="G136" s="68">
        <f t="shared" si="18"/>
        <v>0</v>
      </c>
      <c r="H136" s="130">
        <f t="shared" si="12"/>
        <v>0</v>
      </c>
      <c r="I136" s="139">
        <f t="shared" si="13"/>
        <v>0</v>
      </c>
      <c r="J136" s="67">
        <f t="shared" si="19"/>
        <v>0</v>
      </c>
      <c r="K136" s="67"/>
      <c r="L136" s="132"/>
      <c r="M136" s="67">
        <f t="shared" si="20"/>
        <v>0</v>
      </c>
      <c r="N136" s="132"/>
      <c r="O136" s="67">
        <f t="shared" si="21"/>
        <v>0</v>
      </c>
      <c r="P136" s="67">
        <f t="shared" si="22"/>
        <v>0</v>
      </c>
    </row>
    <row r="137" spans="2:16" ht="12.5">
      <c r="B137" s="9" t="str">
        <f t="shared" si="15"/>
        <v/>
      </c>
      <c r="C137" s="62">
        <f>IF(D93="","-",+C136+1)</f>
        <v>2063</v>
      </c>
      <c r="D137" s="63">
        <f>IF(F136+SUM(E$99:E136)=D$92,F136,D$92-SUM(E$99:E136))</f>
        <v>0</v>
      </c>
      <c r="E137" s="69">
        <f t="shared" si="16"/>
        <v>0</v>
      </c>
      <c r="F137" s="68">
        <f t="shared" si="17"/>
        <v>0</v>
      </c>
      <c r="G137" s="68">
        <f t="shared" si="18"/>
        <v>0</v>
      </c>
      <c r="H137" s="130">
        <f t="shared" si="12"/>
        <v>0</v>
      </c>
      <c r="I137" s="139">
        <f t="shared" si="13"/>
        <v>0</v>
      </c>
      <c r="J137" s="67">
        <f t="shared" si="19"/>
        <v>0</v>
      </c>
      <c r="K137" s="67"/>
      <c r="L137" s="132"/>
      <c r="M137" s="67">
        <f t="shared" si="20"/>
        <v>0</v>
      </c>
      <c r="N137" s="132"/>
      <c r="O137" s="67">
        <f t="shared" si="21"/>
        <v>0</v>
      </c>
      <c r="P137" s="67">
        <f t="shared" si="22"/>
        <v>0</v>
      </c>
    </row>
    <row r="138" spans="2:16" ht="12.5">
      <c r="B138" s="9" t="str">
        <f t="shared" si="15"/>
        <v/>
      </c>
      <c r="C138" s="62">
        <f>IF(D93="","-",+C137+1)</f>
        <v>2064</v>
      </c>
      <c r="D138" s="63">
        <f>IF(F137+SUM(E$99:E137)=D$92,F137,D$92-SUM(E$99:E137))</f>
        <v>0</v>
      </c>
      <c r="E138" s="69">
        <f t="shared" si="16"/>
        <v>0</v>
      </c>
      <c r="F138" s="68">
        <f t="shared" si="17"/>
        <v>0</v>
      </c>
      <c r="G138" s="68">
        <f t="shared" si="18"/>
        <v>0</v>
      </c>
      <c r="H138" s="130">
        <f t="shared" si="12"/>
        <v>0</v>
      </c>
      <c r="I138" s="139">
        <f t="shared" si="13"/>
        <v>0</v>
      </c>
      <c r="J138" s="67">
        <f t="shared" si="19"/>
        <v>0</v>
      </c>
      <c r="K138" s="67"/>
      <c r="L138" s="132"/>
      <c r="M138" s="67">
        <f t="shared" si="20"/>
        <v>0</v>
      </c>
      <c r="N138" s="132"/>
      <c r="O138" s="67">
        <f t="shared" si="21"/>
        <v>0</v>
      </c>
      <c r="P138" s="67">
        <f t="shared" si="22"/>
        <v>0</v>
      </c>
    </row>
    <row r="139" spans="2:16" ht="12.5">
      <c r="B139" s="9" t="str">
        <f t="shared" si="15"/>
        <v/>
      </c>
      <c r="C139" s="62">
        <f>IF(D93="","-",+C138+1)</f>
        <v>2065</v>
      </c>
      <c r="D139" s="63">
        <f>IF(F138+SUM(E$99:E138)=D$92,F138,D$92-SUM(E$99:E138))</f>
        <v>0</v>
      </c>
      <c r="E139" s="69">
        <f t="shared" si="16"/>
        <v>0</v>
      </c>
      <c r="F139" s="68">
        <f t="shared" si="17"/>
        <v>0</v>
      </c>
      <c r="G139" s="68">
        <f t="shared" si="18"/>
        <v>0</v>
      </c>
      <c r="H139" s="130">
        <f t="shared" si="12"/>
        <v>0</v>
      </c>
      <c r="I139" s="139">
        <f t="shared" si="13"/>
        <v>0</v>
      </c>
      <c r="J139" s="67">
        <f t="shared" si="19"/>
        <v>0</v>
      </c>
      <c r="K139" s="67"/>
      <c r="L139" s="132"/>
      <c r="M139" s="67">
        <f t="shared" si="20"/>
        <v>0</v>
      </c>
      <c r="N139" s="132"/>
      <c r="O139" s="67">
        <f t="shared" si="21"/>
        <v>0</v>
      </c>
      <c r="P139" s="67">
        <f t="shared" si="22"/>
        <v>0</v>
      </c>
    </row>
    <row r="140" spans="2:16" ht="12.5">
      <c r="B140" s="9" t="str">
        <f t="shared" si="15"/>
        <v/>
      </c>
      <c r="C140" s="62">
        <f>IF(D93="","-",+C139+1)</f>
        <v>2066</v>
      </c>
      <c r="D140" s="63">
        <f>IF(F139+SUM(E$99:E139)=D$92,F139,D$92-SUM(E$99:E139))</f>
        <v>0</v>
      </c>
      <c r="E140" s="69">
        <f t="shared" si="16"/>
        <v>0</v>
      </c>
      <c r="F140" s="68">
        <f t="shared" si="17"/>
        <v>0</v>
      </c>
      <c r="G140" s="68">
        <f t="shared" si="18"/>
        <v>0</v>
      </c>
      <c r="H140" s="130">
        <f t="shared" si="12"/>
        <v>0</v>
      </c>
      <c r="I140" s="139">
        <f t="shared" si="13"/>
        <v>0</v>
      </c>
      <c r="J140" s="67">
        <f t="shared" si="19"/>
        <v>0</v>
      </c>
      <c r="K140" s="67"/>
      <c r="L140" s="132"/>
      <c r="M140" s="67">
        <f t="shared" si="20"/>
        <v>0</v>
      </c>
      <c r="N140" s="132"/>
      <c r="O140" s="67">
        <f t="shared" si="21"/>
        <v>0</v>
      </c>
      <c r="P140" s="67">
        <f t="shared" si="22"/>
        <v>0</v>
      </c>
    </row>
    <row r="141" spans="2:16" ht="12.5">
      <c r="B141" s="9" t="str">
        <f t="shared" si="15"/>
        <v/>
      </c>
      <c r="C141" s="62">
        <f>IF(D93="","-",+C140+1)</f>
        <v>2067</v>
      </c>
      <c r="D141" s="63">
        <f>IF(F140+SUM(E$99:E140)=D$92,F140,D$92-SUM(E$99:E140))</f>
        <v>0</v>
      </c>
      <c r="E141" s="69">
        <f t="shared" si="16"/>
        <v>0</v>
      </c>
      <c r="F141" s="68">
        <f t="shared" si="17"/>
        <v>0</v>
      </c>
      <c r="G141" s="68">
        <f t="shared" si="18"/>
        <v>0</v>
      </c>
      <c r="H141" s="130">
        <f t="shared" si="12"/>
        <v>0</v>
      </c>
      <c r="I141" s="139">
        <f t="shared" si="13"/>
        <v>0</v>
      </c>
      <c r="J141" s="67">
        <f t="shared" si="19"/>
        <v>0</v>
      </c>
      <c r="K141" s="67"/>
      <c r="L141" s="132"/>
      <c r="M141" s="67">
        <f t="shared" si="20"/>
        <v>0</v>
      </c>
      <c r="N141" s="132"/>
      <c r="O141" s="67">
        <f t="shared" si="21"/>
        <v>0</v>
      </c>
      <c r="P141" s="67">
        <f t="shared" si="22"/>
        <v>0</v>
      </c>
    </row>
    <row r="142" spans="2:16" ht="12.5">
      <c r="B142" s="9" t="str">
        <f t="shared" si="15"/>
        <v/>
      </c>
      <c r="C142" s="62">
        <f>IF(D93="","-",+C141+1)</f>
        <v>2068</v>
      </c>
      <c r="D142" s="63">
        <f>IF(F141+SUM(E$99:E141)=D$92,F141,D$92-SUM(E$99:E141))</f>
        <v>0</v>
      </c>
      <c r="E142" s="69">
        <f t="shared" si="16"/>
        <v>0</v>
      </c>
      <c r="F142" s="68">
        <f t="shared" si="17"/>
        <v>0</v>
      </c>
      <c r="G142" s="68">
        <f t="shared" si="18"/>
        <v>0</v>
      </c>
      <c r="H142" s="130">
        <f t="shared" si="12"/>
        <v>0</v>
      </c>
      <c r="I142" s="139">
        <f t="shared" si="13"/>
        <v>0</v>
      </c>
      <c r="J142" s="67">
        <f t="shared" si="19"/>
        <v>0</v>
      </c>
      <c r="K142" s="67"/>
      <c r="L142" s="132"/>
      <c r="M142" s="67">
        <f t="shared" si="20"/>
        <v>0</v>
      </c>
      <c r="N142" s="132"/>
      <c r="O142" s="67">
        <f t="shared" si="21"/>
        <v>0</v>
      </c>
      <c r="P142" s="67">
        <f t="shared" si="22"/>
        <v>0</v>
      </c>
    </row>
    <row r="143" spans="2:16" ht="12.5">
      <c r="B143" s="9" t="str">
        <f t="shared" si="15"/>
        <v/>
      </c>
      <c r="C143" s="62">
        <f>IF(D93="","-",+C142+1)</f>
        <v>2069</v>
      </c>
      <c r="D143" s="63">
        <f>IF(F142+SUM(E$99:E142)=D$92,F142,D$92-SUM(E$99:E142))</f>
        <v>0</v>
      </c>
      <c r="E143" s="69">
        <f t="shared" si="16"/>
        <v>0</v>
      </c>
      <c r="F143" s="68">
        <f t="shared" si="17"/>
        <v>0</v>
      </c>
      <c r="G143" s="68">
        <f t="shared" si="18"/>
        <v>0</v>
      </c>
      <c r="H143" s="130">
        <f t="shared" si="12"/>
        <v>0</v>
      </c>
      <c r="I143" s="139">
        <f t="shared" si="13"/>
        <v>0</v>
      </c>
      <c r="J143" s="67">
        <f t="shared" si="19"/>
        <v>0</v>
      </c>
      <c r="K143" s="67"/>
      <c r="L143" s="132"/>
      <c r="M143" s="67">
        <f t="shared" si="20"/>
        <v>0</v>
      </c>
      <c r="N143" s="132"/>
      <c r="O143" s="67">
        <f t="shared" si="21"/>
        <v>0</v>
      </c>
      <c r="P143" s="67">
        <f t="shared" si="22"/>
        <v>0</v>
      </c>
    </row>
    <row r="144" spans="2:16" ht="12.5">
      <c r="B144" s="9" t="str">
        <f t="shared" si="15"/>
        <v/>
      </c>
      <c r="C144" s="62">
        <f>IF(D93="","-",+C143+1)</f>
        <v>2070</v>
      </c>
      <c r="D144" s="63">
        <f>IF(F143+SUM(E$99:E143)=D$92,F143,D$92-SUM(E$99:E143))</f>
        <v>0</v>
      </c>
      <c r="E144" s="69">
        <f t="shared" si="16"/>
        <v>0</v>
      </c>
      <c r="F144" s="68">
        <f t="shared" si="17"/>
        <v>0</v>
      </c>
      <c r="G144" s="68">
        <f t="shared" si="18"/>
        <v>0</v>
      </c>
      <c r="H144" s="130">
        <f t="shared" si="12"/>
        <v>0</v>
      </c>
      <c r="I144" s="139">
        <f t="shared" si="13"/>
        <v>0</v>
      </c>
      <c r="J144" s="67">
        <f t="shared" si="19"/>
        <v>0</v>
      </c>
      <c r="K144" s="67"/>
      <c r="L144" s="132"/>
      <c r="M144" s="67">
        <f t="shared" si="20"/>
        <v>0</v>
      </c>
      <c r="N144" s="132"/>
      <c r="O144" s="67">
        <f t="shared" si="21"/>
        <v>0</v>
      </c>
      <c r="P144" s="67">
        <f t="shared" si="22"/>
        <v>0</v>
      </c>
    </row>
    <row r="145" spans="2:16" ht="12.5">
      <c r="B145" s="9" t="str">
        <f t="shared" si="15"/>
        <v/>
      </c>
      <c r="C145" s="62">
        <f>IF(D93="","-",+C144+1)</f>
        <v>2071</v>
      </c>
      <c r="D145" s="63">
        <f>IF(F144+SUM(E$99:E144)=D$92,F144,D$92-SUM(E$99:E144))</f>
        <v>0</v>
      </c>
      <c r="E145" s="69">
        <f t="shared" si="16"/>
        <v>0</v>
      </c>
      <c r="F145" s="68">
        <f t="shared" si="17"/>
        <v>0</v>
      </c>
      <c r="G145" s="68">
        <f t="shared" si="18"/>
        <v>0</v>
      </c>
      <c r="H145" s="130">
        <f t="shared" si="12"/>
        <v>0</v>
      </c>
      <c r="I145" s="139">
        <f t="shared" si="13"/>
        <v>0</v>
      </c>
      <c r="J145" s="67">
        <f t="shared" si="19"/>
        <v>0</v>
      </c>
      <c r="K145" s="67"/>
      <c r="L145" s="132"/>
      <c r="M145" s="67">
        <f t="shared" si="20"/>
        <v>0</v>
      </c>
      <c r="N145" s="132"/>
      <c r="O145" s="67">
        <f t="shared" si="21"/>
        <v>0</v>
      </c>
      <c r="P145" s="67">
        <f t="shared" si="22"/>
        <v>0</v>
      </c>
    </row>
    <row r="146" spans="2:16" ht="12.5">
      <c r="B146" s="9" t="str">
        <f t="shared" si="15"/>
        <v/>
      </c>
      <c r="C146" s="62">
        <f>IF(D93="","-",+C145+1)</f>
        <v>2072</v>
      </c>
      <c r="D146" s="63">
        <f>IF(F145+SUM(E$99:E145)=D$92,F145,D$92-SUM(E$99:E145))</f>
        <v>0</v>
      </c>
      <c r="E146" s="69">
        <f t="shared" si="16"/>
        <v>0</v>
      </c>
      <c r="F146" s="68">
        <f t="shared" si="17"/>
        <v>0</v>
      </c>
      <c r="G146" s="68">
        <f t="shared" si="18"/>
        <v>0</v>
      </c>
      <c r="H146" s="130">
        <f t="shared" si="12"/>
        <v>0</v>
      </c>
      <c r="I146" s="139">
        <f t="shared" si="13"/>
        <v>0</v>
      </c>
      <c r="J146" s="67">
        <f t="shared" si="19"/>
        <v>0</v>
      </c>
      <c r="K146" s="67"/>
      <c r="L146" s="132"/>
      <c r="M146" s="67">
        <f t="shared" si="20"/>
        <v>0</v>
      </c>
      <c r="N146" s="132"/>
      <c r="O146" s="67">
        <f t="shared" si="21"/>
        <v>0</v>
      </c>
      <c r="P146" s="67">
        <f t="shared" si="22"/>
        <v>0</v>
      </c>
    </row>
    <row r="147" spans="2:16" ht="12.5">
      <c r="B147" s="9" t="str">
        <f t="shared" si="15"/>
        <v/>
      </c>
      <c r="C147" s="62">
        <f>IF(D93="","-",+C146+1)</f>
        <v>2073</v>
      </c>
      <c r="D147" s="63">
        <f>IF(F146+SUM(E$99:E146)=D$92,F146,D$92-SUM(E$99:E146))</f>
        <v>0</v>
      </c>
      <c r="E147" s="69">
        <f t="shared" si="16"/>
        <v>0</v>
      </c>
      <c r="F147" s="68">
        <f t="shared" si="17"/>
        <v>0</v>
      </c>
      <c r="G147" s="68">
        <f t="shared" si="18"/>
        <v>0</v>
      </c>
      <c r="H147" s="130">
        <f t="shared" si="12"/>
        <v>0</v>
      </c>
      <c r="I147" s="139">
        <f t="shared" si="13"/>
        <v>0</v>
      </c>
      <c r="J147" s="67">
        <f t="shared" si="19"/>
        <v>0</v>
      </c>
      <c r="K147" s="67"/>
      <c r="L147" s="132"/>
      <c r="M147" s="67">
        <f t="shared" si="20"/>
        <v>0</v>
      </c>
      <c r="N147" s="132"/>
      <c r="O147" s="67">
        <f t="shared" si="21"/>
        <v>0</v>
      </c>
      <c r="P147" s="67">
        <f t="shared" si="22"/>
        <v>0</v>
      </c>
    </row>
    <row r="148" spans="2:16" ht="12.5">
      <c r="B148" s="9" t="str">
        <f t="shared" si="15"/>
        <v/>
      </c>
      <c r="C148" s="62">
        <f>IF(D93="","-",+C147+1)</f>
        <v>2074</v>
      </c>
      <c r="D148" s="63">
        <f>IF(F147+SUM(E$99:E147)=D$92,F147,D$92-SUM(E$99:E147))</f>
        <v>0</v>
      </c>
      <c r="E148" s="69">
        <f t="shared" si="16"/>
        <v>0</v>
      </c>
      <c r="F148" s="68">
        <f t="shared" si="17"/>
        <v>0</v>
      </c>
      <c r="G148" s="68">
        <f t="shared" si="18"/>
        <v>0</v>
      </c>
      <c r="H148" s="130">
        <f t="shared" si="12"/>
        <v>0</v>
      </c>
      <c r="I148" s="139">
        <f t="shared" si="13"/>
        <v>0</v>
      </c>
      <c r="J148" s="67">
        <f t="shared" si="19"/>
        <v>0</v>
      </c>
      <c r="K148" s="67"/>
      <c r="L148" s="132"/>
      <c r="M148" s="67">
        <f t="shared" si="20"/>
        <v>0</v>
      </c>
      <c r="N148" s="132"/>
      <c r="O148" s="67">
        <f t="shared" si="21"/>
        <v>0</v>
      </c>
      <c r="P148" s="67">
        <f t="shared" si="22"/>
        <v>0</v>
      </c>
    </row>
    <row r="149" spans="2:16" ht="12.5">
      <c r="B149" s="9" t="str">
        <f t="shared" si="15"/>
        <v/>
      </c>
      <c r="C149" s="62">
        <f>IF(D93="","-",+C148+1)</f>
        <v>2075</v>
      </c>
      <c r="D149" s="63">
        <f>IF(F148+SUM(E$99:E148)=D$92,F148,D$92-SUM(E$99:E148))</f>
        <v>0</v>
      </c>
      <c r="E149" s="69">
        <f t="shared" si="16"/>
        <v>0</v>
      </c>
      <c r="F149" s="68">
        <f t="shared" si="17"/>
        <v>0</v>
      </c>
      <c r="G149" s="68">
        <f t="shared" si="18"/>
        <v>0</v>
      </c>
      <c r="H149" s="130">
        <f t="shared" si="12"/>
        <v>0</v>
      </c>
      <c r="I149" s="139">
        <f t="shared" si="13"/>
        <v>0</v>
      </c>
      <c r="J149" s="67">
        <f t="shared" si="19"/>
        <v>0</v>
      </c>
      <c r="K149" s="67"/>
      <c r="L149" s="132"/>
      <c r="M149" s="67">
        <f t="shared" si="20"/>
        <v>0</v>
      </c>
      <c r="N149" s="132"/>
      <c r="O149" s="67">
        <f t="shared" si="21"/>
        <v>0</v>
      </c>
      <c r="P149" s="67">
        <f t="shared" si="22"/>
        <v>0</v>
      </c>
    </row>
    <row r="150" spans="2:16" ht="12.5">
      <c r="B150" s="9" t="str">
        <f t="shared" si="15"/>
        <v/>
      </c>
      <c r="C150" s="62">
        <f>IF(D93="","-",+C149+1)</f>
        <v>2076</v>
      </c>
      <c r="D150" s="63">
        <f>IF(F149+SUM(E$99:E149)=D$92,F149,D$92-SUM(E$99:E149))</f>
        <v>0</v>
      </c>
      <c r="E150" s="69">
        <f t="shared" si="16"/>
        <v>0</v>
      </c>
      <c r="F150" s="68">
        <f t="shared" si="17"/>
        <v>0</v>
      </c>
      <c r="G150" s="68">
        <f t="shared" si="18"/>
        <v>0</v>
      </c>
      <c r="H150" s="130">
        <f t="shared" si="12"/>
        <v>0</v>
      </c>
      <c r="I150" s="139">
        <f t="shared" si="13"/>
        <v>0</v>
      </c>
      <c r="J150" s="67">
        <f t="shared" si="19"/>
        <v>0</v>
      </c>
      <c r="K150" s="67"/>
      <c r="L150" s="132"/>
      <c r="M150" s="67">
        <f t="shared" si="20"/>
        <v>0</v>
      </c>
      <c r="N150" s="132"/>
      <c r="O150" s="67">
        <f t="shared" si="21"/>
        <v>0</v>
      </c>
      <c r="P150" s="67">
        <f t="shared" si="22"/>
        <v>0</v>
      </c>
    </row>
    <row r="151" spans="2:16" ht="12.5">
      <c r="B151" s="9" t="str">
        <f t="shared" si="15"/>
        <v/>
      </c>
      <c r="C151" s="62">
        <f>IF(D93="","-",+C150+1)</f>
        <v>2077</v>
      </c>
      <c r="D151" s="63">
        <f>IF(F150+SUM(E$99:E150)=D$92,F150,D$92-SUM(E$99:E150))</f>
        <v>0</v>
      </c>
      <c r="E151" s="69">
        <f t="shared" si="16"/>
        <v>0</v>
      </c>
      <c r="F151" s="68">
        <f t="shared" si="17"/>
        <v>0</v>
      </c>
      <c r="G151" s="68">
        <f t="shared" si="18"/>
        <v>0</v>
      </c>
      <c r="H151" s="130">
        <f t="shared" si="12"/>
        <v>0</v>
      </c>
      <c r="I151" s="139">
        <f t="shared" si="13"/>
        <v>0</v>
      </c>
      <c r="J151" s="67">
        <f t="shared" si="19"/>
        <v>0</v>
      </c>
      <c r="K151" s="67"/>
      <c r="L151" s="132"/>
      <c r="M151" s="67">
        <f t="shared" si="20"/>
        <v>0</v>
      </c>
      <c r="N151" s="132"/>
      <c r="O151" s="67">
        <f t="shared" si="21"/>
        <v>0</v>
      </c>
      <c r="P151" s="67">
        <f t="shared" si="22"/>
        <v>0</v>
      </c>
    </row>
    <row r="152" spans="2:16" ht="12.5">
      <c r="B152" s="9" t="str">
        <f t="shared" si="15"/>
        <v/>
      </c>
      <c r="C152" s="62">
        <f>IF(D93="","-",+C151+1)</f>
        <v>2078</v>
      </c>
      <c r="D152" s="63">
        <f>IF(F151+SUM(E$99:E151)=D$92,F151,D$92-SUM(E$99:E151))</f>
        <v>0</v>
      </c>
      <c r="E152" s="69">
        <f t="shared" si="16"/>
        <v>0</v>
      </c>
      <c r="F152" s="68">
        <f t="shared" si="17"/>
        <v>0</v>
      </c>
      <c r="G152" s="68">
        <f t="shared" si="18"/>
        <v>0</v>
      </c>
      <c r="H152" s="130">
        <f t="shared" si="12"/>
        <v>0</v>
      </c>
      <c r="I152" s="139">
        <f t="shared" si="13"/>
        <v>0</v>
      </c>
      <c r="J152" s="67">
        <f t="shared" si="19"/>
        <v>0</v>
      </c>
      <c r="K152" s="67"/>
      <c r="L152" s="132"/>
      <c r="M152" s="67">
        <f t="shared" si="20"/>
        <v>0</v>
      </c>
      <c r="N152" s="132"/>
      <c r="O152" s="67">
        <f t="shared" si="21"/>
        <v>0</v>
      </c>
      <c r="P152" s="67">
        <f t="shared" si="22"/>
        <v>0</v>
      </c>
    </row>
    <row r="153" spans="2:16" ht="12.5">
      <c r="B153" s="9" t="str">
        <f t="shared" si="15"/>
        <v/>
      </c>
      <c r="C153" s="62">
        <f>IF(D93="","-",+C152+1)</f>
        <v>2079</v>
      </c>
      <c r="D153" s="63">
        <f>IF(F152+SUM(E$99:E152)=D$92,F152,D$92-SUM(E$99:E152))</f>
        <v>0</v>
      </c>
      <c r="E153" s="69">
        <f t="shared" si="16"/>
        <v>0</v>
      </c>
      <c r="F153" s="68">
        <f t="shared" si="17"/>
        <v>0</v>
      </c>
      <c r="G153" s="68">
        <f t="shared" si="18"/>
        <v>0</v>
      </c>
      <c r="H153" s="130">
        <f t="shared" si="12"/>
        <v>0</v>
      </c>
      <c r="I153" s="139">
        <f t="shared" si="13"/>
        <v>0</v>
      </c>
      <c r="J153" s="67">
        <f t="shared" si="19"/>
        <v>0</v>
      </c>
      <c r="K153" s="67"/>
      <c r="L153" s="132"/>
      <c r="M153" s="67">
        <f t="shared" si="20"/>
        <v>0</v>
      </c>
      <c r="N153" s="132"/>
      <c r="O153" s="67">
        <f t="shared" si="21"/>
        <v>0</v>
      </c>
      <c r="P153" s="67">
        <f t="shared" si="22"/>
        <v>0</v>
      </c>
    </row>
    <row r="154" spans="2:16" ht="13" thickBot="1">
      <c r="B154" s="9" t="str">
        <f t="shared" si="15"/>
        <v/>
      </c>
      <c r="C154" s="72">
        <f>IF(D93="","-",+C153+1)</f>
        <v>2080</v>
      </c>
      <c r="D154" s="98">
        <f>IF(F153+SUM(E$99:E153)=D$92,F153,D$92-SUM(E$99:E153))</f>
        <v>0</v>
      </c>
      <c r="E154" s="74">
        <f t="shared" si="16"/>
        <v>0</v>
      </c>
      <c r="F154" s="73">
        <f t="shared" si="17"/>
        <v>0</v>
      </c>
      <c r="G154" s="73">
        <f t="shared" si="18"/>
        <v>0</v>
      </c>
      <c r="H154" s="140">
        <f t="shared" si="12"/>
        <v>0</v>
      </c>
      <c r="I154" s="141">
        <f t="shared" si="13"/>
        <v>0</v>
      </c>
      <c r="J154" s="76">
        <f t="shared" si="19"/>
        <v>0</v>
      </c>
      <c r="K154" s="67"/>
      <c r="L154" s="133"/>
      <c r="M154" s="76">
        <f t="shared" si="20"/>
        <v>0</v>
      </c>
      <c r="N154" s="133"/>
      <c r="O154" s="76">
        <f t="shared" si="21"/>
        <v>0</v>
      </c>
      <c r="P154" s="76">
        <f t="shared" si="22"/>
        <v>0</v>
      </c>
    </row>
    <row r="155" spans="2:16" ht="12.5">
      <c r="C155" s="63" t="s">
        <v>77</v>
      </c>
      <c r="D155" s="20"/>
      <c r="E155" s="20">
        <f>SUM(E99:E154)</f>
        <v>0</v>
      </c>
      <c r="F155" s="20"/>
      <c r="G155" s="20"/>
      <c r="H155" s="20">
        <f>SUM(H99:H154)</f>
        <v>0</v>
      </c>
      <c r="I155" s="20">
        <f>SUM(I99:I154)</f>
        <v>0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5" priority="1" stopIfTrue="1" operator="equal">
      <formula>$I$10</formula>
    </cfRule>
  </conditionalFormatting>
  <conditionalFormatting sqref="C99:C154">
    <cfRule type="cellIs" dxfId="4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3F222B-73A9-4293-877D-C47D812C5ED3}">
  <dimension ref="A1:P162"/>
  <sheetViews>
    <sheetView topLeftCell="A65" zoomScaleNormal="100" zoomScaleSheetLayoutView="78" workbookViewId="0">
      <selection activeCell="Q18" sqref="Q18:V52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414" t="str">
        <f ca="1">"PSO Project "&amp;RIGHT(MID(CELL("filename",$A$1),FIND("]",CELL("filename",$A$1))+1,256),2)&amp;" of "&amp;COUNT('P.001:P.xyz - blank'!$P$3)-1</f>
        <v>PSO Project 35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279</v>
      </c>
      <c r="L5" s="24"/>
      <c r="M5" s="25"/>
      <c r="N5" s="26">
        <f>VLOOKUP(I10,C17:I72,5)</f>
        <v>168840.20291863434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280</v>
      </c>
      <c r="L6" s="30"/>
      <c r="M6" s="4"/>
      <c r="N6" s="31">
        <f>VLOOKUP(I10,C17:I72,6)</f>
        <v>168840.20291863434</v>
      </c>
      <c r="O6" s="1"/>
      <c r="P6" s="1"/>
    </row>
    <row r="7" spans="1:16" ht="13.5" thickBot="1">
      <c r="C7" s="32" t="s">
        <v>46</v>
      </c>
      <c r="D7" s="104" t="s">
        <v>367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/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 t="s">
        <v>368</v>
      </c>
      <c r="E9" s="720" t="s">
        <v>373</v>
      </c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>
        <v>2353669.9899999998</v>
      </c>
      <c r="E10" s="12" t="s">
        <v>51</v>
      </c>
      <c r="F10" s="42"/>
      <c r="G10" s="44"/>
      <c r="H10" s="44"/>
      <c r="I10" s="45">
        <f>+'PSO.WS.F.BPU.ATRR.Projected'!L19</f>
        <v>2024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2024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6</v>
      </c>
      <c r="E12" s="46" t="s">
        <v>56</v>
      </c>
      <c r="F12" s="44"/>
      <c r="G12" s="7"/>
      <c r="H12" s="7"/>
      <c r="I12" s="50">
        <f>'PSO.WS.F.BPU.ATRR.Projected'!$F$81</f>
        <v>0.11374018757958901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0.11374018757958901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61938.683947368416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281</v>
      </c>
      <c r="H15" s="143" t="s">
        <v>282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2024</v>
      </c>
      <c r="D17" s="63">
        <v>0</v>
      </c>
      <c r="E17" s="64">
        <v>30175.256282051283</v>
      </c>
      <c r="F17" s="68">
        <v>2323494.7337179487</v>
      </c>
      <c r="G17" s="64">
        <v>168840.20291863434</v>
      </c>
      <c r="H17" s="52">
        <v>168840.20291863434</v>
      </c>
      <c r="I17" s="65">
        <f>H17-G17</f>
        <v>0</v>
      </c>
      <c r="J17" s="65"/>
      <c r="K17" s="661">
        <f>+G17</f>
        <v>168840.20291863434</v>
      </c>
      <c r="L17" s="662">
        <f t="shared" ref="L17" si="0">IF(K17&lt;&gt;0,+G17-K17,0)</f>
        <v>0</v>
      </c>
      <c r="M17" s="661">
        <f>+H17</f>
        <v>168840.20291863434</v>
      </c>
      <c r="N17" s="662">
        <f t="shared" ref="N17" si="1">IF(M17&lt;&gt;0,+H17-M17,0)</f>
        <v>0</v>
      </c>
      <c r="O17" s="663">
        <f t="shared" ref="O17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2025</v>
      </c>
      <c r="D18" s="71">
        <f>IF(F17+SUM(E$17:E17)=D$10,F17,D$10-SUM(E$17:E17))</f>
        <v>2323494.7337179487</v>
      </c>
      <c r="E18" s="69">
        <f>IF(+I$14&lt;F17,I$14,D18)</f>
        <v>61938.683947368416</v>
      </c>
      <c r="F18" s="68">
        <f>+D18-E18</f>
        <v>2261556.0497705801</v>
      </c>
      <c r="G18" s="70">
        <f>(D18+F18)/2*I$12+E18</f>
        <v>322690.95203533181</v>
      </c>
      <c r="H18" s="52">
        <f>+(D18+F18)/2*I$13+E18</f>
        <v>322690.95203533181</v>
      </c>
      <c r="I18" s="65">
        <f>H18-G18</f>
        <v>0</v>
      </c>
      <c r="J18" s="65"/>
      <c r="K18" s="132"/>
      <c r="L18" s="67">
        <f t="shared" ref="L18:L72" si="3">IF(K18&lt;&gt;0,+G18-K18,0)</f>
        <v>0</v>
      </c>
      <c r="M18" s="132"/>
      <c r="N18" s="67">
        <f t="shared" ref="N18:N72" si="4">IF(M18&lt;&gt;0,+H18-M18,0)</f>
        <v>0</v>
      </c>
      <c r="O18" s="67">
        <f t="shared" ref="O18:O72" si="5">+N18-L18</f>
        <v>0</v>
      </c>
      <c r="P18" s="4"/>
    </row>
    <row r="19" spans="2:16" ht="12.5">
      <c r="B19" s="9" t="str">
        <f>IF(D19=F18,"","IU")</f>
        <v/>
      </c>
      <c r="C19" s="62">
        <f>IF(D11="","-",+C18+1)</f>
        <v>2026</v>
      </c>
      <c r="D19" s="71">
        <f>IF(F18+SUM(E$17:E18)=D$10,F18,D$10-SUM(E$17:E18))</f>
        <v>2261556.0497705801</v>
      </c>
      <c r="E19" s="69">
        <f t="shared" ref="E19:E71" si="6">IF(+I$14&lt;F18,I$14,D19)</f>
        <v>61938.683947368416</v>
      </c>
      <c r="F19" s="68">
        <f t="shared" ref="F19:F71" si="7">+D19-E19</f>
        <v>2199617.3658232116</v>
      </c>
      <c r="G19" s="70">
        <f t="shared" ref="G19:G71" si="8">(D19+F19)/2*I$12+E19</f>
        <v>315646.03450472525</v>
      </c>
      <c r="H19" s="52">
        <f t="shared" ref="H19:H71" si="9">+(D19+F19)/2*I$13+E19</f>
        <v>315646.03450472525</v>
      </c>
      <c r="I19" s="65">
        <f t="shared" ref="I19:I71" si="10">H19-G19</f>
        <v>0</v>
      </c>
      <c r="J19" s="65"/>
      <c r="K19" s="132"/>
      <c r="L19" s="67">
        <f t="shared" si="3"/>
        <v>0</v>
      </c>
      <c r="M19" s="132"/>
      <c r="N19" s="67">
        <f t="shared" si="4"/>
        <v>0</v>
      </c>
      <c r="O19" s="67">
        <f t="shared" si="5"/>
        <v>0</v>
      </c>
      <c r="P19" s="4"/>
    </row>
    <row r="20" spans="2:16" ht="12.5">
      <c r="B20" s="9" t="str">
        <f t="shared" ref="B20:B72" si="11">IF(D20=F19,"","IU")</f>
        <v/>
      </c>
      <c r="C20" s="62">
        <f>IF(D11="","-",+C19+1)</f>
        <v>2027</v>
      </c>
      <c r="D20" s="71">
        <f>IF(F19+SUM(E$17:E19)=D$10,F19,D$10-SUM(E$17:E19))</f>
        <v>2199617.3658232116</v>
      </c>
      <c r="E20" s="69">
        <f t="shared" si="6"/>
        <v>61938.683947368416</v>
      </c>
      <c r="F20" s="68">
        <f t="shared" si="7"/>
        <v>2137678.6818758431</v>
      </c>
      <c r="G20" s="70">
        <f t="shared" si="8"/>
        <v>308601.11697411869</v>
      </c>
      <c r="H20" s="52">
        <f t="shared" si="9"/>
        <v>308601.11697411869</v>
      </c>
      <c r="I20" s="65">
        <f t="shared" si="10"/>
        <v>0</v>
      </c>
      <c r="J20" s="65"/>
      <c r="K20" s="132"/>
      <c r="L20" s="67">
        <f t="shared" si="3"/>
        <v>0</v>
      </c>
      <c r="M20" s="132"/>
      <c r="N20" s="67">
        <f t="shared" si="4"/>
        <v>0</v>
      </c>
      <c r="O20" s="67">
        <f t="shared" si="5"/>
        <v>0</v>
      </c>
      <c r="P20" s="4"/>
    </row>
    <row r="21" spans="2:16" ht="12.5">
      <c r="B21" s="9" t="str">
        <f t="shared" si="11"/>
        <v/>
      </c>
      <c r="C21" s="62">
        <f>IF(D11="","-",+C20+1)</f>
        <v>2028</v>
      </c>
      <c r="D21" s="71">
        <f>IF(F20+SUM(E$17:E20)=D$10,F20,D$10-SUM(E$17:E20))</f>
        <v>2137678.6818758431</v>
      </c>
      <c r="E21" s="69">
        <f t="shared" si="6"/>
        <v>61938.683947368416</v>
      </c>
      <c r="F21" s="68">
        <f t="shared" si="7"/>
        <v>2075739.9979284746</v>
      </c>
      <c r="G21" s="70">
        <f t="shared" si="8"/>
        <v>301556.19944351213</v>
      </c>
      <c r="H21" s="52">
        <f t="shared" si="9"/>
        <v>301556.19944351213</v>
      </c>
      <c r="I21" s="65">
        <f t="shared" si="10"/>
        <v>0</v>
      </c>
      <c r="J21" s="65"/>
      <c r="K21" s="132"/>
      <c r="L21" s="67">
        <f t="shared" si="3"/>
        <v>0</v>
      </c>
      <c r="M21" s="132"/>
      <c r="N21" s="67">
        <f t="shared" si="4"/>
        <v>0</v>
      </c>
      <c r="O21" s="67">
        <f t="shared" si="5"/>
        <v>0</v>
      </c>
      <c r="P21" s="4"/>
    </row>
    <row r="22" spans="2:16" ht="12.5">
      <c r="B22" s="9" t="str">
        <f t="shared" si="11"/>
        <v/>
      </c>
      <c r="C22" s="62">
        <f>IF(D11="","-",+C21+1)</f>
        <v>2029</v>
      </c>
      <c r="D22" s="71">
        <f>IF(F21+SUM(E$17:E21)=D$10,F21,D$10-SUM(E$17:E21))</f>
        <v>2075739.9979284746</v>
      </c>
      <c r="E22" s="69">
        <f t="shared" si="6"/>
        <v>61938.683947368416</v>
      </c>
      <c r="F22" s="68">
        <f t="shared" si="7"/>
        <v>2013801.313981106</v>
      </c>
      <c r="G22" s="70">
        <f t="shared" si="8"/>
        <v>294511.28191290551</v>
      </c>
      <c r="H22" s="52">
        <f t="shared" si="9"/>
        <v>294511.28191290551</v>
      </c>
      <c r="I22" s="65">
        <f t="shared" si="10"/>
        <v>0</v>
      </c>
      <c r="J22" s="65"/>
      <c r="K22" s="132"/>
      <c r="L22" s="67">
        <f t="shared" si="3"/>
        <v>0</v>
      </c>
      <c r="M22" s="132"/>
      <c r="N22" s="67">
        <f t="shared" si="4"/>
        <v>0</v>
      </c>
      <c r="O22" s="67">
        <f t="shared" si="5"/>
        <v>0</v>
      </c>
      <c r="P22" s="4"/>
    </row>
    <row r="23" spans="2:16" ht="12.5">
      <c r="B23" s="9" t="str">
        <f t="shared" si="11"/>
        <v/>
      </c>
      <c r="C23" s="62">
        <f>IF(D11="","-",+C22+1)</f>
        <v>2030</v>
      </c>
      <c r="D23" s="71">
        <f>IF(F22+SUM(E$17:E22)=D$10,F22,D$10-SUM(E$17:E22))</f>
        <v>2013801.313981106</v>
      </c>
      <c r="E23" s="69">
        <f t="shared" si="6"/>
        <v>61938.683947368416</v>
      </c>
      <c r="F23" s="68">
        <f t="shared" si="7"/>
        <v>1951862.6300337375</v>
      </c>
      <c r="G23" s="70">
        <f t="shared" si="8"/>
        <v>287466.36438229895</v>
      </c>
      <c r="H23" s="52">
        <f t="shared" si="9"/>
        <v>287466.36438229895</v>
      </c>
      <c r="I23" s="65">
        <f t="shared" si="10"/>
        <v>0</v>
      </c>
      <c r="J23" s="65"/>
      <c r="K23" s="132"/>
      <c r="L23" s="67">
        <f t="shared" si="3"/>
        <v>0</v>
      </c>
      <c r="M23" s="132"/>
      <c r="N23" s="67">
        <f t="shared" si="4"/>
        <v>0</v>
      </c>
      <c r="O23" s="67">
        <f t="shared" si="5"/>
        <v>0</v>
      </c>
      <c r="P23" s="4"/>
    </row>
    <row r="24" spans="2:16" ht="12.5">
      <c r="B24" s="9" t="str">
        <f t="shared" si="11"/>
        <v/>
      </c>
      <c r="C24" s="62">
        <f>IF(D11="","-",+C23+1)</f>
        <v>2031</v>
      </c>
      <c r="D24" s="71">
        <f>IF(F23+SUM(E$17:E23)=D$10,F23,D$10-SUM(E$17:E23))</f>
        <v>1951862.6300337375</v>
      </c>
      <c r="E24" s="69">
        <f t="shared" si="6"/>
        <v>61938.683947368416</v>
      </c>
      <c r="F24" s="68">
        <f t="shared" si="7"/>
        <v>1889923.946086369</v>
      </c>
      <c r="G24" s="70">
        <f t="shared" si="8"/>
        <v>280421.4468516924</v>
      </c>
      <c r="H24" s="52">
        <f t="shared" si="9"/>
        <v>280421.4468516924</v>
      </c>
      <c r="I24" s="65">
        <f t="shared" si="10"/>
        <v>0</v>
      </c>
      <c r="J24" s="65"/>
      <c r="K24" s="132"/>
      <c r="L24" s="67">
        <f t="shared" si="3"/>
        <v>0</v>
      </c>
      <c r="M24" s="132"/>
      <c r="N24" s="67">
        <f t="shared" si="4"/>
        <v>0</v>
      </c>
      <c r="O24" s="67">
        <f t="shared" si="5"/>
        <v>0</v>
      </c>
      <c r="P24" s="4"/>
    </row>
    <row r="25" spans="2:16" ht="12.5">
      <c r="B25" s="9" t="str">
        <f t="shared" si="11"/>
        <v/>
      </c>
      <c r="C25" s="62">
        <f>IF(D11="","-",+C24+1)</f>
        <v>2032</v>
      </c>
      <c r="D25" s="71">
        <f>IF(F24+SUM(E$17:E24)=D$10,F24,D$10-SUM(E$17:E24))</f>
        <v>1889923.946086369</v>
      </c>
      <c r="E25" s="69">
        <f t="shared" si="6"/>
        <v>61938.683947368416</v>
      </c>
      <c r="F25" s="68">
        <f t="shared" si="7"/>
        <v>1827985.2621390005</v>
      </c>
      <c r="G25" s="70">
        <f t="shared" si="8"/>
        <v>273376.52932108584</v>
      </c>
      <c r="H25" s="52">
        <f t="shared" si="9"/>
        <v>273376.52932108584</v>
      </c>
      <c r="I25" s="65">
        <f t="shared" si="10"/>
        <v>0</v>
      </c>
      <c r="J25" s="65"/>
      <c r="K25" s="132"/>
      <c r="L25" s="67">
        <f t="shared" si="3"/>
        <v>0</v>
      </c>
      <c r="M25" s="132"/>
      <c r="N25" s="67">
        <f t="shared" si="4"/>
        <v>0</v>
      </c>
      <c r="O25" s="67">
        <f t="shared" si="5"/>
        <v>0</v>
      </c>
      <c r="P25" s="4"/>
    </row>
    <row r="26" spans="2:16" ht="12.5">
      <c r="B26" s="9" t="str">
        <f t="shared" si="11"/>
        <v/>
      </c>
      <c r="C26" s="62">
        <f>IF(D11="","-",+C25+1)</f>
        <v>2033</v>
      </c>
      <c r="D26" s="71">
        <f>IF(F25+SUM(E$17:E25)=D$10,F25,D$10-SUM(E$17:E25))</f>
        <v>1827985.2621390005</v>
      </c>
      <c r="E26" s="69">
        <f t="shared" si="6"/>
        <v>61938.683947368416</v>
      </c>
      <c r="F26" s="68">
        <f t="shared" si="7"/>
        <v>1766046.5781916319</v>
      </c>
      <c r="G26" s="70">
        <f t="shared" si="8"/>
        <v>266331.61179047922</v>
      </c>
      <c r="H26" s="52">
        <f t="shared" si="9"/>
        <v>266331.61179047922</v>
      </c>
      <c r="I26" s="65">
        <f t="shared" si="10"/>
        <v>0</v>
      </c>
      <c r="J26" s="65"/>
      <c r="K26" s="132"/>
      <c r="L26" s="67">
        <f t="shared" si="3"/>
        <v>0</v>
      </c>
      <c r="M26" s="132"/>
      <c r="N26" s="67">
        <f t="shared" si="4"/>
        <v>0</v>
      </c>
      <c r="O26" s="67">
        <f t="shared" si="5"/>
        <v>0</v>
      </c>
      <c r="P26" s="4"/>
    </row>
    <row r="27" spans="2:16" ht="12.5">
      <c r="B27" s="9" t="str">
        <f t="shared" si="11"/>
        <v/>
      </c>
      <c r="C27" s="62">
        <f>IF(D11="","-",+C26+1)</f>
        <v>2034</v>
      </c>
      <c r="D27" s="71">
        <f>IF(F26+SUM(E$17:E26)=D$10,F26,D$10-SUM(E$17:E26))</f>
        <v>1766046.5781916319</v>
      </c>
      <c r="E27" s="69">
        <f t="shared" si="6"/>
        <v>61938.683947368416</v>
      </c>
      <c r="F27" s="68">
        <f t="shared" si="7"/>
        <v>1704107.8942442634</v>
      </c>
      <c r="G27" s="70">
        <f t="shared" si="8"/>
        <v>259286.69425987263</v>
      </c>
      <c r="H27" s="52">
        <f t="shared" si="9"/>
        <v>259286.69425987263</v>
      </c>
      <c r="I27" s="65">
        <f t="shared" si="10"/>
        <v>0</v>
      </c>
      <c r="J27" s="65"/>
      <c r="K27" s="132"/>
      <c r="L27" s="67">
        <f t="shared" si="3"/>
        <v>0</v>
      </c>
      <c r="M27" s="132"/>
      <c r="N27" s="67">
        <f t="shared" si="4"/>
        <v>0</v>
      </c>
      <c r="O27" s="67">
        <f t="shared" si="5"/>
        <v>0</v>
      </c>
      <c r="P27" s="4"/>
    </row>
    <row r="28" spans="2:16" ht="12.5">
      <c r="B28" s="9" t="str">
        <f t="shared" si="11"/>
        <v/>
      </c>
      <c r="C28" s="62">
        <f>IF(D11="","-",+C27+1)</f>
        <v>2035</v>
      </c>
      <c r="D28" s="71">
        <f>IF(F27+SUM(E$17:E27)=D$10,F27,D$10-SUM(E$17:E27))</f>
        <v>1704107.8942442634</v>
      </c>
      <c r="E28" s="69">
        <f t="shared" si="6"/>
        <v>61938.683947368416</v>
      </c>
      <c r="F28" s="68">
        <f t="shared" si="7"/>
        <v>1642169.2102968949</v>
      </c>
      <c r="G28" s="70">
        <f t="shared" si="8"/>
        <v>252241.77672926607</v>
      </c>
      <c r="H28" s="52">
        <f t="shared" si="9"/>
        <v>252241.77672926607</v>
      </c>
      <c r="I28" s="65">
        <f t="shared" si="10"/>
        <v>0</v>
      </c>
      <c r="J28" s="65"/>
      <c r="K28" s="132"/>
      <c r="L28" s="67">
        <f t="shared" si="3"/>
        <v>0</v>
      </c>
      <c r="M28" s="132"/>
      <c r="N28" s="67">
        <f t="shared" si="4"/>
        <v>0</v>
      </c>
      <c r="O28" s="67">
        <f t="shared" si="5"/>
        <v>0</v>
      </c>
      <c r="P28" s="4"/>
    </row>
    <row r="29" spans="2:16" ht="12.5">
      <c r="B29" s="9" t="str">
        <f t="shared" si="11"/>
        <v/>
      </c>
      <c r="C29" s="62">
        <f>IF(D11="","-",+C28+1)</f>
        <v>2036</v>
      </c>
      <c r="D29" s="71">
        <f>IF(F28+SUM(E$17:E28)=D$10,F28,D$10-SUM(E$17:E28))</f>
        <v>1642169.2102968949</v>
      </c>
      <c r="E29" s="69">
        <f t="shared" si="6"/>
        <v>61938.683947368416</v>
      </c>
      <c r="F29" s="68">
        <f t="shared" si="7"/>
        <v>1580230.5263495264</v>
      </c>
      <c r="G29" s="70">
        <f t="shared" si="8"/>
        <v>245196.85919865948</v>
      </c>
      <c r="H29" s="52">
        <f t="shared" si="9"/>
        <v>245196.85919865948</v>
      </c>
      <c r="I29" s="65">
        <f t="shared" si="10"/>
        <v>0</v>
      </c>
      <c r="J29" s="65"/>
      <c r="K29" s="132"/>
      <c r="L29" s="67">
        <f t="shared" si="3"/>
        <v>0</v>
      </c>
      <c r="M29" s="132"/>
      <c r="N29" s="67">
        <f t="shared" si="4"/>
        <v>0</v>
      </c>
      <c r="O29" s="67">
        <f t="shared" si="5"/>
        <v>0</v>
      </c>
      <c r="P29" s="4"/>
    </row>
    <row r="30" spans="2:16" ht="12.5">
      <c r="B30" s="9" t="str">
        <f t="shared" si="11"/>
        <v/>
      </c>
      <c r="C30" s="62">
        <f>IF(D11="","-",+C29+1)</f>
        <v>2037</v>
      </c>
      <c r="D30" s="71">
        <f>IF(F29+SUM(E$17:E29)=D$10,F29,D$10-SUM(E$17:E29))</f>
        <v>1580230.5263495264</v>
      </c>
      <c r="E30" s="69">
        <f t="shared" si="6"/>
        <v>61938.683947368416</v>
      </c>
      <c r="F30" s="68">
        <f t="shared" si="7"/>
        <v>1518291.8424021578</v>
      </c>
      <c r="G30" s="70">
        <f t="shared" si="8"/>
        <v>238151.94166805292</v>
      </c>
      <c r="H30" s="52">
        <f t="shared" si="9"/>
        <v>238151.94166805292</v>
      </c>
      <c r="I30" s="65">
        <f t="shared" si="10"/>
        <v>0</v>
      </c>
      <c r="J30" s="65"/>
      <c r="K30" s="132"/>
      <c r="L30" s="67">
        <f t="shared" si="3"/>
        <v>0</v>
      </c>
      <c r="M30" s="132"/>
      <c r="N30" s="67">
        <f t="shared" si="4"/>
        <v>0</v>
      </c>
      <c r="O30" s="67">
        <f t="shared" si="5"/>
        <v>0</v>
      </c>
      <c r="P30" s="4"/>
    </row>
    <row r="31" spans="2:16" ht="12.5">
      <c r="B31" s="9" t="str">
        <f t="shared" si="11"/>
        <v/>
      </c>
      <c r="C31" s="62">
        <f>IF(D11="","-",+C30+1)</f>
        <v>2038</v>
      </c>
      <c r="D31" s="71">
        <f>IF(F30+SUM(E$17:E30)=D$10,F30,D$10-SUM(E$17:E30))</f>
        <v>1518291.8424021578</v>
      </c>
      <c r="E31" s="69">
        <f t="shared" si="6"/>
        <v>61938.683947368416</v>
      </c>
      <c r="F31" s="68">
        <f t="shared" si="7"/>
        <v>1456353.1584547893</v>
      </c>
      <c r="G31" s="70">
        <f t="shared" si="8"/>
        <v>231107.02413744634</v>
      </c>
      <c r="H31" s="52">
        <f t="shared" si="9"/>
        <v>231107.02413744634</v>
      </c>
      <c r="I31" s="65">
        <f t="shared" si="10"/>
        <v>0</v>
      </c>
      <c r="J31" s="65"/>
      <c r="K31" s="132"/>
      <c r="L31" s="67">
        <f t="shared" si="3"/>
        <v>0</v>
      </c>
      <c r="M31" s="132"/>
      <c r="N31" s="67">
        <f t="shared" si="4"/>
        <v>0</v>
      </c>
      <c r="O31" s="67">
        <f t="shared" si="5"/>
        <v>0</v>
      </c>
      <c r="P31" s="4"/>
    </row>
    <row r="32" spans="2:16" ht="12.5">
      <c r="B32" s="9" t="str">
        <f t="shared" si="11"/>
        <v/>
      </c>
      <c r="C32" s="62">
        <f>IF(D11="","-",+C31+1)</f>
        <v>2039</v>
      </c>
      <c r="D32" s="71">
        <f>IF(F31+SUM(E$17:E31)=D$10,F31,D$10-SUM(E$17:E31))</f>
        <v>1456353.1584547893</v>
      </c>
      <c r="E32" s="69">
        <f t="shared" si="6"/>
        <v>61938.683947368416</v>
      </c>
      <c r="F32" s="68">
        <f t="shared" si="7"/>
        <v>1394414.4745074208</v>
      </c>
      <c r="G32" s="70">
        <f t="shared" si="8"/>
        <v>224062.10660683978</v>
      </c>
      <c r="H32" s="52">
        <f t="shared" si="9"/>
        <v>224062.10660683978</v>
      </c>
      <c r="I32" s="65">
        <f t="shared" si="10"/>
        <v>0</v>
      </c>
      <c r="J32" s="65"/>
      <c r="K32" s="132"/>
      <c r="L32" s="67">
        <f t="shared" si="3"/>
        <v>0</v>
      </c>
      <c r="M32" s="132"/>
      <c r="N32" s="67">
        <f t="shared" si="4"/>
        <v>0</v>
      </c>
      <c r="O32" s="67">
        <f t="shared" si="5"/>
        <v>0</v>
      </c>
      <c r="P32" s="4"/>
    </row>
    <row r="33" spans="2:16" ht="12.5">
      <c r="B33" s="9" t="str">
        <f t="shared" si="11"/>
        <v/>
      </c>
      <c r="C33" s="62">
        <f>IF(D11="","-",+C32+1)</f>
        <v>2040</v>
      </c>
      <c r="D33" s="71">
        <f>IF(F32+SUM(E$17:E32)=D$10,F32,D$10-SUM(E$17:E32))</f>
        <v>1394414.4745074208</v>
      </c>
      <c r="E33" s="69">
        <f t="shared" si="6"/>
        <v>61938.683947368416</v>
      </c>
      <c r="F33" s="68">
        <f t="shared" si="7"/>
        <v>1332475.7905600523</v>
      </c>
      <c r="G33" s="70">
        <f t="shared" si="8"/>
        <v>217017.18907623319</v>
      </c>
      <c r="H33" s="52">
        <f t="shared" si="9"/>
        <v>217017.18907623319</v>
      </c>
      <c r="I33" s="65">
        <f t="shared" si="10"/>
        <v>0</v>
      </c>
      <c r="J33" s="65"/>
      <c r="K33" s="132"/>
      <c r="L33" s="67">
        <f t="shared" si="3"/>
        <v>0</v>
      </c>
      <c r="M33" s="132"/>
      <c r="N33" s="67">
        <f t="shared" si="4"/>
        <v>0</v>
      </c>
      <c r="O33" s="67">
        <f t="shared" si="5"/>
        <v>0</v>
      </c>
      <c r="P33" s="4"/>
    </row>
    <row r="34" spans="2:16" ht="12.5">
      <c r="B34" s="9" t="str">
        <f t="shared" si="11"/>
        <v/>
      </c>
      <c r="C34" s="62">
        <f>IF(D11="","-",+C33+1)</f>
        <v>2041</v>
      </c>
      <c r="D34" s="71">
        <f>IF(F33+SUM(E$17:E33)=D$10,F33,D$10-SUM(E$17:E33))</f>
        <v>1332475.7905600523</v>
      </c>
      <c r="E34" s="69">
        <f t="shared" si="6"/>
        <v>61938.683947368416</v>
      </c>
      <c r="F34" s="68">
        <f t="shared" si="7"/>
        <v>1270537.1066126837</v>
      </c>
      <c r="G34" s="70">
        <f t="shared" si="8"/>
        <v>209972.27154562663</v>
      </c>
      <c r="H34" s="52">
        <f t="shared" si="9"/>
        <v>209972.27154562663</v>
      </c>
      <c r="I34" s="65">
        <f t="shared" si="10"/>
        <v>0</v>
      </c>
      <c r="J34" s="65"/>
      <c r="K34" s="132"/>
      <c r="L34" s="67">
        <f t="shared" si="3"/>
        <v>0</v>
      </c>
      <c r="M34" s="132"/>
      <c r="N34" s="67">
        <f t="shared" si="4"/>
        <v>0</v>
      </c>
      <c r="O34" s="67">
        <f t="shared" si="5"/>
        <v>0</v>
      </c>
      <c r="P34" s="4"/>
    </row>
    <row r="35" spans="2:16" ht="12.5">
      <c r="B35" s="9" t="str">
        <f t="shared" si="11"/>
        <v/>
      </c>
      <c r="C35" s="62">
        <f>IF(D11="","-",+C34+1)</f>
        <v>2042</v>
      </c>
      <c r="D35" s="71">
        <f>IF(F34+SUM(E$17:E34)=D$10,F34,D$10-SUM(E$17:E34))</f>
        <v>1270537.1066126837</v>
      </c>
      <c r="E35" s="69">
        <f t="shared" si="6"/>
        <v>61938.683947368416</v>
      </c>
      <c r="F35" s="68">
        <f t="shared" si="7"/>
        <v>1208598.4226653152</v>
      </c>
      <c r="G35" s="70">
        <f t="shared" si="8"/>
        <v>202927.35401502004</v>
      </c>
      <c r="H35" s="52">
        <f t="shared" si="9"/>
        <v>202927.35401502004</v>
      </c>
      <c r="I35" s="65">
        <f t="shared" si="10"/>
        <v>0</v>
      </c>
      <c r="J35" s="65"/>
      <c r="K35" s="132"/>
      <c r="L35" s="67">
        <f t="shared" si="3"/>
        <v>0</v>
      </c>
      <c r="M35" s="132"/>
      <c r="N35" s="67">
        <f t="shared" si="4"/>
        <v>0</v>
      </c>
      <c r="O35" s="67">
        <f t="shared" si="5"/>
        <v>0</v>
      </c>
      <c r="P35" s="4"/>
    </row>
    <row r="36" spans="2:16" ht="12.5">
      <c r="B36" s="9" t="str">
        <f t="shared" si="11"/>
        <v/>
      </c>
      <c r="C36" s="62">
        <f>IF(D11="","-",+C35+1)</f>
        <v>2043</v>
      </c>
      <c r="D36" s="71">
        <f>IF(F35+SUM(E$17:E35)=D$10,F35,D$10-SUM(E$17:E35))</f>
        <v>1208598.4226653152</v>
      </c>
      <c r="E36" s="69">
        <f t="shared" si="6"/>
        <v>61938.683947368416</v>
      </c>
      <c r="F36" s="68">
        <f t="shared" si="7"/>
        <v>1146659.7387179467</v>
      </c>
      <c r="G36" s="70">
        <f t="shared" si="8"/>
        <v>195882.43648441348</v>
      </c>
      <c r="H36" s="52">
        <f t="shared" si="9"/>
        <v>195882.43648441348</v>
      </c>
      <c r="I36" s="65">
        <f t="shared" si="10"/>
        <v>0</v>
      </c>
      <c r="J36" s="65"/>
      <c r="K36" s="132"/>
      <c r="L36" s="67">
        <f t="shared" si="3"/>
        <v>0</v>
      </c>
      <c r="M36" s="132"/>
      <c r="N36" s="67">
        <f t="shared" si="4"/>
        <v>0</v>
      </c>
      <c r="O36" s="67">
        <f t="shared" si="5"/>
        <v>0</v>
      </c>
      <c r="P36" s="4"/>
    </row>
    <row r="37" spans="2:16" ht="12.5">
      <c r="B37" s="9" t="str">
        <f t="shared" si="11"/>
        <v/>
      </c>
      <c r="C37" s="62">
        <f>IF(D11="","-",+C36+1)</f>
        <v>2044</v>
      </c>
      <c r="D37" s="71">
        <f>IF(F36+SUM(E$17:E36)=D$10,F36,D$10-SUM(E$17:E36))</f>
        <v>1146659.7387179467</v>
      </c>
      <c r="E37" s="69">
        <f t="shared" si="6"/>
        <v>61938.683947368416</v>
      </c>
      <c r="F37" s="68">
        <f t="shared" si="7"/>
        <v>1084721.0547705782</v>
      </c>
      <c r="G37" s="70">
        <f t="shared" si="8"/>
        <v>188837.5189538069</v>
      </c>
      <c r="H37" s="52">
        <f t="shared" si="9"/>
        <v>188837.5189538069</v>
      </c>
      <c r="I37" s="65">
        <f t="shared" si="10"/>
        <v>0</v>
      </c>
      <c r="J37" s="65"/>
      <c r="K37" s="132"/>
      <c r="L37" s="67">
        <f t="shared" si="3"/>
        <v>0</v>
      </c>
      <c r="M37" s="132"/>
      <c r="N37" s="67">
        <f t="shared" si="4"/>
        <v>0</v>
      </c>
      <c r="O37" s="67">
        <f t="shared" si="5"/>
        <v>0</v>
      </c>
      <c r="P37" s="4"/>
    </row>
    <row r="38" spans="2:16" ht="12.5">
      <c r="B38" s="9" t="str">
        <f t="shared" si="11"/>
        <v/>
      </c>
      <c r="C38" s="62">
        <f>IF(D11="","-",+C37+1)</f>
        <v>2045</v>
      </c>
      <c r="D38" s="71">
        <f>IF(F37+SUM(E$17:E37)=D$10,F37,D$10-SUM(E$17:E37))</f>
        <v>1084721.0547705782</v>
      </c>
      <c r="E38" s="69">
        <f t="shared" si="6"/>
        <v>61938.683947368416</v>
      </c>
      <c r="F38" s="68">
        <f t="shared" si="7"/>
        <v>1022782.3708232098</v>
      </c>
      <c r="G38" s="70">
        <f t="shared" si="8"/>
        <v>181792.60142320034</v>
      </c>
      <c r="H38" s="52">
        <f t="shared" si="9"/>
        <v>181792.60142320034</v>
      </c>
      <c r="I38" s="65">
        <f t="shared" si="10"/>
        <v>0</v>
      </c>
      <c r="J38" s="65"/>
      <c r="K38" s="132"/>
      <c r="L38" s="67">
        <f t="shared" si="3"/>
        <v>0</v>
      </c>
      <c r="M38" s="132"/>
      <c r="N38" s="67">
        <f t="shared" si="4"/>
        <v>0</v>
      </c>
      <c r="O38" s="67">
        <f t="shared" si="5"/>
        <v>0</v>
      </c>
      <c r="P38" s="4"/>
    </row>
    <row r="39" spans="2:16" ht="12.5">
      <c r="B39" s="9" t="str">
        <f t="shared" si="11"/>
        <v/>
      </c>
      <c r="C39" s="62">
        <f>IF(D11="","-",+C38+1)</f>
        <v>2046</v>
      </c>
      <c r="D39" s="71">
        <f>IF(F38+SUM(E$17:E38)=D$10,F38,D$10-SUM(E$17:E38))</f>
        <v>1022782.3708232098</v>
      </c>
      <c r="E39" s="69">
        <f t="shared" si="6"/>
        <v>61938.683947368416</v>
      </c>
      <c r="F39" s="68">
        <f t="shared" si="7"/>
        <v>960843.68687584135</v>
      </c>
      <c r="G39" s="70">
        <f t="shared" si="8"/>
        <v>174747.68389259378</v>
      </c>
      <c r="H39" s="52">
        <f t="shared" si="9"/>
        <v>174747.68389259378</v>
      </c>
      <c r="I39" s="65">
        <f t="shared" si="10"/>
        <v>0</v>
      </c>
      <c r="J39" s="65"/>
      <c r="K39" s="132"/>
      <c r="L39" s="67">
        <f t="shared" si="3"/>
        <v>0</v>
      </c>
      <c r="M39" s="132"/>
      <c r="N39" s="67">
        <f t="shared" si="4"/>
        <v>0</v>
      </c>
      <c r="O39" s="67">
        <f t="shared" si="5"/>
        <v>0</v>
      </c>
      <c r="P39" s="4"/>
    </row>
    <row r="40" spans="2:16" ht="12.5">
      <c r="B40" s="9" t="str">
        <f t="shared" si="11"/>
        <v/>
      </c>
      <c r="C40" s="62">
        <f>IF(D11="","-",+C39+1)</f>
        <v>2047</v>
      </c>
      <c r="D40" s="71">
        <f>IF(F39+SUM(E$17:E39)=D$10,F39,D$10-SUM(E$17:E39))</f>
        <v>960843.68687584135</v>
      </c>
      <c r="E40" s="69">
        <f t="shared" si="6"/>
        <v>61938.683947368416</v>
      </c>
      <c r="F40" s="68">
        <f t="shared" si="7"/>
        <v>898905.00292847294</v>
      </c>
      <c r="G40" s="70">
        <f t="shared" si="8"/>
        <v>167702.76636198722</v>
      </c>
      <c r="H40" s="52">
        <f t="shared" si="9"/>
        <v>167702.76636198722</v>
      </c>
      <c r="I40" s="65">
        <f t="shared" si="10"/>
        <v>0</v>
      </c>
      <c r="J40" s="65"/>
      <c r="K40" s="132"/>
      <c r="L40" s="67">
        <f t="shared" si="3"/>
        <v>0</v>
      </c>
      <c r="M40" s="132"/>
      <c r="N40" s="67">
        <f t="shared" si="4"/>
        <v>0</v>
      </c>
      <c r="O40" s="67">
        <f t="shared" si="5"/>
        <v>0</v>
      </c>
      <c r="P40" s="4"/>
    </row>
    <row r="41" spans="2:16" ht="12.5">
      <c r="B41" s="9" t="str">
        <f t="shared" si="11"/>
        <v/>
      </c>
      <c r="C41" s="62">
        <f>IF(D11="","-",+C40+1)</f>
        <v>2048</v>
      </c>
      <c r="D41" s="71">
        <f>IF(F40+SUM(E$17:E40)=D$10,F40,D$10-SUM(E$17:E40))</f>
        <v>898905.00292847294</v>
      </c>
      <c r="E41" s="69">
        <f t="shared" si="6"/>
        <v>61938.683947368416</v>
      </c>
      <c r="F41" s="68">
        <f t="shared" si="7"/>
        <v>836966.31898110453</v>
      </c>
      <c r="G41" s="70">
        <f t="shared" si="8"/>
        <v>160657.84883138066</v>
      </c>
      <c r="H41" s="52">
        <f t="shared" si="9"/>
        <v>160657.84883138066</v>
      </c>
      <c r="I41" s="65">
        <f t="shared" si="10"/>
        <v>0</v>
      </c>
      <c r="J41" s="65"/>
      <c r="K41" s="132"/>
      <c r="L41" s="67">
        <f t="shared" si="3"/>
        <v>0</v>
      </c>
      <c r="M41" s="132"/>
      <c r="N41" s="67">
        <f t="shared" si="4"/>
        <v>0</v>
      </c>
      <c r="O41" s="67">
        <f t="shared" si="5"/>
        <v>0</v>
      </c>
      <c r="P41" s="4"/>
    </row>
    <row r="42" spans="2:16" ht="12.5">
      <c r="B42" s="9" t="str">
        <f t="shared" si="11"/>
        <v/>
      </c>
      <c r="C42" s="62">
        <f>IF(D11="","-",+C41+1)</f>
        <v>2049</v>
      </c>
      <c r="D42" s="71">
        <f>IF(F41+SUM(E$17:E41)=D$10,F41,D$10-SUM(E$17:E41))</f>
        <v>836966.31898110453</v>
      </c>
      <c r="E42" s="69">
        <f t="shared" si="6"/>
        <v>61938.683947368416</v>
      </c>
      <c r="F42" s="68">
        <f t="shared" si="7"/>
        <v>775027.63503373612</v>
      </c>
      <c r="G42" s="70">
        <f t="shared" si="8"/>
        <v>153612.9313007741</v>
      </c>
      <c r="H42" s="52">
        <f t="shared" si="9"/>
        <v>153612.9313007741</v>
      </c>
      <c r="I42" s="65">
        <f t="shared" si="10"/>
        <v>0</v>
      </c>
      <c r="J42" s="65"/>
      <c r="K42" s="132"/>
      <c r="L42" s="67">
        <f t="shared" si="3"/>
        <v>0</v>
      </c>
      <c r="M42" s="132"/>
      <c r="N42" s="67">
        <f t="shared" si="4"/>
        <v>0</v>
      </c>
      <c r="O42" s="67">
        <f t="shared" si="5"/>
        <v>0</v>
      </c>
      <c r="P42" s="4"/>
    </row>
    <row r="43" spans="2:16" ht="12.5">
      <c r="B43" s="9" t="str">
        <f t="shared" si="11"/>
        <v/>
      </c>
      <c r="C43" s="62">
        <f>IF(D11="","-",+C42+1)</f>
        <v>2050</v>
      </c>
      <c r="D43" s="71">
        <f>IF(F42+SUM(E$17:E42)=D$10,F42,D$10-SUM(E$17:E42))</f>
        <v>775027.63503373612</v>
      </c>
      <c r="E43" s="69">
        <f t="shared" si="6"/>
        <v>61938.683947368416</v>
      </c>
      <c r="F43" s="68">
        <f t="shared" si="7"/>
        <v>713088.95108636771</v>
      </c>
      <c r="G43" s="70">
        <f t="shared" si="8"/>
        <v>146568.01377016754</v>
      </c>
      <c r="H43" s="52">
        <f t="shared" si="9"/>
        <v>146568.01377016754</v>
      </c>
      <c r="I43" s="65">
        <f t="shared" si="10"/>
        <v>0</v>
      </c>
      <c r="J43" s="65"/>
      <c r="K43" s="132"/>
      <c r="L43" s="67">
        <f t="shared" si="3"/>
        <v>0</v>
      </c>
      <c r="M43" s="132"/>
      <c r="N43" s="67">
        <f t="shared" si="4"/>
        <v>0</v>
      </c>
      <c r="O43" s="67">
        <f t="shared" si="5"/>
        <v>0</v>
      </c>
      <c r="P43" s="4"/>
    </row>
    <row r="44" spans="2:16" ht="12.5">
      <c r="B44" s="9" t="str">
        <f t="shared" si="11"/>
        <v/>
      </c>
      <c r="C44" s="62">
        <f>IF(D11="","-",+C43+1)</f>
        <v>2051</v>
      </c>
      <c r="D44" s="71">
        <f>IF(F43+SUM(E$17:E43)=D$10,F43,D$10-SUM(E$17:E43))</f>
        <v>713088.95108636771</v>
      </c>
      <c r="E44" s="69">
        <f t="shared" si="6"/>
        <v>61938.683947368416</v>
      </c>
      <c r="F44" s="68">
        <f t="shared" si="7"/>
        <v>651150.2671389993</v>
      </c>
      <c r="G44" s="70">
        <f t="shared" si="8"/>
        <v>139523.09623956095</v>
      </c>
      <c r="H44" s="52">
        <f t="shared" si="9"/>
        <v>139523.09623956095</v>
      </c>
      <c r="I44" s="65">
        <f t="shared" si="10"/>
        <v>0</v>
      </c>
      <c r="J44" s="65"/>
      <c r="K44" s="132"/>
      <c r="L44" s="67">
        <f t="shared" si="3"/>
        <v>0</v>
      </c>
      <c r="M44" s="132"/>
      <c r="N44" s="67">
        <f t="shared" si="4"/>
        <v>0</v>
      </c>
      <c r="O44" s="67">
        <f t="shared" si="5"/>
        <v>0</v>
      </c>
      <c r="P44" s="4"/>
    </row>
    <row r="45" spans="2:16" ht="12.5">
      <c r="B45" s="9" t="str">
        <f t="shared" si="11"/>
        <v/>
      </c>
      <c r="C45" s="62">
        <f>IF(D11="","-",+C44+1)</f>
        <v>2052</v>
      </c>
      <c r="D45" s="71">
        <f>IF(F44+SUM(E$17:E44)=D$10,F44,D$10-SUM(E$17:E44))</f>
        <v>651150.2671389993</v>
      </c>
      <c r="E45" s="69">
        <f t="shared" si="6"/>
        <v>61938.683947368416</v>
      </c>
      <c r="F45" s="68">
        <f t="shared" si="7"/>
        <v>589211.5831916309</v>
      </c>
      <c r="G45" s="70">
        <f t="shared" si="8"/>
        <v>132478.17870895442</v>
      </c>
      <c r="H45" s="52">
        <f t="shared" si="9"/>
        <v>132478.17870895442</v>
      </c>
      <c r="I45" s="65">
        <f t="shared" si="10"/>
        <v>0</v>
      </c>
      <c r="J45" s="65"/>
      <c r="K45" s="132"/>
      <c r="L45" s="67">
        <f t="shared" si="3"/>
        <v>0</v>
      </c>
      <c r="M45" s="132"/>
      <c r="N45" s="67">
        <f t="shared" si="4"/>
        <v>0</v>
      </c>
      <c r="O45" s="67">
        <f t="shared" si="5"/>
        <v>0</v>
      </c>
      <c r="P45" s="4"/>
    </row>
    <row r="46" spans="2:16" ht="12.5">
      <c r="B46" s="9" t="str">
        <f t="shared" si="11"/>
        <v/>
      </c>
      <c r="C46" s="62">
        <f>IF(D11="","-",+C45+1)</f>
        <v>2053</v>
      </c>
      <c r="D46" s="71">
        <f>IF(F45+SUM(E$17:E45)=D$10,F45,D$10-SUM(E$17:E45))</f>
        <v>589211.5831916309</v>
      </c>
      <c r="E46" s="69">
        <f t="shared" si="6"/>
        <v>61938.683947368416</v>
      </c>
      <c r="F46" s="68">
        <f t="shared" si="7"/>
        <v>527272.89924426249</v>
      </c>
      <c r="G46" s="70">
        <f t="shared" si="8"/>
        <v>125433.26117834784</v>
      </c>
      <c r="H46" s="52">
        <f t="shared" si="9"/>
        <v>125433.26117834784</v>
      </c>
      <c r="I46" s="65">
        <f t="shared" si="10"/>
        <v>0</v>
      </c>
      <c r="J46" s="65"/>
      <c r="K46" s="132"/>
      <c r="L46" s="67">
        <f t="shared" si="3"/>
        <v>0</v>
      </c>
      <c r="M46" s="132"/>
      <c r="N46" s="67">
        <f t="shared" si="4"/>
        <v>0</v>
      </c>
      <c r="O46" s="67">
        <f t="shared" si="5"/>
        <v>0</v>
      </c>
      <c r="P46" s="4"/>
    </row>
    <row r="47" spans="2:16" ht="12.5">
      <c r="B47" s="9" t="str">
        <f t="shared" si="11"/>
        <v/>
      </c>
      <c r="C47" s="62">
        <f>IF(D11="","-",+C46+1)</f>
        <v>2054</v>
      </c>
      <c r="D47" s="71">
        <f>IF(F46+SUM(E$17:E46)=D$10,F46,D$10-SUM(E$17:E46))</f>
        <v>527272.89924426249</v>
      </c>
      <c r="E47" s="69">
        <f t="shared" si="6"/>
        <v>61938.683947368416</v>
      </c>
      <c r="F47" s="68">
        <f t="shared" si="7"/>
        <v>465334.21529689408</v>
      </c>
      <c r="G47" s="70">
        <f t="shared" si="8"/>
        <v>118388.34364774128</v>
      </c>
      <c r="H47" s="52">
        <f t="shared" si="9"/>
        <v>118388.34364774128</v>
      </c>
      <c r="I47" s="65">
        <f t="shared" si="10"/>
        <v>0</v>
      </c>
      <c r="J47" s="65"/>
      <c r="K47" s="132"/>
      <c r="L47" s="67">
        <f t="shared" si="3"/>
        <v>0</v>
      </c>
      <c r="M47" s="132"/>
      <c r="N47" s="67">
        <f t="shared" si="4"/>
        <v>0</v>
      </c>
      <c r="O47" s="67">
        <f t="shared" si="5"/>
        <v>0</v>
      </c>
      <c r="P47" s="4"/>
    </row>
    <row r="48" spans="2:16" ht="12.5">
      <c r="B48" s="9" t="str">
        <f t="shared" si="11"/>
        <v/>
      </c>
      <c r="C48" s="62">
        <f>IF(D11="","-",+C47+1)</f>
        <v>2055</v>
      </c>
      <c r="D48" s="71">
        <f>IF(F47+SUM(E$17:E47)=D$10,F47,D$10-SUM(E$17:E47))</f>
        <v>465334.21529689408</v>
      </c>
      <c r="E48" s="69">
        <f t="shared" si="6"/>
        <v>61938.683947368416</v>
      </c>
      <c r="F48" s="68">
        <f t="shared" si="7"/>
        <v>403395.53134952567</v>
      </c>
      <c r="G48" s="70">
        <f t="shared" si="8"/>
        <v>111343.42611713472</v>
      </c>
      <c r="H48" s="52">
        <f t="shared" si="9"/>
        <v>111343.42611713472</v>
      </c>
      <c r="I48" s="65">
        <f t="shared" si="10"/>
        <v>0</v>
      </c>
      <c r="J48" s="65"/>
      <c r="K48" s="132"/>
      <c r="L48" s="67">
        <f t="shared" si="3"/>
        <v>0</v>
      </c>
      <c r="M48" s="132"/>
      <c r="N48" s="67">
        <f t="shared" si="4"/>
        <v>0</v>
      </c>
      <c r="O48" s="67">
        <f t="shared" si="5"/>
        <v>0</v>
      </c>
      <c r="P48" s="4"/>
    </row>
    <row r="49" spans="2:16" ht="12.5">
      <c r="B49" s="9" t="str">
        <f t="shared" si="11"/>
        <v/>
      </c>
      <c r="C49" s="62">
        <f>IF(D11="","-",+C48+1)</f>
        <v>2056</v>
      </c>
      <c r="D49" s="71">
        <f>IF(F48+SUM(E$17:E48)=D$10,F48,D$10-SUM(E$17:E48))</f>
        <v>403395.53134952567</v>
      </c>
      <c r="E49" s="69">
        <f t="shared" si="6"/>
        <v>61938.683947368416</v>
      </c>
      <c r="F49" s="68">
        <f t="shared" si="7"/>
        <v>341456.84740215726</v>
      </c>
      <c r="G49" s="70">
        <f t="shared" si="8"/>
        <v>104298.50858652816</v>
      </c>
      <c r="H49" s="52">
        <f t="shared" si="9"/>
        <v>104298.50858652816</v>
      </c>
      <c r="I49" s="65">
        <f t="shared" si="10"/>
        <v>0</v>
      </c>
      <c r="J49" s="65"/>
      <c r="K49" s="132"/>
      <c r="L49" s="67">
        <f t="shared" si="3"/>
        <v>0</v>
      </c>
      <c r="M49" s="132"/>
      <c r="N49" s="67">
        <f t="shared" si="4"/>
        <v>0</v>
      </c>
      <c r="O49" s="67">
        <f t="shared" si="5"/>
        <v>0</v>
      </c>
      <c r="P49" s="4"/>
    </row>
    <row r="50" spans="2:16" ht="12.5">
      <c r="B50" s="9" t="str">
        <f t="shared" si="11"/>
        <v/>
      </c>
      <c r="C50" s="62">
        <f>IF(D11="","-",+C49+1)</f>
        <v>2057</v>
      </c>
      <c r="D50" s="71">
        <f>IF(F49+SUM(E$17:E49)=D$10,F49,D$10-SUM(E$17:E49))</f>
        <v>341456.84740215726</v>
      </c>
      <c r="E50" s="69">
        <f t="shared" si="6"/>
        <v>61938.683947368416</v>
      </c>
      <c r="F50" s="68">
        <f t="shared" si="7"/>
        <v>279518.16345478885</v>
      </c>
      <c r="G50" s="70">
        <f t="shared" si="8"/>
        <v>97253.591055921599</v>
      </c>
      <c r="H50" s="52">
        <f t="shared" si="9"/>
        <v>97253.591055921599</v>
      </c>
      <c r="I50" s="65">
        <f t="shared" si="10"/>
        <v>0</v>
      </c>
      <c r="J50" s="65"/>
      <c r="K50" s="132"/>
      <c r="L50" s="67">
        <f t="shared" si="3"/>
        <v>0</v>
      </c>
      <c r="M50" s="132"/>
      <c r="N50" s="67">
        <f t="shared" si="4"/>
        <v>0</v>
      </c>
      <c r="O50" s="67">
        <f t="shared" si="5"/>
        <v>0</v>
      </c>
      <c r="P50" s="4"/>
    </row>
    <row r="51" spans="2:16" ht="12.5">
      <c r="B51" s="9" t="str">
        <f t="shared" si="11"/>
        <v/>
      </c>
      <c r="C51" s="62">
        <f>IF(D11="","-",+C50+1)</f>
        <v>2058</v>
      </c>
      <c r="D51" s="71">
        <f>IF(F50+SUM(E$17:E50)=D$10,F50,D$10-SUM(E$17:E50))</f>
        <v>279518.16345478885</v>
      </c>
      <c r="E51" s="69">
        <f t="shared" si="6"/>
        <v>61938.683947368416</v>
      </c>
      <c r="F51" s="68">
        <f t="shared" si="7"/>
        <v>217579.47950742044</v>
      </c>
      <c r="G51" s="70">
        <f t="shared" si="8"/>
        <v>90208.67352531504</v>
      </c>
      <c r="H51" s="52">
        <f t="shared" si="9"/>
        <v>90208.67352531504</v>
      </c>
      <c r="I51" s="65">
        <f t="shared" si="10"/>
        <v>0</v>
      </c>
      <c r="J51" s="65"/>
      <c r="K51" s="132"/>
      <c r="L51" s="67">
        <f t="shared" si="3"/>
        <v>0</v>
      </c>
      <c r="M51" s="132"/>
      <c r="N51" s="67">
        <f t="shared" si="4"/>
        <v>0</v>
      </c>
      <c r="O51" s="67">
        <f t="shared" si="5"/>
        <v>0</v>
      </c>
      <c r="P51" s="4"/>
    </row>
    <row r="52" spans="2:16" ht="12.5">
      <c r="B52" s="9" t="str">
        <f t="shared" si="11"/>
        <v/>
      </c>
      <c r="C52" s="62">
        <f>IF(D11="","-",+C51+1)</f>
        <v>2059</v>
      </c>
      <c r="D52" s="71">
        <f>IF(F51+SUM(E$17:E51)=D$10,F51,D$10-SUM(E$17:E51))</f>
        <v>217579.47950742044</v>
      </c>
      <c r="E52" s="69">
        <f t="shared" si="6"/>
        <v>61938.683947368416</v>
      </c>
      <c r="F52" s="68">
        <f t="shared" si="7"/>
        <v>155640.79556005204</v>
      </c>
      <c r="G52" s="70">
        <f t="shared" si="8"/>
        <v>83163.755994708481</v>
      </c>
      <c r="H52" s="52">
        <f t="shared" si="9"/>
        <v>83163.755994708481</v>
      </c>
      <c r="I52" s="65">
        <f t="shared" si="10"/>
        <v>0</v>
      </c>
      <c r="J52" s="65"/>
      <c r="K52" s="132"/>
      <c r="L52" s="67">
        <f t="shared" si="3"/>
        <v>0</v>
      </c>
      <c r="M52" s="132"/>
      <c r="N52" s="67">
        <f t="shared" si="4"/>
        <v>0</v>
      </c>
      <c r="O52" s="67">
        <f t="shared" si="5"/>
        <v>0</v>
      </c>
      <c r="P52" s="4"/>
    </row>
    <row r="53" spans="2:16" ht="12.5">
      <c r="B53" s="9" t="str">
        <f t="shared" si="11"/>
        <v/>
      </c>
      <c r="C53" s="62">
        <f>IF(D11="","-",+C52+1)</f>
        <v>2060</v>
      </c>
      <c r="D53" s="71">
        <f>IF(F52+SUM(E$17:E52)=D$10,F52,D$10-SUM(E$17:E52))</f>
        <v>155640.79556005204</v>
      </c>
      <c r="E53" s="69">
        <f t="shared" si="6"/>
        <v>61938.683947368416</v>
      </c>
      <c r="F53" s="68">
        <f t="shared" si="7"/>
        <v>93702.111612683628</v>
      </c>
      <c r="G53" s="70">
        <f t="shared" si="8"/>
        <v>76118.838464101922</v>
      </c>
      <c r="H53" s="52">
        <f t="shared" si="9"/>
        <v>76118.838464101922</v>
      </c>
      <c r="I53" s="65">
        <f t="shared" si="10"/>
        <v>0</v>
      </c>
      <c r="J53" s="65"/>
      <c r="K53" s="132"/>
      <c r="L53" s="67">
        <f t="shared" si="3"/>
        <v>0</v>
      </c>
      <c r="M53" s="132"/>
      <c r="N53" s="67">
        <f t="shared" si="4"/>
        <v>0</v>
      </c>
      <c r="O53" s="67">
        <f t="shared" si="5"/>
        <v>0</v>
      </c>
      <c r="P53" s="4"/>
    </row>
    <row r="54" spans="2:16" ht="12.5">
      <c r="B54" s="9" t="str">
        <f t="shared" si="11"/>
        <v/>
      </c>
      <c r="C54" s="62">
        <f>IF(D11="","-",+C53+1)</f>
        <v>2061</v>
      </c>
      <c r="D54" s="71">
        <f>IF(F53+SUM(E$17:E53)=D$10,F53,D$10-SUM(E$17:E53))</f>
        <v>93702.111612683628</v>
      </c>
      <c r="E54" s="69">
        <f t="shared" si="6"/>
        <v>61938.683947368416</v>
      </c>
      <c r="F54" s="68">
        <f t="shared" si="7"/>
        <v>31763.427665315212</v>
      </c>
      <c r="G54" s="70">
        <f t="shared" si="8"/>
        <v>69073.920933495363</v>
      </c>
      <c r="H54" s="52">
        <f t="shared" si="9"/>
        <v>69073.920933495363</v>
      </c>
      <c r="I54" s="65">
        <f t="shared" si="10"/>
        <v>0</v>
      </c>
      <c r="J54" s="65"/>
      <c r="K54" s="132"/>
      <c r="L54" s="67">
        <f t="shared" si="3"/>
        <v>0</v>
      </c>
      <c r="M54" s="132"/>
      <c r="N54" s="67">
        <f t="shared" si="4"/>
        <v>0</v>
      </c>
      <c r="O54" s="67">
        <f t="shared" si="5"/>
        <v>0</v>
      </c>
      <c r="P54" s="4"/>
    </row>
    <row r="55" spans="2:16" ht="12.5">
      <c r="B55" s="9" t="str">
        <f t="shared" si="11"/>
        <v/>
      </c>
      <c r="C55" s="62">
        <f>IF(D11="","-",+C54+1)</f>
        <v>2062</v>
      </c>
      <c r="D55" s="71">
        <f>IF(F54+SUM(E$17:E54)=D$10,F54,D$10-SUM(E$17:E54))</f>
        <v>31763.427665315212</v>
      </c>
      <c r="E55" s="69">
        <f t="shared" si="6"/>
        <v>31763.427665315212</v>
      </c>
      <c r="F55" s="68">
        <f t="shared" si="7"/>
        <v>0</v>
      </c>
      <c r="G55" s="70">
        <f t="shared" si="8"/>
        <v>33569.816775727042</v>
      </c>
      <c r="H55" s="52">
        <f t="shared" si="9"/>
        <v>33569.816775727042</v>
      </c>
      <c r="I55" s="65">
        <f t="shared" si="10"/>
        <v>0</v>
      </c>
      <c r="J55" s="65"/>
      <c r="K55" s="132"/>
      <c r="L55" s="67">
        <f t="shared" si="3"/>
        <v>0</v>
      </c>
      <c r="M55" s="132"/>
      <c r="N55" s="67">
        <f t="shared" si="4"/>
        <v>0</v>
      </c>
      <c r="O55" s="67">
        <f t="shared" si="5"/>
        <v>0</v>
      </c>
      <c r="P55" s="4"/>
    </row>
    <row r="56" spans="2:16" ht="12.5">
      <c r="B56" s="9" t="str">
        <f t="shared" si="11"/>
        <v/>
      </c>
      <c r="C56" s="62">
        <f>IF(D11="","-",+C55+1)</f>
        <v>2063</v>
      </c>
      <c r="D56" s="71">
        <f>IF(F55+SUM(E$17:E55)=D$10,F55,D$10-SUM(E$17:E55))</f>
        <v>0</v>
      </c>
      <c r="E56" s="69">
        <f t="shared" si="6"/>
        <v>0</v>
      </c>
      <c r="F56" s="68">
        <f t="shared" si="7"/>
        <v>0</v>
      </c>
      <c r="G56" s="70">
        <f t="shared" si="8"/>
        <v>0</v>
      </c>
      <c r="H56" s="52">
        <f t="shared" si="9"/>
        <v>0</v>
      </c>
      <c r="I56" s="65">
        <f t="shared" si="10"/>
        <v>0</v>
      </c>
      <c r="J56" s="65"/>
      <c r="K56" s="132"/>
      <c r="L56" s="67">
        <f t="shared" si="3"/>
        <v>0</v>
      </c>
      <c r="M56" s="132"/>
      <c r="N56" s="67">
        <f t="shared" si="4"/>
        <v>0</v>
      </c>
      <c r="O56" s="67">
        <f t="shared" si="5"/>
        <v>0</v>
      </c>
      <c r="P56" s="4"/>
    </row>
    <row r="57" spans="2:16" ht="12.5">
      <c r="B57" s="9" t="str">
        <f t="shared" si="11"/>
        <v/>
      </c>
      <c r="C57" s="62">
        <f>IF(D11="","-",+C56+1)</f>
        <v>2064</v>
      </c>
      <c r="D57" s="71">
        <f>IF(F56+SUM(E$17:E56)=D$10,F56,D$10-SUM(E$17:E56))</f>
        <v>0</v>
      </c>
      <c r="E57" s="69">
        <f t="shared" si="6"/>
        <v>0</v>
      </c>
      <c r="F57" s="68">
        <f t="shared" si="7"/>
        <v>0</v>
      </c>
      <c r="G57" s="70">
        <f t="shared" si="8"/>
        <v>0</v>
      </c>
      <c r="H57" s="52">
        <f t="shared" si="9"/>
        <v>0</v>
      </c>
      <c r="I57" s="65">
        <f t="shared" si="10"/>
        <v>0</v>
      </c>
      <c r="J57" s="65"/>
      <c r="K57" s="132"/>
      <c r="L57" s="67">
        <f t="shared" si="3"/>
        <v>0</v>
      </c>
      <c r="M57" s="132"/>
      <c r="N57" s="67">
        <f t="shared" si="4"/>
        <v>0</v>
      </c>
      <c r="O57" s="67">
        <f t="shared" si="5"/>
        <v>0</v>
      </c>
      <c r="P57" s="4"/>
    </row>
    <row r="58" spans="2:16" ht="12.5">
      <c r="B58" s="9" t="str">
        <f t="shared" si="11"/>
        <v/>
      </c>
      <c r="C58" s="62">
        <f>IF(D11="","-",+C57+1)</f>
        <v>2065</v>
      </c>
      <c r="D58" s="71">
        <f>IF(F57+SUM(E$17:E57)=D$10,F57,D$10-SUM(E$17:E57))</f>
        <v>0</v>
      </c>
      <c r="E58" s="69">
        <f t="shared" si="6"/>
        <v>0</v>
      </c>
      <c r="F58" s="68">
        <f t="shared" si="7"/>
        <v>0</v>
      </c>
      <c r="G58" s="70">
        <f t="shared" si="8"/>
        <v>0</v>
      </c>
      <c r="H58" s="52">
        <f t="shared" si="9"/>
        <v>0</v>
      </c>
      <c r="I58" s="65">
        <f t="shared" si="10"/>
        <v>0</v>
      </c>
      <c r="J58" s="65"/>
      <c r="K58" s="132"/>
      <c r="L58" s="67">
        <f t="shared" si="3"/>
        <v>0</v>
      </c>
      <c r="M58" s="132"/>
      <c r="N58" s="67">
        <f t="shared" si="4"/>
        <v>0</v>
      </c>
      <c r="O58" s="67">
        <f t="shared" si="5"/>
        <v>0</v>
      </c>
      <c r="P58" s="4"/>
    </row>
    <row r="59" spans="2:16" ht="12.5">
      <c r="B59" s="9" t="str">
        <f t="shared" si="11"/>
        <v/>
      </c>
      <c r="C59" s="62">
        <f>IF(D11="","-",+C58+1)</f>
        <v>2066</v>
      </c>
      <c r="D59" s="71">
        <f>IF(F58+SUM(E$17:E58)=D$10,F58,D$10-SUM(E$17:E58))</f>
        <v>0</v>
      </c>
      <c r="E59" s="69">
        <f t="shared" si="6"/>
        <v>0</v>
      </c>
      <c r="F59" s="68">
        <f t="shared" si="7"/>
        <v>0</v>
      </c>
      <c r="G59" s="70">
        <f t="shared" si="8"/>
        <v>0</v>
      </c>
      <c r="H59" s="52">
        <f t="shared" si="9"/>
        <v>0</v>
      </c>
      <c r="I59" s="65">
        <f t="shared" si="10"/>
        <v>0</v>
      </c>
      <c r="J59" s="65"/>
      <c r="K59" s="132"/>
      <c r="L59" s="67">
        <f t="shared" si="3"/>
        <v>0</v>
      </c>
      <c r="M59" s="132"/>
      <c r="N59" s="67">
        <f t="shared" si="4"/>
        <v>0</v>
      </c>
      <c r="O59" s="67">
        <f t="shared" si="5"/>
        <v>0</v>
      </c>
      <c r="P59" s="4"/>
    </row>
    <row r="60" spans="2:16" ht="12.5">
      <c r="B60" s="9" t="str">
        <f t="shared" si="11"/>
        <v/>
      </c>
      <c r="C60" s="62">
        <f>IF(D11="","-",+C59+1)</f>
        <v>2067</v>
      </c>
      <c r="D60" s="71">
        <f>IF(F59+SUM(E$17:E59)=D$10,F59,D$10-SUM(E$17:E59))</f>
        <v>0</v>
      </c>
      <c r="E60" s="69">
        <f t="shared" si="6"/>
        <v>0</v>
      </c>
      <c r="F60" s="68">
        <f t="shared" si="7"/>
        <v>0</v>
      </c>
      <c r="G60" s="70">
        <f t="shared" si="8"/>
        <v>0</v>
      </c>
      <c r="H60" s="52">
        <f t="shared" si="9"/>
        <v>0</v>
      </c>
      <c r="I60" s="65">
        <f t="shared" si="10"/>
        <v>0</v>
      </c>
      <c r="J60" s="65"/>
      <c r="K60" s="132"/>
      <c r="L60" s="67">
        <f t="shared" si="3"/>
        <v>0</v>
      </c>
      <c r="M60" s="132"/>
      <c r="N60" s="67">
        <f t="shared" si="4"/>
        <v>0</v>
      </c>
      <c r="O60" s="67">
        <f t="shared" si="5"/>
        <v>0</v>
      </c>
      <c r="P60" s="4"/>
    </row>
    <row r="61" spans="2:16" ht="12.5">
      <c r="B61" s="9" t="str">
        <f t="shared" si="11"/>
        <v/>
      </c>
      <c r="C61" s="62">
        <f>IF(D11="","-",+C60+1)</f>
        <v>2068</v>
      </c>
      <c r="D61" s="71">
        <f>IF(F60+SUM(E$17:E60)=D$10,F60,D$10-SUM(E$17:E60))</f>
        <v>0</v>
      </c>
      <c r="E61" s="69">
        <f t="shared" si="6"/>
        <v>0</v>
      </c>
      <c r="F61" s="68">
        <f t="shared" si="7"/>
        <v>0</v>
      </c>
      <c r="G61" s="70">
        <f t="shared" si="8"/>
        <v>0</v>
      </c>
      <c r="H61" s="52">
        <f t="shared" si="9"/>
        <v>0</v>
      </c>
      <c r="I61" s="65">
        <f t="shared" si="10"/>
        <v>0</v>
      </c>
      <c r="J61" s="65"/>
      <c r="K61" s="132"/>
      <c r="L61" s="67">
        <f t="shared" si="3"/>
        <v>0</v>
      </c>
      <c r="M61" s="132"/>
      <c r="N61" s="67">
        <f t="shared" si="4"/>
        <v>0</v>
      </c>
      <c r="O61" s="67">
        <f t="shared" si="5"/>
        <v>0</v>
      </c>
      <c r="P61" s="4"/>
    </row>
    <row r="62" spans="2:16" ht="12.5">
      <c r="B62" s="9" t="str">
        <f t="shared" si="11"/>
        <v/>
      </c>
      <c r="C62" s="62">
        <f>IF(D11="","-",+C61+1)</f>
        <v>2069</v>
      </c>
      <c r="D62" s="71">
        <f>IF(F61+SUM(E$17:E61)=D$10,F61,D$10-SUM(E$17:E61))</f>
        <v>0</v>
      </c>
      <c r="E62" s="69">
        <f t="shared" si="6"/>
        <v>0</v>
      </c>
      <c r="F62" s="68">
        <f t="shared" si="7"/>
        <v>0</v>
      </c>
      <c r="G62" s="70">
        <f t="shared" si="8"/>
        <v>0</v>
      </c>
      <c r="H62" s="52">
        <f t="shared" si="9"/>
        <v>0</v>
      </c>
      <c r="I62" s="65">
        <f t="shared" si="10"/>
        <v>0</v>
      </c>
      <c r="J62" s="65"/>
      <c r="K62" s="132"/>
      <c r="L62" s="67">
        <f t="shared" si="3"/>
        <v>0</v>
      </c>
      <c r="M62" s="132"/>
      <c r="N62" s="67">
        <f t="shared" si="4"/>
        <v>0</v>
      </c>
      <c r="O62" s="67">
        <f t="shared" si="5"/>
        <v>0</v>
      </c>
      <c r="P62" s="4"/>
    </row>
    <row r="63" spans="2:16" ht="12.5">
      <c r="B63" s="9" t="str">
        <f t="shared" si="11"/>
        <v/>
      </c>
      <c r="C63" s="62">
        <f>IF(D11="","-",+C62+1)</f>
        <v>2070</v>
      </c>
      <c r="D63" s="71">
        <f>IF(F62+SUM(E$17:E62)=D$10,F62,D$10-SUM(E$17:E62))</f>
        <v>0</v>
      </c>
      <c r="E63" s="69">
        <f t="shared" si="6"/>
        <v>0</v>
      </c>
      <c r="F63" s="68">
        <f t="shared" si="7"/>
        <v>0</v>
      </c>
      <c r="G63" s="70">
        <f t="shared" si="8"/>
        <v>0</v>
      </c>
      <c r="H63" s="52">
        <f t="shared" si="9"/>
        <v>0</v>
      </c>
      <c r="I63" s="65">
        <f t="shared" si="10"/>
        <v>0</v>
      </c>
      <c r="J63" s="65"/>
      <c r="K63" s="132"/>
      <c r="L63" s="67">
        <f t="shared" si="3"/>
        <v>0</v>
      </c>
      <c r="M63" s="132"/>
      <c r="N63" s="67">
        <f t="shared" si="4"/>
        <v>0</v>
      </c>
      <c r="O63" s="67">
        <f t="shared" si="5"/>
        <v>0</v>
      </c>
      <c r="P63" s="4"/>
    </row>
    <row r="64" spans="2:16" ht="12.5">
      <c r="B64" s="9" t="str">
        <f t="shared" si="11"/>
        <v/>
      </c>
      <c r="C64" s="62">
        <f>IF(D11="","-",+C63+1)</f>
        <v>2071</v>
      </c>
      <c r="D64" s="71">
        <f>IF(F63+SUM(E$17:E63)=D$10,F63,D$10-SUM(E$17:E63))</f>
        <v>0</v>
      </c>
      <c r="E64" s="69">
        <f t="shared" si="6"/>
        <v>0</v>
      </c>
      <c r="F64" s="68">
        <f t="shared" si="7"/>
        <v>0</v>
      </c>
      <c r="G64" s="70">
        <f t="shared" si="8"/>
        <v>0</v>
      </c>
      <c r="H64" s="52">
        <f t="shared" si="9"/>
        <v>0</v>
      </c>
      <c r="I64" s="65">
        <f t="shared" si="10"/>
        <v>0</v>
      </c>
      <c r="J64" s="65"/>
      <c r="K64" s="132"/>
      <c r="L64" s="67">
        <f t="shared" si="3"/>
        <v>0</v>
      </c>
      <c r="M64" s="132"/>
      <c r="N64" s="67">
        <f t="shared" si="4"/>
        <v>0</v>
      </c>
      <c r="O64" s="67">
        <f t="shared" si="5"/>
        <v>0</v>
      </c>
      <c r="P64" s="4"/>
    </row>
    <row r="65" spans="2:16" ht="12.5">
      <c r="B65" s="9" t="str">
        <f t="shared" si="11"/>
        <v/>
      </c>
      <c r="C65" s="62">
        <f>IF(D11="","-",+C64+1)</f>
        <v>2072</v>
      </c>
      <c r="D65" s="71">
        <f>IF(F64+SUM(E$17:E64)=D$10,F64,D$10-SUM(E$17:E64))</f>
        <v>0</v>
      </c>
      <c r="E65" s="69">
        <f t="shared" si="6"/>
        <v>0</v>
      </c>
      <c r="F65" s="68">
        <f t="shared" si="7"/>
        <v>0</v>
      </c>
      <c r="G65" s="70">
        <f t="shared" si="8"/>
        <v>0</v>
      </c>
      <c r="H65" s="52">
        <f t="shared" si="9"/>
        <v>0</v>
      </c>
      <c r="I65" s="65">
        <f t="shared" si="10"/>
        <v>0</v>
      </c>
      <c r="J65" s="65"/>
      <c r="K65" s="132"/>
      <c r="L65" s="67">
        <f t="shared" si="3"/>
        <v>0</v>
      </c>
      <c r="M65" s="132"/>
      <c r="N65" s="67">
        <f t="shared" si="4"/>
        <v>0</v>
      </c>
      <c r="O65" s="67">
        <f t="shared" si="5"/>
        <v>0</v>
      </c>
      <c r="P65" s="4"/>
    </row>
    <row r="66" spans="2:16" ht="12.5">
      <c r="B66" s="9" t="str">
        <f t="shared" si="11"/>
        <v/>
      </c>
      <c r="C66" s="62">
        <f>IF(D11="","-",+C65+1)</f>
        <v>2073</v>
      </c>
      <c r="D66" s="71">
        <f>IF(F65+SUM(E$17:E65)=D$10,F65,D$10-SUM(E$17:E65))</f>
        <v>0</v>
      </c>
      <c r="E66" s="69">
        <f t="shared" si="6"/>
        <v>0</v>
      </c>
      <c r="F66" s="68">
        <f t="shared" si="7"/>
        <v>0</v>
      </c>
      <c r="G66" s="70">
        <f t="shared" si="8"/>
        <v>0</v>
      </c>
      <c r="H66" s="52">
        <f t="shared" si="9"/>
        <v>0</v>
      </c>
      <c r="I66" s="65">
        <f t="shared" si="10"/>
        <v>0</v>
      </c>
      <c r="J66" s="65"/>
      <c r="K66" s="132"/>
      <c r="L66" s="67">
        <f t="shared" si="3"/>
        <v>0</v>
      </c>
      <c r="M66" s="132"/>
      <c r="N66" s="67">
        <f t="shared" si="4"/>
        <v>0</v>
      </c>
      <c r="O66" s="67">
        <f t="shared" si="5"/>
        <v>0</v>
      </c>
      <c r="P66" s="4"/>
    </row>
    <row r="67" spans="2:16" ht="12.5">
      <c r="B67" s="9" t="str">
        <f t="shared" si="11"/>
        <v/>
      </c>
      <c r="C67" s="62">
        <f>IF(D11="","-",+C66+1)</f>
        <v>2074</v>
      </c>
      <c r="D67" s="71">
        <f>IF(F66+SUM(E$17:E66)=D$10,F66,D$10-SUM(E$17:E66))</f>
        <v>0</v>
      </c>
      <c r="E67" s="69">
        <f t="shared" si="6"/>
        <v>0</v>
      </c>
      <c r="F67" s="68">
        <f t="shared" si="7"/>
        <v>0</v>
      </c>
      <c r="G67" s="70">
        <f t="shared" si="8"/>
        <v>0</v>
      </c>
      <c r="H67" s="52">
        <f t="shared" si="9"/>
        <v>0</v>
      </c>
      <c r="I67" s="65">
        <f t="shared" si="10"/>
        <v>0</v>
      </c>
      <c r="J67" s="65"/>
      <c r="K67" s="132"/>
      <c r="L67" s="67">
        <f t="shared" si="3"/>
        <v>0</v>
      </c>
      <c r="M67" s="132"/>
      <c r="N67" s="67">
        <f t="shared" si="4"/>
        <v>0</v>
      </c>
      <c r="O67" s="67">
        <f t="shared" si="5"/>
        <v>0</v>
      </c>
      <c r="P67" s="4"/>
    </row>
    <row r="68" spans="2:16" ht="12.5">
      <c r="B68" s="9" t="str">
        <f t="shared" si="11"/>
        <v/>
      </c>
      <c r="C68" s="62">
        <f>IF(D11="","-",+C67+1)</f>
        <v>2075</v>
      </c>
      <c r="D68" s="71">
        <f>IF(F67+SUM(E$17:E67)=D$10,F67,D$10-SUM(E$17:E67))</f>
        <v>0</v>
      </c>
      <c r="E68" s="69">
        <f t="shared" si="6"/>
        <v>0</v>
      </c>
      <c r="F68" s="68">
        <f t="shared" si="7"/>
        <v>0</v>
      </c>
      <c r="G68" s="70">
        <f t="shared" si="8"/>
        <v>0</v>
      </c>
      <c r="H68" s="52">
        <f t="shared" si="9"/>
        <v>0</v>
      </c>
      <c r="I68" s="65">
        <f t="shared" si="10"/>
        <v>0</v>
      </c>
      <c r="J68" s="65"/>
      <c r="K68" s="132"/>
      <c r="L68" s="67">
        <f t="shared" si="3"/>
        <v>0</v>
      </c>
      <c r="M68" s="132"/>
      <c r="N68" s="67">
        <f t="shared" si="4"/>
        <v>0</v>
      </c>
      <c r="O68" s="67">
        <f t="shared" si="5"/>
        <v>0</v>
      </c>
      <c r="P68" s="4"/>
    </row>
    <row r="69" spans="2:16" ht="12.5">
      <c r="B69" s="9" t="str">
        <f t="shared" si="11"/>
        <v/>
      </c>
      <c r="C69" s="62">
        <f>IF(D11="","-",+C68+1)</f>
        <v>2076</v>
      </c>
      <c r="D69" s="71">
        <f>IF(F68+SUM(E$17:E68)=D$10,F68,D$10-SUM(E$17:E68))</f>
        <v>0</v>
      </c>
      <c r="E69" s="69">
        <f t="shared" si="6"/>
        <v>0</v>
      </c>
      <c r="F69" s="68">
        <f t="shared" si="7"/>
        <v>0</v>
      </c>
      <c r="G69" s="70">
        <f t="shared" si="8"/>
        <v>0</v>
      </c>
      <c r="H69" s="52">
        <f t="shared" si="9"/>
        <v>0</v>
      </c>
      <c r="I69" s="65">
        <f t="shared" si="10"/>
        <v>0</v>
      </c>
      <c r="J69" s="65"/>
      <c r="K69" s="132"/>
      <c r="L69" s="67">
        <f t="shared" si="3"/>
        <v>0</v>
      </c>
      <c r="M69" s="132"/>
      <c r="N69" s="67">
        <f t="shared" si="4"/>
        <v>0</v>
      </c>
      <c r="O69" s="67">
        <f t="shared" si="5"/>
        <v>0</v>
      </c>
      <c r="P69" s="4"/>
    </row>
    <row r="70" spans="2:16" ht="12.5">
      <c r="B70" s="9" t="str">
        <f t="shared" si="11"/>
        <v/>
      </c>
      <c r="C70" s="62">
        <f>IF(D11="","-",+C69+1)</f>
        <v>2077</v>
      </c>
      <c r="D70" s="71">
        <f>IF(F69+SUM(E$17:E69)=D$10,F69,D$10-SUM(E$17:E69))</f>
        <v>0</v>
      </c>
      <c r="E70" s="69">
        <f t="shared" si="6"/>
        <v>0</v>
      </c>
      <c r="F70" s="68">
        <f t="shared" si="7"/>
        <v>0</v>
      </c>
      <c r="G70" s="70">
        <f t="shared" si="8"/>
        <v>0</v>
      </c>
      <c r="H70" s="52">
        <f t="shared" si="9"/>
        <v>0</v>
      </c>
      <c r="I70" s="65">
        <f t="shared" si="10"/>
        <v>0</v>
      </c>
      <c r="J70" s="65"/>
      <c r="K70" s="132"/>
      <c r="L70" s="67">
        <f t="shared" si="3"/>
        <v>0</v>
      </c>
      <c r="M70" s="132"/>
      <c r="N70" s="67">
        <f t="shared" si="4"/>
        <v>0</v>
      </c>
      <c r="O70" s="67">
        <f t="shared" si="5"/>
        <v>0</v>
      </c>
      <c r="P70" s="4"/>
    </row>
    <row r="71" spans="2:16" ht="12.5">
      <c r="B71" s="9" t="str">
        <f t="shared" si="11"/>
        <v/>
      </c>
      <c r="C71" s="62">
        <f>IF(D11="","-",+C70+1)</f>
        <v>2078</v>
      </c>
      <c r="D71" s="71">
        <f>IF(F70+SUM(E$17:E70)=D$10,F70,D$10-SUM(E$17:E70))</f>
        <v>0</v>
      </c>
      <c r="E71" s="69">
        <f t="shared" si="6"/>
        <v>0</v>
      </c>
      <c r="F71" s="68">
        <f t="shared" si="7"/>
        <v>0</v>
      </c>
      <c r="G71" s="70">
        <f t="shared" si="8"/>
        <v>0</v>
      </c>
      <c r="H71" s="52">
        <f t="shared" si="9"/>
        <v>0</v>
      </c>
      <c r="I71" s="65">
        <f t="shared" si="10"/>
        <v>0</v>
      </c>
      <c r="J71" s="65"/>
      <c r="K71" s="132"/>
      <c r="L71" s="67">
        <f t="shared" si="3"/>
        <v>0</v>
      </c>
      <c r="M71" s="132"/>
      <c r="N71" s="67">
        <f t="shared" si="4"/>
        <v>0</v>
      </c>
      <c r="O71" s="67">
        <f t="shared" si="5"/>
        <v>0</v>
      </c>
      <c r="P71" s="4"/>
    </row>
    <row r="72" spans="2:16" ht="13" thickBot="1">
      <c r="B72" s="9" t="str">
        <f t="shared" si="11"/>
        <v/>
      </c>
      <c r="C72" s="72">
        <f>IF(D11="","-",+C71+1)</f>
        <v>2079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3"/>
        <v>0</v>
      </c>
      <c r="M72" s="133"/>
      <c r="N72" s="76">
        <f t="shared" si="4"/>
        <v>0</v>
      </c>
      <c r="O72" s="76">
        <f t="shared" si="5"/>
        <v>0</v>
      </c>
      <c r="P72" s="4"/>
    </row>
    <row r="73" spans="2:16" ht="12.5">
      <c r="C73" s="63" t="s">
        <v>77</v>
      </c>
      <c r="D73" s="20"/>
      <c r="E73" s="20">
        <f>SUM(E17:E72)</f>
        <v>2353669.9899999998</v>
      </c>
      <c r="F73" s="20"/>
      <c r="G73" s="20">
        <f>SUM(G17:G72)</f>
        <v>7450060.1696176603</v>
      </c>
      <c r="H73" s="20">
        <f>SUM(H17:H72)</f>
        <v>7450060.1696176603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35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2024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168840.20291863434</v>
      </c>
      <c r="N87" s="81">
        <f>IF(J92&lt;D11,0,VLOOKUP(J92,C17:O72,11))</f>
        <v>168840.20291863434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158070.9581257196</v>
      </c>
      <c r="N88" s="83">
        <f>IF(J92&lt;D11,0,VLOOKUP(J92,C99:P154,7))</f>
        <v>158070.9581257196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Line - Osage - Webb City Tap - Shidler 138 kV Rebuild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-10769.244792914746</v>
      </c>
      <c r="N89" s="86">
        <f>+N88-N87</f>
        <v>-10769.244792914746</v>
      </c>
      <c r="O89" s="87">
        <f>+O88-O87</f>
        <v>0</v>
      </c>
      <c r="P89" s="1"/>
    </row>
    <row r="90" spans="1:16" ht="13.5" thickBot="1">
      <c r="C90" s="77"/>
      <c r="D90" s="79" t="str">
        <f>D8</f>
        <v/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 t="str">
        <f>+D9</f>
        <v>TA2020138</v>
      </c>
      <c r="E91" s="89" t="str">
        <f>E9</f>
        <v>SPP Project ID = 93038</v>
      </c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D10</f>
        <v>2353669.9899999998</v>
      </c>
      <c r="E92" s="10" t="s">
        <v>94</v>
      </c>
      <c r="H92" s="44"/>
      <c r="I92" s="44"/>
      <c r="J92" s="45">
        <f>+'PSO.WS.G.BPU.ATRR.True-up'!M16</f>
        <v>2024</v>
      </c>
      <c r="K92" s="41"/>
      <c r="L92" s="20" t="s">
        <v>95</v>
      </c>
      <c r="P92" s="4"/>
    </row>
    <row r="93" spans="1:16" ht="12.5">
      <c r="C93" s="46" t="s">
        <v>53</v>
      </c>
      <c r="D93" s="102">
        <f>D11</f>
        <v>2024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f>D12</f>
        <v>6</v>
      </c>
      <c r="E94" s="46" t="s">
        <v>56</v>
      </c>
      <c r="F94" s="44"/>
      <c r="G94" s="44"/>
      <c r="J94" s="50">
        <f>'PSO.WS.G.BPU.ATRR.True-up'!$F$81</f>
        <v>0.13431870975736884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0.13431870975736884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61939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281</v>
      </c>
      <c r="I97" s="135" t="s">
        <v>282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2024</v>
      </c>
      <c r="D99" s="63">
        <v>0</v>
      </c>
      <c r="E99" s="70">
        <f>IF(OR(D11=I10,D92&lt;100000),0,J$96/12*(12-D94))</f>
        <v>0</v>
      </c>
      <c r="F99" s="68">
        <f>IF(D93=C99,+D92-E99,+D99-E99)</f>
        <v>2353669.9899999998</v>
      </c>
      <c r="G99" s="97">
        <f>+(F99+D99)/2</f>
        <v>1176834.9949999999</v>
      </c>
      <c r="H99" s="97">
        <f>+J$94*G99+E99</f>
        <v>158070.9581257196</v>
      </c>
      <c r="I99" s="97">
        <f>+J$95*G99+E99</f>
        <v>158070.9581257196</v>
      </c>
      <c r="J99" s="67">
        <f>+I99-H99</f>
        <v>0</v>
      </c>
      <c r="K99" s="67"/>
      <c r="L99" s="662"/>
      <c r="M99" s="662">
        <f t="shared" ref="M99" si="12">IF(L99&lt;&gt;0,+H99-L99,0)</f>
        <v>0</v>
      </c>
      <c r="N99" s="662"/>
      <c r="O99" s="662">
        <f t="shared" ref="O99" si="13">IF(N99&lt;&gt;0,+I99-N99,0)</f>
        <v>0</v>
      </c>
      <c r="P99" s="662">
        <f t="shared" ref="P99" si="14">+O99-M99</f>
        <v>0</v>
      </c>
    </row>
    <row r="100" spans="1:16" ht="12.5">
      <c r="B100" s="9" t="str">
        <f>IF(D100=F99,"","IU")</f>
        <v/>
      </c>
      <c r="C100" s="62">
        <f>IF(D93="","-",+C99+1)</f>
        <v>2025</v>
      </c>
      <c r="D100" s="63">
        <f>IF(F99+SUM(E$99:E99)=D$92,F99,D$92-SUM(E$99:E99))</f>
        <v>2353669.9899999998</v>
      </c>
      <c r="E100" s="69">
        <f>IF(+J$96&lt;F99,J$96,D100)</f>
        <v>61939</v>
      </c>
      <c r="F100" s="68">
        <f>+D100-E100</f>
        <v>2291730.9899999998</v>
      </c>
      <c r="G100" s="68">
        <f>+(F100+D100)/2</f>
        <v>2322700.4899999998</v>
      </c>
      <c r="H100" s="130">
        <f t="shared" ref="H100:H154" si="15">+J$94*G100+E100</f>
        <v>373921.13296960836</v>
      </c>
      <c r="I100" s="139">
        <f t="shared" ref="I100:I154" si="16">+J$95*G100+E100</f>
        <v>373921.13296960836</v>
      </c>
      <c r="J100" s="67">
        <f t="shared" ref="J100:J130" si="17">+I100-H100</f>
        <v>0</v>
      </c>
      <c r="K100" s="67"/>
      <c r="L100" s="132"/>
      <c r="M100" s="67">
        <f t="shared" ref="M100:M130" si="18">IF(L100&lt;&gt;0,+H100-L100,0)</f>
        <v>0</v>
      </c>
      <c r="N100" s="132"/>
      <c r="O100" s="67">
        <f t="shared" ref="O100:O130" si="19">IF(N100&lt;&gt;0,+I100-N100,0)</f>
        <v>0</v>
      </c>
      <c r="P100" s="67">
        <f t="shared" ref="P100:P130" si="20">+O100-M100</f>
        <v>0</v>
      </c>
    </row>
    <row r="101" spans="1:16" ht="12.5">
      <c r="B101" s="9" t="str">
        <f t="shared" ref="B101:B154" si="21">IF(D101=F100,"","IU")</f>
        <v/>
      </c>
      <c r="C101" s="62">
        <f>IF(D93="","-",+C100+1)</f>
        <v>2026</v>
      </c>
      <c r="D101" s="63">
        <f>IF(F100+SUM(E$99:E100)=D$92,F100,D$92-SUM(E$99:E100))</f>
        <v>2291730.9899999998</v>
      </c>
      <c r="E101" s="69">
        <f t="shared" ref="E101:E154" si="22">IF(+J$96&lt;F100,J$96,D101)</f>
        <v>61939</v>
      </c>
      <c r="F101" s="68">
        <f t="shared" ref="F101:F154" si="23">+D101-E101</f>
        <v>2229791.9899999998</v>
      </c>
      <c r="G101" s="68">
        <f t="shared" ref="G101:G154" si="24">+(F101+D101)/2</f>
        <v>2260761.4899999998</v>
      </c>
      <c r="H101" s="130">
        <f t="shared" si="15"/>
        <v>365601.56640594668</v>
      </c>
      <c r="I101" s="139">
        <f t="shared" si="16"/>
        <v>365601.56640594668</v>
      </c>
      <c r="J101" s="67">
        <f t="shared" si="17"/>
        <v>0</v>
      </c>
      <c r="K101" s="67"/>
      <c r="L101" s="132"/>
      <c r="M101" s="67">
        <f t="shared" si="18"/>
        <v>0</v>
      </c>
      <c r="N101" s="132"/>
      <c r="O101" s="67">
        <f t="shared" si="19"/>
        <v>0</v>
      </c>
      <c r="P101" s="67">
        <f t="shared" si="20"/>
        <v>0</v>
      </c>
    </row>
    <row r="102" spans="1:16" ht="12.5">
      <c r="B102" s="9" t="str">
        <f t="shared" si="21"/>
        <v/>
      </c>
      <c r="C102" s="62">
        <f>IF(D93="","-",+C101+1)</f>
        <v>2027</v>
      </c>
      <c r="D102" s="63">
        <f>IF(F101+SUM(E$99:E101)=D$92,F101,D$92-SUM(E$99:E101))</f>
        <v>2229791.9899999998</v>
      </c>
      <c r="E102" s="69">
        <f t="shared" si="22"/>
        <v>61939</v>
      </c>
      <c r="F102" s="68">
        <f t="shared" si="23"/>
        <v>2167852.9899999998</v>
      </c>
      <c r="G102" s="68">
        <f t="shared" si="24"/>
        <v>2198822.4899999998</v>
      </c>
      <c r="H102" s="130">
        <f t="shared" si="15"/>
        <v>357281.999842285</v>
      </c>
      <c r="I102" s="139">
        <f t="shared" si="16"/>
        <v>357281.999842285</v>
      </c>
      <c r="J102" s="67">
        <f t="shared" si="17"/>
        <v>0</v>
      </c>
      <c r="K102" s="67"/>
      <c r="L102" s="132"/>
      <c r="M102" s="67">
        <f t="shared" si="18"/>
        <v>0</v>
      </c>
      <c r="N102" s="132"/>
      <c r="O102" s="67">
        <f t="shared" si="19"/>
        <v>0</v>
      </c>
      <c r="P102" s="67">
        <f t="shared" si="20"/>
        <v>0</v>
      </c>
    </row>
    <row r="103" spans="1:16" ht="12.5">
      <c r="B103" s="9" t="str">
        <f t="shared" si="21"/>
        <v/>
      </c>
      <c r="C103" s="62">
        <f>IF(D93="","-",+C102+1)</f>
        <v>2028</v>
      </c>
      <c r="D103" s="63">
        <f>IF(F102+SUM(E$99:E102)=D$92,F102,D$92-SUM(E$99:E102))</f>
        <v>2167852.9899999998</v>
      </c>
      <c r="E103" s="69">
        <f t="shared" si="22"/>
        <v>61939</v>
      </c>
      <c r="F103" s="68">
        <f t="shared" si="23"/>
        <v>2105913.9899999998</v>
      </c>
      <c r="G103" s="68">
        <f t="shared" si="24"/>
        <v>2136883.4899999998</v>
      </c>
      <c r="H103" s="130">
        <f t="shared" si="15"/>
        <v>348962.43327862333</v>
      </c>
      <c r="I103" s="139">
        <f t="shared" si="16"/>
        <v>348962.43327862333</v>
      </c>
      <c r="J103" s="67">
        <f t="shared" si="17"/>
        <v>0</v>
      </c>
      <c r="K103" s="67"/>
      <c r="L103" s="132"/>
      <c r="M103" s="67">
        <f t="shared" si="18"/>
        <v>0</v>
      </c>
      <c r="N103" s="132"/>
      <c r="O103" s="67">
        <f t="shared" si="19"/>
        <v>0</v>
      </c>
      <c r="P103" s="67">
        <f t="shared" si="20"/>
        <v>0</v>
      </c>
    </row>
    <row r="104" spans="1:16" ht="12.5">
      <c r="B104" s="9" t="str">
        <f t="shared" si="21"/>
        <v/>
      </c>
      <c r="C104" s="62">
        <f>IF(D93="","-",+C103+1)</f>
        <v>2029</v>
      </c>
      <c r="D104" s="63">
        <f>IF(F103+SUM(E$99:E103)=D$92,F103,D$92-SUM(E$99:E103))</f>
        <v>2105913.9899999998</v>
      </c>
      <c r="E104" s="69">
        <f t="shared" si="22"/>
        <v>61939</v>
      </c>
      <c r="F104" s="68">
        <f t="shared" si="23"/>
        <v>2043974.9899999998</v>
      </c>
      <c r="G104" s="68">
        <f t="shared" si="24"/>
        <v>2074944.4899999998</v>
      </c>
      <c r="H104" s="130">
        <f t="shared" si="15"/>
        <v>340642.86671496171</v>
      </c>
      <c r="I104" s="139">
        <f t="shared" si="16"/>
        <v>340642.86671496171</v>
      </c>
      <c r="J104" s="67">
        <f t="shared" si="17"/>
        <v>0</v>
      </c>
      <c r="K104" s="67"/>
      <c r="L104" s="132"/>
      <c r="M104" s="67">
        <f t="shared" si="18"/>
        <v>0</v>
      </c>
      <c r="N104" s="132"/>
      <c r="O104" s="67">
        <f t="shared" si="19"/>
        <v>0</v>
      </c>
      <c r="P104" s="67">
        <f t="shared" si="20"/>
        <v>0</v>
      </c>
    </row>
    <row r="105" spans="1:16" ht="12.5">
      <c r="B105" s="9" t="str">
        <f t="shared" si="21"/>
        <v/>
      </c>
      <c r="C105" s="62">
        <f>IF(D93="","-",+C104+1)</f>
        <v>2030</v>
      </c>
      <c r="D105" s="63">
        <f>IF(F104+SUM(E$99:E104)=D$92,F104,D$92-SUM(E$99:E104))</f>
        <v>2043974.9899999998</v>
      </c>
      <c r="E105" s="69">
        <f t="shared" si="22"/>
        <v>61939</v>
      </c>
      <c r="F105" s="68">
        <f t="shared" si="23"/>
        <v>1982035.9899999998</v>
      </c>
      <c r="G105" s="68">
        <f t="shared" si="24"/>
        <v>2013005.4899999998</v>
      </c>
      <c r="H105" s="130">
        <f t="shared" si="15"/>
        <v>332323.30015130003</v>
      </c>
      <c r="I105" s="139">
        <f t="shared" si="16"/>
        <v>332323.30015130003</v>
      </c>
      <c r="J105" s="67">
        <f t="shared" si="17"/>
        <v>0</v>
      </c>
      <c r="K105" s="67"/>
      <c r="L105" s="132"/>
      <c r="M105" s="67">
        <f t="shared" si="18"/>
        <v>0</v>
      </c>
      <c r="N105" s="132"/>
      <c r="O105" s="67">
        <f t="shared" si="19"/>
        <v>0</v>
      </c>
      <c r="P105" s="67">
        <f t="shared" si="20"/>
        <v>0</v>
      </c>
    </row>
    <row r="106" spans="1:16" ht="12.5">
      <c r="B106" s="9" t="str">
        <f t="shared" si="21"/>
        <v/>
      </c>
      <c r="C106" s="62">
        <f>IF(D93="","-",+C105+1)</f>
        <v>2031</v>
      </c>
      <c r="D106" s="63">
        <f>IF(F105+SUM(E$99:E105)=D$92,F105,D$92-SUM(E$99:E105))</f>
        <v>1982035.9899999998</v>
      </c>
      <c r="E106" s="69">
        <f t="shared" si="22"/>
        <v>61939</v>
      </c>
      <c r="F106" s="68">
        <f t="shared" si="23"/>
        <v>1920096.9899999998</v>
      </c>
      <c r="G106" s="68">
        <f t="shared" si="24"/>
        <v>1951066.4899999998</v>
      </c>
      <c r="H106" s="130">
        <f t="shared" si="15"/>
        <v>324003.73358763836</v>
      </c>
      <c r="I106" s="139">
        <f t="shared" si="16"/>
        <v>324003.73358763836</v>
      </c>
      <c r="J106" s="67">
        <f t="shared" si="17"/>
        <v>0</v>
      </c>
      <c r="K106" s="67"/>
      <c r="L106" s="132"/>
      <c r="M106" s="67">
        <f t="shared" si="18"/>
        <v>0</v>
      </c>
      <c r="N106" s="132"/>
      <c r="O106" s="67">
        <f t="shared" si="19"/>
        <v>0</v>
      </c>
      <c r="P106" s="67">
        <f t="shared" si="20"/>
        <v>0</v>
      </c>
    </row>
    <row r="107" spans="1:16" ht="12.5">
      <c r="B107" s="9" t="str">
        <f t="shared" si="21"/>
        <v/>
      </c>
      <c r="C107" s="62">
        <f>IF(D93="","-",+C106+1)</f>
        <v>2032</v>
      </c>
      <c r="D107" s="63">
        <f>IF(F106+SUM(E$99:E106)=D$92,F106,D$92-SUM(E$99:E106))</f>
        <v>1920096.9899999998</v>
      </c>
      <c r="E107" s="69">
        <f t="shared" si="22"/>
        <v>61939</v>
      </c>
      <c r="F107" s="68">
        <f t="shared" si="23"/>
        <v>1858157.9899999998</v>
      </c>
      <c r="G107" s="68">
        <f t="shared" si="24"/>
        <v>1889127.4899999998</v>
      </c>
      <c r="H107" s="130">
        <f t="shared" si="15"/>
        <v>315684.16702397668</v>
      </c>
      <c r="I107" s="139">
        <f t="shared" si="16"/>
        <v>315684.16702397668</v>
      </c>
      <c r="J107" s="67">
        <f t="shared" si="17"/>
        <v>0</v>
      </c>
      <c r="K107" s="67"/>
      <c r="L107" s="132"/>
      <c r="M107" s="67">
        <f t="shared" si="18"/>
        <v>0</v>
      </c>
      <c r="N107" s="132"/>
      <c r="O107" s="67">
        <f t="shared" si="19"/>
        <v>0</v>
      </c>
      <c r="P107" s="67">
        <f t="shared" si="20"/>
        <v>0</v>
      </c>
    </row>
    <row r="108" spans="1:16" ht="12.5">
      <c r="B108" s="9" t="str">
        <f t="shared" si="21"/>
        <v/>
      </c>
      <c r="C108" s="62">
        <f>IF(D93="","-",+C107+1)</f>
        <v>2033</v>
      </c>
      <c r="D108" s="63">
        <f>IF(F107+SUM(E$99:E107)=D$92,F107,D$92-SUM(E$99:E107))</f>
        <v>1858157.9899999998</v>
      </c>
      <c r="E108" s="69">
        <f t="shared" si="22"/>
        <v>61939</v>
      </c>
      <c r="F108" s="68">
        <f t="shared" si="23"/>
        <v>1796218.9899999998</v>
      </c>
      <c r="G108" s="68">
        <f t="shared" si="24"/>
        <v>1827188.4899999998</v>
      </c>
      <c r="H108" s="130">
        <f t="shared" si="15"/>
        <v>307364.60046031501</v>
      </c>
      <c r="I108" s="139">
        <f t="shared" si="16"/>
        <v>307364.60046031501</v>
      </c>
      <c r="J108" s="67">
        <f t="shared" si="17"/>
        <v>0</v>
      </c>
      <c r="K108" s="67"/>
      <c r="L108" s="132"/>
      <c r="M108" s="67">
        <f t="shared" si="18"/>
        <v>0</v>
      </c>
      <c r="N108" s="132"/>
      <c r="O108" s="67">
        <f t="shared" si="19"/>
        <v>0</v>
      </c>
      <c r="P108" s="67">
        <f t="shared" si="20"/>
        <v>0</v>
      </c>
    </row>
    <row r="109" spans="1:16" ht="12.5">
      <c r="B109" s="9" t="str">
        <f t="shared" si="21"/>
        <v/>
      </c>
      <c r="C109" s="62">
        <f>IF(D93="","-",+C108+1)</f>
        <v>2034</v>
      </c>
      <c r="D109" s="63">
        <f>IF(F108+SUM(E$99:E108)=D$92,F108,D$92-SUM(E$99:E108))</f>
        <v>1796218.9899999998</v>
      </c>
      <c r="E109" s="69">
        <f t="shared" si="22"/>
        <v>61939</v>
      </c>
      <c r="F109" s="68">
        <f t="shared" si="23"/>
        <v>1734279.9899999998</v>
      </c>
      <c r="G109" s="68">
        <f t="shared" si="24"/>
        <v>1765249.4899999998</v>
      </c>
      <c r="H109" s="130">
        <f t="shared" si="15"/>
        <v>299045.03389665333</v>
      </c>
      <c r="I109" s="139">
        <f t="shared" si="16"/>
        <v>299045.03389665333</v>
      </c>
      <c r="J109" s="67">
        <f t="shared" si="17"/>
        <v>0</v>
      </c>
      <c r="K109" s="67"/>
      <c r="L109" s="132"/>
      <c r="M109" s="67">
        <f t="shared" si="18"/>
        <v>0</v>
      </c>
      <c r="N109" s="132"/>
      <c r="O109" s="67">
        <f t="shared" si="19"/>
        <v>0</v>
      </c>
      <c r="P109" s="67">
        <f t="shared" si="20"/>
        <v>0</v>
      </c>
    </row>
    <row r="110" spans="1:16" ht="12.5">
      <c r="B110" s="9" t="str">
        <f t="shared" si="21"/>
        <v/>
      </c>
      <c r="C110" s="62">
        <f>IF(D93="","-",+C109+1)</f>
        <v>2035</v>
      </c>
      <c r="D110" s="63">
        <f>IF(F109+SUM(E$99:E109)=D$92,F109,D$92-SUM(E$99:E109))</f>
        <v>1734279.9899999998</v>
      </c>
      <c r="E110" s="69">
        <f t="shared" si="22"/>
        <v>61939</v>
      </c>
      <c r="F110" s="68">
        <f t="shared" si="23"/>
        <v>1672340.9899999998</v>
      </c>
      <c r="G110" s="68">
        <f t="shared" si="24"/>
        <v>1703310.4899999998</v>
      </c>
      <c r="H110" s="130">
        <f t="shared" si="15"/>
        <v>290725.46733299165</v>
      </c>
      <c r="I110" s="139">
        <f t="shared" si="16"/>
        <v>290725.46733299165</v>
      </c>
      <c r="J110" s="67">
        <f t="shared" si="17"/>
        <v>0</v>
      </c>
      <c r="K110" s="67"/>
      <c r="L110" s="132"/>
      <c r="M110" s="67">
        <f t="shared" si="18"/>
        <v>0</v>
      </c>
      <c r="N110" s="132"/>
      <c r="O110" s="67">
        <f t="shared" si="19"/>
        <v>0</v>
      </c>
      <c r="P110" s="67">
        <f t="shared" si="20"/>
        <v>0</v>
      </c>
    </row>
    <row r="111" spans="1:16" ht="12.5">
      <c r="B111" s="9" t="str">
        <f t="shared" si="21"/>
        <v/>
      </c>
      <c r="C111" s="62">
        <f>IF(D93="","-",+C110+1)</f>
        <v>2036</v>
      </c>
      <c r="D111" s="63">
        <f>IF(F110+SUM(E$99:E110)=D$92,F110,D$92-SUM(E$99:E110))</f>
        <v>1672340.9899999998</v>
      </c>
      <c r="E111" s="69">
        <f t="shared" si="22"/>
        <v>61939</v>
      </c>
      <c r="F111" s="68">
        <f t="shared" si="23"/>
        <v>1610401.9899999998</v>
      </c>
      <c r="G111" s="68">
        <f t="shared" si="24"/>
        <v>1641371.4899999998</v>
      </c>
      <c r="H111" s="130">
        <f t="shared" si="15"/>
        <v>282405.90076932998</v>
      </c>
      <c r="I111" s="139">
        <f t="shared" si="16"/>
        <v>282405.90076932998</v>
      </c>
      <c r="J111" s="67">
        <f t="shared" si="17"/>
        <v>0</v>
      </c>
      <c r="K111" s="67"/>
      <c r="L111" s="132"/>
      <c r="M111" s="67">
        <f t="shared" si="18"/>
        <v>0</v>
      </c>
      <c r="N111" s="132"/>
      <c r="O111" s="67">
        <f t="shared" si="19"/>
        <v>0</v>
      </c>
      <c r="P111" s="67">
        <f t="shared" si="20"/>
        <v>0</v>
      </c>
    </row>
    <row r="112" spans="1:16" ht="12.5">
      <c r="B112" s="9" t="str">
        <f t="shared" si="21"/>
        <v/>
      </c>
      <c r="C112" s="62">
        <f>IF(D93="","-",+C111+1)</f>
        <v>2037</v>
      </c>
      <c r="D112" s="63">
        <f>IF(F111+SUM(E$99:E111)=D$92,F111,D$92-SUM(E$99:E111))</f>
        <v>1610401.9899999998</v>
      </c>
      <c r="E112" s="69">
        <f t="shared" si="22"/>
        <v>61939</v>
      </c>
      <c r="F112" s="68">
        <f t="shared" si="23"/>
        <v>1548462.9899999998</v>
      </c>
      <c r="G112" s="68">
        <f t="shared" si="24"/>
        <v>1579432.4899999998</v>
      </c>
      <c r="H112" s="130">
        <f t="shared" si="15"/>
        <v>274086.3342056683</v>
      </c>
      <c r="I112" s="139">
        <f t="shared" si="16"/>
        <v>274086.3342056683</v>
      </c>
      <c r="J112" s="67">
        <f t="shared" si="17"/>
        <v>0</v>
      </c>
      <c r="K112" s="67"/>
      <c r="L112" s="132"/>
      <c r="M112" s="67">
        <f t="shared" si="18"/>
        <v>0</v>
      </c>
      <c r="N112" s="132"/>
      <c r="O112" s="67">
        <f t="shared" si="19"/>
        <v>0</v>
      </c>
      <c r="P112" s="67">
        <f t="shared" si="20"/>
        <v>0</v>
      </c>
    </row>
    <row r="113" spans="2:16" ht="12.5">
      <c r="B113" s="9" t="str">
        <f t="shared" si="21"/>
        <v/>
      </c>
      <c r="C113" s="62">
        <f>IF(D93="","-",+C112+1)</f>
        <v>2038</v>
      </c>
      <c r="D113" s="63">
        <f>IF(F112+SUM(E$99:E112)=D$92,F112,D$92-SUM(E$99:E112))</f>
        <v>1548462.9899999998</v>
      </c>
      <c r="E113" s="69">
        <f t="shared" si="22"/>
        <v>61939</v>
      </c>
      <c r="F113" s="68">
        <f t="shared" si="23"/>
        <v>1486523.9899999998</v>
      </c>
      <c r="G113" s="68">
        <f t="shared" si="24"/>
        <v>1517493.4899999998</v>
      </c>
      <c r="H113" s="130">
        <f t="shared" si="15"/>
        <v>265766.76764200663</v>
      </c>
      <c r="I113" s="139">
        <f t="shared" si="16"/>
        <v>265766.76764200663</v>
      </c>
      <c r="J113" s="67">
        <f t="shared" si="17"/>
        <v>0</v>
      </c>
      <c r="K113" s="67"/>
      <c r="L113" s="132"/>
      <c r="M113" s="67">
        <f t="shared" si="18"/>
        <v>0</v>
      </c>
      <c r="N113" s="132"/>
      <c r="O113" s="67">
        <f t="shared" si="19"/>
        <v>0</v>
      </c>
      <c r="P113" s="67">
        <f t="shared" si="20"/>
        <v>0</v>
      </c>
    </row>
    <row r="114" spans="2:16" ht="12.5">
      <c r="B114" s="9" t="str">
        <f t="shared" si="21"/>
        <v/>
      </c>
      <c r="C114" s="62">
        <f>IF(D93="","-",+C113+1)</f>
        <v>2039</v>
      </c>
      <c r="D114" s="63">
        <f>IF(F113+SUM(E$99:E113)=D$92,F113,D$92-SUM(E$99:E113))</f>
        <v>1486523.9899999998</v>
      </c>
      <c r="E114" s="69">
        <f t="shared" si="22"/>
        <v>61939</v>
      </c>
      <c r="F114" s="68">
        <f t="shared" si="23"/>
        <v>1424584.9899999998</v>
      </c>
      <c r="G114" s="68">
        <f t="shared" si="24"/>
        <v>1455554.4899999998</v>
      </c>
      <c r="H114" s="130">
        <f t="shared" si="15"/>
        <v>257447.20107834501</v>
      </c>
      <c r="I114" s="139">
        <f t="shared" si="16"/>
        <v>257447.20107834501</v>
      </c>
      <c r="J114" s="67">
        <f t="shared" si="17"/>
        <v>0</v>
      </c>
      <c r="K114" s="67"/>
      <c r="L114" s="132"/>
      <c r="M114" s="67">
        <f t="shared" si="18"/>
        <v>0</v>
      </c>
      <c r="N114" s="132"/>
      <c r="O114" s="67">
        <f t="shared" si="19"/>
        <v>0</v>
      </c>
      <c r="P114" s="67">
        <f t="shared" si="20"/>
        <v>0</v>
      </c>
    </row>
    <row r="115" spans="2:16" ht="12.5">
      <c r="B115" s="9" t="str">
        <f t="shared" si="21"/>
        <v/>
      </c>
      <c r="C115" s="62">
        <f>IF(D93="","-",+C114+1)</f>
        <v>2040</v>
      </c>
      <c r="D115" s="63">
        <f>IF(F114+SUM(E$99:E114)=D$92,F114,D$92-SUM(E$99:E114))</f>
        <v>1424584.9899999998</v>
      </c>
      <c r="E115" s="69">
        <f t="shared" si="22"/>
        <v>61939</v>
      </c>
      <c r="F115" s="68">
        <f t="shared" si="23"/>
        <v>1362645.9899999998</v>
      </c>
      <c r="G115" s="68">
        <f t="shared" si="24"/>
        <v>1393615.4899999998</v>
      </c>
      <c r="H115" s="130">
        <f t="shared" si="15"/>
        <v>249127.63451468333</v>
      </c>
      <c r="I115" s="139">
        <f t="shared" si="16"/>
        <v>249127.63451468333</v>
      </c>
      <c r="J115" s="67">
        <f t="shared" si="17"/>
        <v>0</v>
      </c>
      <c r="K115" s="67"/>
      <c r="L115" s="132"/>
      <c r="M115" s="67">
        <f t="shared" si="18"/>
        <v>0</v>
      </c>
      <c r="N115" s="132"/>
      <c r="O115" s="67">
        <f t="shared" si="19"/>
        <v>0</v>
      </c>
      <c r="P115" s="67">
        <f t="shared" si="20"/>
        <v>0</v>
      </c>
    </row>
    <row r="116" spans="2:16" ht="12.5">
      <c r="B116" s="9" t="str">
        <f t="shared" si="21"/>
        <v/>
      </c>
      <c r="C116" s="62">
        <f>IF(D93="","-",+C115+1)</f>
        <v>2041</v>
      </c>
      <c r="D116" s="63">
        <f>IF(F115+SUM(E$99:E115)=D$92,F115,D$92-SUM(E$99:E115))</f>
        <v>1362645.9899999998</v>
      </c>
      <c r="E116" s="69">
        <f t="shared" si="22"/>
        <v>61939</v>
      </c>
      <c r="F116" s="68">
        <f t="shared" si="23"/>
        <v>1300706.9899999998</v>
      </c>
      <c r="G116" s="68">
        <f t="shared" si="24"/>
        <v>1331676.4899999998</v>
      </c>
      <c r="H116" s="130">
        <f t="shared" si="15"/>
        <v>240808.06795102166</v>
      </c>
      <c r="I116" s="139">
        <f t="shared" si="16"/>
        <v>240808.06795102166</v>
      </c>
      <c r="J116" s="67">
        <f t="shared" si="17"/>
        <v>0</v>
      </c>
      <c r="K116" s="67"/>
      <c r="L116" s="132"/>
      <c r="M116" s="67">
        <f t="shared" si="18"/>
        <v>0</v>
      </c>
      <c r="N116" s="132"/>
      <c r="O116" s="67">
        <f t="shared" si="19"/>
        <v>0</v>
      </c>
      <c r="P116" s="67">
        <f t="shared" si="20"/>
        <v>0</v>
      </c>
    </row>
    <row r="117" spans="2:16" ht="12.5">
      <c r="B117" s="9" t="str">
        <f t="shared" si="21"/>
        <v/>
      </c>
      <c r="C117" s="62">
        <f>IF(D93="","-",+C116+1)</f>
        <v>2042</v>
      </c>
      <c r="D117" s="63">
        <f>IF(F116+SUM(E$99:E116)=D$92,F116,D$92-SUM(E$99:E116))</f>
        <v>1300706.9899999998</v>
      </c>
      <c r="E117" s="69">
        <f t="shared" si="22"/>
        <v>61939</v>
      </c>
      <c r="F117" s="68">
        <f t="shared" si="23"/>
        <v>1238767.9899999998</v>
      </c>
      <c r="G117" s="68">
        <f t="shared" si="24"/>
        <v>1269737.4899999998</v>
      </c>
      <c r="H117" s="130">
        <f t="shared" si="15"/>
        <v>232488.50138735998</v>
      </c>
      <c r="I117" s="139">
        <f t="shared" si="16"/>
        <v>232488.50138735998</v>
      </c>
      <c r="J117" s="67">
        <f t="shared" si="17"/>
        <v>0</v>
      </c>
      <c r="K117" s="67"/>
      <c r="L117" s="132"/>
      <c r="M117" s="67">
        <f t="shared" si="18"/>
        <v>0</v>
      </c>
      <c r="N117" s="132"/>
      <c r="O117" s="67">
        <f t="shared" si="19"/>
        <v>0</v>
      </c>
      <c r="P117" s="67">
        <f t="shared" si="20"/>
        <v>0</v>
      </c>
    </row>
    <row r="118" spans="2:16" ht="12.5">
      <c r="B118" s="9" t="str">
        <f t="shared" si="21"/>
        <v/>
      </c>
      <c r="C118" s="62">
        <f>IF(D93="","-",+C117+1)</f>
        <v>2043</v>
      </c>
      <c r="D118" s="63">
        <f>IF(F117+SUM(E$99:E117)=D$92,F117,D$92-SUM(E$99:E117))</f>
        <v>1238767.9899999998</v>
      </c>
      <c r="E118" s="69">
        <f t="shared" si="22"/>
        <v>61939</v>
      </c>
      <c r="F118" s="68">
        <f t="shared" si="23"/>
        <v>1176828.9899999998</v>
      </c>
      <c r="G118" s="68">
        <f t="shared" si="24"/>
        <v>1207798.4899999998</v>
      </c>
      <c r="H118" s="130">
        <f t="shared" si="15"/>
        <v>224168.93482369834</v>
      </c>
      <c r="I118" s="139">
        <f t="shared" si="16"/>
        <v>224168.93482369834</v>
      </c>
      <c r="J118" s="67">
        <f t="shared" si="17"/>
        <v>0</v>
      </c>
      <c r="K118" s="67"/>
      <c r="L118" s="132"/>
      <c r="M118" s="67">
        <f t="shared" si="18"/>
        <v>0</v>
      </c>
      <c r="N118" s="132"/>
      <c r="O118" s="67">
        <f t="shared" si="19"/>
        <v>0</v>
      </c>
      <c r="P118" s="67">
        <f t="shared" si="20"/>
        <v>0</v>
      </c>
    </row>
    <row r="119" spans="2:16" ht="12.5">
      <c r="B119" s="9" t="str">
        <f t="shared" si="21"/>
        <v/>
      </c>
      <c r="C119" s="62">
        <f>IF(D93="","-",+C118+1)</f>
        <v>2044</v>
      </c>
      <c r="D119" s="63">
        <f>IF(F118+SUM(E$99:E118)=D$92,F118,D$92-SUM(E$99:E118))</f>
        <v>1176828.9899999998</v>
      </c>
      <c r="E119" s="69">
        <f t="shared" si="22"/>
        <v>61939</v>
      </c>
      <c r="F119" s="68">
        <f t="shared" si="23"/>
        <v>1114889.9899999998</v>
      </c>
      <c r="G119" s="68">
        <f t="shared" si="24"/>
        <v>1145859.4899999998</v>
      </c>
      <c r="H119" s="130">
        <f t="shared" si="15"/>
        <v>215849.36826003666</v>
      </c>
      <c r="I119" s="139">
        <f t="shared" si="16"/>
        <v>215849.36826003666</v>
      </c>
      <c r="J119" s="67">
        <f t="shared" si="17"/>
        <v>0</v>
      </c>
      <c r="K119" s="67"/>
      <c r="L119" s="132"/>
      <c r="M119" s="67">
        <f t="shared" si="18"/>
        <v>0</v>
      </c>
      <c r="N119" s="132"/>
      <c r="O119" s="67">
        <f t="shared" si="19"/>
        <v>0</v>
      </c>
      <c r="P119" s="67">
        <f t="shared" si="20"/>
        <v>0</v>
      </c>
    </row>
    <row r="120" spans="2:16" ht="12.5">
      <c r="B120" s="9" t="str">
        <f t="shared" si="21"/>
        <v/>
      </c>
      <c r="C120" s="62">
        <f>IF(D93="","-",+C119+1)</f>
        <v>2045</v>
      </c>
      <c r="D120" s="63">
        <f>IF(F119+SUM(E$99:E119)=D$92,F119,D$92-SUM(E$99:E119))</f>
        <v>1114889.9899999998</v>
      </c>
      <c r="E120" s="69">
        <f t="shared" si="22"/>
        <v>61939</v>
      </c>
      <c r="F120" s="68">
        <f t="shared" si="23"/>
        <v>1052950.9899999998</v>
      </c>
      <c r="G120" s="68">
        <f t="shared" si="24"/>
        <v>1083920.4899999998</v>
      </c>
      <c r="H120" s="130">
        <f t="shared" si="15"/>
        <v>207529.80169637498</v>
      </c>
      <c r="I120" s="139">
        <f t="shared" si="16"/>
        <v>207529.80169637498</v>
      </c>
      <c r="J120" s="67">
        <f t="shared" si="17"/>
        <v>0</v>
      </c>
      <c r="K120" s="67"/>
      <c r="L120" s="132"/>
      <c r="M120" s="67">
        <f t="shared" si="18"/>
        <v>0</v>
      </c>
      <c r="N120" s="132"/>
      <c r="O120" s="67">
        <f t="shared" si="19"/>
        <v>0</v>
      </c>
      <c r="P120" s="67">
        <f t="shared" si="20"/>
        <v>0</v>
      </c>
    </row>
    <row r="121" spans="2:16" ht="12.5">
      <c r="B121" s="9" t="str">
        <f t="shared" si="21"/>
        <v/>
      </c>
      <c r="C121" s="62">
        <f>IF(D93="","-",+C120+1)</f>
        <v>2046</v>
      </c>
      <c r="D121" s="63">
        <f>IF(F120+SUM(E$99:E120)=D$92,F120,D$92-SUM(E$99:E120))</f>
        <v>1052950.9899999998</v>
      </c>
      <c r="E121" s="69">
        <f t="shared" si="22"/>
        <v>61939</v>
      </c>
      <c r="F121" s="68">
        <f t="shared" si="23"/>
        <v>991011.98999999976</v>
      </c>
      <c r="G121" s="68">
        <f t="shared" si="24"/>
        <v>1021981.4899999998</v>
      </c>
      <c r="H121" s="130">
        <f t="shared" si="15"/>
        <v>199210.23513271331</v>
      </c>
      <c r="I121" s="139">
        <f t="shared" si="16"/>
        <v>199210.23513271331</v>
      </c>
      <c r="J121" s="67">
        <f t="shared" si="17"/>
        <v>0</v>
      </c>
      <c r="K121" s="67"/>
      <c r="L121" s="132"/>
      <c r="M121" s="67">
        <f t="shared" si="18"/>
        <v>0</v>
      </c>
      <c r="N121" s="132"/>
      <c r="O121" s="67">
        <f t="shared" si="19"/>
        <v>0</v>
      </c>
      <c r="P121" s="67">
        <f t="shared" si="20"/>
        <v>0</v>
      </c>
    </row>
    <row r="122" spans="2:16" ht="12.5">
      <c r="B122" s="9" t="str">
        <f t="shared" si="21"/>
        <v/>
      </c>
      <c r="C122" s="62">
        <f>IF(D93="","-",+C121+1)</f>
        <v>2047</v>
      </c>
      <c r="D122" s="63">
        <f>IF(F121+SUM(E$99:E121)=D$92,F121,D$92-SUM(E$99:E121))</f>
        <v>991011.98999999976</v>
      </c>
      <c r="E122" s="69">
        <f t="shared" si="22"/>
        <v>61939</v>
      </c>
      <c r="F122" s="68">
        <f t="shared" si="23"/>
        <v>929072.98999999976</v>
      </c>
      <c r="G122" s="68">
        <f t="shared" si="24"/>
        <v>960042.48999999976</v>
      </c>
      <c r="H122" s="130">
        <f t="shared" si="15"/>
        <v>190890.66856905166</v>
      </c>
      <c r="I122" s="139">
        <f t="shared" si="16"/>
        <v>190890.66856905166</v>
      </c>
      <c r="J122" s="67">
        <f t="shared" si="17"/>
        <v>0</v>
      </c>
      <c r="K122" s="67"/>
      <c r="L122" s="132"/>
      <c r="M122" s="67">
        <f t="shared" si="18"/>
        <v>0</v>
      </c>
      <c r="N122" s="132"/>
      <c r="O122" s="67">
        <f t="shared" si="19"/>
        <v>0</v>
      </c>
      <c r="P122" s="67">
        <f t="shared" si="20"/>
        <v>0</v>
      </c>
    </row>
    <row r="123" spans="2:16" ht="12.5">
      <c r="B123" s="9" t="str">
        <f t="shared" si="21"/>
        <v/>
      </c>
      <c r="C123" s="62">
        <f>IF(D93="","-",+C122+1)</f>
        <v>2048</v>
      </c>
      <c r="D123" s="63">
        <f>IF(F122+SUM(E$99:E122)=D$92,F122,D$92-SUM(E$99:E122))</f>
        <v>929072.98999999976</v>
      </c>
      <c r="E123" s="69">
        <f t="shared" si="22"/>
        <v>61939</v>
      </c>
      <c r="F123" s="68">
        <f t="shared" si="23"/>
        <v>867133.98999999976</v>
      </c>
      <c r="G123" s="68">
        <f t="shared" si="24"/>
        <v>898103.48999999976</v>
      </c>
      <c r="H123" s="130">
        <f t="shared" si="15"/>
        <v>182571.10200538998</v>
      </c>
      <c r="I123" s="139">
        <f t="shared" si="16"/>
        <v>182571.10200538998</v>
      </c>
      <c r="J123" s="67">
        <f t="shared" si="17"/>
        <v>0</v>
      </c>
      <c r="K123" s="67"/>
      <c r="L123" s="132"/>
      <c r="M123" s="67">
        <f t="shared" si="18"/>
        <v>0</v>
      </c>
      <c r="N123" s="132"/>
      <c r="O123" s="67">
        <f t="shared" si="19"/>
        <v>0</v>
      </c>
      <c r="P123" s="67">
        <f t="shared" si="20"/>
        <v>0</v>
      </c>
    </row>
    <row r="124" spans="2:16" ht="12.5">
      <c r="B124" s="9" t="str">
        <f t="shared" si="21"/>
        <v/>
      </c>
      <c r="C124" s="62">
        <f>IF(D93="","-",+C123+1)</f>
        <v>2049</v>
      </c>
      <c r="D124" s="63">
        <f>IF(F123+SUM(E$99:E123)=D$92,F123,D$92-SUM(E$99:E123))</f>
        <v>867133.98999999976</v>
      </c>
      <c r="E124" s="69">
        <f t="shared" si="22"/>
        <v>61939</v>
      </c>
      <c r="F124" s="68">
        <f t="shared" si="23"/>
        <v>805194.98999999976</v>
      </c>
      <c r="G124" s="68">
        <f t="shared" si="24"/>
        <v>836164.48999999976</v>
      </c>
      <c r="H124" s="130">
        <f t="shared" si="15"/>
        <v>174251.53544172831</v>
      </c>
      <c r="I124" s="139">
        <f t="shared" si="16"/>
        <v>174251.53544172831</v>
      </c>
      <c r="J124" s="67">
        <f t="shared" si="17"/>
        <v>0</v>
      </c>
      <c r="K124" s="67"/>
      <c r="L124" s="132"/>
      <c r="M124" s="67">
        <f t="shared" si="18"/>
        <v>0</v>
      </c>
      <c r="N124" s="132"/>
      <c r="O124" s="67">
        <f t="shared" si="19"/>
        <v>0</v>
      </c>
      <c r="P124" s="67">
        <f t="shared" si="20"/>
        <v>0</v>
      </c>
    </row>
    <row r="125" spans="2:16" ht="12.5">
      <c r="B125" s="9" t="str">
        <f t="shared" si="21"/>
        <v/>
      </c>
      <c r="C125" s="62">
        <f>IF(D93="","-",+C124+1)</f>
        <v>2050</v>
      </c>
      <c r="D125" s="63">
        <f>IF(F124+SUM(E$99:E124)=D$92,F124,D$92-SUM(E$99:E124))</f>
        <v>805194.98999999976</v>
      </c>
      <c r="E125" s="69">
        <f t="shared" si="22"/>
        <v>61939</v>
      </c>
      <c r="F125" s="68">
        <f t="shared" si="23"/>
        <v>743255.98999999976</v>
      </c>
      <c r="G125" s="68">
        <f t="shared" si="24"/>
        <v>774225.48999999976</v>
      </c>
      <c r="H125" s="130">
        <f t="shared" si="15"/>
        <v>165931.96887806663</v>
      </c>
      <c r="I125" s="139">
        <f t="shared" si="16"/>
        <v>165931.96887806663</v>
      </c>
      <c r="J125" s="67">
        <f t="shared" si="17"/>
        <v>0</v>
      </c>
      <c r="K125" s="67"/>
      <c r="L125" s="132"/>
      <c r="M125" s="67">
        <f t="shared" si="18"/>
        <v>0</v>
      </c>
      <c r="N125" s="132"/>
      <c r="O125" s="67">
        <f t="shared" si="19"/>
        <v>0</v>
      </c>
      <c r="P125" s="67">
        <f t="shared" si="20"/>
        <v>0</v>
      </c>
    </row>
    <row r="126" spans="2:16" ht="12.5">
      <c r="B126" s="9" t="str">
        <f t="shared" si="21"/>
        <v/>
      </c>
      <c r="C126" s="62">
        <f>IF(D93="","-",+C125+1)</f>
        <v>2051</v>
      </c>
      <c r="D126" s="63">
        <f>IF(F125+SUM(E$99:E125)=D$92,F125,D$92-SUM(E$99:E125))</f>
        <v>743255.98999999976</v>
      </c>
      <c r="E126" s="69">
        <f t="shared" si="22"/>
        <v>61939</v>
      </c>
      <c r="F126" s="68">
        <f t="shared" si="23"/>
        <v>681316.98999999976</v>
      </c>
      <c r="G126" s="68">
        <f t="shared" si="24"/>
        <v>712286.48999999976</v>
      </c>
      <c r="H126" s="130">
        <f t="shared" si="15"/>
        <v>157612.40231440496</v>
      </c>
      <c r="I126" s="139">
        <f t="shared" si="16"/>
        <v>157612.40231440496</v>
      </c>
      <c r="J126" s="67">
        <f t="shared" si="17"/>
        <v>0</v>
      </c>
      <c r="K126" s="67"/>
      <c r="L126" s="132"/>
      <c r="M126" s="67">
        <f t="shared" si="18"/>
        <v>0</v>
      </c>
      <c r="N126" s="132"/>
      <c r="O126" s="67">
        <f t="shared" si="19"/>
        <v>0</v>
      </c>
      <c r="P126" s="67">
        <f t="shared" si="20"/>
        <v>0</v>
      </c>
    </row>
    <row r="127" spans="2:16" ht="12.5">
      <c r="B127" s="9" t="str">
        <f t="shared" si="21"/>
        <v/>
      </c>
      <c r="C127" s="62">
        <f>IF(D93="","-",+C126+1)</f>
        <v>2052</v>
      </c>
      <c r="D127" s="63">
        <f>IF(F126+SUM(E$99:E126)=D$92,F126,D$92-SUM(E$99:E126))</f>
        <v>681316.98999999976</v>
      </c>
      <c r="E127" s="69">
        <f t="shared" si="22"/>
        <v>61939</v>
      </c>
      <c r="F127" s="68">
        <f t="shared" si="23"/>
        <v>619377.98999999976</v>
      </c>
      <c r="G127" s="68">
        <f t="shared" si="24"/>
        <v>650347.48999999976</v>
      </c>
      <c r="H127" s="130">
        <f t="shared" si="15"/>
        <v>149292.83575074331</v>
      </c>
      <c r="I127" s="139">
        <f t="shared" si="16"/>
        <v>149292.83575074331</v>
      </c>
      <c r="J127" s="67">
        <f t="shared" si="17"/>
        <v>0</v>
      </c>
      <c r="K127" s="67"/>
      <c r="L127" s="132"/>
      <c r="M127" s="67">
        <f t="shared" si="18"/>
        <v>0</v>
      </c>
      <c r="N127" s="132"/>
      <c r="O127" s="67">
        <f t="shared" si="19"/>
        <v>0</v>
      </c>
      <c r="P127" s="67">
        <f t="shared" si="20"/>
        <v>0</v>
      </c>
    </row>
    <row r="128" spans="2:16" ht="12.5">
      <c r="B128" s="9" t="str">
        <f t="shared" si="21"/>
        <v/>
      </c>
      <c r="C128" s="62">
        <f>IF(D93="","-",+C127+1)</f>
        <v>2053</v>
      </c>
      <c r="D128" s="63">
        <f>IF(F127+SUM(E$99:E127)=D$92,F127,D$92-SUM(E$99:E127))</f>
        <v>619377.98999999976</v>
      </c>
      <c r="E128" s="69">
        <f t="shared" si="22"/>
        <v>61939</v>
      </c>
      <c r="F128" s="68">
        <f t="shared" si="23"/>
        <v>557438.98999999976</v>
      </c>
      <c r="G128" s="68">
        <f t="shared" si="24"/>
        <v>588408.48999999976</v>
      </c>
      <c r="H128" s="130">
        <f t="shared" si="15"/>
        <v>140973.26918708163</v>
      </c>
      <c r="I128" s="139">
        <f t="shared" si="16"/>
        <v>140973.26918708163</v>
      </c>
      <c r="J128" s="67">
        <f t="shared" si="17"/>
        <v>0</v>
      </c>
      <c r="K128" s="67"/>
      <c r="L128" s="132"/>
      <c r="M128" s="67">
        <f t="shared" si="18"/>
        <v>0</v>
      </c>
      <c r="N128" s="132"/>
      <c r="O128" s="67">
        <f t="shared" si="19"/>
        <v>0</v>
      </c>
      <c r="P128" s="67">
        <f t="shared" si="20"/>
        <v>0</v>
      </c>
    </row>
    <row r="129" spans="2:16" ht="12.5">
      <c r="B129" s="9" t="str">
        <f t="shared" si="21"/>
        <v/>
      </c>
      <c r="C129" s="62">
        <f>IF(D93="","-",+C128+1)</f>
        <v>2054</v>
      </c>
      <c r="D129" s="63">
        <f>IF(F128+SUM(E$99:E128)=D$92,F128,D$92-SUM(E$99:E128))</f>
        <v>557438.98999999976</v>
      </c>
      <c r="E129" s="69">
        <f t="shared" si="22"/>
        <v>61939</v>
      </c>
      <c r="F129" s="68">
        <f t="shared" si="23"/>
        <v>495499.98999999976</v>
      </c>
      <c r="G129" s="68">
        <f t="shared" si="24"/>
        <v>526469.48999999976</v>
      </c>
      <c r="H129" s="130">
        <f t="shared" si="15"/>
        <v>132653.70262341999</v>
      </c>
      <c r="I129" s="139">
        <f t="shared" si="16"/>
        <v>132653.70262341999</v>
      </c>
      <c r="J129" s="67">
        <f t="shared" si="17"/>
        <v>0</v>
      </c>
      <c r="K129" s="67"/>
      <c r="L129" s="132"/>
      <c r="M129" s="67">
        <f t="shared" si="18"/>
        <v>0</v>
      </c>
      <c r="N129" s="132"/>
      <c r="O129" s="67">
        <f t="shared" si="19"/>
        <v>0</v>
      </c>
      <c r="P129" s="67">
        <f t="shared" si="20"/>
        <v>0</v>
      </c>
    </row>
    <row r="130" spans="2:16" ht="12.5">
      <c r="B130" s="9" t="str">
        <f t="shared" si="21"/>
        <v/>
      </c>
      <c r="C130" s="62">
        <f>IF(D93="","-",+C129+1)</f>
        <v>2055</v>
      </c>
      <c r="D130" s="63">
        <f>IF(F129+SUM(E$99:E129)=D$92,F129,D$92-SUM(E$99:E129))</f>
        <v>495499.98999999976</v>
      </c>
      <c r="E130" s="69">
        <f t="shared" si="22"/>
        <v>61939</v>
      </c>
      <c r="F130" s="68">
        <f t="shared" si="23"/>
        <v>433560.98999999976</v>
      </c>
      <c r="G130" s="68">
        <f t="shared" si="24"/>
        <v>464530.48999999976</v>
      </c>
      <c r="H130" s="130">
        <f t="shared" si="15"/>
        <v>124334.1360597583</v>
      </c>
      <c r="I130" s="139">
        <f t="shared" si="16"/>
        <v>124334.1360597583</v>
      </c>
      <c r="J130" s="67">
        <f t="shared" si="17"/>
        <v>0</v>
      </c>
      <c r="K130" s="67"/>
      <c r="L130" s="132"/>
      <c r="M130" s="67">
        <f t="shared" si="18"/>
        <v>0</v>
      </c>
      <c r="N130" s="132"/>
      <c r="O130" s="67">
        <f t="shared" si="19"/>
        <v>0</v>
      </c>
      <c r="P130" s="67">
        <f t="shared" si="20"/>
        <v>0</v>
      </c>
    </row>
    <row r="131" spans="2:16" ht="12.5">
      <c r="B131" s="9" t="str">
        <f t="shared" si="21"/>
        <v/>
      </c>
      <c r="C131" s="62">
        <f>IF(D93="","-",+C130+1)</f>
        <v>2056</v>
      </c>
      <c r="D131" s="63">
        <f>IF(F130+SUM(E$99:E130)=D$92,F130,D$92-SUM(E$99:E130))</f>
        <v>433560.98999999976</v>
      </c>
      <c r="E131" s="69">
        <f t="shared" si="22"/>
        <v>61939</v>
      </c>
      <c r="F131" s="68">
        <f t="shared" si="23"/>
        <v>371621.98999999976</v>
      </c>
      <c r="G131" s="68">
        <f t="shared" si="24"/>
        <v>402591.48999999976</v>
      </c>
      <c r="H131" s="130">
        <f t="shared" si="15"/>
        <v>116014.56949609664</v>
      </c>
      <c r="I131" s="139">
        <f t="shared" si="16"/>
        <v>116014.56949609664</v>
      </c>
      <c r="J131" s="67">
        <f t="shared" ref="J131:J154" si="25">+I541-H541</f>
        <v>0</v>
      </c>
      <c r="K131" s="67"/>
      <c r="L131" s="132"/>
      <c r="M131" s="67">
        <f t="shared" ref="M131:M154" si="26">IF(L541&lt;&gt;0,+H541-L541,0)</f>
        <v>0</v>
      </c>
      <c r="N131" s="132"/>
      <c r="O131" s="67">
        <f t="shared" ref="O131:O154" si="27">IF(N541&lt;&gt;0,+I541-N541,0)</f>
        <v>0</v>
      </c>
      <c r="P131" s="67">
        <f t="shared" ref="P131:P154" si="28">+O541-M541</f>
        <v>0</v>
      </c>
    </row>
    <row r="132" spans="2:16" ht="12.5">
      <c r="B132" s="9" t="str">
        <f t="shared" si="21"/>
        <v/>
      </c>
      <c r="C132" s="62">
        <f>IF(D93="","-",+C131+1)</f>
        <v>2057</v>
      </c>
      <c r="D132" s="63">
        <f>IF(F131+SUM(E$99:E131)=D$92,F131,D$92-SUM(E$99:E131))</f>
        <v>371621.98999999976</v>
      </c>
      <c r="E132" s="69">
        <f t="shared" si="22"/>
        <v>61939</v>
      </c>
      <c r="F132" s="68">
        <f t="shared" si="23"/>
        <v>309682.98999999976</v>
      </c>
      <c r="G132" s="68">
        <f t="shared" si="24"/>
        <v>340652.48999999976</v>
      </c>
      <c r="H132" s="130">
        <f t="shared" si="15"/>
        <v>107695.00293243496</v>
      </c>
      <c r="I132" s="139">
        <f t="shared" si="16"/>
        <v>107695.00293243496</v>
      </c>
      <c r="J132" s="67">
        <f t="shared" si="25"/>
        <v>0</v>
      </c>
      <c r="K132" s="67"/>
      <c r="L132" s="132"/>
      <c r="M132" s="67">
        <f t="shared" si="26"/>
        <v>0</v>
      </c>
      <c r="N132" s="132"/>
      <c r="O132" s="67">
        <f t="shared" si="27"/>
        <v>0</v>
      </c>
      <c r="P132" s="67">
        <f t="shared" si="28"/>
        <v>0</v>
      </c>
    </row>
    <row r="133" spans="2:16" ht="12.5">
      <c r="B133" s="9" t="str">
        <f t="shared" si="21"/>
        <v/>
      </c>
      <c r="C133" s="62">
        <f>IF(D93="","-",+C132+1)</f>
        <v>2058</v>
      </c>
      <c r="D133" s="63">
        <f>IF(F132+SUM(E$99:E132)=D$92,F132,D$92-SUM(E$99:E132))</f>
        <v>309682.98999999976</v>
      </c>
      <c r="E133" s="69">
        <f t="shared" si="22"/>
        <v>61939</v>
      </c>
      <c r="F133" s="68">
        <f t="shared" si="23"/>
        <v>247743.98999999976</v>
      </c>
      <c r="G133" s="68">
        <f t="shared" si="24"/>
        <v>278713.48999999976</v>
      </c>
      <c r="H133" s="130">
        <f t="shared" si="15"/>
        <v>99375.436368773284</v>
      </c>
      <c r="I133" s="139">
        <f t="shared" si="16"/>
        <v>99375.436368773284</v>
      </c>
      <c r="J133" s="67">
        <f t="shared" si="25"/>
        <v>0</v>
      </c>
      <c r="K133" s="67"/>
      <c r="L133" s="132"/>
      <c r="M133" s="67">
        <f t="shared" si="26"/>
        <v>0</v>
      </c>
      <c r="N133" s="132"/>
      <c r="O133" s="67">
        <f t="shared" si="27"/>
        <v>0</v>
      </c>
      <c r="P133" s="67">
        <f t="shared" si="28"/>
        <v>0</v>
      </c>
    </row>
    <row r="134" spans="2:16" ht="12.5">
      <c r="B134" s="9" t="str">
        <f t="shared" si="21"/>
        <v/>
      </c>
      <c r="C134" s="62">
        <f>IF(D93="","-",+C133+1)</f>
        <v>2059</v>
      </c>
      <c r="D134" s="63">
        <f>IF(F133+SUM(E$99:E133)=D$92,F133,D$92-SUM(E$99:E133))</f>
        <v>247743.98999999976</v>
      </c>
      <c r="E134" s="69">
        <f t="shared" si="22"/>
        <v>61939</v>
      </c>
      <c r="F134" s="68">
        <f t="shared" si="23"/>
        <v>185804.98999999976</v>
      </c>
      <c r="G134" s="68">
        <f t="shared" si="24"/>
        <v>216774.48999999976</v>
      </c>
      <c r="H134" s="130">
        <f t="shared" si="15"/>
        <v>91055.869805111623</v>
      </c>
      <c r="I134" s="139">
        <f t="shared" si="16"/>
        <v>91055.869805111623</v>
      </c>
      <c r="J134" s="67">
        <f t="shared" si="25"/>
        <v>0</v>
      </c>
      <c r="K134" s="67"/>
      <c r="L134" s="132"/>
      <c r="M134" s="67">
        <f t="shared" si="26"/>
        <v>0</v>
      </c>
      <c r="N134" s="132"/>
      <c r="O134" s="67">
        <f t="shared" si="27"/>
        <v>0</v>
      </c>
      <c r="P134" s="67">
        <f t="shared" si="28"/>
        <v>0</v>
      </c>
    </row>
    <row r="135" spans="2:16" ht="12.5">
      <c r="B135" s="9" t="str">
        <f t="shared" si="21"/>
        <v/>
      </c>
      <c r="C135" s="62">
        <f>IF(D93="","-",+C134+1)</f>
        <v>2060</v>
      </c>
      <c r="D135" s="63">
        <f>IF(F134+SUM(E$99:E134)=D$92,F134,D$92-SUM(E$99:E134))</f>
        <v>185804.98999999976</v>
      </c>
      <c r="E135" s="69">
        <f t="shared" si="22"/>
        <v>61939</v>
      </c>
      <c r="F135" s="68">
        <f t="shared" si="23"/>
        <v>123865.98999999976</v>
      </c>
      <c r="G135" s="68">
        <f t="shared" si="24"/>
        <v>154835.48999999976</v>
      </c>
      <c r="H135" s="130">
        <f t="shared" si="15"/>
        <v>82736.303241449961</v>
      </c>
      <c r="I135" s="139">
        <f t="shared" si="16"/>
        <v>82736.303241449961</v>
      </c>
      <c r="J135" s="67">
        <f t="shared" si="25"/>
        <v>0</v>
      </c>
      <c r="K135" s="67"/>
      <c r="L135" s="132"/>
      <c r="M135" s="67">
        <f t="shared" si="26"/>
        <v>0</v>
      </c>
      <c r="N135" s="132"/>
      <c r="O135" s="67">
        <f t="shared" si="27"/>
        <v>0</v>
      </c>
      <c r="P135" s="67">
        <f t="shared" si="28"/>
        <v>0</v>
      </c>
    </row>
    <row r="136" spans="2:16" ht="12.5">
      <c r="B136" s="9" t="str">
        <f t="shared" si="21"/>
        <v/>
      </c>
      <c r="C136" s="62">
        <f>IF(D93="","-",+C135+1)</f>
        <v>2061</v>
      </c>
      <c r="D136" s="63">
        <f>IF(F135+SUM(E$99:E135)=D$92,F135,D$92-SUM(E$99:E135))</f>
        <v>123865.98999999976</v>
      </c>
      <c r="E136" s="69">
        <f t="shared" si="22"/>
        <v>61939</v>
      </c>
      <c r="F136" s="68">
        <f t="shared" si="23"/>
        <v>61926.989999999758</v>
      </c>
      <c r="G136" s="68">
        <f t="shared" si="24"/>
        <v>92896.489999999758</v>
      </c>
      <c r="H136" s="130">
        <f t="shared" si="15"/>
        <v>74416.736677788285</v>
      </c>
      <c r="I136" s="139">
        <f t="shared" si="16"/>
        <v>74416.736677788285</v>
      </c>
      <c r="J136" s="67">
        <f t="shared" si="25"/>
        <v>0</v>
      </c>
      <c r="K136" s="67"/>
      <c r="L136" s="132"/>
      <c r="M136" s="67">
        <f t="shared" si="26"/>
        <v>0</v>
      </c>
      <c r="N136" s="132"/>
      <c r="O136" s="67">
        <f t="shared" si="27"/>
        <v>0</v>
      </c>
      <c r="P136" s="67">
        <f t="shared" si="28"/>
        <v>0</v>
      </c>
    </row>
    <row r="137" spans="2:16" ht="12.5">
      <c r="B137" s="9" t="str">
        <f t="shared" si="21"/>
        <v/>
      </c>
      <c r="C137" s="62">
        <f>IF(D93="","-",+C136+1)</f>
        <v>2062</v>
      </c>
      <c r="D137" s="63">
        <f>IF(F136+SUM(E$99:E136)=D$92,F136,D$92-SUM(E$99:E136))</f>
        <v>61926.989999999758</v>
      </c>
      <c r="E137" s="69">
        <f t="shared" si="22"/>
        <v>61926.989999999758</v>
      </c>
      <c r="F137" s="68">
        <f t="shared" si="23"/>
        <v>0</v>
      </c>
      <c r="G137" s="68">
        <f t="shared" si="24"/>
        <v>30963.494999999879</v>
      </c>
      <c r="H137" s="130">
        <f t="shared" si="15"/>
        <v>66085.966697978482</v>
      </c>
      <c r="I137" s="139">
        <f t="shared" si="16"/>
        <v>66085.966697978482</v>
      </c>
      <c r="J137" s="67">
        <f t="shared" si="25"/>
        <v>0</v>
      </c>
      <c r="K137" s="67"/>
      <c r="L137" s="132"/>
      <c r="M137" s="67">
        <f t="shared" si="26"/>
        <v>0</v>
      </c>
      <c r="N137" s="132"/>
      <c r="O137" s="67">
        <f t="shared" si="27"/>
        <v>0</v>
      </c>
      <c r="P137" s="67">
        <f t="shared" si="28"/>
        <v>0</v>
      </c>
    </row>
    <row r="138" spans="2:16" ht="12.5">
      <c r="B138" s="9" t="str">
        <f t="shared" si="21"/>
        <v/>
      </c>
      <c r="C138" s="62">
        <f>IF(D93="","-",+C137+1)</f>
        <v>2063</v>
      </c>
      <c r="D138" s="63">
        <f>IF(F137+SUM(E$99:E137)=D$92,F137,D$92-SUM(E$99:E137))</f>
        <v>0</v>
      </c>
      <c r="E138" s="69">
        <f t="shared" si="22"/>
        <v>0</v>
      </c>
      <c r="F138" s="68">
        <f t="shared" si="23"/>
        <v>0</v>
      </c>
      <c r="G138" s="68">
        <f t="shared" si="24"/>
        <v>0</v>
      </c>
      <c r="H138" s="130">
        <f t="shared" si="15"/>
        <v>0</v>
      </c>
      <c r="I138" s="139">
        <f t="shared" si="16"/>
        <v>0</v>
      </c>
      <c r="J138" s="67">
        <f t="shared" si="25"/>
        <v>0</v>
      </c>
      <c r="K138" s="67"/>
      <c r="L138" s="132"/>
      <c r="M138" s="67">
        <f t="shared" si="26"/>
        <v>0</v>
      </c>
      <c r="N138" s="132"/>
      <c r="O138" s="67">
        <f t="shared" si="27"/>
        <v>0</v>
      </c>
      <c r="P138" s="67">
        <f t="shared" si="28"/>
        <v>0</v>
      </c>
    </row>
    <row r="139" spans="2:16" ht="12.5">
      <c r="B139" s="9" t="str">
        <f t="shared" si="21"/>
        <v/>
      </c>
      <c r="C139" s="62">
        <f>IF(D93="","-",+C138+1)</f>
        <v>2064</v>
      </c>
      <c r="D139" s="63">
        <f>IF(F138+SUM(E$99:E138)=D$92,F138,D$92-SUM(E$99:E138))</f>
        <v>0</v>
      </c>
      <c r="E139" s="69">
        <f t="shared" si="22"/>
        <v>0</v>
      </c>
      <c r="F139" s="68">
        <f t="shared" si="23"/>
        <v>0</v>
      </c>
      <c r="G139" s="68">
        <f t="shared" si="24"/>
        <v>0</v>
      </c>
      <c r="H139" s="130">
        <f t="shared" si="15"/>
        <v>0</v>
      </c>
      <c r="I139" s="139">
        <f t="shared" si="16"/>
        <v>0</v>
      </c>
      <c r="J139" s="67">
        <f t="shared" si="25"/>
        <v>0</v>
      </c>
      <c r="K139" s="67"/>
      <c r="L139" s="132"/>
      <c r="M139" s="67">
        <f t="shared" si="26"/>
        <v>0</v>
      </c>
      <c r="N139" s="132"/>
      <c r="O139" s="67">
        <f t="shared" si="27"/>
        <v>0</v>
      </c>
      <c r="P139" s="67">
        <f t="shared" si="28"/>
        <v>0</v>
      </c>
    </row>
    <row r="140" spans="2:16" ht="12.5">
      <c r="B140" s="9" t="str">
        <f t="shared" si="21"/>
        <v/>
      </c>
      <c r="C140" s="62">
        <f>IF(D93="","-",+C139+1)</f>
        <v>2065</v>
      </c>
      <c r="D140" s="63">
        <f>IF(F139+SUM(E$99:E139)=D$92,F139,D$92-SUM(E$99:E139))</f>
        <v>0</v>
      </c>
      <c r="E140" s="69">
        <f t="shared" si="22"/>
        <v>0</v>
      </c>
      <c r="F140" s="68">
        <f t="shared" si="23"/>
        <v>0</v>
      </c>
      <c r="G140" s="68">
        <f t="shared" si="24"/>
        <v>0</v>
      </c>
      <c r="H140" s="130">
        <f t="shared" si="15"/>
        <v>0</v>
      </c>
      <c r="I140" s="139">
        <f t="shared" si="16"/>
        <v>0</v>
      </c>
      <c r="J140" s="67">
        <f t="shared" si="25"/>
        <v>0</v>
      </c>
      <c r="K140" s="67"/>
      <c r="L140" s="132"/>
      <c r="M140" s="67">
        <f t="shared" si="26"/>
        <v>0</v>
      </c>
      <c r="N140" s="132"/>
      <c r="O140" s="67">
        <f t="shared" si="27"/>
        <v>0</v>
      </c>
      <c r="P140" s="67">
        <f t="shared" si="28"/>
        <v>0</v>
      </c>
    </row>
    <row r="141" spans="2:16" ht="12.5">
      <c r="B141" s="9" t="str">
        <f t="shared" si="21"/>
        <v/>
      </c>
      <c r="C141" s="62">
        <f>IF(D93="","-",+C140+1)</f>
        <v>2066</v>
      </c>
      <c r="D141" s="63">
        <f>IF(F140+SUM(E$99:E140)=D$92,F140,D$92-SUM(E$99:E140))</f>
        <v>0</v>
      </c>
      <c r="E141" s="69">
        <f t="shared" si="22"/>
        <v>0</v>
      </c>
      <c r="F141" s="68">
        <f t="shared" si="23"/>
        <v>0</v>
      </c>
      <c r="G141" s="68">
        <f t="shared" si="24"/>
        <v>0</v>
      </c>
      <c r="H141" s="130">
        <f t="shared" si="15"/>
        <v>0</v>
      </c>
      <c r="I141" s="139">
        <f t="shared" si="16"/>
        <v>0</v>
      </c>
      <c r="J141" s="67">
        <f t="shared" si="25"/>
        <v>0</v>
      </c>
      <c r="K141" s="67"/>
      <c r="L141" s="132"/>
      <c r="M141" s="67">
        <f t="shared" si="26"/>
        <v>0</v>
      </c>
      <c r="N141" s="132"/>
      <c r="O141" s="67">
        <f t="shared" si="27"/>
        <v>0</v>
      </c>
      <c r="P141" s="67">
        <f t="shared" si="28"/>
        <v>0</v>
      </c>
    </row>
    <row r="142" spans="2:16" ht="12.5">
      <c r="B142" s="9" t="str">
        <f t="shared" si="21"/>
        <v/>
      </c>
      <c r="C142" s="62">
        <f>IF(D93="","-",+C141+1)</f>
        <v>2067</v>
      </c>
      <c r="D142" s="63">
        <f>IF(F141+SUM(E$99:E141)=D$92,F141,D$92-SUM(E$99:E141))</f>
        <v>0</v>
      </c>
      <c r="E142" s="69">
        <f t="shared" si="22"/>
        <v>0</v>
      </c>
      <c r="F142" s="68">
        <f t="shared" si="23"/>
        <v>0</v>
      </c>
      <c r="G142" s="68">
        <f t="shared" si="24"/>
        <v>0</v>
      </c>
      <c r="H142" s="130">
        <f t="shared" si="15"/>
        <v>0</v>
      </c>
      <c r="I142" s="139">
        <f t="shared" si="16"/>
        <v>0</v>
      </c>
      <c r="J142" s="67">
        <f t="shared" si="25"/>
        <v>0</v>
      </c>
      <c r="K142" s="67"/>
      <c r="L142" s="132"/>
      <c r="M142" s="67">
        <f t="shared" si="26"/>
        <v>0</v>
      </c>
      <c r="N142" s="132"/>
      <c r="O142" s="67">
        <f t="shared" si="27"/>
        <v>0</v>
      </c>
      <c r="P142" s="67">
        <f t="shared" si="28"/>
        <v>0</v>
      </c>
    </row>
    <row r="143" spans="2:16" ht="12.5">
      <c r="B143" s="9" t="str">
        <f t="shared" si="21"/>
        <v/>
      </c>
      <c r="C143" s="62">
        <f>IF(D93="","-",+C142+1)</f>
        <v>2068</v>
      </c>
      <c r="D143" s="63">
        <f>IF(F142+SUM(E$99:E142)=D$92,F142,D$92-SUM(E$99:E142))</f>
        <v>0</v>
      </c>
      <c r="E143" s="69">
        <f t="shared" si="22"/>
        <v>0</v>
      </c>
      <c r="F143" s="68">
        <f t="shared" si="23"/>
        <v>0</v>
      </c>
      <c r="G143" s="68">
        <f t="shared" si="24"/>
        <v>0</v>
      </c>
      <c r="H143" s="130">
        <f t="shared" si="15"/>
        <v>0</v>
      </c>
      <c r="I143" s="139">
        <f t="shared" si="16"/>
        <v>0</v>
      </c>
      <c r="J143" s="67">
        <f t="shared" si="25"/>
        <v>0</v>
      </c>
      <c r="K143" s="67"/>
      <c r="L143" s="132"/>
      <c r="M143" s="67">
        <f t="shared" si="26"/>
        <v>0</v>
      </c>
      <c r="N143" s="132"/>
      <c r="O143" s="67">
        <f t="shared" si="27"/>
        <v>0</v>
      </c>
      <c r="P143" s="67">
        <f t="shared" si="28"/>
        <v>0</v>
      </c>
    </row>
    <row r="144" spans="2:16" ht="12.5">
      <c r="B144" s="9" t="str">
        <f t="shared" si="21"/>
        <v/>
      </c>
      <c r="C144" s="62">
        <f>IF(D93="","-",+C143+1)</f>
        <v>2069</v>
      </c>
      <c r="D144" s="63">
        <f>IF(F143+SUM(E$99:E143)=D$92,F143,D$92-SUM(E$99:E143))</f>
        <v>0</v>
      </c>
      <c r="E144" s="69">
        <f t="shared" si="22"/>
        <v>0</v>
      </c>
      <c r="F144" s="68">
        <f t="shared" si="23"/>
        <v>0</v>
      </c>
      <c r="G144" s="68">
        <f t="shared" si="24"/>
        <v>0</v>
      </c>
      <c r="H144" s="130">
        <f t="shared" si="15"/>
        <v>0</v>
      </c>
      <c r="I144" s="139">
        <f t="shared" si="16"/>
        <v>0</v>
      </c>
      <c r="J144" s="67">
        <f t="shared" si="25"/>
        <v>0</v>
      </c>
      <c r="K144" s="67"/>
      <c r="L144" s="132"/>
      <c r="M144" s="67">
        <f t="shared" si="26"/>
        <v>0</v>
      </c>
      <c r="N144" s="132"/>
      <c r="O144" s="67">
        <f t="shared" si="27"/>
        <v>0</v>
      </c>
      <c r="P144" s="67">
        <f t="shared" si="28"/>
        <v>0</v>
      </c>
    </row>
    <row r="145" spans="2:16" ht="12.5">
      <c r="B145" s="9" t="str">
        <f t="shared" si="21"/>
        <v/>
      </c>
      <c r="C145" s="62">
        <f>IF(D93="","-",+C144+1)</f>
        <v>2070</v>
      </c>
      <c r="D145" s="63">
        <f>IF(F144+SUM(E$99:E144)=D$92,F144,D$92-SUM(E$99:E144))</f>
        <v>0</v>
      </c>
      <c r="E145" s="69">
        <f t="shared" si="22"/>
        <v>0</v>
      </c>
      <c r="F145" s="68">
        <f t="shared" si="23"/>
        <v>0</v>
      </c>
      <c r="G145" s="68">
        <f t="shared" si="24"/>
        <v>0</v>
      </c>
      <c r="H145" s="130">
        <f t="shared" si="15"/>
        <v>0</v>
      </c>
      <c r="I145" s="139">
        <f t="shared" si="16"/>
        <v>0</v>
      </c>
      <c r="J145" s="67">
        <f t="shared" si="25"/>
        <v>0</v>
      </c>
      <c r="K145" s="67"/>
      <c r="L145" s="132"/>
      <c r="M145" s="67">
        <f t="shared" si="26"/>
        <v>0</v>
      </c>
      <c r="N145" s="132"/>
      <c r="O145" s="67">
        <f t="shared" si="27"/>
        <v>0</v>
      </c>
      <c r="P145" s="67">
        <f t="shared" si="28"/>
        <v>0</v>
      </c>
    </row>
    <row r="146" spans="2:16" ht="12.5">
      <c r="B146" s="9" t="str">
        <f t="shared" si="21"/>
        <v/>
      </c>
      <c r="C146" s="62">
        <f>IF(D93="","-",+C145+1)</f>
        <v>2071</v>
      </c>
      <c r="D146" s="63">
        <f>IF(F145+SUM(E$99:E145)=D$92,F145,D$92-SUM(E$99:E145))</f>
        <v>0</v>
      </c>
      <c r="E146" s="69">
        <f t="shared" si="22"/>
        <v>0</v>
      </c>
      <c r="F146" s="68">
        <f t="shared" si="23"/>
        <v>0</v>
      </c>
      <c r="G146" s="68">
        <f t="shared" si="24"/>
        <v>0</v>
      </c>
      <c r="H146" s="130">
        <f t="shared" si="15"/>
        <v>0</v>
      </c>
      <c r="I146" s="139">
        <f t="shared" si="16"/>
        <v>0</v>
      </c>
      <c r="J146" s="67">
        <f t="shared" si="25"/>
        <v>0</v>
      </c>
      <c r="K146" s="67"/>
      <c r="L146" s="132"/>
      <c r="M146" s="67">
        <f t="shared" si="26"/>
        <v>0</v>
      </c>
      <c r="N146" s="132"/>
      <c r="O146" s="67">
        <f t="shared" si="27"/>
        <v>0</v>
      </c>
      <c r="P146" s="67">
        <f t="shared" si="28"/>
        <v>0</v>
      </c>
    </row>
    <row r="147" spans="2:16" ht="12.5">
      <c r="B147" s="9" t="str">
        <f t="shared" si="21"/>
        <v/>
      </c>
      <c r="C147" s="62">
        <f>IF(D93="","-",+C146+1)</f>
        <v>2072</v>
      </c>
      <c r="D147" s="63">
        <f>IF(F146+SUM(E$99:E146)=D$92,F146,D$92-SUM(E$99:E146))</f>
        <v>0</v>
      </c>
      <c r="E147" s="69">
        <f t="shared" si="22"/>
        <v>0</v>
      </c>
      <c r="F147" s="68">
        <f t="shared" si="23"/>
        <v>0</v>
      </c>
      <c r="G147" s="68">
        <f t="shared" si="24"/>
        <v>0</v>
      </c>
      <c r="H147" s="130">
        <f t="shared" si="15"/>
        <v>0</v>
      </c>
      <c r="I147" s="139">
        <f t="shared" si="16"/>
        <v>0</v>
      </c>
      <c r="J147" s="67">
        <f t="shared" si="25"/>
        <v>0</v>
      </c>
      <c r="K147" s="67"/>
      <c r="L147" s="132"/>
      <c r="M147" s="67">
        <f t="shared" si="26"/>
        <v>0</v>
      </c>
      <c r="N147" s="132"/>
      <c r="O147" s="67">
        <f t="shared" si="27"/>
        <v>0</v>
      </c>
      <c r="P147" s="67">
        <f t="shared" si="28"/>
        <v>0</v>
      </c>
    </row>
    <row r="148" spans="2:16" ht="12.5">
      <c r="B148" s="9" t="str">
        <f t="shared" si="21"/>
        <v/>
      </c>
      <c r="C148" s="62">
        <f>IF(D93="","-",+C147+1)</f>
        <v>2073</v>
      </c>
      <c r="D148" s="63">
        <f>IF(F147+SUM(E$99:E147)=D$92,F147,D$92-SUM(E$99:E147))</f>
        <v>0</v>
      </c>
      <c r="E148" s="69">
        <f t="shared" si="22"/>
        <v>0</v>
      </c>
      <c r="F148" s="68">
        <f t="shared" si="23"/>
        <v>0</v>
      </c>
      <c r="G148" s="68">
        <f t="shared" si="24"/>
        <v>0</v>
      </c>
      <c r="H148" s="130">
        <f t="shared" si="15"/>
        <v>0</v>
      </c>
      <c r="I148" s="139">
        <f t="shared" si="16"/>
        <v>0</v>
      </c>
      <c r="J148" s="67">
        <f t="shared" si="25"/>
        <v>0</v>
      </c>
      <c r="K148" s="67"/>
      <c r="L148" s="132"/>
      <c r="M148" s="67">
        <f t="shared" si="26"/>
        <v>0</v>
      </c>
      <c r="N148" s="132"/>
      <c r="O148" s="67">
        <f t="shared" si="27"/>
        <v>0</v>
      </c>
      <c r="P148" s="67">
        <f t="shared" si="28"/>
        <v>0</v>
      </c>
    </row>
    <row r="149" spans="2:16" ht="12.5">
      <c r="B149" s="9" t="str">
        <f t="shared" si="21"/>
        <v/>
      </c>
      <c r="C149" s="62">
        <f>IF(D93="","-",+C148+1)</f>
        <v>2074</v>
      </c>
      <c r="D149" s="63">
        <f>IF(F148+SUM(E$99:E148)=D$92,F148,D$92-SUM(E$99:E148))</f>
        <v>0</v>
      </c>
      <c r="E149" s="69">
        <f t="shared" si="22"/>
        <v>0</v>
      </c>
      <c r="F149" s="68">
        <f t="shared" si="23"/>
        <v>0</v>
      </c>
      <c r="G149" s="68">
        <f t="shared" si="24"/>
        <v>0</v>
      </c>
      <c r="H149" s="130">
        <f t="shared" si="15"/>
        <v>0</v>
      </c>
      <c r="I149" s="139">
        <f t="shared" si="16"/>
        <v>0</v>
      </c>
      <c r="J149" s="67">
        <f t="shared" si="25"/>
        <v>0</v>
      </c>
      <c r="K149" s="67"/>
      <c r="L149" s="132"/>
      <c r="M149" s="67">
        <f t="shared" si="26"/>
        <v>0</v>
      </c>
      <c r="N149" s="132"/>
      <c r="O149" s="67">
        <f t="shared" si="27"/>
        <v>0</v>
      </c>
      <c r="P149" s="67">
        <f t="shared" si="28"/>
        <v>0</v>
      </c>
    </row>
    <row r="150" spans="2:16" ht="12.5">
      <c r="B150" s="9" t="str">
        <f t="shared" si="21"/>
        <v/>
      </c>
      <c r="C150" s="62">
        <f>IF(D93="","-",+C149+1)</f>
        <v>2075</v>
      </c>
      <c r="D150" s="63">
        <f>IF(F149+SUM(E$99:E149)=D$92,F149,D$92-SUM(E$99:E149))</f>
        <v>0</v>
      </c>
      <c r="E150" s="69">
        <f t="shared" si="22"/>
        <v>0</v>
      </c>
      <c r="F150" s="68">
        <f t="shared" si="23"/>
        <v>0</v>
      </c>
      <c r="G150" s="68">
        <f t="shared" si="24"/>
        <v>0</v>
      </c>
      <c r="H150" s="130">
        <f t="shared" si="15"/>
        <v>0</v>
      </c>
      <c r="I150" s="139">
        <f t="shared" si="16"/>
        <v>0</v>
      </c>
      <c r="J150" s="67">
        <f t="shared" si="25"/>
        <v>0</v>
      </c>
      <c r="K150" s="67"/>
      <c r="L150" s="132"/>
      <c r="M150" s="67">
        <f t="shared" si="26"/>
        <v>0</v>
      </c>
      <c r="N150" s="132"/>
      <c r="O150" s="67">
        <f t="shared" si="27"/>
        <v>0</v>
      </c>
      <c r="P150" s="67">
        <f t="shared" si="28"/>
        <v>0</v>
      </c>
    </row>
    <row r="151" spans="2:16" ht="12.5">
      <c r="B151" s="9" t="str">
        <f t="shared" si="21"/>
        <v/>
      </c>
      <c r="C151" s="62">
        <f>IF(D93="","-",+C150+1)</f>
        <v>2076</v>
      </c>
      <c r="D151" s="63">
        <f>IF(F150+SUM(E$99:E150)=D$92,F150,D$92-SUM(E$99:E150))</f>
        <v>0</v>
      </c>
      <c r="E151" s="69">
        <f t="shared" si="22"/>
        <v>0</v>
      </c>
      <c r="F151" s="68">
        <f t="shared" si="23"/>
        <v>0</v>
      </c>
      <c r="G151" s="68">
        <f t="shared" si="24"/>
        <v>0</v>
      </c>
      <c r="H151" s="130">
        <f t="shared" si="15"/>
        <v>0</v>
      </c>
      <c r="I151" s="139">
        <f t="shared" si="16"/>
        <v>0</v>
      </c>
      <c r="J151" s="67">
        <f t="shared" si="25"/>
        <v>0</v>
      </c>
      <c r="K151" s="67"/>
      <c r="L151" s="132"/>
      <c r="M151" s="67">
        <f t="shared" si="26"/>
        <v>0</v>
      </c>
      <c r="N151" s="132"/>
      <c r="O151" s="67">
        <f t="shared" si="27"/>
        <v>0</v>
      </c>
      <c r="P151" s="67">
        <f t="shared" si="28"/>
        <v>0</v>
      </c>
    </row>
    <row r="152" spans="2:16" ht="12.5">
      <c r="B152" s="9" t="str">
        <f t="shared" si="21"/>
        <v/>
      </c>
      <c r="C152" s="62">
        <f>IF(D93="","-",+C151+1)</f>
        <v>2077</v>
      </c>
      <c r="D152" s="63">
        <f>IF(F151+SUM(E$99:E151)=D$92,F151,D$92-SUM(E$99:E151))</f>
        <v>0</v>
      </c>
      <c r="E152" s="69">
        <f t="shared" si="22"/>
        <v>0</v>
      </c>
      <c r="F152" s="68">
        <f t="shared" si="23"/>
        <v>0</v>
      </c>
      <c r="G152" s="68">
        <f t="shared" si="24"/>
        <v>0</v>
      </c>
      <c r="H152" s="130">
        <f t="shared" si="15"/>
        <v>0</v>
      </c>
      <c r="I152" s="139">
        <f t="shared" si="16"/>
        <v>0</v>
      </c>
      <c r="J152" s="67">
        <f t="shared" si="25"/>
        <v>0</v>
      </c>
      <c r="K152" s="67"/>
      <c r="L152" s="132"/>
      <c r="M152" s="67">
        <f t="shared" si="26"/>
        <v>0</v>
      </c>
      <c r="N152" s="132"/>
      <c r="O152" s="67">
        <f t="shared" si="27"/>
        <v>0</v>
      </c>
      <c r="P152" s="67">
        <f t="shared" si="28"/>
        <v>0</v>
      </c>
    </row>
    <row r="153" spans="2:16" ht="12.5">
      <c r="B153" s="9" t="str">
        <f t="shared" si="21"/>
        <v/>
      </c>
      <c r="C153" s="62">
        <f>IF(D93="","-",+C152+1)</f>
        <v>2078</v>
      </c>
      <c r="D153" s="63">
        <f>IF(F152+SUM(E$99:E152)=D$92,F152,D$92-SUM(E$99:E152))</f>
        <v>0</v>
      </c>
      <c r="E153" s="69">
        <f t="shared" si="22"/>
        <v>0</v>
      </c>
      <c r="F153" s="68">
        <f t="shared" si="23"/>
        <v>0</v>
      </c>
      <c r="G153" s="68">
        <f t="shared" si="24"/>
        <v>0</v>
      </c>
      <c r="H153" s="130">
        <f t="shared" si="15"/>
        <v>0</v>
      </c>
      <c r="I153" s="139">
        <f t="shared" si="16"/>
        <v>0</v>
      </c>
      <c r="J153" s="67">
        <f t="shared" si="25"/>
        <v>0</v>
      </c>
      <c r="K153" s="67"/>
      <c r="L153" s="132"/>
      <c r="M153" s="67">
        <f t="shared" si="26"/>
        <v>0</v>
      </c>
      <c r="N153" s="132"/>
      <c r="O153" s="67">
        <f t="shared" si="27"/>
        <v>0</v>
      </c>
      <c r="P153" s="67">
        <f t="shared" si="28"/>
        <v>0</v>
      </c>
    </row>
    <row r="154" spans="2:16" ht="13" thickBot="1">
      <c r="B154" s="9" t="str">
        <f t="shared" si="21"/>
        <v/>
      </c>
      <c r="C154" s="72">
        <f>IF(D93="","-",+C153+1)</f>
        <v>2079</v>
      </c>
      <c r="D154" s="98">
        <f>IF(F153+SUM(E$99:E153)=D$92,F153,D$92-SUM(E$99:E153))</f>
        <v>0</v>
      </c>
      <c r="E154" s="74">
        <f t="shared" si="22"/>
        <v>0</v>
      </c>
      <c r="F154" s="73">
        <f t="shared" si="23"/>
        <v>0</v>
      </c>
      <c r="G154" s="73">
        <f t="shared" si="24"/>
        <v>0</v>
      </c>
      <c r="H154" s="140">
        <f t="shared" si="15"/>
        <v>0</v>
      </c>
      <c r="I154" s="141">
        <f t="shared" si="16"/>
        <v>0</v>
      </c>
      <c r="J154" s="76">
        <f t="shared" si="25"/>
        <v>0</v>
      </c>
      <c r="K154" s="67"/>
      <c r="L154" s="133"/>
      <c r="M154" s="76">
        <f t="shared" si="26"/>
        <v>0</v>
      </c>
      <c r="N154" s="133"/>
      <c r="O154" s="76">
        <f t="shared" si="27"/>
        <v>0</v>
      </c>
      <c r="P154" s="76">
        <f t="shared" si="28"/>
        <v>0</v>
      </c>
    </row>
    <row r="155" spans="2:16" ht="12.5">
      <c r="C155" s="63" t="s">
        <v>77</v>
      </c>
      <c r="D155" s="20"/>
      <c r="E155" s="20">
        <f>SUM(E99:E154)</f>
        <v>2353669.9899999998</v>
      </c>
      <c r="F155" s="20"/>
      <c r="G155" s="20"/>
      <c r="H155" s="20">
        <f>SUM(H99:H154)</f>
        <v>8518407.5133005362</v>
      </c>
      <c r="I155" s="20">
        <f>SUM(I99:I154)</f>
        <v>8518407.5133005362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148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conditionalFormatting sqref="C17:C72">
    <cfRule type="cellIs" dxfId="3" priority="1" stopIfTrue="1" operator="equal">
      <formula>$I$10</formula>
    </cfRule>
  </conditionalFormatting>
  <conditionalFormatting sqref="C99:C154">
    <cfRule type="cellIs" dxfId="2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58"/>
  <dimension ref="A1:P162"/>
  <sheetViews>
    <sheetView view="pageBreakPreview" zoomScale="78" zoomScaleNormal="100" zoomScaleSheetLayoutView="78" workbookViewId="0">
      <selection activeCell="I33" sqref="I33"/>
    </sheetView>
  </sheetViews>
  <sheetFormatPr defaultRowHeight="12.75" customHeight="1"/>
  <cols>
    <col min="1" max="1" width="4.7265625" customWidth="1"/>
    <col min="2" max="2" width="6.7265625" customWidth="1"/>
    <col min="3" max="3" width="23.26953125" customWidth="1"/>
    <col min="4" max="8" width="17.7265625" customWidth="1"/>
    <col min="9" max="9" width="20.453125" customWidth="1"/>
    <col min="10" max="10" width="16.453125" customWidth="1"/>
    <col min="11" max="11" width="17.7265625" customWidth="1"/>
    <col min="12" max="12" width="16.1796875" customWidth="1"/>
    <col min="13" max="13" width="17.7265625" customWidth="1"/>
    <col min="14" max="14" width="16.7265625" customWidth="1"/>
    <col min="15" max="15" width="16.81640625" customWidth="1"/>
    <col min="16" max="16" width="24.453125" customWidth="1"/>
    <col min="17" max="17" width="9.1796875" customWidth="1"/>
    <col min="23" max="23" width="9.1796875" customWidth="1"/>
  </cols>
  <sheetData>
    <row r="1" spans="1:16" ht="20">
      <c r="A1" s="110" t="s">
        <v>147</v>
      </c>
      <c r="B1" s="1"/>
      <c r="C1" s="10"/>
      <c r="D1" s="2"/>
      <c r="E1" s="1"/>
      <c r="F1" s="15"/>
      <c r="G1" s="1"/>
      <c r="H1" s="3"/>
      <c r="J1" s="7"/>
      <c r="K1" s="19"/>
      <c r="L1" s="19"/>
      <c r="M1" s="19"/>
      <c r="P1" s="116" t="str">
        <f ca="1">"PSO Project "&amp;RIGHT(MID(CELL("filename",$A$1),FIND("]",CELL("filename",$A$1))+1,256),2)&amp;" of "&amp;COUNT('P.001:P.xyz - blank'!$P$3)-1</f>
        <v>PSO Project nk of 35</v>
      </c>
    </row>
    <row r="2" spans="1:16" ht="17.5">
      <c r="B2" s="1"/>
      <c r="C2" s="1"/>
      <c r="D2" s="2"/>
      <c r="E2" s="1"/>
      <c r="F2" s="1"/>
      <c r="G2" s="1"/>
      <c r="H2" s="3"/>
      <c r="I2" s="1"/>
      <c r="J2" s="4"/>
      <c r="K2" s="1"/>
      <c r="L2" s="1"/>
      <c r="M2" s="1"/>
      <c r="N2" s="1"/>
      <c r="P2" s="117" t="s">
        <v>150</v>
      </c>
    </row>
    <row r="3" spans="1:16" ht="18">
      <c r="B3" s="5" t="s">
        <v>42</v>
      </c>
      <c r="C3" s="14" t="s">
        <v>43</v>
      </c>
      <c r="D3" s="2"/>
      <c r="E3" s="1"/>
      <c r="F3" s="1"/>
      <c r="G3" s="1"/>
      <c r="H3" s="3"/>
      <c r="I3" s="3"/>
      <c r="J3" s="20"/>
      <c r="K3" s="3"/>
      <c r="L3" s="3"/>
      <c r="M3" s="3"/>
      <c r="N3" s="3"/>
      <c r="O3" s="1"/>
      <c r="P3" s="108">
        <v>1</v>
      </c>
    </row>
    <row r="4" spans="1:16" ht="16" thickBot="1">
      <c r="C4" s="13"/>
      <c r="D4" s="2"/>
      <c r="E4" s="1"/>
      <c r="F4" s="1"/>
      <c r="G4" s="1"/>
      <c r="H4" s="3"/>
      <c r="I4" s="3"/>
      <c r="J4" s="20"/>
      <c r="K4" s="3"/>
      <c r="L4" s="3"/>
      <c r="M4" s="3"/>
      <c r="N4" s="3"/>
      <c r="O4" s="1"/>
      <c r="P4" s="1"/>
    </row>
    <row r="5" spans="1:16" ht="15.5">
      <c r="C5" s="21" t="s">
        <v>44</v>
      </c>
      <c r="D5" s="2"/>
      <c r="E5" s="1"/>
      <c r="F5" s="1"/>
      <c r="G5" s="22"/>
      <c r="H5" s="1" t="s">
        <v>45</v>
      </c>
      <c r="I5" s="1"/>
      <c r="J5" s="4"/>
      <c r="K5" s="23" t="s">
        <v>279</v>
      </c>
      <c r="L5" s="24"/>
      <c r="M5" s="25"/>
      <c r="N5" s="26">
        <f>VLOOKUP(I10,C17:I72,5)</f>
        <v>0</v>
      </c>
      <c r="P5" s="1"/>
    </row>
    <row r="6" spans="1:16" ht="15.5">
      <c r="C6" s="8"/>
      <c r="D6" s="2"/>
      <c r="E6" s="1"/>
      <c r="F6" s="1"/>
      <c r="G6" s="1"/>
      <c r="H6" s="27"/>
      <c r="I6" s="27"/>
      <c r="J6" s="28"/>
      <c r="K6" s="29" t="s">
        <v>280</v>
      </c>
      <c r="L6" s="30"/>
      <c r="M6" s="4"/>
      <c r="N6" s="31">
        <f>VLOOKUP(I10,C17:I72,6)</f>
        <v>0</v>
      </c>
      <c r="O6" s="1"/>
      <c r="P6" s="1"/>
    </row>
    <row r="7" spans="1:16" ht="13.5" thickBot="1">
      <c r="C7" s="32" t="s">
        <v>46</v>
      </c>
      <c r="D7" s="104" t="s">
        <v>108</v>
      </c>
      <c r="E7" s="1"/>
      <c r="F7" s="1"/>
      <c r="G7" s="1"/>
      <c r="H7" s="3"/>
      <c r="I7" s="3"/>
      <c r="J7" s="20"/>
      <c r="K7" s="33" t="s">
        <v>47</v>
      </c>
      <c r="L7" s="34"/>
      <c r="M7" s="34"/>
      <c r="N7" s="35">
        <f>+N6-N5</f>
        <v>0</v>
      </c>
      <c r="O7" s="1"/>
      <c r="P7" s="1"/>
    </row>
    <row r="8" spans="1:16" ht="13.5" thickBot="1">
      <c r="C8" s="36"/>
      <c r="D8" s="114" t="str">
        <f>IF(D10&lt;100000,"DOES NOT MEET SPP $100,000 MINIMUM INVESTMENT FOR REGIONAL BPU SHARING.","")</f>
        <v>DOES NOT MEET SPP $100,000 MINIMUM INVESTMENT FOR REGIONAL BPU SHARING.</v>
      </c>
      <c r="E8" s="37"/>
      <c r="F8" s="37"/>
      <c r="G8" s="37"/>
      <c r="H8" s="37"/>
      <c r="I8" s="37"/>
      <c r="J8" s="16"/>
      <c r="K8" s="37"/>
      <c r="L8" s="37"/>
      <c r="M8" s="37"/>
      <c r="N8" s="37"/>
      <c r="O8" s="16"/>
      <c r="P8" s="10"/>
    </row>
    <row r="9" spans="1:16" ht="13.5" thickBot="1">
      <c r="C9" s="38" t="s">
        <v>48</v>
      </c>
      <c r="D9" s="106"/>
      <c r="E9" s="39"/>
      <c r="F9" s="39"/>
      <c r="G9" s="39"/>
      <c r="H9" s="39"/>
      <c r="I9" s="40"/>
      <c r="J9" s="41"/>
      <c r="O9" s="42"/>
      <c r="P9" s="4"/>
    </row>
    <row r="10" spans="1:16" ht="13">
      <c r="C10" s="145" t="s">
        <v>226</v>
      </c>
      <c r="D10" s="43"/>
      <c r="E10" s="12" t="s">
        <v>51</v>
      </c>
      <c r="F10" s="42"/>
      <c r="G10" s="44"/>
      <c r="H10" s="44"/>
      <c r="I10" s="45">
        <f>+'PSO.WS.F.BPU.ATRR.Projected'!L19</f>
        <v>2024</v>
      </c>
      <c r="J10" s="41"/>
      <c r="K10" s="20" t="s">
        <v>52</v>
      </c>
      <c r="O10" s="4"/>
      <c r="P10" s="4"/>
    </row>
    <row r="11" spans="1:16" ht="12.5">
      <c r="C11" s="46" t="s">
        <v>53</v>
      </c>
      <c r="D11" s="47">
        <v>2017</v>
      </c>
      <c r="E11" s="46" t="s">
        <v>54</v>
      </c>
      <c r="F11" s="44"/>
      <c r="G11" s="7"/>
      <c r="H11" s="7"/>
      <c r="I11" s="48">
        <f>IF(G5="",0,'PSO.WS.F.BPU.ATRR.Projected'!F$13)</f>
        <v>0</v>
      </c>
      <c r="J11" s="49"/>
      <c r="K11" t="str">
        <f>"          INPUT PROJECTED ARR (WITH &amp; WITHOUT INCENTIVES) FROM EACH PRIOR YEAR"</f>
        <v xml:space="preserve">          INPUT PROJECTED ARR (WITH &amp; WITHOUT INCENTIVES) FROM EACH PRIOR YEAR</v>
      </c>
      <c r="O11" s="4"/>
      <c r="P11" s="4"/>
    </row>
    <row r="12" spans="1:16" ht="12.5">
      <c r="C12" s="46" t="s">
        <v>55</v>
      </c>
      <c r="D12" s="43">
        <v>4</v>
      </c>
      <c r="E12" s="46" t="s">
        <v>56</v>
      </c>
      <c r="F12" s="44"/>
      <c r="G12" s="7"/>
      <c r="H12" s="7"/>
      <c r="I12" s="50">
        <f>'PSO.WS.F.BPU.ATRR.Projected'!$F$81</f>
        <v>0.11374018757958901</v>
      </c>
      <c r="J12" s="51"/>
      <c r="K12" t="s">
        <v>57</v>
      </c>
      <c r="O12" s="4"/>
      <c r="P12" s="4"/>
    </row>
    <row r="13" spans="1:16" ht="12.5">
      <c r="C13" s="46" t="s">
        <v>58</v>
      </c>
      <c r="D13" s="48">
        <f>+'PSO.WS.F.BPU.ATRR.Projected'!F$93</f>
        <v>38</v>
      </c>
      <c r="E13" s="46" t="s">
        <v>59</v>
      </c>
      <c r="F13" s="44"/>
      <c r="G13" s="7"/>
      <c r="H13" s="7"/>
      <c r="I13" s="50">
        <f>IF(G5="",I12,'PSO.WS.F.BPU.ATRR.Projected'!$F$80)</f>
        <v>0.11374018757958901</v>
      </c>
      <c r="J13" s="51"/>
      <c r="K13" s="20" t="s">
        <v>60</v>
      </c>
      <c r="L13" s="11"/>
      <c r="M13" s="11"/>
      <c r="N13" s="11"/>
      <c r="O13" s="4"/>
      <c r="P13" s="4"/>
    </row>
    <row r="14" spans="1:16" ht="13" thickBot="1">
      <c r="C14" s="46" t="s">
        <v>61</v>
      </c>
      <c r="D14" s="47" t="s">
        <v>62</v>
      </c>
      <c r="E14" s="4" t="s">
        <v>63</v>
      </c>
      <c r="F14" s="44"/>
      <c r="G14" s="7"/>
      <c r="H14" s="7"/>
      <c r="I14" s="52">
        <f>IF(D10=0,0,D10/D13)</f>
        <v>0</v>
      </c>
      <c r="J14" s="20"/>
      <c r="K14" s="20"/>
      <c r="L14" s="20"/>
      <c r="M14" s="20"/>
      <c r="N14" s="20"/>
      <c r="O14" s="4"/>
      <c r="P14" s="4"/>
    </row>
    <row r="15" spans="1:16" ht="39">
      <c r="C15" s="53" t="s">
        <v>50</v>
      </c>
      <c r="D15" s="54" t="s">
        <v>64</v>
      </c>
      <c r="E15" s="54" t="s">
        <v>65</v>
      </c>
      <c r="F15" s="54" t="s">
        <v>66</v>
      </c>
      <c r="G15" s="142" t="s">
        <v>281</v>
      </c>
      <c r="H15" s="143" t="s">
        <v>282</v>
      </c>
      <c r="I15" s="53" t="s">
        <v>67</v>
      </c>
      <c r="J15" s="55"/>
      <c r="K15" s="135" t="s">
        <v>205</v>
      </c>
      <c r="L15" s="136" t="s">
        <v>68</v>
      </c>
      <c r="M15" s="135" t="s">
        <v>205</v>
      </c>
      <c r="N15" s="136" t="s">
        <v>68</v>
      </c>
      <c r="O15" s="56" t="s">
        <v>69</v>
      </c>
      <c r="P15" s="4"/>
    </row>
    <row r="16" spans="1:16" ht="13.5" thickBot="1">
      <c r="C16" s="57" t="s">
        <v>70</v>
      </c>
      <c r="D16" s="57" t="s">
        <v>71</v>
      </c>
      <c r="E16" s="57" t="s">
        <v>72</v>
      </c>
      <c r="F16" s="57" t="s">
        <v>71</v>
      </c>
      <c r="G16" s="129" t="s">
        <v>73</v>
      </c>
      <c r="H16" s="58" t="s">
        <v>74</v>
      </c>
      <c r="I16" s="59" t="s">
        <v>104</v>
      </c>
      <c r="J16" s="60" t="s">
        <v>75</v>
      </c>
      <c r="K16" s="61" t="s">
        <v>76</v>
      </c>
      <c r="L16" s="137" t="s">
        <v>76</v>
      </c>
      <c r="M16" s="61" t="s">
        <v>105</v>
      </c>
      <c r="N16" s="138" t="s">
        <v>105</v>
      </c>
      <c r="O16" s="61" t="s">
        <v>105</v>
      </c>
      <c r="P16" s="4"/>
    </row>
    <row r="17" spans="2:16" ht="12.5">
      <c r="B17" s="9"/>
      <c r="C17" s="62">
        <f>IF(D11= "","-",D11)</f>
        <v>2017</v>
      </c>
      <c r="D17" s="63">
        <v>0</v>
      </c>
      <c r="E17" s="64">
        <f>IF(D10&gt;=100000,I$14/12*(12-D12),0)</f>
        <v>0</v>
      </c>
      <c r="F17" s="68">
        <f>IF(D11=C17,+D10-E17,+D17-E17)</f>
        <v>0</v>
      </c>
      <c r="G17" s="64">
        <f>(D17+F17)/2*I$12+E17</f>
        <v>0</v>
      </c>
      <c r="H17" s="52">
        <f>+(D17+F17)/2*I$13+E17</f>
        <v>0</v>
      </c>
      <c r="I17" s="65">
        <f>H17-G17</f>
        <v>0</v>
      </c>
      <c r="J17" s="65"/>
      <c r="K17" s="134"/>
      <c r="L17" s="66">
        <f t="shared" ref="L17:L48" si="0">IF(K17&lt;&gt;0,+G17-K17,0)</f>
        <v>0</v>
      </c>
      <c r="M17" s="134"/>
      <c r="N17" s="66">
        <f t="shared" ref="N17:N48" si="1">IF(M17&lt;&gt;0,+H17-M17,0)</f>
        <v>0</v>
      </c>
      <c r="O17" s="67">
        <f t="shared" ref="O17:O48" si="2">+N17-L17</f>
        <v>0</v>
      </c>
      <c r="P17" s="4"/>
    </row>
    <row r="18" spans="2:16" ht="12.5">
      <c r="B18" s="9" t="str">
        <f>IF(D18=F17,"","IU")</f>
        <v/>
      </c>
      <c r="C18" s="62">
        <f>IF(D11="","-",+C17+1)</f>
        <v>2018</v>
      </c>
      <c r="D18" s="71">
        <f>IF(F17+SUM(E$17:E17)=D$10,F17,D$10-SUM(E$17:E17))</f>
        <v>0</v>
      </c>
      <c r="E18" s="69">
        <f>IF(+I$14&lt;F17,I$14,D18)</f>
        <v>0</v>
      </c>
      <c r="F18" s="68">
        <f>+D18-E18</f>
        <v>0</v>
      </c>
      <c r="G18" s="70">
        <f>(D18+F18)/2*I$12+E18</f>
        <v>0</v>
      </c>
      <c r="H18" s="52">
        <f>+(D18+F18)/2*I$13+E18</f>
        <v>0</v>
      </c>
      <c r="I18" s="65">
        <f>H18-G18</f>
        <v>0</v>
      </c>
      <c r="J18" s="65"/>
      <c r="K18" s="132"/>
      <c r="L18" s="67">
        <f t="shared" si="0"/>
        <v>0</v>
      </c>
      <c r="M18" s="132"/>
      <c r="N18" s="67">
        <f t="shared" si="1"/>
        <v>0</v>
      </c>
      <c r="O18" s="67">
        <f t="shared" si="2"/>
        <v>0</v>
      </c>
      <c r="P18" s="4"/>
    </row>
    <row r="19" spans="2:16" ht="12.5">
      <c r="B19" s="9" t="str">
        <f>IF(D19=F18,"","IU")</f>
        <v/>
      </c>
      <c r="C19" s="62">
        <f>IF(D11="","-",+C18+1)</f>
        <v>2019</v>
      </c>
      <c r="D19" s="71">
        <f>IF(F18+SUM(E$17:E18)=D$10,F18,D$10-SUM(E$17:E18))</f>
        <v>0</v>
      </c>
      <c r="E19" s="69">
        <f t="shared" ref="E19:E71" si="3">IF(+I$14&lt;F18,I$14,D19)</f>
        <v>0</v>
      </c>
      <c r="F19" s="68">
        <f t="shared" ref="F19:F71" si="4">+D19-E19</f>
        <v>0</v>
      </c>
      <c r="G19" s="70">
        <f t="shared" ref="G19:G71" si="5">(D19+F19)/2*I$12+E19</f>
        <v>0</v>
      </c>
      <c r="H19" s="52">
        <f t="shared" ref="H19:H71" si="6">+(D19+F19)/2*I$13+E19</f>
        <v>0</v>
      </c>
      <c r="I19" s="65">
        <f t="shared" ref="I19:I71" si="7">H19-G19</f>
        <v>0</v>
      </c>
      <c r="J19" s="65"/>
      <c r="K19" s="132"/>
      <c r="L19" s="67">
        <f t="shared" si="0"/>
        <v>0</v>
      </c>
      <c r="M19" s="132"/>
      <c r="N19" s="67">
        <f t="shared" si="1"/>
        <v>0</v>
      </c>
      <c r="O19" s="67">
        <f t="shared" si="2"/>
        <v>0</v>
      </c>
      <c r="P19" s="4"/>
    </row>
    <row r="20" spans="2:16" ht="12.5">
      <c r="B20" s="9" t="str">
        <f t="shared" ref="B20:B72" si="8">IF(D20=F19,"","IU")</f>
        <v/>
      </c>
      <c r="C20" s="62">
        <f>IF(D11="","-",+C19+1)</f>
        <v>2020</v>
      </c>
      <c r="D20" s="71">
        <f>IF(F19+SUM(E$17:E19)=D$10,F19,D$10-SUM(E$17:E19))</f>
        <v>0</v>
      </c>
      <c r="E20" s="69">
        <f t="shared" si="3"/>
        <v>0</v>
      </c>
      <c r="F20" s="68">
        <f t="shared" si="4"/>
        <v>0</v>
      </c>
      <c r="G20" s="70">
        <f t="shared" si="5"/>
        <v>0</v>
      </c>
      <c r="H20" s="52">
        <f t="shared" si="6"/>
        <v>0</v>
      </c>
      <c r="I20" s="65">
        <f t="shared" si="7"/>
        <v>0</v>
      </c>
      <c r="J20" s="65"/>
      <c r="K20" s="132"/>
      <c r="L20" s="67">
        <f t="shared" si="0"/>
        <v>0</v>
      </c>
      <c r="M20" s="132"/>
      <c r="N20" s="67">
        <f t="shared" si="1"/>
        <v>0</v>
      </c>
      <c r="O20" s="67">
        <f t="shared" si="2"/>
        <v>0</v>
      </c>
      <c r="P20" s="4"/>
    </row>
    <row r="21" spans="2:16" ht="12.5">
      <c r="B21" s="9" t="str">
        <f t="shared" si="8"/>
        <v/>
      </c>
      <c r="C21" s="62">
        <f>IF(D11="","-",+C20+1)</f>
        <v>2021</v>
      </c>
      <c r="D21" s="71">
        <f>IF(F20+SUM(E$17:E20)=D$10,F20,D$10-SUM(E$17:E20))</f>
        <v>0</v>
      </c>
      <c r="E21" s="69">
        <f t="shared" si="3"/>
        <v>0</v>
      </c>
      <c r="F21" s="68">
        <f t="shared" si="4"/>
        <v>0</v>
      </c>
      <c r="G21" s="70">
        <f t="shared" si="5"/>
        <v>0</v>
      </c>
      <c r="H21" s="52">
        <f t="shared" si="6"/>
        <v>0</v>
      </c>
      <c r="I21" s="65">
        <f t="shared" si="7"/>
        <v>0</v>
      </c>
      <c r="J21" s="65"/>
      <c r="K21" s="132"/>
      <c r="L21" s="67">
        <f t="shared" si="0"/>
        <v>0</v>
      </c>
      <c r="M21" s="132"/>
      <c r="N21" s="67">
        <f t="shared" si="1"/>
        <v>0</v>
      </c>
      <c r="O21" s="67">
        <f t="shared" si="2"/>
        <v>0</v>
      </c>
      <c r="P21" s="4"/>
    </row>
    <row r="22" spans="2:16" ht="12.5">
      <c r="B22" s="9" t="str">
        <f t="shared" si="8"/>
        <v/>
      </c>
      <c r="C22" s="62">
        <f>IF(D11="","-",+C21+1)</f>
        <v>2022</v>
      </c>
      <c r="D22" s="71">
        <f>IF(F21+SUM(E$17:E21)=D$10,F21,D$10-SUM(E$17:E21))</f>
        <v>0</v>
      </c>
      <c r="E22" s="69">
        <f t="shared" si="3"/>
        <v>0</v>
      </c>
      <c r="F22" s="68">
        <f t="shared" si="4"/>
        <v>0</v>
      </c>
      <c r="G22" s="70">
        <f t="shared" si="5"/>
        <v>0</v>
      </c>
      <c r="H22" s="52">
        <f t="shared" si="6"/>
        <v>0</v>
      </c>
      <c r="I22" s="65">
        <f t="shared" si="7"/>
        <v>0</v>
      </c>
      <c r="J22" s="65"/>
      <c r="K22" s="132"/>
      <c r="L22" s="67">
        <f t="shared" si="0"/>
        <v>0</v>
      </c>
      <c r="M22" s="132"/>
      <c r="N22" s="67">
        <f t="shared" si="1"/>
        <v>0</v>
      </c>
      <c r="O22" s="67">
        <f t="shared" si="2"/>
        <v>0</v>
      </c>
      <c r="P22" s="4"/>
    </row>
    <row r="23" spans="2:16" ht="12.5">
      <c r="B23" s="9" t="str">
        <f t="shared" si="8"/>
        <v/>
      </c>
      <c r="C23" s="62">
        <f>IF(D11="","-",+C22+1)</f>
        <v>2023</v>
      </c>
      <c r="D23" s="71">
        <f>IF(F22+SUM(E$17:E22)=D$10,F22,D$10-SUM(E$17:E22))</f>
        <v>0</v>
      </c>
      <c r="E23" s="69">
        <f t="shared" si="3"/>
        <v>0</v>
      </c>
      <c r="F23" s="68">
        <f t="shared" si="4"/>
        <v>0</v>
      </c>
      <c r="G23" s="70">
        <f t="shared" si="5"/>
        <v>0</v>
      </c>
      <c r="H23" s="52">
        <f t="shared" si="6"/>
        <v>0</v>
      </c>
      <c r="I23" s="65">
        <f t="shared" si="7"/>
        <v>0</v>
      </c>
      <c r="J23" s="65"/>
      <c r="K23" s="132"/>
      <c r="L23" s="67">
        <f t="shared" si="0"/>
        <v>0</v>
      </c>
      <c r="M23" s="132"/>
      <c r="N23" s="67">
        <f t="shared" si="1"/>
        <v>0</v>
      </c>
      <c r="O23" s="67">
        <f t="shared" si="2"/>
        <v>0</v>
      </c>
      <c r="P23" s="4"/>
    </row>
    <row r="24" spans="2:16" ht="12.5">
      <c r="B24" s="9" t="str">
        <f t="shared" si="8"/>
        <v/>
      </c>
      <c r="C24" s="62">
        <f>IF(D11="","-",+C23+1)</f>
        <v>2024</v>
      </c>
      <c r="D24" s="71">
        <f>IF(F23+SUM(E$17:E23)=D$10,F23,D$10-SUM(E$17:E23))</f>
        <v>0</v>
      </c>
      <c r="E24" s="69">
        <f t="shared" si="3"/>
        <v>0</v>
      </c>
      <c r="F24" s="68">
        <f t="shared" si="4"/>
        <v>0</v>
      </c>
      <c r="G24" s="70">
        <f t="shared" si="5"/>
        <v>0</v>
      </c>
      <c r="H24" s="52">
        <f t="shared" si="6"/>
        <v>0</v>
      </c>
      <c r="I24" s="65">
        <f t="shared" si="7"/>
        <v>0</v>
      </c>
      <c r="J24" s="65"/>
      <c r="K24" s="132"/>
      <c r="L24" s="67">
        <f t="shared" si="0"/>
        <v>0</v>
      </c>
      <c r="M24" s="132"/>
      <c r="N24" s="67">
        <f t="shared" si="1"/>
        <v>0</v>
      </c>
      <c r="O24" s="67">
        <f t="shared" si="2"/>
        <v>0</v>
      </c>
      <c r="P24" s="4"/>
    </row>
    <row r="25" spans="2:16" ht="12.5">
      <c r="B25" s="9" t="str">
        <f t="shared" si="8"/>
        <v/>
      </c>
      <c r="C25" s="62">
        <f>IF(D11="","-",+C24+1)</f>
        <v>2025</v>
      </c>
      <c r="D25" s="71">
        <f>IF(F24+SUM(E$17:E24)=D$10,F24,D$10-SUM(E$17:E24))</f>
        <v>0</v>
      </c>
      <c r="E25" s="69">
        <f t="shared" si="3"/>
        <v>0</v>
      </c>
      <c r="F25" s="68">
        <f t="shared" si="4"/>
        <v>0</v>
      </c>
      <c r="G25" s="70">
        <f t="shared" si="5"/>
        <v>0</v>
      </c>
      <c r="H25" s="52">
        <f t="shared" si="6"/>
        <v>0</v>
      </c>
      <c r="I25" s="65">
        <f t="shared" si="7"/>
        <v>0</v>
      </c>
      <c r="J25" s="65"/>
      <c r="K25" s="132"/>
      <c r="L25" s="67">
        <f t="shared" si="0"/>
        <v>0</v>
      </c>
      <c r="M25" s="132"/>
      <c r="N25" s="67">
        <f t="shared" si="1"/>
        <v>0</v>
      </c>
      <c r="O25" s="67">
        <f t="shared" si="2"/>
        <v>0</v>
      </c>
      <c r="P25" s="4"/>
    </row>
    <row r="26" spans="2:16" ht="12.5">
      <c r="B26" s="9" t="str">
        <f t="shared" si="8"/>
        <v/>
      </c>
      <c r="C26" s="62">
        <f>IF(D11="","-",+C25+1)</f>
        <v>2026</v>
      </c>
      <c r="D26" s="71">
        <f>IF(F25+SUM(E$17:E25)=D$10,F25,D$10-SUM(E$17:E25))</f>
        <v>0</v>
      </c>
      <c r="E26" s="69">
        <f t="shared" si="3"/>
        <v>0</v>
      </c>
      <c r="F26" s="68">
        <f t="shared" si="4"/>
        <v>0</v>
      </c>
      <c r="G26" s="70">
        <f t="shared" si="5"/>
        <v>0</v>
      </c>
      <c r="H26" s="52">
        <f t="shared" si="6"/>
        <v>0</v>
      </c>
      <c r="I26" s="65">
        <f t="shared" si="7"/>
        <v>0</v>
      </c>
      <c r="J26" s="65"/>
      <c r="K26" s="132"/>
      <c r="L26" s="67">
        <f t="shared" si="0"/>
        <v>0</v>
      </c>
      <c r="M26" s="132"/>
      <c r="N26" s="67">
        <f t="shared" si="1"/>
        <v>0</v>
      </c>
      <c r="O26" s="67">
        <f t="shared" si="2"/>
        <v>0</v>
      </c>
      <c r="P26" s="4"/>
    </row>
    <row r="27" spans="2:16" ht="12.5">
      <c r="B27" s="9" t="str">
        <f t="shared" si="8"/>
        <v/>
      </c>
      <c r="C27" s="62">
        <f>IF(D11="","-",+C26+1)</f>
        <v>2027</v>
      </c>
      <c r="D27" s="71">
        <f>IF(F26+SUM(E$17:E26)=D$10,F26,D$10-SUM(E$17:E26))</f>
        <v>0</v>
      </c>
      <c r="E27" s="69">
        <f t="shared" si="3"/>
        <v>0</v>
      </c>
      <c r="F27" s="68">
        <f t="shared" si="4"/>
        <v>0</v>
      </c>
      <c r="G27" s="70">
        <f t="shared" si="5"/>
        <v>0</v>
      </c>
      <c r="H27" s="52">
        <f t="shared" si="6"/>
        <v>0</v>
      </c>
      <c r="I27" s="65">
        <f t="shared" si="7"/>
        <v>0</v>
      </c>
      <c r="J27" s="65"/>
      <c r="K27" s="132"/>
      <c r="L27" s="67">
        <f t="shared" si="0"/>
        <v>0</v>
      </c>
      <c r="M27" s="132"/>
      <c r="N27" s="67">
        <f t="shared" si="1"/>
        <v>0</v>
      </c>
      <c r="O27" s="67">
        <f t="shared" si="2"/>
        <v>0</v>
      </c>
      <c r="P27" s="4"/>
    </row>
    <row r="28" spans="2:16" ht="12.5">
      <c r="B28" s="9" t="str">
        <f t="shared" si="8"/>
        <v/>
      </c>
      <c r="C28" s="62">
        <f>IF(D11="","-",+C27+1)</f>
        <v>2028</v>
      </c>
      <c r="D28" s="71">
        <f>IF(F27+SUM(E$17:E27)=D$10,F27,D$10-SUM(E$17:E27))</f>
        <v>0</v>
      </c>
      <c r="E28" s="69">
        <f t="shared" si="3"/>
        <v>0</v>
      </c>
      <c r="F28" s="68">
        <f t="shared" si="4"/>
        <v>0</v>
      </c>
      <c r="G28" s="70">
        <f t="shared" si="5"/>
        <v>0</v>
      </c>
      <c r="H28" s="52">
        <f t="shared" si="6"/>
        <v>0</v>
      </c>
      <c r="I28" s="65">
        <f t="shared" si="7"/>
        <v>0</v>
      </c>
      <c r="J28" s="65"/>
      <c r="K28" s="132"/>
      <c r="L28" s="67">
        <f t="shared" si="0"/>
        <v>0</v>
      </c>
      <c r="M28" s="132"/>
      <c r="N28" s="67">
        <f t="shared" si="1"/>
        <v>0</v>
      </c>
      <c r="O28" s="67">
        <f t="shared" si="2"/>
        <v>0</v>
      </c>
      <c r="P28" s="4"/>
    </row>
    <row r="29" spans="2:16" ht="12.5">
      <c r="B29" s="9" t="str">
        <f t="shared" si="8"/>
        <v/>
      </c>
      <c r="C29" s="62">
        <f>IF(D11="","-",+C28+1)</f>
        <v>2029</v>
      </c>
      <c r="D29" s="71">
        <f>IF(F28+SUM(E$17:E28)=D$10,F28,D$10-SUM(E$17:E28))</f>
        <v>0</v>
      </c>
      <c r="E29" s="69">
        <f t="shared" si="3"/>
        <v>0</v>
      </c>
      <c r="F29" s="68">
        <f t="shared" si="4"/>
        <v>0</v>
      </c>
      <c r="G29" s="70">
        <f t="shared" si="5"/>
        <v>0</v>
      </c>
      <c r="H29" s="52">
        <f t="shared" si="6"/>
        <v>0</v>
      </c>
      <c r="I29" s="65">
        <f t="shared" si="7"/>
        <v>0</v>
      </c>
      <c r="J29" s="65"/>
      <c r="K29" s="132"/>
      <c r="L29" s="67">
        <f t="shared" si="0"/>
        <v>0</v>
      </c>
      <c r="M29" s="132"/>
      <c r="N29" s="67">
        <f t="shared" si="1"/>
        <v>0</v>
      </c>
      <c r="O29" s="67">
        <f t="shared" si="2"/>
        <v>0</v>
      </c>
      <c r="P29" s="4"/>
    </row>
    <row r="30" spans="2:16" ht="12.5">
      <c r="B30" s="9" t="str">
        <f t="shared" si="8"/>
        <v/>
      </c>
      <c r="C30" s="62">
        <f>IF(D11="","-",+C29+1)</f>
        <v>2030</v>
      </c>
      <c r="D30" s="71">
        <f>IF(F29+SUM(E$17:E29)=D$10,F29,D$10-SUM(E$17:E29))</f>
        <v>0</v>
      </c>
      <c r="E30" s="69">
        <f t="shared" si="3"/>
        <v>0</v>
      </c>
      <c r="F30" s="68">
        <f t="shared" si="4"/>
        <v>0</v>
      </c>
      <c r="G30" s="70">
        <f t="shared" si="5"/>
        <v>0</v>
      </c>
      <c r="H30" s="52">
        <f t="shared" si="6"/>
        <v>0</v>
      </c>
      <c r="I30" s="65">
        <f t="shared" si="7"/>
        <v>0</v>
      </c>
      <c r="J30" s="65"/>
      <c r="K30" s="132"/>
      <c r="L30" s="67">
        <f t="shared" si="0"/>
        <v>0</v>
      </c>
      <c r="M30" s="132"/>
      <c r="N30" s="67">
        <f t="shared" si="1"/>
        <v>0</v>
      </c>
      <c r="O30" s="67">
        <f t="shared" si="2"/>
        <v>0</v>
      </c>
      <c r="P30" s="4"/>
    </row>
    <row r="31" spans="2:16" ht="12.5">
      <c r="B31" s="9" t="str">
        <f t="shared" si="8"/>
        <v/>
      </c>
      <c r="C31" s="62">
        <f>IF(D11="","-",+C30+1)</f>
        <v>2031</v>
      </c>
      <c r="D31" s="71">
        <f>IF(F30+SUM(E$17:E30)=D$10,F30,D$10-SUM(E$17:E30))</f>
        <v>0</v>
      </c>
      <c r="E31" s="69">
        <f t="shared" si="3"/>
        <v>0</v>
      </c>
      <c r="F31" s="68">
        <f t="shared" si="4"/>
        <v>0</v>
      </c>
      <c r="G31" s="70">
        <f t="shared" si="5"/>
        <v>0</v>
      </c>
      <c r="H31" s="52">
        <f t="shared" si="6"/>
        <v>0</v>
      </c>
      <c r="I31" s="65">
        <f t="shared" si="7"/>
        <v>0</v>
      </c>
      <c r="J31" s="65"/>
      <c r="K31" s="132"/>
      <c r="L31" s="67">
        <f t="shared" si="0"/>
        <v>0</v>
      </c>
      <c r="M31" s="132"/>
      <c r="N31" s="67">
        <f t="shared" si="1"/>
        <v>0</v>
      </c>
      <c r="O31" s="67">
        <f t="shared" si="2"/>
        <v>0</v>
      </c>
      <c r="P31" s="4"/>
    </row>
    <row r="32" spans="2:16" ht="12.5">
      <c r="B32" s="9" t="str">
        <f t="shared" si="8"/>
        <v/>
      </c>
      <c r="C32" s="62">
        <f>IF(D11="","-",+C31+1)</f>
        <v>2032</v>
      </c>
      <c r="D32" s="71">
        <f>IF(F31+SUM(E$17:E31)=D$10,F31,D$10-SUM(E$17:E31))</f>
        <v>0</v>
      </c>
      <c r="E32" s="69">
        <f t="shared" si="3"/>
        <v>0</v>
      </c>
      <c r="F32" s="68">
        <f t="shared" si="4"/>
        <v>0</v>
      </c>
      <c r="G32" s="70">
        <f t="shared" si="5"/>
        <v>0</v>
      </c>
      <c r="H32" s="52">
        <f t="shared" si="6"/>
        <v>0</v>
      </c>
      <c r="I32" s="65">
        <f t="shared" si="7"/>
        <v>0</v>
      </c>
      <c r="J32" s="65"/>
      <c r="K32" s="132"/>
      <c r="L32" s="67">
        <f t="shared" si="0"/>
        <v>0</v>
      </c>
      <c r="M32" s="132"/>
      <c r="N32" s="67">
        <f t="shared" si="1"/>
        <v>0</v>
      </c>
      <c r="O32" s="67">
        <f t="shared" si="2"/>
        <v>0</v>
      </c>
      <c r="P32" s="4"/>
    </row>
    <row r="33" spans="2:16" ht="12.5">
      <c r="B33" s="9" t="str">
        <f t="shared" si="8"/>
        <v/>
      </c>
      <c r="C33" s="62">
        <f>IF(D11="","-",+C32+1)</f>
        <v>2033</v>
      </c>
      <c r="D33" s="71">
        <f>IF(F32+SUM(E$17:E32)=D$10,F32,D$10-SUM(E$17:E32))</f>
        <v>0</v>
      </c>
      <c r="E33" s="69">
        <f t="shared" si="3"/>
        <v>0</v>
      </c>
      <c r="F33" s="68">
        <f t="shared" si="4"/>
        <v>0</v>
      </c>
      <c r="G33" s="70">
        <f t="shared" si="5"/>
        <v>0</v>
      </c>
      <c r="H33" s="52">
        <f t="shared" si="6"/>
        <v>0</v>
      </c>
      <c r="I33" s="65">
        <f t="shared" si="7"/>
        <v>0</v>
      </c>
      <c r="J33" s="65"/>
      <c r="K33" s="132"/>
      <c r="L33" s="67">
        <f t="shared" si="0"/>
        <v>0</v>
      </c>
      <c r="M33" s="132"/>
      <c r="N33" s="67">
        <f t="shared" si="1"/>
        <v>0</v>
      </c>
      <c r="O33" s="67">
        <f t="shared" si="2"/>
        <v>0</v>
      </c>
      <c r="P33" s="4"/>
    </row>
    <row r="34" spans="2:16" ht="12.5">
      <c r="B34" s="9" t="str">
        <f t="shared" si="8"/>
        <v/>
      </c>
      <c r="C34" s="62">
        <f>IF(D11="","-",+C33+1)</f>
        <v>2034</v>
      </c>
      <c r="D34" s="71">
        <f>IF(F33+SUM(E$17:E33)=D$10,F33,D$10-SUM(E$17:E33))</f>
        <v>0</v>
      </c>
      <c r="E34" s="69">
        <f t="shared" si="3"/>
        <v>0</v>
      </c>
      <c r="F34" s="68">
        <f t="shared" si="4"/>
        <v>0</v>
      </c>
      <c r="G34" s="70">
        <f t="shared" si="5"/>
        <v>0</v>
      </c>
      <c r="H34" s="52">
        <f t="shared" si="6"/>
        <v>0</v>
      </c>
      <c r="I34" s="65">
        <f t="shared" si="7"/>
        <v>0</v>
      </c>
      <c r="J34" s="65"/>
      <c r="K34" s="132"/>
      <c r="L34" s="67">
        <f t="shared" si="0"/>
        <v>0</v>
      </c>
      <c r="M34" s="132"/>
      <c r="N34" s="67">
        <f t="shared" si="1"/>
        <v>0</v>
      </c>
      <c r="O34" s="67">
        <f t="shared" si="2"/>
        <v>0</v>
      </c>
      <c r="P34" s="4"/>
    </row>
    <row r="35" spans="2:16" ht="12.5">
      <c r="B35" s="9" t="str">
        <f t="shared" si="8"/>
        <v/>
      </c>
      <c r="C35" s="62">
        <f>IF(D11="","-",+C34+1)</f>
        <v>2035</v>
      </c>
      <c r="D35" s="71">
        <f>IF(F34+SUM(E$17:E34)=D$10,F34,D$10-SUM(E$17:E34))</f>
        <v>0</v>
      </c>
      <c r="E35" s="69">
        <f t="shared" si="3"/>
        <v>0</v>
      </c>
      <c r="F35" s="68">
        <f t="shared" si="4"/>
        <v>0</v>
      </c>
      <c r="G35" s="70">
        <f t="shared" si="5"/>
        <v>0</v>
      </c>
      <c r="H35" s="52">
        <f t="shared" si="6"/>
        <v>0</v>
      </c>
      <c r="I35" s="65">
        <f t="shared" si="7"/>
        <v>0</v>
      </c>
      <c r="J35" s="65"/>
      <c r="K35" s="132"/>
      <c r="L35" s="67">
        <f t="shared" si="0"/>
        <v>0</v>
      </c>
      <c r="M35" s="132"/>
      <c r="N35" s="67">
        <f t="shared" si="1"/>
        <v>0</v>
      </c>
      <c r="O35" s="67">
        <f t="shared" si="2"/>
        <v>0</v>
      </c>
      <c r="P35" s="4"/>
    </row>
    <row r="36" spans="2:16" ht="12.5">
      <c r="B36" s="9" t="str">
        <f t="shared" si="8"/>
        <v/>
      </c>
      <c r="C36" s="62">
        <f>IF(D11="","-",+C35+1)</f>
        <v>2036</v>
      </c>
      <c r="D36" s="71">
        <f>IF(F35+SUM(E$17:E35)=D$10,F35,D$10-SUM(E$17:E35))</f>
        <v>0</v>
      </c>
      <c r="E36" s="69">
        <f t="shared" si="3"/>
        <v>0</v>
      </c>
      <c r="F36" s="68">
        <f t="shared" si="4"/>
        <v>0</v>
      </c>
      <c r="G36" s="70">
        <f t="shared" si="5"/>
        <v>0</v>
      </c>
      <c r="H36" s="52">
        <f t="shared" si="6"/>
        <v>0</v>
      </c>
      <c r="I36" s="65">
        <f t="shared" si="7"/>
        <v>0</v>
      </c>
      <c r="J36" s="65"/>
      <c r="K36" s="132"/>
      <c r="L36" s="67">
        <f t="shared" si="0"/>
        <v>0</v>
      </c>
      <c r="M36" s="132"/>
      <c r="N36" s="67">
        <f t="shared" si="1"/>
        <v>0</v>
      </c>
      <c r="O36" s="67">
        <f t="shared" si="2"/>
        <v>0</v>
      </c>
      <c r="P36" s="4"/>
    </row>
    <row r="37" spans="2:16" ht="12.5">
      <c r="B37" s="9" t="str">
        <f t="shared" si="8"/>
        <v/>
      </c>
      <c r="C37" s="62">
        <f>IF(D11="","-",+C36+1)</f>
        <v>2037</v>
      </c>
      <c r="D37" s="71">
        <f>IF(F36+SUM(E$17:E36)=D$10,F36,D$10-SUM(E$17:E36))</f>
        <v>0</v>
      </c>
      <c r="E37" s="69">
        <f t="shared" si="3"/>
        <v>0</v>
      </c>
      <c r="F37" s="68">
        <f t="shared" si="4"/>
        <v>0</v>
      </c>
      <c r="G37" s="70">
        <f t="shared" si="5"/>
        <v>0</v>
      </c>
      <c r="H37" s="52">
        <f t="shared" si="6"/>
        <v>0</v>
      </c>
      <c r="I37" s="65">
        <f t="shared" si="7"/>
        <v>0</v>
      </c>
      <c r="J37" s="65"/>
      <c r="K37" s="132"/>
      <c r="L37" s="67">
        <f t="shared" si="0"/>
        <v>0</v>
      </c>
      <c r="M37" s="132"/>
      <c r="N37" s="67">
        <f t="shared" si="1"/>
        <v>0</v>
      </c>
      <c r="O37" s="67">
        <f t="shared" si="2"/>
        <v>0</v>
      </c>
      <c r="P37" s="4"/>
    </row>
    <row r="38" spans="2:16" ht="12.5">
      <c r="B38" s="9" t="str">
        <f t="shared" si="8"/>
        <v/>
      </c>
      <c r="C38" s="62">
        <f>IF(D11="","-",+C37+1)</f>
        <v>2038</v>
      </c>
      <c r="D38" s="71">
        <f>IF(F37+SUM(E$17:E37)=D$10,F37,D$10-SUM(E$17:E37))</f>
        <v>0</v>
      </c>
      <c r="E38" s="69">
        <f t="shared" si="3"/>
        <v>0</v>
      </c>
      <c r="F38" s="68">
        <f t="shared" si="4"/>
        <v>0</v>
      </c>
      <c r="G38" s="70">
        <f t="shared" si="5"/>
        <v>0</v>
      </c>
      <c r="H38" s="52">
        <f t="shared" si="6"/>
        <v>0</v>
      </c>
      <c r="I38" s="65">
        <f t="shared" si="7"/>
        <v>0</v>
      </c>
      <c r="J38" s="65"/>
      <c r="K38" s="132"/>
      <c r="L38" s="67">
        <f t="shared" si="0"/>
        <v>0</v>
      </c>
      <c r="M38" s="132"/>
      <c r="N38" s="67">
        <f t="shared" si="1"/>
        <v>0</v>
      </c>
      <c r="O38" s="67">
        <f t="shared" si="2"/>
        <v>0</v>
      </c>
      <c r="P38" s="4"/>
    </row>
    <row r="39" spans="2:16" ht="12.5">
      <c r="B39" s="9" t="str">
        <f t="shared" si="8"/>
        <v/>
      </c>
      <c r="C39" s="62">
        <f>IF(D11="","-",+C38+1)</f>
        <v>2039</v>
      </c>
      <c r="D39" s="71">
        <f>IF(F38+SUM(E$17:E38)=D$10,F38,D$10-SUM(E$17:E38))</f>
        <v>0</v>
      </c>
      <c r="E39" s="69">
        <f t="shared" si="3"/>
        <v>0</v>
      </c>
      <c r="F39" s="68">
        <f t="shared" si="4"/>
        <v>0</v>
      </c>
      <c r="G39" s="70">
        <f t="shared" si="5"/>
        <v>0</v>
      </c>
      <c r="H39" s="52">
        <f t="shared" si="6"/>
        <v>0</v>
      </c>
      <c r="I39" s="65">
        <f t="shared" si="7"/>
        <v>0</v>
      </c>
      <c r="J39" s="65"/>
      <c r="K39" s="132"/>
      <c r="L39" s="67">
        <f t="shared" si="0"/>
        <v>0</v>
      </c>
      <c r="M39" s="132"/>
      <c r="N39" s="67">
        <f t="shared" si="1"/>
        <v>0</v>
      </c>
      <c r="O39" s="67">
        <f t="shared" si="2"/>
        <v>0</v>
      </c>
      <c r="P39" s="4"/>
    </row>
    <row r="40" spans="2:16" ht="12.5">
      <c r="B40" s="9" t="str">
        <f t="shared" si="8"/>
        <v/>
      </c>
      <c r="C40" s="62">
        <f>IF(D11="","-",+C39+1)</f>
        <v>2040</v>
      </c>
      <c r="D40" s="71">
        <f>IF(F39+SUM(E$17:E39)=D$10,F39,D$10-SUM(E$17:E39))</f>
        <v>0</v>
      </c>
      <c r="E40" s="69">
        <f t="shared" si="3"/>
        <v>0</v>
      </c>
      <c r="F40" s="68">
        <f t="shared" si="4"/>
        <v>0</v>
      </c>
      <c r="G40" s="70">
        <f t="shared" si="5"/>
        <v>0</v>
      </c>
      <c r="H40" s="52">
        <f t="shared" si="6"/>
        <v>0</v>
      </c>
      <c r="I40" s="65">
        <f t="shared" si="7"/>
        <v>0</v>
      </c>
      <c r="J40" s="65"/>
      <c r="K40" s="132"/>
      <c r="L40" s="67">
        <f t="shared" si="0"/>
        <v>0</v>
      </c>
      <c r="M40" s="132"/>
      <c r="N40" s="67">
        <f t="shared" si="1"/>
        <v>0</v>
      </c>
      <c r="O40" s="67">
        <f t="shared" si="2"/>
        <v>0</v>
      </c>
      <c r="P40" s="4"/>
    </row>
    <row r="41" spans="2:16" ht="12.5">
      <c r="B41" s="9" t="str">
        <f t="shared" si="8"/>
        <v/>
      </c>
      <c r="C41" s="62">
        <f>IF(D11="","-",+C40+1)</f>
        <v>2041</v>
      </c>
      <c r="D41" s="71">
        <f>IF(F40+SUM(E$17:E40)=D$10,F40,D$10-SUM(E$17:E40))</f>
        <v>0</v>
      </c>
      <c r="E41" s="69">
        <f t="shared" si="3"/>
        <v>0</v>
      </c>
      <c r="F41" s="68">
        <f t="shared" si="4"/>
        <v>0</v>
      </c>
      <c r="G41" s="70">
        <f t="shared" si="5"/>
        <v>0</v>
      </c>
      <c r="H41" s="52">
        <f t="shared" si="6"/>
        <v>0</v>
      </c>
      <c r="I41" s="65">
        <f t="shared" si="7"/>
        <v>0</v>
      </c>
      <c r="J41" s="65"/>
      <c r="K41" s="132"/>
      <c r="L41" s="67">
        <f t="shared" si="0"/>
        <v>0</v>
      </c>
      <c r="M41" s="132"/>
      <c r="N41" s="67">
        <f t="shared" si="1"/>
        <v>0</v>
      </c>
      <c r="O41" s="67">
        <f t="shared" si="2"/>
        <v>0</v>
      </c>
      <c r="P41" s="4"/>
    </row>
    <row r="42" spans="2:16" ht="12.5">
      <c r="B42" s="9" t="str">
        <f t="shared" si="8"/>
        <v/>
      </c>
      <c r="C42" s="62">
        <f>IF(D11="","-",+C41+1)</f>
        <v>2042</v>
      </c>
      <c r="D42" s="71">
        <f>IF(F41+SUM(E$17:E41)=D$10,F41,D$10-SUM(E$17:E41))</f>
        <v>0</v>
      </c>
      <c r="E42" s="69">
        <f t="shared" si="3"/>
        <v>0</v>
      </c>
      <c r="F42" s="68">
        <f t="shared" si="4"/>
        <v>0</v>
      </c>
      <c r="G42" s="70">
        <f t="shared" si="5"/>
        <v>0</v>
      </c>
      <c r="H42" s="52">
        <f t="shared" si="6"/>
        <v>0</v>
      </c>
      <c r="I42" s="65">
        <f t="shared" si="7"/>
        <v>0</v>
      </c>
      <c r="J42" s="65"/>
      <c r="K42" s="132"/>
      <c r="L42" s="67">
        <f t="shared" si="0"/>
        <v>0</v>
      </c>
      <c r="M42" s="132"/>
      <c r="N42" s="67">
        <f t="shared" si="1"/>
        <v>0</v>
      </c>
      <c r="O42" s="67">
        <f t="shared" si="2"/>
        <v>0</v>
      </c>
      <c r="P42" s="4"/>
    </row>
    <row r="43" spans="2:16" ht="12.5">
      <c r="B43" s="9" t="str">
        <f t="shared" si="8"/>
        <v/>
      </c>
      <c r="C43" s="62">
        <f>IF(D11="","-",+C42+1)</f>
        <v>2043</v>
      </c>
      <c r="D43" s="71">
        <f>IF(F42+SUM(E$17:E42)=D$10,F42,D$10-SUM(E$17:E42))</f>
        <v>0</v>
      </c>
      <c r="E43" s="69">
        <f t="shared" si="3"/>
        <v>0</v>
      </c>
      <c r="F43" s="68">
        <f t="shared" si="4"/>
        <v>0</v>
      </c>
      <c r="G43" s="70">
        <f t="shared" si="5"/>
        <v>0</v>
      </c>
      <c r="H43" s="52">
        <f t="shared" si="6"/>
        <v>0</v>
      </c>
      <c r="I43" s="65">
        <f t="shared" si="7"/>
        <v>0</v>
      </c>
      <c r="J43" s="65"/>
      <c r="K43" s="132"/>
      <c r="L43" s="67">
        <f t="shared" si="0"/>
        <v>0</v>
      </c>
      <c r="M43" s="132"/>
      <c r="N43" s="67">
        <f t="shared" si="1"/>
        <v>0</v>
      </c>
      <c r="O43" s="67">
        <f t="shared" si="2"/>
        <v>0</v>
      </c>
      <c r="P43" s="4"/>
    </row>
    <row r="44" spans="2:16" ht="12.5">
      <c r="B44" s="9" t="str">
        <f t="shared" si="8"/>
        <v/>
      </c>
      <c r="C44" s="62">
        <f>IF(D11="","-",+C43+1)</f>
        <v>2044</v>
      </c>
      <c r="D44" s="71">
        <f>IF(F43+SUM(E$17:E43)=D$10,F43,D$10-SUM(E$17:E43))</f>
        <v>0</v>
      </c>
      <c r="E44" s="69">
        <f t="shared" si="3"/>
        <v>0</v>
      </c>
      <c r="F44" s="68">
        <f t="shared" si="4"/>
        <v>0</v>
      </c>
      <c r="G44" s="70">
        <f t="shared" si="5"/>
        <v>0</v>
      </c>
      <c r="H44" s="52">
        <f t="shared" si="6"/>
        <v>0</v>
      </c>
      <c r="I44" s="65">
        <f t="shared" si="7"/>
        <v>0</v>
      </c>
      <c r="J44" s="65"/>
      <c r="K44" s="132"/>
      <c r="L44" s="67">
        <f t="shared" si="0"/>
        <v>0</v>
      </c>
      <c r="M44" s="132"/>
      <c r="N44" s="67">
        <f t="shared" si="1"/>
        <v>0</v>
      </c>
      <c r="O44" s="67">
        <f t="shared" si="2"/>
        <v>0</v>
      </c>
      <c r="P44" s="4"/>
    </row>
    <row r="45" spans="2:16" ht="12.5">
      <c r="B45" s="9" t="str">
        <f t="shared" si="8"/>
        <v/>
      </c>
      <c r="C45" s="62">
        <f>IF(D11="","-",+C44+1)</f>
        <v>2045</v>
      </c>
      <c r="D45" s="71">
        <f>IF(F44+SUM(E$17:E44)=D$10,F44,D$10-SUM(E$17:E44))</f>
        <v>0</v>
      </c>
      <c r="E45" s="69">
        <f t="shared" si="3"/>
        <v>0</v>
      </c>
      <c r="F45" s="68">
        <f t="shared" si="4"/>
        <v>0</v>
      </c>
      <c r="G45" s="70">
        <f t="shared" si="5"/>
        <v>0</v>
      </c>
      <c r="H45" s="52">
        <f t="shared" si="6"/>
        <v>0</v>
      </c>
      <c r="I45" s="65">
        <f t="shared" si="7"/>
        <v>0</v>
      </c>
      <c r="J45" s="65"/>
      <c r="K45" s="132"/>
      <c r="L45" s="67">
        <f t="shared" si="0"/>
        <v>0</v>
      </c>
      <c r="M45" s="132"/>
      <c r="N45" s="67">
        <f t="shared" si="1"/>
        <v>0</v>
      </c>
      <c r="O45" s="67">
        <f t="shared" si="2"/>
        <v>0</v>
      </c>
      <c r="P45" s="4"/>
    </row>
    <row r="46" spans="2:16" ht="12.5">
      <c r="B46" s="9" t="str">
        <f t="shared" si="8"/>
        <v/>
      </c>
      <c r="C46" s="62">
        <f>IF(D11="","-",+C45+1)</f>
        <v>2046</v>
      </c>
      <c r="D46" s="71">
        <f>IF(F45+SUM(E$17:E45)=D$10,F45,D$10-SUM(E$17:E45))</f>
        <v>0</v>
      </c>
      <c r="E46" s="69">
        <f t="shared" si="3"/>
        <v>0</v>
      </c>
      <c r="F46" s="68">
        <f t="shared" si="4"/>
        <v>0</v>
      </c>
      <c r="G46" s="70">
        <f t="shared" si="5"/>
        <v>0</v>
      </c>
      <c r="H46" s="52">
        <f t="shared" si="6"/>
        <v>0</v>
      </c>
      <c r="I46" s="65">
        <f t="shared" si="7"/>
        <v>0</v>
      </c>
      <c r="J46" s="65"/>
      <c r="K46" s="132"/>
      <c r="L46" s="67">
        <f t="shared" si="0"/>
        <v>0</v>
      </c>
      <c r="M46" s="132"/>
      <c r="N46" s="67">
        <f t="shared" si="1"/>
        <v>0</v>
      </c>
      <c r="O46" s="67">
        <f t="shared" si="2"/>
        <v>0</v>
      </c>
      <c r="P46" s="4"/>
    </row>
    <row r="47" spans="2:16" ht="12.5">
      <c r="B47" s="9" t="str">
        <f t="shared" si="8"/>
        <v/>
      </c>
      <c r="C47" s="62">
        <f>IF(D11="","-",+C46+1)</f>
        <v>2047</v>
      </c>
      <c r="D47" s="71">
        <f>IF(F46+SUM(E$17:E46)=D$10,F46,D$10-SUM(E$17:E46))</f>
        <v>0</v>
      </c>
      <c r="E47" s="69">
        <f t="shared" si="3"/>
        <v>0</v>
      </c>
      <c r="F47" s="68">
        <f t="shared" si="4"/>
        <v>0</v>
      </c>
      <c r="G47" s="70">
        <f t="shared" si="5"/>
        <v>0</v>
      </c>
      <c r="H47" s="52">
        <f t="shared" si="6"/>
        <v>0</v>
      </c>
      <c r="I47" s="65">
        <f t="shared" si="7"/>
        <v>0</v>
      </c>
      <c r="J47" s="65"/>
      <c r="K47" s="132"/>
      <c r="L47" s="67">
        <f t="shared" si="0"/>
        <v>0</v>
      </c>
      <c r="M47" s="132"/>
      <c r="N47" s="67">
        <f t="shared" si="1"/>
        <v>0</v>
      </c>
      <c r="O47" s="67">
        <f t="shared" si="2"/>
        <v>0</v>
      </c>
      <c r="P47" s="4"/>
    </row>
    <row r="48" spans="2:16" ht="12.5">
      <c r="B48" s="9" t="str">
        <f t="shared" si="8"/>
        <v/>
      </c>
      <c r="C48" s="62">
        <f>IF(D11="","-",+C47+1)</f>
        <v>2048</v>
      </c>
      <c r="D48" s="71">
        <f>IF(F47+SUM(E$17:E47)=D$10,F47,D$10-SUM(E$17:E47))</f>
        <v>0</v>
      </c>
      <c r="E48" s="69">
        <f t="shared" si="3"/>
        <v>0</v>
      </c>
      <c r="F48" s="68">
        <f t="shared" si="4"/>
        <v>0</v>
      </c>
      <c r="G48" s="70">
        <f t="shared" si="5"/>
        <v>0</v>
      </c>
      <c r="H48" s="52">
        <f t="shared" si="6"/>
        <v>0</v>
      </c>
      <c r="I48" s="65">
        <f t="shared" si="7"/>
        <v>0</v>
      </c>
      <c r="J48" s="65"/>
      <c r="K48" s="132"/>
      <c r="L48" s="67">
        <f t="shared" si="0"/>
        <v>0</v>
      </c>
      <c r="M48" s="132"/>
      <c r="N48" s="67">
        <f t="shared" si="1"/>
        <v>0</v>
      </c>
      <c r="O48" s="67">
        <f t="shared" si="2"/>
        <v>0</v>
      </c>
      <c r="P48" s="4"/>
    </row>
    <row r="49" spans="2:16" ht="12.5">
      <c r="B49" s="9" t="str">
        <f t="shared" si="8"/>
        <v/>
      </c>
      <c r="C49" s="62">
        <f>IF(D11="","-",+C48+1)</f>
        <v>2049</v>
      </c>
      <c r="D49" s="71">
        <f>IF(F48+SUM(E$17:E48)=D$10,F48,D$10-SUM(E$17:E48))</f>
        <v>0</v>
      </c>
      <c r="E49" s="69">
        <f t="shared" si="3"/>
        <v>0</v>
      </c>
      <c r="F49" s="68">
        <f t="shared" si="4"/>
        <v>0</v>
      </c>
      <c r="G49" s="70">
        <f t="shared" si="5"/>
        <v>0</v>
      </c>
      <c r="H49" s="52">
        <f t="shared" si="6"/>
        <v>0</v>
      </c>
      <c r="I49" s="65">
        <f t="shared" si="7"/>
        <v>0</v>
      </c>
      <c r="J49" s="65"/>
      <c r="K49" s="132"/>
      <c r="L49" s="67">
        <f t="shared" ref="L49:L72" si="9">IF(K49&lt;&gt;0,+G49-K49,0)</f>
        <v>0</v>
      </c>
      <c r="M49" s="132"/>
      <c r="N49" s="67">
        <f t="shared" ref="N49:N72" si="10">IF(M49&lt;&gt;0,+H49-M49,0)</f>
        <v>0</v>
      </c>
      <c r="O49" s="67">
        <f t="shared" ref="O49:O72" si="11">+N49-L49</f>
        <v>0</v>
      </c>
      <c r="P49" s="4"/>
    </row>
    <row r="50" spans="2:16" ht="12.5">
      <c r="B50" s="9" t="str">
        <f t="shared" si="8"/>
        <v/>
      </c>
      <c r="C50" s="62">
        <f>IF(D11="","-",+C49+1)</f>
        <v>2050</v>
      </c>
      <c r="D50" s="71">
        <f>IF(F49+SUM(E$17:E49)=D$10,F49,D$10-SUM(E$17:E49))</f>
        <v>0</v>
      </c>
      <c r="E50" s="69">
        <f t="shared" si="3"/>
        <v>0</v>
      </c>
      <c r="F50" s="68">
        <f t="shared" si="4"/>
        <v>0</v>
      </c>
      <c r="G50" s="70">
        <f t="shared" si="5"/>
        <v>0</v>
      </c>
      <c r="H50" s="52">
        <f t="shared" si="6"/>
        <v>0</v>
      </c>
      <c r="I50" s="65">
        <f t="shared" si="7"/>
        <v>0</v>
      </c>
      <c r="J50" s="65"/>
      <c r="K50" s="132"/>
      <c r="L50" s="67">
        <f t="shared" si="9"/>
        <v>0</v>
      </c>
      <c r="M50" s="132"/>
      <c r="N50" s="67">
        <f t="shared" si="10"/>
        <v>0</v>
      </c>
      <c r="O50" s="67">
        <f t="shared" si="11"/>
        <v>0</v>
      </c>
      <c r="P50" s="4"/>
    </row>
    <row r="51" spans="2:16" ht="12.5">
      <c r="B51" s="9" t="str">
        <f t="shared" si="8"/>
        <v/>
      </c>
      <c r="C51" s="62">
        <f>IF(D11="","-",+C50+1)</f>
        <v>2051</v>
      </c>
      <c r="D51" s="71">
        <f>IF(F50+SUM(E$17:E50)=D$10,F50,D$10-SUM(E$17:E50))</f>
        <v>0</v>
      </c>
      <c r="E51" s="69">
        <f t="shared" si="3"/>
        <v>0</v>
      </c>
      <c r="F51" s="68">
        <f t="shared" si="4"/>
        <v>0</v>
      </c>
      <c r="G51" s="70">
        <f t="shared" si="5"/>
        <v>0</v>
      </c>
      <c r="H51" s="52">
        <f t="shared" si="6"/>
        <v>0</v>
      </c>
      <c r="I51" s="65">
        <f t="shared" si="7"/>
        <v>0</v>
      </c>
      <c r="J51" s="65"/>
      <c r="K51" s="132"/>
      <c r="L51" s="67">
        <f t="shared" si="9"/>
        <v>0</v>
      </c>
      <c r="M51" s="132"/>
      <c r="N51" s="67">
        <f t="shared" si="10"/>
        <v>0</v>
      </c>
      <c r="O51" s="67">
        <f t="shared" si="11"/>
        <v>0</v>
      </c>
      <c r="P51" s="4"/>
    </row>
    <row r="52" spans="2:16" ht="12.5">
      <c r="B52" s="9" t="str">
        <f t="shared" si="8"/>
        <v/>
      </c>
      <c r="C52" s="62">
        <f>IF(D11="","-",+C51+1)</f>
        <v>2052</v>
      </c>
      <c r="D52" s="71">
        <f>IF(F51+SUM(E$17:E51)=D$10,F51,D$10-SUM(E$17:E51))</f>
        <v>0</v>
      </c>
      <c r="E52" s="69">
        <f t="shared" si="3"/>
        <v>0</v>
      </c>
      <c r="F52" s="68">
        <f t="shared" si="4"/>
        <v>0</v>
      </c>
      <c r="G52" s="70">
        <f t="shared" si="5"/>
        <v>0</v>
      </c>
      <c r="H52" s="52">
        <f t="shared" si="6"/>
        <v>0</v>
      </c>
      <c r="I52" s="65">
        <f t="shared" si="7"/>
        <v>0</v>
      </c>
      <c r="J52" s="65"/>
      <c r="K52" s="132"/>
      <c r="L52" s="67">
        <f t="shared" si="9"/>
        <v>0</v>
      </c>
      <c r="M52" s="132"/>
      <c r="N52" s="67">
        <f t="shared" si="10"/>
        <v>0</v>
      </c>
      <c r="O52" s="67">
        <f t="shared" si="11"/>
        <v>0</v>
      </c>
      <c r="P52" s="4"/>
    </row>
    <row r="53" spans="2:16" ht="12.5">
      <c r="B53" s="9" t="str">
        <f t="shared" si="8"/>
        <v/>
      </c>
      <c r="C53" s="62">
        <f>IF(D11="","-",+C52+1)</f>
        <v>2053</v>
      </c>
      <c r="D53" s="71">
        <f>IF(F52+SUM(E$17:E52)=D$10,F52,D$10-SUM(E$17:E52))</f>
        <v>0</v>
      </c>
      <c r="E53" s="69">
        <f t="shared" si="3"/>
        <v>0</v>
      </c>
      <c r="F53" s="68">
        <f t="shared" si="4"/>
        <v>0</v>
      </c>
      <c r="G53" s="70">
        <f t="shared" si="5"/>
        <v>0</v>
      </c>
      <c r="H53" s="52">
        <f t="shared" si="6"/>
        <v>0</v>
      </c>
      <c r="I53" s="65">
        <f t="shared" si="7"/>
        <v>0</v>
      </c>
      <c r="J53" s="65"/>
      <c r="K53" s="132"/>
      <c r="L53" s="67">
        <f t="shared" si="9"/>
        <v>0</v>
      </c>
      <c r="M53" s="132"/>
      <c r="N53" s="67">
        <f t="shared" si="10"/>
        <v>0</v>
      </c>
      <c r="O53" s="67">
        <f t="shared" si="11"/>
        <v>0</v>
      </c>
      <c r="P53" s="4"/>
    </row>
    <row r="54" spans="2:16" ht="12.5">
      <c r="B54" s="9" t="str">
        <f t="shared" si="8"/>
        <v/>
      </c>
      <c r="C54" s="62">
        <f>IF(D11="","-",+C53+1)</f>
        <v>2054</v>
      </c>
      <c r="D54" s="71">
        <f>IF(F53+SUM(E$17:E53)=D$10,F53,D$10-SUM(E$17:E53))</f>
        <v>0</v>
      </c>
      <c r="E54" s="69">
        <f t="shared" si="3"/>
        <v>0</v>
      </c>
      <c r="F54" s="68">
        <f t="shared" si="4"/>
        <v>0</v>
      </c>
      <c r="G54" s="70">
        <f t="shared" si="5"/>
        <v>0</v>
      </c>
      <c r="H54" s="52">
        <f t="shared" si="6"/>
        <v>0</v>
      </c>
      <c r="I54" s="65">
        <f t="shared" si="7"/>
        <v>0</v>
      </c>
      <c r="J54" s="65"/>
      <c r="K54" s="132"/>
      <c r="L54" s="67">
        <f t="shared" si="9"/>
        <v>0</v>
      </c>
      <c r="M54" s="132"/>
      <c r="N54" s="67">
        <f t="shared" si="10"/>
        <v>0</v>
      </c>
      <c r="O54" s="67">
        <f t="shared" si="11"/>
        <v>0</v>
      </c>
      <c r="P54" s="4"/>
    </row>
    <row r="55" spans="2:16" ht="12.5">
      <c r="B55" s="9" t="str">
        <f t="shared" si="8"/>
        <v/>
      </c>
      <c r="C55" s="62">
        <f>IF(D11="","-",+C54+1)</f>
        <v>2055</v>
      </c>
      <c r="D55" s="71">
        <f>IF(F54+SUM(E$17:E54)=D$10,F54,D$10-SUM(E$17:E54))</f>
        <v>0</v>
      </c>
      <c r="E55" s="69">
        <f t="shared" si="3"/>
        <v>0</v>
      </c>
      <c r="F55" s="68">
        <f t="shared" si="4"/>
        <v>0</v>
      </c>
      <c r="G55" s="70">
        <f t="shared" si="5"/>
        <v>0</v>
      </c>
      <c r="H55" s="52">
        <f t="shared" si="6"/>
        <v>0</v>
      </c>
      <c r="I55" s="65">
        <f t="shared" si="7"/>
        <v>0</v>
      </c>
      <c r="J55" s="65"/>
      <c r="K55" s="132"/>
      <c r="L55" s="67">
        <f t="shared" si="9"/>
        <v>0</v>
      </c>
      <c r="M55" s="132"/>
      <c r="N55" s="67">
        <f t="shared" si="10"/>
        <v>0</v>
      </c>
      <c r="O55" s="67">
        <f t="shared" si="11"/>
        <v>0</v>
      </c>
      <c r="P55" s="4"/>
    </row>
    <row r="56" spans="2:16" ht="12.5">
      <c r="B56" s="9" t="str">
        <f t="shared" si="8"/>
        <v/>
      </c>
      <c r="C56" s="62">
        <f>IF(D11="","-",+C55+1)</f>
        <v>2056</v>
      </c>
      <c r="D56" s="71">
        <f>IF(F55+SUM(E$17:E55)=D$10,F55,D$10-SUM(E$17:E55))</f>
        <v>0</v>
      </c>
      <c r="E56" s="69">
        <f t="shared" si="3"/>
        <v>0</v>
      </c>
      <c r="F56" s="68">
        <f t="shared" si="4"/>
        <v>0</v>
      </c>
      <c r="G56" s="70">
        <f t="shared" si="5"/>
        <v>0</v>
      </c>
      <c r="H56" s="52">
        <f t="shared" si="6"/>
        <v>0</v>
      </c>
      <c r="I56" s="65">
        <f t="shared" si="7"/>
        <v>0</v>
      </c>
      <c r="J56" s="65"/>
      <c r="K56" s="132"/>
      <c r="L56" s="67">
        <f t="shared" si="9"/>
        <v>0</v>
      </c>
      <c r="M56" s="132"/>
      <c r="N56" s="67">
        <f t="shared" si="10"/>
        <v>0</v>
      </c>
      <c r="O56" s="67">
        <f t="shared" si="11"/>
        <v>0</v>
      </c>
      <c r="P56" s="4"/>
    </row>
    <row r="57" spans="2:16" ht="12.5">
      <c r="B57" s="9" t="str">
        <f t="shared" si="8"/>
        <v/>
      </c>
      <c r="C57" s="62">
        <f>IF(D11="","-",+C56+1)</f>
        <v>2057</v>
      </c>
      <c r="D57" s="71">
        <f>IF(F56+SUM(E$17:E56)=D$10,F56,D$10-SUM(E$17:E56))</f>
        <v>0</v>
      </c>
      <c r="E57" s="69">
        <f t="shared" si="3"/>
        <v>0</v>
      </c>
      <c r="F57" s="68">
        <f t="shared" si="4"/>
        <v>0</v>
      </c>
      <c r="G57" s="70">
        <f t="shared" si="5"/>
        <v>0</v>
      </c>
      <c r="H57" s="52">
        <f t="shared" si="6"/>
        <v>0</v>
      </c>
      <c r="I57" s="65">
        <f t="shared" si="7"/>
        <v>0</v>
      </c>
      <c r="J57" s="65"/>
      <c r="K57" s="132"/>
      <c r="L57" s="67">
        <f t="shared" si="9"/>
        <v>0</v>
      </c>
      <c r="M57" s="132"/>
      <c r="N57" s="67">
        <f t="shared" si="10"/>
        <v>0</v>
      </c>
      <c r="O57" s="67">
        <f t="shared" si="11"/>
        <v>0</v>
      </c>
      <c r="P57" s="4"/>
    </row>
    <row r="58" spans="2:16" ht="12.5">
      <c r="B58" s="9" t="str">
        <f t="shared" si="8"/>
        <v/>
      </c>
      <c r="C58" s="62">
        <f>IF(D11="","-",+C57+1)</f>
        <v>2058</v>
      </c>
      <c r="D58" s="71">
        <f>IF(F57+SUM(E$17:E57)=D$10,F57,D$10-SUM(E$17:E57))</f>
        <v>0</v>
      </c>
      <c r="E58" s="69">
        <f t="shared" si="3"/>
        <v>0</v>
      </c>
      <c r="F58" s="68">
        <f t="shared" si="4"/>
        <v>0</v>
      </c>
      <c r="G58" s="70">
        <f t="shared" si="5"/>
        <v>0</v>
      </c>
      <c r="H58" s="52">
        <f t="shared" si="6"/>
        <v>0</v>
      </c>
      <c r="I58" s="65">
        <f t="shared" si="7"/>
        <v>0</v>
      </c>
      <c r="J58" s="65"/>
      <c r="K58" s="132"/>
      <c r="L58" s="67">
        <f t="shared" si="9"/>
        <v>0</v>
      </c>
      <c r="M58" s="132"/>
      <c r="N58" s="67">
        <f t="shared" si="10"/>
        <v>0</v>
      </c>
      <c r="O58" s="67">
        <f t="shared" si="11"/>
        <v>0</v>
      </c>
      <c r="P58" s="4"/>
    </row>
    <row r="59" spans="2:16" ht="12.5">
      <c r="B59" s="9" t="str">
        <f t="shared" si="8"/>
        <v/>
      </c>
      <c r="C59" s="62">
        <f>IF(D11="","-",+C58+1)</f>
        <v>2059</v>
      </c>
      <c r="D59" s="71">
        <f>IF(F58+SUM(E$17:E58)=D$10,F58,D$10-SUM(E$17:E58))</f>
        <v>0</v>
      </c>
      <c r="E59" s="69">
        <f t="shared" si="3"/>
        <v>0</v>
      </c>
      <c r="F59" s="68">
        <f t="shared" si="4"/>
        <v>0</v>
      </c>
      <c r="G59" s="70">
        <f t="shared" si="5"/>
        <v>0</v>
      </c>
      <c r="H59" s="52">
        <f t="shared" si="6"/>
        <v>0</v>
      </c>
      <c r="I59" s="65">
        <f t="shared" si="7"/>
        <v>0</v>
      </c>
      <c r="J59" s="65"/>
      <c r="K59" s="132"/>
      <c r="L59" s="67">
        <f t="shared" si="9"/>
        <v>0</v>
      </c>
      <c r="M59" s="132"/>
      <c r="N59" s="67">
        <f t="shared" si="10"/>
        <v>0</v>
      </c>
      <c r="O59" s="67">
        <f t="shared" si="11"/>
        <v>0</v>
      </c>
      <c r="P59" s="4"/>
    </row>
    <row r="60" spans="2:16" ht="12.5">
      <c r="B60" s="9" t="str">
        <f t="shared" si="8"/>
        <v/>
      </c>
      <c r="C60" s="62">
        <f>IF(D11="","-",+C59+1)</f>
        <v>2060</v>
      </c>
      <c r="D60" s="71">
        <f>IF(F59+SUM(E$17:E59)=D$10,F59,D$10-SUM(E$17:E59))</f>
        <v>0</v>
      </c>
      <c r="E60" s="69">
        <f t="shared" si="3"/>
        <v>0</v>
      </c>
      <c r="F60" s="68">
        <f t="shared" si="4"/>
        <v>0</v>
      </c>
      <c r="G60" s="70">
        <f t="shared" si="5"/>
        <v>0</v>
      </c>
      <c r="H60" s="52">
        <f t="shared" si="6"/>
        <v>0</v>
      </c>
      <c r="I60" s="65">
        <f t="shared" si="7"/>
        <v>0</v>
      </c>
      <c r="J60" s="65"/>
      <c r="K60" s="132"/>
      <c r="L60" s="67">
        <f t="shared" si="9"/>
        <v>0</v>
      </c>
      <c r="M60" s="132"/>
      <c r="N60" s="67">
        <f t="shared" si="10"/>
        <v>0</v>
      </c>
      <c r="O60" s="67">
        <f t="shared" si="11"/>
        <v>0</v>
      </c>
      <c r="P60" s="4"/>
    </row>
    <row r="61" spans="2:16" ht="12.5">
      <c r="B61" s="9" t="str">
        <f t="shared" si="8"/>
        <v/>
      </c>
      <c r="C61" s="62">
        <f>IF(D11="","-",+C60+1)</f>
        <v>2061</v>
      </c>
      <c r="D61" s="71">
        <f>IF(F60+SUM(E$17:E60)=D$10,F60,D$10-SUM(E$17:E60))</f>
        <v>0</v>
      </c>
      <c r="E61" s="69">
        <f t="shared" si="3"/>
        <v>0</v>
      </c>
      <c r="F61" s="68">
        <f t="shared" si="4"/>
        <v>0</v>
      </c>
      <c r="G61" s="70">
        <f t="shared" si="5"/>
        <v>0</v>
      </c>
      <c r="H61" s="52">
        <f t="shared" si="6"/>
        <v>0</v>
      </c>
      <c r="I61" s="65">
        <f t="shared" si="7"/>
        <v>0</v>
      </c>
      <c r="J61" s="65"/>
      <c r="K61" s="132"/>
      <c r="L61" s="67">
        <f t="shared" si="9"/>
        <v>0</v>
      </c>
      <c r="M61" s="132"/>
      <c r="N61" s="67">
        <f t="shared" si="10"/>
        <v>0</v>
      </c>
      <c r="O61" s="67">
        <f t="shared" si="11"/>
        <v>0</v>
      </c>
      <c r="P61" s="4"/>
    </row>
    <row r="62" spans="2:16" ht="12.5">
      <c r="B62" s="9" t="str">
        <f t="shared" si="8"/>
        <v/>
      </c>
      <c r="C62" s="62">
        <f>IF(D11="","-",+C61+1)</f>
        <v>2062</v>
      </c>
      <c r="D62" s="71">
        <f>IF(F61+SUM(E$17:E61)=D$10,F61,D$10-SUM(E$17:E61))</f>
        <v>0</v>
      </c>
      <c r="E62" s="69">
        <f t="shared" si="3"/>
        <v>0</v>
      </c>
      <c r="F62" s="68">
        <f t="shared" si="4"/>
        <v>0</v>
      </c>
      <c r="G62" s="70">
        <f t="shared" si="5"/>
        <v>0</v>
      </c>
      <c r="H62" s="52">
        <f t="shared" si="6"/>
        <v>0</v>
      </c>
      <c r="I62" s="65">
        <f t="shared" si="7"/>
        <v>0</v>
      </c>
      <c r="J62" s="65"/>
      <c r="K62" s="132"/>
      <c r="L62" s="67">
        <f t="shared" si="9"/>
        <v>0</v>
      </c>
      <c r="M62" s="132"/>
      <c r="N62" s="67">
        <f t="shared" si="10"/>
        <v>0</v>
      </c>
      <c r="O62" s="67">
        <f t="shared" si="11"/>
        <v>0</v>
      </c>
      <c r="P62" s="4"/>
    </row>
    <row r="63" spans="2:16" ht="12.5">
      <c r="B63" s="9" t="str">
        <f t="shared" si="8"/>
        <v/>
      </c>
      <c r="C63" s="62">
        <f>IF(D11="","-",+C62+1)</f>
        <v>2063</v>
      </c>
      <c r="D63" s="71">
        <f>IF(F62+SUM(E$17:E62)=D$10,F62,D$10-SUM(E$17:E62))</f>
        <v>0</v>
      </c>
      <c r="E63" s="69">
        <f t="shared" si="3"/>
        <v>0</v>
      </c>
      <c r="F63" s="68">
        <f t="shared" si="4"/>
        <v>0</v>
      </c>
      <c r="G63" s="70">
        <f t="shared" si="5"/>
        <v>0</v>
      </c>
      <c r="H63" s="52">
        <f t="shared" si="6"/>
        <v>0</v>
      </c>
      <c r="I63" s="65">
        <f t="shared" si="7"/>
        <v>0</v>
      </c>
      <c r="J63" s="65"/>
      <c r="K63" s="132"/>
      <c r="L63" s="67">
        <f t="shared" si="9"/>
        <v>0</v>
      </c>
      <c r="M63" s="132"/>
      <c r="N63" s="67">
        <f t="shared" si="10"/>
        <v>0</v>
      </c>
      <c r="O63" s="67">
        <f t="shared" si="11"/>
        <v>0</v>
      </c>
      <c r="P63" s="4"/>
    </row>
    <row r="64" spans="2:16" ht="12.5">
      <c r="B64" s="9" t="str">
        <f t="shared" si="8"/>
        <v/>
      </c>
      <c r="C64" s="62">
        <f>IF(D11="","-",+C63+1)</f>
        <v>2064</v>
      </c>
      <c r="D64" s="71">
        <f>IF(F63+SUM(E$17:E63)=D$10,F63,D$10-SUM(E$17:E63))</f>
        <v>0</v>
      </c>
      <c r="E64" s="69">
        <f t="shared" si="3"/>
        <v>0</v>
      </c>
      <c r="F64" s="68">
        <f t="shared" si="4"/>
        <v>0</v>
      </c>
      <c r="G64" s="70">
        <f t="shared" si="5"/>
        <v>0</v>
      </c>
      <c r="H64" s="52">
        <f t="shared" si="6"/>
        <v>0</v>
      </c>
      <c r="I64" s="65">
        <f t="shared" si="7"/>
        <v>0</v>
      </c>
      <c r="J64" s="65"/>
      <c r="K64" s="132"/>
      <c r="L64" s="67">
        <f t="shared" si="9"/>
        <v>0</v>
      </c>
      <c r="M64" s="132"/>
      <c r="N64" s="67">
        <f t="shared" si="10"/>
        <v>0</v>
      </c>
      <c r="O64" s="67">
        <f t="shared" si="11"/>
        <v>0</v>
      </c>
      <c r="P64" s="4"/>
    </row>
    <row r="65" spans="2:16" ht="12.5">
      <c r="B65" s="9" t="str">
        <f t="shared" si="8"/>
        <v/>
      </c>
      <c r="C65" s="62">
        <f>IF(D11="","-",+C64+1)</f>
        <v>2065</v>
      </c>
      <c r="D65" s="71">
        <f>IF(F64+SUM(E$17:E64)=D$10,F64,D$10-SUM(E$17:E64))</f>
        <v>0</v>
      </c>
      <c r="E65" s="69">
        <f t="shared" si="3"/>
        <v>0</v>
      </c>
      <c r="F65" s="68">
        <f t="shared" si="4"/>
        <v>0</v>
      </c>
      <c r="G65" s="70">
        <f t="shared" si="5"/>
        <v>0</v>
      </c>
      <c r="H65" s="52">
        <f t="shared" si="6"/>
        <v>0</v>
      </c>
      <c r="I65" s="65">
        <f t="shared" si="7"/>
        <v>0</v>
      </c>
      <c r="J65" s="65"/>
      <c r="K65" s="132"/>
      <c r="L65" s="67">
        <f t="shared" si="9"/>
        <v>0</v>
      </c>
      <c r="M65" s="132"/>
      <c r="N65" s="67">
        <f t="shared" si="10"/>
        <v>0</v>
      </c>
      <c r="O65" s="67">
        <f t="shared" si="11"/>
        <v>0</v>
      </c>
      <c r="P65" s="4"/>
    </row>
    <row r="66" spans="2:16" ht="12.5">
      <c r="B66" s="9" t="str">
        <f t="shared" si="8"/>
        <v/>
      </c>
      <c r="C66" s="62">
        <f>IF(D11="","-",+C65+1)</f>
        <v>2066</v>
      </c>
      <c r="D66" s="71">
        <f>IF(F65+SUM(E$17:E65)=D$10,F65,D$10-SUM(E$17:E65))</f>
        <v>0</v>
      </c>
      <c r="E66" s="69">
        <f t="shared" si="3"/>
        <v>0</v>
      </c>
      <c r="F66" s="68">
        <f t="shared" si="4"/>
        <v>0</v>
      </c>
      <c r="G66" s="70">
        <f t="shared" si="5"/>
        <v>0</v>
      </c>
      <c r="H66" s="52">
        <f t="shared" si="6"/>
        <v>0</v>
      </c>
      <c r="I66" s="65">
        <f t="shared" si="7"/>
        <v>0</v>
      </c>
      <c r="J66" s="65"/>
      <c r="K66" s="132"/>
      <c r="L66" s="67">
        <f t="shared" si="9"/>
        <v>0</v>
      </c>
      <c r="M66" s="132"/>
      <c r="N66" s="67">
        <f t="shared" si="10"/>
        <v>0</v>
      </c>
      <c r="O66" s="67">
        <f t="shared" si="11"/>
        <v>0</v>
      </c>
      <c r="P66" s="4"/>
    </row>
    <row r="67" spans="2:16" ht="12.5">
      <c r="B67" s="9" t="str">
        <f t="shared" si="8"/>
        <v/>
      </c>
      <c r="C67" s="62">
        <f>IF(D11="","-",+C66+1)</f>
        <v>2067</v>
      </c>
      <c r="D67" s="71">
        <f>IF(F66+SUM(E$17:E66)=D$10,F66,D$10-SUM(E$17:E66))</f>
        <v>0</v>
      </c>
      <c r="E67" s="69">
        <f t="shared" si="3"/>
        <v>0</v>
      </c>
      <c r="F67" s="68">
        <f t="shared" si="4"/>
        <v>0</v>
      </c>
      <c r="G67" s="70">
        <f t="shared" si="5"/>
        <v>0</v>
      </c>
      <c r="H67" s="52">
        <f t="shared" si="6"/>
        <v>0</v>
      </c>
      <c r="I67" s="65">
        <f t="shared" si="7"/>
        <v>0</v>
      </c>
      <c r="J67" s="65"/>
      <c r="K67" s="132"/>
      <c r="L67" s="67">
        <f t="shared" si="9"/>
        <v>0</v>
      </c>
      <c r="M67" s="132"/>
      <c r="N67" s="67">
        <f t="shared" si="10"/>
        <v>0</v>
      </c>
      <c r="O67" s="67">
        <f t="shared" si="11"/>
        <v>0</v>
      </c>
      <c r="P67" s="4"/>
    </row>
    <row r="68" spans="2:16" ht="12.5">
      <c r="B68" s="9" t="str">
        <f t="shared" si="8"/>
        <v/>
      </c>
      <c r="C68" s="62">
        <f>IF(D11="","-",+C67+1)</f>
        <v>2068</v>
      </c>
      <c r="D68" s="71">
        <f>IF(F67+SUM(E$17:E67)=D$10,F67,D$10-SUM(E$17:E67))</f>
        <v>0</v>
      </c>
      <c r="E68" s="69">
        <f t="shared" si="3"/>
        <v>0</v>
      </c>
      <c r="F68" s="68">
        <f t="shared" si="4"/>
        <v>0</v>
      </c>
      <c r="G68" s="70">
        <f t="shared" si="5"/>
        <v>0</v>
      </c>
      <c r="H68" s="52">
        <f t="shared" si="6"/>
        <v>0</v>
      </c>
      <c r="I68" s="65">
        <f t="shared" si="7"/>
        <v>0</v>
      </c>
      <c r="J68" s="65"/>
      <c r="K68" s="132"/>
      <c r="L68" s="67">
        <f t="shared" si="9"/>
        <v>0</v>
      </c>
      <c r="M68" s="132"/>
      <c r="N68" s="67">
        <f t="shared" si="10"/>
        <v>0</v>
      </c>
      <c r="O68" s="67">
        <f t="shared" si="11"/>
        <v>0</v>
      </c>
      <c r="P68" s="4"/>
    </row>
    <row r="69" spans="2:16" ht="12.5">
      <c r="B69" s="9" t="str">
        <f t="shared" si="8"/>
        <v/>
      </c>
      <c r="C69" s="62">
        <f>IF(D11="","-",+C68+1)</f>
        <v>2069</v>
      </c>
      <c r="D69" s="71">
        <f>IF(F68+SUM(E$17:E68)=D$10,F68,D$10-SUM(E$17:E68))</f>
        <v>0</v>
      </c>
      <c r="E69" s="69">
        <f t="shared" si="3"/>
        <v>0</v>
      </c>
      <c r="F69" s="68">
        <f t="shared" si="4"/>
        <v>0</v>
      </c>
      <c r="G69" s="70">
        <f t="shared" si="5"/>
        <v>0</v>
      </c>
      <c r="H69" s="52">
        <f t="shared" si="6"/>
        <v>0</v>
      </c>
      <c r="I69" s="65">
        <f t="shared" si="7"/>
        <v>0</v>
      </c>
      <c r="J69" s="65"/>
      <c r="K69" s="132"/>
      <c r="L69" s="67">
        <f t="shared" si="9"/>
        <v>0</v>
      </c>
      <c r="M69" s="132"/>
      <c r="N69" s="67">
        <f t="shared" si="10"/>
        <v>0</v>
      </c>
      <c r="O69" s="67">
        <f t="shared" si="11"/>
        <v>0</v>
      </c>
      <c r="P69" s="4"/>
    </row>
    <row r="70" spans="2:16" ht="12.5">
      <c r="B70" s="9" t="str">
        <f t="shared" si="8"/>
        <v/>
      </c>
      <c r="C70" s="62">
        <f>IF(D11="","-",+C69+1)</f>
        <v>2070</v>
      </c>
      <c r="D70" s="71">
        <f>IF(F69+SUM(E$17:E69)=D$10,F69,D$10-SUM(E$17:E69))</f>
        <v>0</v>
      </c>
      <c r="E70" s="69">
        <f t="shared" si="3"/>
        <v>0</v>
      </c>
      <c r="F70" s="68">
        <f t="shared" si="4"/>
        <v>0</v>
      </c>
      <c r="G70" s="70">
        <f t="shared" si="5"/>
        <v>0</v>
      </c>
      <c r="H70" s="52">
        <f t="shared" si="6"/>
        <v>0</v>
      </c>
      <c r="I70" s="65">
        <f t="shared" si="7"/>
        <v>0</v>
      </c>
      <c r="J70" s="65"/>
      <c r="K70" s="132"/>
      <c r="L70" s="67">
        <f t="shared" si="9"/>
        <v>0</v>
      </c>
      <c r="M70" s="132"/>
      <c r="N70" s="67">
        <f t="shared" si="10"/>
        <v>0</v>
      </c>
      <c r="O70" s="67">
        <f t="shared" si="11"/>
        <v>0</v>
      </c>
      <c r="P70" s="4"/>
    </row>
    <row r="71" spans="2:16" ht="12.5">
      <c r="B71" s="9" t="str">
        <f t="shared" si="8"/>
        <v/>
      </c>
      <c r="C71" s="62">
        <f>IF(D11="","-",+C70+1)</f>
        <v>2071</v>
      </c>
      <c r="D71" s="71">
        <f>IF(F70+SUM(E$17:E70)=D$10,F70,D$10-SUM(E$17:E70))</f>
        <v>0</v>
      </c>
      <c r="E71" s="69">
        <f t="shared" si="3"/>
        <v>0</v>
      </c>
      <c r="F71" s="68">
        <f t="shared" si="4"/>
        <v>0</v>
      </c>
      <c r="G71" s="70">
        <f t="shared" si="5"/>
        <v>0</v>
      </c>
      <c r="H71" s="52">
        <f t="shared" si="6"/>
        <v>0</v>
      </c>
      <c r="I71" s="65">
        <f t="shared" si="7"/>
        <v>0</v>
      </c>
      <c r="J71" s="65"/>
      <c r="K71" s="132"/>
      <c r="L71" s="67">
        <f t="shared" si="9"/>
        <v>0</v>
      </c>
      <c r="M71" s="132"/>
      <c r="N71" s="67">
        <f t="shared" si="10"/>
        <v>0</v>
      </c>
      <c r="O71" s="67">
        <f t="shared" si="11"/>
        <v>0</v>
      </c>
      <c r="P71" s="4"/>
    </row>
    <row r="72" spans="2:16" ht="13" thickBot="1">
      <c r="B72" s="9" t="str">
        <f t="shared" si="8"/>
        <v/>
      </c>
      <c r="C72" s="72">
        <f>IF(D11="","-",+C71+1)</f>
        <v>2072</v>
      </c>
      <c r="D72" s="147">
        <f>IF(F71+SUM(E$17:E71)=D$10,F71,D$10-SUM(E$17:E71))</f>
        <v>0</v>
      </c>
      <c r="E72" s="74">
        <f>IF(+I$14&lt;F71,I$14,D72)</f>
        <v>0</v>
      </c>
      <c r="F72" s="73">
        <f>+D72-E72</f>
        <v>0</v>
      </c>
      <c r="G72" s="146">
        <f>(D72+F72)/2*I$12+E72</f>
        <v>0</v>
      </c>
      <c r="H72" s="35">
        <f>+(D72+F72)/2*I$13+E72</f>
        <v>0</v>
      </c>
      <c r="I72" s="75">
        <f>H72-G72</f>
        <v>0</v>
      </c>
      <c r="J72" s="65"/>
      <c r="K72" s="133"/>
      <c r="L72" s="76">
        <f t="shared" si="9"/>
        <v>0</v>
      </c>
      <c r="M72" s="133"/>
      <c r="N72" s="76">
        <f t="shared" si="10"/>
        <v>0</v>
      </c>
      <c r="O72" s="76">
        <f t="shared" si="11"/>
        <v>0</v>
      </c>
      <c r="P72" s="4"/>
    </row>
    <row r="73" spans="2:16" ht="12.5">
      <c r="C73" s="63" t="s">
        <v>77</v>
      </c>
      <c r="D73" s="20"/>
      <c r="E73" s="20">
        <f>SUM(E17:E72)</f>
        <v>0</v>
      </c>
      <c r="F73" s="20"/>
      <c r="G73" s="20">
        <f>SUM(G17:G72)</f>
        <v>0</v>
      </c>
      <c r="H73" s="20">
        <f>SUM(H17:H72)</f>
        <v>0</v>
      </c>
      <c r="I73" s="20">
        <f>SUM(I17:I72)</f>
        <v>0</v>
      </c>
      <c r="J73" s="20"/>
      <c r="K73" s="20"/>
      <c r="L73" s="20"/>
      <c r="M73" s="20"/>
      <c r="N73" s="20"/>
      <c r="O73" s="4"/>
      <c r="P73" s="4"/>
    </row>
    <row r="74" spans="2:16" ht="12.5">
      <c r="D74" s="2"/>
      <c r="E74" s="1"/>
      <c r="F74" s="1"/>
      <c r="G74" s="1"/>
      <c r="H74" s="3"/>
      <c r="I74" s="3"/>
      <c r="J74" s="20"/>
      <c r="K74" s="3"/>
      <c r="L74" s="3"/>
      <c r="M74" s="3"/>
      <c r="N74" s="3"/>
      <c r="O74" s="1"/>
      <c r="P74" s="1"/>
    </row>
    <row r="75" spans="2:16" ht="13">
      <c r="C75" s="77" t="s">
        <v>106</v>
      </c>
      <c r="D75" s="2"/>
      <c r="E75" s="1"/>
      <c r="F75" s="1"/>
      <c r="G75" s="1"/>
      <c r="H75" s="3"/>
      <c r="I75" s="3"/>
      <c r="J75" s="20"/>
      <c r="K75" s="3"/>
      <c r="L75" s="3"/>
      <c r="M75" s="3"/>
      <c r="N75" s="3"/>
      <c r="O75" s="1"/>
      <c r="P75" s="1"/>
    </row>
    <row r="76" spans="2:16" ht="13">
      <c r="C76" s="32" t="s">
        <v>78</v>
      </c>
      <c r="D76" s="2"/>
      <c r="E76" s="1"/>
      <c r="F76" s="1"/>
      <c r="G76" s="1"/>
      <c r="H76" s="3"/>
      <c r="I76" s="3"/>
      <c r="J76" s="20"/>
      <c r="K76" s="3"/>
      <c r="L76" s="3"/>
      <c r="M76" s="3"/>
      <c r="N76" s="3"/>
      <c r="O76" s="4"/>
      <c r="P76" s="4"/>
    </row>
    <row r="77" spans="2:16" ht="13">
      <c r="C77" s="32" t="s">
        <v>79</v>
      </c>
      <c r="D77" s="63"/>
      <c r="E77" s="63"/>
      <c r="F77" s="63"/>
      <c r="G77" s="20"/>
      <c r="H77" s="20"/>
      <c r="I77" s="78"/>
      <c r="J77" s="78"/>
      <c r="K77" s="78"/>
      <c r="L77" s="78"/>
      <c r="M77" s="78"/>
      <c r="N77" s="78"/>
      <c r="O77" s="4"/>
      <c r="P77" s="4"/>
    </row>
    <row r="78" spans="2:16" ht="13">
      <c r="C78" s="32"/>
      <c r="D78" s="63"/>
      <c r="E78" s="63"/>
      <c r="F78" s="63"/>
      <c r="G78" s="20"/>
      <c r="H78" s="20"/>
      <c r="I78" s="78"/>
      <c r="J78" s="78"/>
      <c r="K78" s="78"/>
      <c r="L78" s="78"/>
      <c r="M78" s="78"/>
      <c r="N78" s="78"/>
      <c r="O78" s="4"/>
      <c r="P78" s="1"/>
    </row>
    <row r="79" spans="2:16" ht="12.5">
      <c r="B79" s="1"/>
      <c r="C79" s="10"/>
      <c r="D79" s="2"/>
      <c r="E79" s="1"/>
      <c r="F79" s="18"/>
      <c r="G79" s="1"/>
      <c r="H79" s="3"/>
      <c r="I79" s="1"/>
      <c r="J79" s="4"/>
      <c r="K79" s="1"/>
      <c r="L79" s="1"/>
      <c r="M79" s="1"/>
      <c r="N79" s="1"/>
      <c r="O79" s="1"/>
      <c r="P79" s="1"/>
    </row>
    <row r="80" spans="2:16" ht="17.5">
      <c r="B80" s="1"/>
      <c r="C80" s="109"/>
      <c r="D80" s="2"/>
      <c r="E80" s="1"/>
      <c r="F80" s="18"/>
      <c r="G80" s="1"/>
      <c r="H80" s="3"/>
      <c r="I80" s="1"/>
      <c r="J80" s="4"/>
      <c r="K80" s="1"/>
      <c r="L80" s="1"/>
      <c r="M80" s="1"/>
      <c r="N80" s="1"/>
      <c r="P80" s="111" t="s">
        <v>144</v>
      </c>
    </row>
    <row r="81" spans="1:16" ht="12.5">
      <c r="B81" s="1"/>
      <c r="C81" s="10"/>
      <c r="D81" s="2"/>
      <c r="E81" s="1"/>
      <c r="F81" s="18"/>
      <c r="G81" s="1"/>
      <c r="H81" s="3"/>
      <c r="I81" s="1"/>
      <c r="J81" s="4"/>
      <c r="K81" s="1"/>
      <c r="L81" s="1"/>
      <c r="M81" s="1"/>
      <c r="N81" s="1"/>
      <c r="O81" s="1"/>
      <c r="P81" s="1"/>
    </row>
    <row r="82" spans="1:16" ht="12.5">
      <c r="B82" s="1"/>
      <c r="C82" s="10"/>
      <c r="D82" s="2"/>
      <c r="E82" s="1"/>
      <c r="F82" s="18"/>
      <c r="G82" s="1"/>
      <c r="H82" s="3"/>
      <c r="I82" s="1"/>
      <c r="J82" s="4"/>
      <c r="K82" s="1"/>
      <c r="L82" s="1"/>
      <c r="M82" s="1"/>
      <c r="N82" s="1"/>
      <c r="O82" s="1"/>
      <c r="P82" s="1"/>
    </row>
    <row r="83" spans="1:16" ht="20">
      <c r="A83" s="110" t="s">
        <v>146</v>
      </c>
      <c r="B83" s="1"/>
      <c r="C83" s="10"/>
      <c r="D83" s="2"/>
      <c r="E83" s="1"/>
      <c r="F83" s="15"/>
      <c r="G83" s="15"/>
      <c r="H83" s="1"/>
      <c r="I83" s="3"/>
      <c r="K83" s="7"/>
      <c r="L83" s="19"/>
      <c r="M83" s="19"/>
      <c r="P83" s="19" t="str">
        <f ca="1">P1</f>
        <v>PSO Project nk of 35</v>
      </c>
    </row>
    <row r="84" spans="1:16" ht="17.5">
      <c r="B84" s="1"/>
      <c r="C84" s="1"/>
      <c r="D84" s="2"/>
      <c r="E84" s="1"/>
      <c r="F84" s="1"/>
      <c r="G84" s="1"/>
      <c r="H84" s="1"/>
      <c r="I84" s="3"/>
      <c r="J84" s="1"/>
      <c r="K84" s="4"/>
      <c r="L84" s="1"/>
      <c r="M84" s="1"/>
      <c r="P84" s="117" t="s">
        <v>151</v>
      </c>
    </row>
    <row r="85" spans="1:16" ht="17.5" thickBot="1">
      <c r="B85" s="5" t="s">
        <v>42</v>
      </c>
      <c r="C85" s="80" t="s">
        <v>91</v>
      </c>
      <c r="D85" s="2"/>
      <c r="E85" s="1"/>
      <c r="F85" s="1"/>
      <c r="G85" s="1"/>
      <c r="H85" s="1"/>
      <c r="I85" s="3"/>
      <c r="J85" s="3"/>
      <c r="K85" s="20"/>
      <c r="L85" s="3"/>
      <c r="M85" s="3"/>
      <c r="N85" s="3"/>
      <c r="O85" s="20"/>
      <c r="P85" s="1"/>
    </row>
    <row r="86" spans="1:16" ht="16" thickBot="1">
      <c r="C86" s="13"/>
      <c r="D86" s="2"/>
      <c r="E86" s="1"/>
      <c r="F86" s="1"/>
      <c r="G86" s="1"/>
      <c r="H86" s="1"/>
      <c r="I86" s="3"/>
      <c r="J86" s="3"/>
      <c r="K86" s="20"/>
      <c r="L86" s="118">
        <f>+J92</f>
        <v>2024</v>
      </c>
      <c r="M86" s="119" t="s">
        <v>8</v>
      </c>
      <c r="N86" s="120" t="s">
        <v>153</v>
      </c>
      <c r="O86" s="121" t="s">
        <v>10</v>
      </c>
      <c r="P86" s="1"/>
    </row>
    <row r="87" spans="1:16" ht="15.5">
      <c r="C87" s="107" t="s">
        <v>44</v>
      </c>
      <c r="D87" s="2"/>
      <c r="E87" s="1"/>
      <c r="F87" s="1"/>
      <c r="G87" s="1"/>
      <c r="H87" s="22"/>
      <c r="I87" s="1" t="s">
        <v>45</v>
      </c>
      <c r="J87" s="1"/>
      <c r="K87" s="122"/>
      <c r="L87" s="123" t="s">
        <v>154</v>
      </c>
      <c r="M87" s="81">
        <f>IF(J92&lt;D11,0,VLOOKUP(J92,C17:O72,9))</f>
        <v>0</v>
      </c>
      <c r="N87" s="81">
        <f>IF(J92&lt;D11,0,VLOOKUP(J92,C17:O72,11))</f>
        <v>0</v>
      </c>
      <c r="O87" s="82">
        <f>+N87-M87</f>
        <v>0</v>
      </c>
      <c r="P87" s="1"/>
    </row>
    <row r="88" spans="1:16" ht="15.5">
      <c r="C88" s="8"/>
      <c r="D88" s="2"/>
      <c r="E88" s="1"/>
      <c r="F88" s="1"/>
      <c r="G88" s="1"/>
      <c r="H88" s="1"/>
      <c r="I88" s="27"/>
      <c r="J88" s="27"/>
      <c r="K88" s="124"/>
      <c r="L88" s="125" t="s">
        <v>155</v>
      </c>
      <c r="M88" s="83">
        <f>IF(J92&lt;D11,0,VLOOKUP(J92,C99:P154,6))</f>
        <v>0</v>
      </c>
      <c r="N88" s="83">
        <f>IF(J92&lt;D11,0,VLOOKUP(J92,C99:P154,7))</f>
        <v>0</v>
      </c>
      <c r="O88" s="84">
        <f>+N88-M88</f>
        <v>0</v>
      </c>
      <c r="P88" s="1"/>
    </row>
    <row r="89" spans="1:16" ht="13.5" thickBot="1">
      <c r="C89" s="32" t="s">
        <v>92</v>
      </c>
      <c r="D89" s="113" t="str">
        <f>+D7</f>
        <v>inset project name here</v>
      </c>
      <c r="E89" s="1"/>
      <c r="F89" s="1"/>
      <c r="G89" s="1"/>
      <c r="H89" s="1"/>
      <c r="I89" s="3"/>
      <c r="J89" s="3"/>
      <c r="K89" s="126"/>
      <c r="L89" s="127" t="s">
        <v>156</v>
      </c>
      <c r="M89" s="86">
        <f>+M88-M87</f>
        <v>0</v>
      </c>
      <c r="N89" s="86">
        <f>+N88-N87</f>
        <v>0</v>
      </c>
      <c r="O89" s="87">
        <f>+O88-O87</f>
        <v>0</v>
      </c>
      <c r="P89" s="1"/>
    </row>
    <row r="90" spans="1:16" ht="13.5" thickBot="1">
      <c r="C90" s="77"/>
      <c r="D90" s="79" t="str">
        <f>D8</f>
        <v>DOES NOT MEET SPP $100,000 MINIMUM INVESTMENT FOR REGIONAL BPU SHARING.</v>
      </c>
      <c r="E90" s="18"/>
      <c r="F90" s="18"/>
      <c r="G90" s="18"/>
      <c r="H90" s="37"/>
      <c r="I90" s="3"/>
      <c r="J90" s="3"/>
      <c r="K90" s="20"/>
      <c r="L90" s="3"/>
      <c r="M90" s="3"/>
      <c r="N90" s="3"/>
      <c r="O90" s="20"/>
      <c r="P90" s="1"/>
    </row>
    <row r="91" spans="1:16" ht="13.5" thickBot="1">
      <c r="A91" s="17"/>
      <c r="C91" s="88" t="s">
        <v>93</v>
      </c>
      <c r="D91" s="105">
        <f>+D9</f>
        <v>0</v>
      </c>
      <c r="E91" s="89"/>
      <c r="F91" s="89"/>
      <c r="G91" s="89"/>
      <c r="H91" s="89"/>
      <c r="I91" s="89"/>
      <c r="J91" s="89"/>
      <c r="K91" s="90"/>
      <c r="P91" s="42"/>
    </row>
    <row r="92" spans="1:16" ht="13">
      <c r="C92" s="145" t="s">
        <v>226</v>
      </c>
      <c r="D92" s="101">
        <f>IF(D11=I10,0,D10)</f>
        <v>0</v>
      </c>
      <c r="E92" s="10" t="s">
        <v>94</v>
      </c>
      <c r="H92" s="44"/>
      <c r="I92" s="44"/>
      <c r="J92" s="45">
        <f>+'PSO.WS.G.BPU.ATRR.True-up'!M16</f>
        <v>2024</v>
      </c>
      <c r="K92" s="41"/>
      <c r="L92" s="20" t="s">
        <v>95</v>
      </c>
      <c r="P92" s="4"/>
    </row>
    <row r="93" spans="1:16" ht="12.5">
      <c r="C93" s="46" t="s">
        <v>53</v>
      </c>
      <c r="D93" s="102">
        <v>2015</v>
      </c>
      <c r="E93" s="46" t="s">
        <v>54</v>
      </c>
      <c r="F93" s="44"/>
      <c r="G93" s="44"/>
      <c r="J93" s="48">
        <f>IF(H87="",0,'PSO.WS.G.BPU.ATRR.True-up'!$F$13)</f>
        <v>0</v>
      </c>
      <c r="K93" s="49"/>
      <c r="L93" t="str">
        <f>"          INPUT TRUE-UP ARR (WITH &amp; WITHOUT INCENTIVES) FROM EACH PRIOR YEAR"</f>
        <v xml:space="preserve">          INPUT TRUE-UP ARR (WITH &amp; WITHOUT INCENTIVES) FROM EACH PRIOR YEAR</v>
      </c>
      <c r="P93" s="4"/>
    </row>
    <row r="94" spans="1:16" ht="12.5">
      <c r="C94" s="46" t="s">
        <v>55</v>
      </c>
      <c r="D94" s="101">
        <f>IF(D11=I10,"",D12)</f>
        <v>4</v>
      </c>
      <c r="E94" s="46" t="s">
        <v>56</v>
      </c>
      <c r="F94" s="44"/>
      <c r="G94" s="44"/>
      <c r="J94" s="50">
        <f>'PSO.WS.G.BPU.ATRR.True-up'!$F$81</f>
        <v>0.13431870975736884</v>
      </c>
      <c r="K94" s="51"/>
      <c r="L94" t="s">
        <v>96</v>
      </c>
      <c r="P94" s="4"/>
    </row>
    <row r="95" spans="1:16" ht="12.5">
      <c r="C95" s="46" t="s">
        <v>58</v>
      </c>
      <c r="D95" s="48">
        <f>'PSO.WS.G.BPU.ATRR.True-up'!F$93</f>
        <v>38</v>
      </c>
      <c r="E95" s="46" t="s">
        <v>59</v>
      </c>
      <c r="F95" s="44"/>
      <c r="G95" s="44"/>
      <c r="J95" s="50">
        <f>IF(H87="",J94,'PSO.WS.G.BPU.ATRR.True-up'!$F$80)</f>
        <v>0.13431870975736884</v>
      </c>
      <c r="K95" s="11"/>
      <c r="L95" s="20" t="s">
        <v>60</v>
      </c>
      <c r="M95" s="11"/>
      <c r="N95" s="11"/>
      <c r="O95" s="11"/>
      <c r="P95" s="4"/>
    </row>
    <row r="96" spans="1:16" ht="13" thickBot="1">
      <c r="C96" s="46" t="s">
        <v>61</v>
      </c>
      <c r="D96" s="103" t="str">
        <f>+D14</f>
        <v>No</v>
      </c>
      <c r="E96" s="85" t="s">
        <v>63</v>
      </c>
      <c r="F96" s="91"/>
      <c r="G96" s="91"/>
      <c r="H96" s="92"/>
      <c r="I96" s="92"/>
      <c r="J96" s="35">
        <f>IF(D92=0,0,ROUND(D92/D95,0))</f>
        <v>0</v>
      </c>
      <c r="K96" s="20"/>
      <c r="L96" s="20"/>
      <c r="M96" s="20"/>
      <c r="N96" s="20"/>
      <c r="O96" s="20"/>
      <c r="P96" s="4"/>
    </row>
    <row r="97" spans="1:16" ht="39">
      <c r="A97" s="6"/>
      <c r="B97" s="6"/>
      <c r="C97" s="93" t="s">
        <v>50</v>
      </c>
      <c r="D97" s="94" t="s">
        <v>64</v>
      </c>
      <c r="E97" s="56" t="s">
        <v>65</v>
      </c>
      <c r="F97" s="56" t="s">
        <v>66</v>
      </c>
      <c r="G97" s="54" t="s">
        <v>97</v>
      </c>
      <c r="H97" s="144" t="s">
        <v>281</v>
      </c>
      <c r="I97" s="135" t="s">
        <v>282</v>
      </c>
      <c r="J97" s="93" t="s">
        <v>98</v>
      </c>
      <c r="K97" s="95"/>
      <c r="L97" s="56" t="s">
        <v>102</v>
      </c>
      <c r="M97" s="56" t="s">
        <v>99</v>
      </c>
      <c r="N97" s="56" t="s">
        <v>102</v>
      </c>
      <c r="O97" s="56" t="s">
        <v>99</v>
      </c>
      <c r="P97" s="56" t="s">
        <v>69</v>
      </c>
    </row>
    <row r="98" spans="1:16" ht="13.5" thickBot="1">
      <c r="C98" s="57" t="s">
        <v>70</v>
      </c>
      <c r="D98" s="96" t="s">
        <v>71</v>
      </c>
      <c r="E98" s="57" t="s">
        <v>72</v>
      </c>
      <c r="F98" s="57" t="s">
        <v>71</v>
      </c>
      <c r="G98" s="57" t="s">
        <v>71</v>
      </c>
      <c r="H98" s="128" t="s">
        <v>73</v>
      </c>
      <c r="I98" s="58" t="s">
        <v>74</v>
      </c>
      <c r="J98" s="59" t="s">
        <v>104</v>
      </c>
      <c r="K98" s="60"/>
      <c r="L98" s="61" t="s">
        <v>76</v>
      </c>
      <c r="M98" s="61" t="s">
        <v>76</v>
      </c>
      <c r="N98" s="61" t="s">
        <v>105</v>
      </c>
      <c r="O98" s="61" t="s">
        <v>105</v>
      </c>
      <c r="P98" s="61" t="s">
        <v>105</v>
      </c>
    </row>
    <row r="99" spans="1:16" ht="12.5">
      <c r="C99" s="62">
        <f>IF(D93= "","-",D93)</f>
        <v>2015</v>
      </c>
      <c r="D99" s="63">
        <v>0</v>
      </c>
      <c r="E99" s="70">
        <f>IF(OR(D11=I10,D92&lt;100000),0,J$96/12*(12-D94))</f>
        <v>0</v>
      </c>
      <c r="F99" s="68">
        <f>IF(D93=C99,+D92-E99,+D99-E99)</f>
        <v>0</v>
      </c>
      <c r="G99" s="97">
        <f>+(F99+D99)/2</f>
        <v>0</v>
      </c>
      <c r="H99" s="97">
        <f>+J$94*G99+E99</f>
        <v>0</v>
      </c>
      <c r="I99" s="97">
        <f>+J$95*G99+E99</f>
        <v>0</v>
      </c>
      <c r="J99" s="67">
        <f>+I99-H99</f>
        <v>0</v>
      </c>
      <c r="K99" s="67"/>
      <c r="L99" s="131"/>
      <c r="M99" s="66">
        <f t="shared" ref="M99:M130" si="12">IF(L99&lt;&gt;0,+H99-L99,0)</f>
        <v>0</v>
      </c>
      <c r="N99" s="131"/>
      <c r="O99" s="66">
        <f t="shared" ref="O99:O130" si="13">IF(N99&lt;&gt;0,+I99-N99,0)</f>
        <v>0</v>
      </c>
      <c r="P99" s="66">
        <f t="shared" ref="P99:P130" si="14">+O99-M99</f>
        <v>0</v>
      </c>
    </row>
    <row r="100" spans="1:16" ht="12.5">
      <c r="B100" s="9" t="str">
        <f>IF(D100=F99,"","IU")</f>
        <v/>
      </c>
      <c r="C100" s="62">
        <f>IF(D93="","-",+C99+1)</f>
        <v>2016</v>
      </c>
      <c r="D100" s="63">
        <f>IF(F99+SUM(E$99:E99)=D$92,F99,D$92-SUM(E$99:E99))</f>
        <v>0</v>
      </c>
      <c r="E100" s="69">
        <f>IF(+J$96&lt;F99,J$96,D100)</f>
        <v>0</v>
      </c>
      <c r="F100" s="68">
        <f>+D100-E100</f>
        <v>0</v>
      </c>
      <c r="G100" s="68">
        <f>+(F100+D100)/2</f>
        <v>0</v>
      </c>
      <c r="H100" s="130">
        <f t="shared" ref="H100:H154" si="15">+J$94*G100+E100</f>
        <v>0</v>
      </c>
      <c r="I100" s="139">
        <f t="shared" ref="I100:I154" si="16">+J$95*G100+E100</f>
        <v>0</v>
      </c>
      <c r="J100" s="67">
        <f t="shared" ref="J100:J130" si="17">+I100-H100</f>
        <v>0</v>
      </c>
      <c r="K100" s="67"/>
      <c r="L100" s="132"/>
      <c r="M100" s="67">
        <f t="shared" si="12"/>
        <v>0</v>
      </c>
      <c r="N100" s="132"/>
      <c r="O100" s="67">
        <f t="shared" si="13"/>
        <v>0</v>
      </c>
      <c r="P100" s="67">
        <f t="shared" si="14"/>
        <v>0</v>
      </c>
    </row>
    <row r="101" spans="1:16" ht="12.5">
      <c r="B101" s="9" t="str">
        <f t="shared" ref="B101:B154" si="18">IF(D101=F100,"","IU")</f>
        <v/>
      </c>
      <c r="C101" s="62">
        <f>IF(D93="","-",+C100+1)</f>
        <v>2017</v>
      </c>
      <c r="D101" s="63">
        <f>IF(F100+SUM(E$99:E100)=D$92,F100,D$92-SUM(E$99:E100))</f>
        <v>0</v>
      </c>
      <c r="E101" s="69">
        <f t="shared" ref="E101:E154" si="19">IF(+J$96&lt;F100,J$96,D101)</f>
        <v>0</v>
      </c>
      <c r="F101" s="68">
        <f t="shared" ref="F101:F154" si="20">+D101-E101</f>
        <v>0</v>
      </c>
      <c r="G101" s="68">
        <f t="shared" ref="G101:G154" si="21">+(F101+D101)/2</f>
        <v>0</v>
      </c>
      <c r="H101" s="130">
        <f t="shared" si="15"/>
        <v>0</v>
      </c>
      <c r="I101" s="139">
        <f t="shared" si="16"/>
        <v>0</v>
      </c>
      <c r="J101" s="67">
        <f t="shared" si="17"/>
        <v>0</v>
      </c>
      <c r="K101" s="67"/>
      <c r="L101" s="132"/>
      <c r="M101" s="67">
        <f t="shared" si="12"/>
        <v>0</v>
      </c>
      <c r="N101" s="132"/>
      <c r="O101" s="67">
        <f t="shared" si="13"/>
        <v>0</v>
      </c>
      <c r="P101" s="67">
        <f t="shared" si="14"/>
        <v>0</v>
      </c>
    </row>
    <row r="102" spans="1:16" ht="12.5">
      <c r="B102" s="9" t="str">
        <f t="shared" si="18"/>
        <v/>
      </c>
      <c r="C102" s="62">
        <f>IF(D93="","-",+C101+1)</f>
        <v>2018</v>
      </c>
      <c r="D102" s="63">
        <f>IF(F101+SUM(E$99:E101)=D$92,F101,D$92-SUM(E$99:E101))</f>
        <v>0</v>
      </c>
      <c r="E102" s="69">
        <f t="shared" si="19"/>
        <v>0</v>
      </c>
      <c r="F102" s="68">
        <f t="shared" si="20"/>
        <v>0</v>
      </c>
      <c r="G102" s="68">
        <f t="shared" si="21"/>
        <v>0</v>
      </c>
      <c r="H102" s="130">
        <f t="shared" si="15"/>
        <v>0</v>
      </c>
      <c r="I102" s="139">
        <f t="shared" si="16"/>
        <v>0</v>
      </c>
      <c r="J102" s="67">
        <f t="shared" si="17"/>
        <v>0</v>
      </c>
      <c r="K102" s="67"/>
      <c r="L102" s="132"/>
      <c r="M102" s="67">
        <f t="shared" si="12"/>
        <v>0</v>
      </c>
      <c r="N102" s="132"/>
      <c r="O102" s="67">
        <f t="shared" si="13"/>
        <v>0</v>
      </c>
      <c r="P102" s="67">
        <f t="shared" si="14"/>
        <v>0</v>
      </c>
    </row>
    <row r="103" spans="1:16" ht="12.5">
      <c r="B103" s="9" t="str">
        <f t="shared" si="18"/>
        <v/>
      </c>
      <c r="C103" s="62">
        <f>IF(D93="","-",+C102+1)</f>
        <v>2019</v>
      </c>
      <c r="D103" s="63">
        <f>IF(F102+SUM(E$99:E102)=D$92,F102,D$92-SUM(E$99:E102))</f>
        <v>0</v>
      </c>
      <c r="E103" s="69">
        <f t="shared" si="19"/>
        <v>0</v>
      </c>
      <c r="F103" s="68">
        <f t="shared" si="20"/>
        <v>0</v>
      </c>
      <c r="G103" s="68">
        <f t="shared" si="21"/>
        <v>0</v>
      </c>
      <c r="H103" s="130">
        <f t="shared" si="15"/>
        <v>0</v>
      </c>
      <c r="I103" s="139">
        <f t="shared" si="16"/>
        <v>0</v>
      </c>
      <c r="J103" s="67">
        <f t="shared" si="17"/>
        <v>0</v>
      </c>
      <c r="K103" s="67"/>
      <c r="L103" s="132"/>
      <c r="M103" s="67">
        <f t="shared" si="12"/>
        <v>0</v>
      </c>
      <c r="N103" s="132"/>
      <c r="O103" s="67">
        <f t="shared" si="13"/>
        <v>0</v>
      </c>
      <c r="P103" s="67">
        <f t="shared" si="14"/>
        <v>0</v>
      </c>
    </row>
    <row r="104" spans="1:16" ht="12.5">
      <c r="B104" s="9" t="str">
        <f t="shared" si="18"/>
        <v/>
      </c>
      <c r="C104" s="62">
        <f>IF(D93="","-",+C103+1)</f>
        <v>2020</v>
      </c>
      <c r="D104" s="63">
        <f>IF(F103+SUM(E$99:E103)=D$92,F103,D$92-SUM(E$99:E103))</f>
        <v>0</v>
      </c>
      <c r="E104" s="69">
        <f t="shared" si="19"/>
        <v>0</v>
      </c>
      <c r="F104" s="68">
        <f t="shared" si="20"/>
        <v>0</v>
      </c>
      <c r="G104" s="68">
        <f t="shared" si="21"/>
        <v>0</v>
      </c>
      <c r="H104" s="130">
        <f t="shared" si="15"/>
        <v>0</v>
      </c>
      <c r="I104" s="139">
        <f t="shared" si="16"/>
        <v>0</v>
      </c>
      <c r="J104" s="67">
        <f t="shared" si="17"/>
        <v>0</v>
      </c>
      <c r="K104" s="67"/>
      <c r="L104" s="132"/>
      <c r="M104" s="67">
        <f t="shared" si="12"/>
        <v>0</v>
      </c>
      <c r="N104" s="132"/>
      <c r="O104" s="67">
        <f t="shared" si="13"/>
        <v>0</v>
      </c>
      <c r="P104" s="67">
        <f t="shared" si="14"/>
        <v>0</v>
      </c>
    </row>
    <row r="105" spans="1:16" ht="12.5">
      <c r="B105" s="9" t="str">
        <f t="shared" si="18"/>
        <v/>
      </c>
      <c r="C105" s="62">
        <f>IF(D93="","-",+C104+1)</f>
        <v>2021</v>
      </c>
      <c r="D105" s="63">
        <f>IF(F104+SUM(E$99:E104)=D$92,F104,D$92-SUM(E$99:E104))</f>
        <v>0</v>
      </c>
      <c r="E105" s="69">
        <f t="shared" si="19"/>
        <v>0</v>
      </c>
      <c r="F105" s="68">
        <f t="shared" si="20"/>
        <v>0</v>
      </c>
      <c r="G105" s="68">
        <f t="shared" si="21"/>
        <v>0</v>
      </c>
      <c r="H105" s="130">
        <f t="shared" si="15"/>
        <v>0</v>
      </c>
      <c r="I105" s="139">
        <f t="shared" si="16"/>
        <v>0</v>
      </c>
      <c r="J105" s="67">
        <f t="shared" si="17"/>
        <v>0</v>
      </c>
      <c r="K105" s="67"/>
      <c r="L105" s="132"/>
      <c r="M105" s="67">
        <f t="shared" si="12"/>
        <v>0</v>
      </c>
      <c r="N105" s="132"/>
      <c r="O105" s="67">
        <f t="shared" si="13"/>
        <v>0</v>
      </c>
      <c r="P105" s="67">
        <f t="shared" si="14"/>
        <v>0</v>
      </c>
    </row>
    <row r="106" spans="1:16" ht="12.5">
      <c r="B106" s="9" t="str">
        <f t="shared" si="18"/>
        <v/>
      </c>
      <c r="C106" s="62">
        <f>IF(D93="","-",+C105+1)</f>
        <v>2022</v>
      </c>
      <c r="D106" s="63">
        <f>IF(F105+SUM(E$99:E105)=D$92,F105,D$92-SUM(E$99:E105))</f>
        <v>0</v>
      </c>
      <c r="E106" s="69">
        <f t="shared" si="19"/>
        <v>0</v>
      </c>
      <c r="F106" s="68">
        <f t="shared" si="20"/>
        <v>0</v>
      </c>
      <c r="G106" s="68">
        <f t="shared" si="21"/>
        <v>0</v>
      </c>
      <c r="H106" s="130">
        <f t="shared" si="15"/>
        <v>0</v>
      </c>
      <c r="I106" s="139">
        <f t="shared" si="16"/>
        <v>0</v>
      </c>
      <c r="J106" s="67">
        <f t="shared" si="17"/>
        <v>0</v>
      </c>
      <c r="K106" s="67"/>
      <c r="L106" s="132"/>
      <c r="M106" s="67">
        <f t="shared" si="12"/>
        <v>0</v>
      </c>
      <c r="N106" s="132"/>
      <c r="O106" s="67">
        <f t="shared" si="13"/>
        <v>0</v>
      </c>
      <c r="P106" s="67">
        <f t="shared" si="14"/>
        <v>0</v>
      </c>
    </row>
    <row r="107" spans="1:16" ht="12.5">
      <c r="B107" s="9" t="str">
        <f t="shared" si="18"/>
        <v/>
      </c>
      <c r="C107" s="62">
        <f>IF(D93="","-",+C106+1)</f>
        <v>2023</v>
      </c>
      <c r="D107" s="63">
        <f>IF(F106+SUM(E$99:E106)=D$92,F106,D$92-SUM(E$99:E106))</f>
        <v>0</v>
      </c>
      <c r="E107" s="69">
        <f t="shared" si="19"/>
        <v>0</v>
      </c>
      <c r="F107" s="68">
        <f t="shared" si="20"/>
        <v>0</v>
      </c>
      <c r="G107" s="68">
        <f t="shared" si="21"/>
        <v>0</v>
      </c>
      <c r="H107" s="130">
        <f t="shared" si="15"/>
        <v>0</v>
      </c>
      <c r="I107" s="139">
        <f t="shared" si="16"/>
        <v>0</v>
      </c>
      <c r="J107" s="67">
        <f t="shared" si="17"/>
        <v>0</v>
      </c>
      <c r="K107" s="67"/>
      <c r="L107" s="132"/>
      <c r="M107" s="67">
        <f t="shared" si="12"/>
        <v>0</v>
      </c>
      <c r="N107" s="132"/>
      <c r="O107" s="67">
        <f t="shared" si="13"/>
        <v>0</v>
      </c>
      <c r="P107" s="67">
        <f t="shared" si="14"/>
        <v>0</v>
      </c>
    </row>
    <row r="108" spans="1:16" ht="12.5">
      <c r="B108" s="9" t="str">
        <f t="shared" si="18"/>
        <v/>
      </c>
      <c r="C108" s="62">
        <f>IF(D93="","-",+C107+1)</f>
        <v>2024</v>
      </c>
      <c r="D108" s="63">
        <f>IF(F107+SUM(E$99:E107)=D$92,F107,D$92-SUM(E$99:E107))</f>
        <v>0</v>
      </c>
      <c r="E108" s="69">
        <f t="shared" si="19"/>
        <v>0</v>
      </c>
      <c r="F108" s="68">
        <f t="shared" si="20"/>
        <v>0</v>
      </c>
      <c r="G108" s="68">
        <f t="shared" si="21"/>
        <v>0</v>
      </c>
      <c r="H108" s="130">
        <f t="shared" si="15"/>
        <v>0</v>
      </c>
      <c r="I108" s="139">
        <f t="shared" si="16"/>
        <v>0</v>
      </c>
      <c r="J108" s="67">
        <f t="shared" si="17"/>
        <v>0</v>
      </c>
      <c r="K108" s="67"/>
      <c r="L108" s="132"/>
      <c r="M108" s="67">
        <f t="shared" si="12"/>
        <v>0</v>
      </c>
      <c r="N108" s="132"/>
      <c r="O108" s="67">
        <f t="shared" si="13"/>
        <v>0</v>
      </c>
      <c r="P108" s="67">
        <f t="shared" si="14"/>
        <v>0</v>
      </c>
    </row>
    <row r="109" spans="1:16" ht="12.5">
      <c r="B109" s="9" t="str">
        <f t="shared" si="18"/>
        <v/>
      </c>
      <c r="C109" s="62">
        <f>IF(D93="","-",+C108+1)</f>
        <v>2025</v>
      </c>
      <c r="D109" s="63">
        <f>IF(F108+SUM(E$99:E108)=D$92,F108,D$92-SUM(E$99:E108))</f>
        <v>0</v>
      </c>
      <c r="E109" s="69">
        <f t="shared" si="19"/>
        <v>0</v>
      </c>
      <c r="F109" s="68">
        <f t="shared" si="20"/>
        <v>0</v>
      </c>
      <c r="G109" s="68">
        <f t="shared" si="21"/>
        <v>0</v>
      </c>
      <c r="H109" s="130">
        <f t="shared" si="15"/>
        <v>0</v>
      </c>
      <c r="I109" s="139">
        <f t="shared" si="16"/>
        <v>0</v>
      </c>
      <c r="J109" s="67">
        <f t="shared" si="17"/>
        <v>0</v>
      </c>
      <c r="K109" s="67"/>
      <c r="L109" s="132"/>
      <c r="M109" s="67">
        <f t="shared" si="12"/>
        <v>0</v>
      </c>
      <c r="N109" s="132"/>
      <c r="O109" s="67">
        <f t="shared" si="13"/>
        <v>0</v>
      </c>
      <c r="P109" s="67">
        <f t="shared" si="14"/>
        <v>0</v>
      </c>
    </row>
    <row r="110" spans="1:16" ht="12.5">
      <c r="B110" s="9" t="str">
        <f t="shared" si="18"/>
        <v/>
      </c>
      <c r="C110" s="62">
        <f>IF(D93="","-",+C109+1)</f>
        <v>2026</v>
      </c>
      <c r="D110" s="63">
        <f>IF(F109+SUM(E$99:E109)=D$92,F109,D$92-SUM(E$99:E109))</f>
        <v>0</v>
      </c>
      <c r="E110" s="69">
        <f t="shared" si="19"/>
        <v>0</v>
      </c>
      <c r="F110" s="68">
        <f t="shared" si="20"/>
        <v>0</v>
      </c>
      <c r="G110" s="68">
        <f t="shared" si="21"/>
        <v>0</v>
      </c>
      <c r="H110" s="130">
        <f t="shared" si="15"/>
        <v>0</v>
      </c>
      <c r="I110" s="139">
        <f t="shared" si="16"/>
        <v>0</v>
      </c>
      <c r="J110" s="67">
        <f t="shared" si="17"/>
        <v>0</v>
      </c>
      <c r="K110" s="67"/>
      <c r="L110" s="132"/>
      <c r="M110" s="67">
        <f t="shared" si="12"/>
        <v>0</v>
      </c>
      <c r="N110" s="132"/>
      <c r="O110" s="67">
        <f t="shared" si="13"/>
        <v>0</v>
      </c>
      <c r="P110" s="67">
        <f t="shared" si="14"/>
        <v>0</v>
      </c>
    </row>
    <row r="111" spans="1:16" ht="12.5">
      <c r="B111" s="9" t="str">
        <f t="shared" si="18"/>
        <v/>
      </c>
      <c r="C111" s="62">
        <f>IF(D93="","-",+C110+1)</f>
        <v>2027</v>
      </c>
      <c r="D111" s="63">
        <f>IF(F110+SUM(E$99:E110)=D$92,F110,D$92-SUM(E$99:E110))</f>
        <v>0</v>
      </c>
      <c r="E111" s="69">
        <f t="shared" si="19"/>
        <v>0</v>
      </c>
      <c r="F111" s="68">
        <f t="shared" si="20"/>
        <v>0</v>
      </c>
      <c r="G111" s="68">
        <f t="shared" si="21"/>
        <v>0</v>
      </c>
      <c r="H111" s="130">
        <f t="shared" si="15"/>
        <v>0</v>
      </c>
      <c r="I111" s="139">
        <f t="shared" si="16"/>
        <v>0</v>
      </c>
      <c r="J111" s="67">
        <f t="shared" si="17"/>
        <v>0</v>
      </c>
      <c r="K111" s="67"/>
      <c r="L111" s="132"/>
      <c r="M111" s="67">
        <f t="shared" si="12"/>
        <v>0</v>
      </c>
      <c r="N111" s="132"/>
      <c r="O111" s="67">
        <f t="shared" si="13"/>
        <v>0</v>
      </c>
      <c r="P111" s="67">
        <f t="shared" si="14"/>
        <v>0</v>
      </c>
    </row>
    <row r="112" spans="1:16" ht="12.5">
      <c r="B112" s="9" t="str">
        <f t="shared" si="18"/>
        <v/>
      </c>
      <c r="C112" s="62">
        <f>IF(D93="","-",+C111+1)</f>
        <v>2028</v>
      </c>
      <c r="D112" s="63">
        <f>IF(F111+SUM(E$99:E111)=D$92,F111,D$92-SUM(E$99:E111))</f>
        <v>0</v>
      </c>
      <c r="E112" s="69">
        <f t="shared" si="19"/>
        <v>0</v>
      </c>
      <c r="F112" s="68">
        <f t="shared" si="20"/>
        <v>0</v>
      </c>
      <c r="G112" s="68">
        <f t="shared" si="21"/>
        <v>0</v>
      </c>
      <c r="H112" s="130">
        <f t="shared" si="15"/>
        <v>0</v>
      </c>
      <c r="I112" s="139">
        <f t="shared" si="16"/>
        <v>0</v>
      </c>
      <c r="J112" s="67">
        <f t="shared" si="17"/>
        <v>0</v>
      </c>
      <c r="K112" s="67"/>
      <c r="L112" s="132"/>
      <c r="M112" s="67">
        <f t="shared" si="12"/>
        <v>0</v>
      </c>
      <c r="N112" s="132"/>
      <c r="O112" s="67">
        <f t="shared" si="13"/>
        <v>0</v>
      </c>
      <c r="P112" s="67">
        <f t="shared" si="14"/>
        <v>0</v>
      </c>
    </row>
    <row r="113" spans="2:16" ht="12.5">
      <c r="B113" s="9" t="str">
        <f t="shared" si="18"/>
        <v/>
      </c>
      <c r="C113" s="62">
        <f>IF(D93="","-",+C112+1)</f>
        <v>2029</v>
      </c>
      <c r="D113" s="63">
        <f>IF(F112+SUM(E$99:E112)=D$92,F112,D$92-SUM(E$99:E112))</f>
        <v>0</v>
      </c>
      <c r="E113" s="69">
        <f t="shared" si="19"/>
        <v>0</v>
      </c>
      <c r="F113" s="68">
        <f t="shared" si="20"/>
        <v>0</v>
      </c>
      <c r="G113" s="68">
        <f t="shared" si="21"/>
        <v>0</v>
      </c>
      <c r="H113" s="130">
        <f t="shared" si="15"/>
        <v>0</v>
      </c>
      <c r="I113" s="139">
        <f t="shared" si="16"/>
        <v>0</v>
      </c>
      <c r="J113" s="67">
        <f t="shared" si="17"/>
        <v>0</v>
      </c>
      <c r="K113" s="67"/>
      <c r="L113" s="132"/>
      <c r="M113" s="67">
        <f t="shared" si="12"/>
        <v>0</v>
      </c>
      <c r="N113" s="132"/>
      <c r="O113" s="67">
        <f t="shared" si="13"/>
        <v>0</v>
      </c>
      <c r="P113" s="67">
        <f t="shared" si="14"/>
        <v>0</v>
      </c>
    </row>
    <row r="114" spans="2:16" ht="12.5">
      <c r="B114" s="9" t="str">
        <f t="shared" si="18"/>
        <v/>
      </c>
      <c r="C114" s="62">
        <f>IF(D93="","-",+C113+1)</f>
        <v>2030</v>
      </c>
      <c r="D114" s="63">
        <f>IF(F113+SUM(E$99:E113)=D$92,F113,D$92-SUM(E$99:E113))</f>
        <v>0</v>
      </c>
      <c r="E114" s="69">
        <f t="shared" si="19"/>
        <v>0</v>
      </c>
      <c r="F114" s="68">
        <f t="shared" si="20"/>
        <v>0</v>
      </c>
      <c r="G114" s="68">
        <f t="shared" si="21"/>
        <v>0</v>
      </c>
      <c r="H114" s="130">
        <f t="shared" si="15"/>
        <v>0</v>
      </c>
      <c r="I114" s="139">
        <f t="shared" si="16"/>
        <v>0</v>
      </c>
      <c r="J114" s="67">
        <f t="shared" si="17"/>
        <v>0</v>
      </c>
      <c r="K114" s="67"/>
      <c r="L114" s="132"/>
      <c r="M114" s="67">
        <f t="shared" si="12"/>
        <v>0</v>
      </c>
      <c r="N114" s="132"/>
      <c r="O114" s="67">
        <f t="shared" si="13"/>
        <v>0</v>
      </c>
      <c r="P114" s="67">
        <f t="shared" si="14"/>
        <v>0</v>
      </c>
    </row>
    <row r="115" spans="2:16" ht="12.5">
      <c r="B115" s="9" t="str">
        <f t="shared" si="18"/>
        <v/>
      </c>
      <c r="C115" s="62">
        <f>IF(D93="","-",+C114+1)</f>
        <v>2031</v>
      </c>
      <c r="D115" s="63">
        <f>IF(F114+SUM(E$99:E114)=D$92,F114,D$92-SUM(E$99:E114))</f>
        <v>0</v>
      </c>
      <c r="E115" s="69">
        <f t="shared" si="19"/>
        <v>0</v>
      </c>
      <c r="F115" s="68">
        <f t="shared" si="20"/>
        <v>0</v>
      </c>
      <c r="G115" s="68">
        <f t="shared" si="21"/>
        <v>0</v>
      </c>
      <c r="H115" s="130">
        <f t="shared" si="15"/>
        <v>0</v>
      </c>
      <c r="I115" s="139">
        <f t="shared" si="16"/>
        <v>0</v>
      </c>
      <c r="J115" s="67">
        <f t="shared" si="17"/>
        <v>0</v>
      </c>
      <c r="K115" s="67"/>
      <c r="L115" s="132"/>
      <c r="M115" s="67">
        <f t="shared" si="12"/>
        <v>0</v>
      </c>
      <c r="N115" s="132"/>
      <c r="O115" s="67">
        <f t="shared" si="13"/>
        <v>0</v>
      </c>
      <c r="P115" s="67">
        <f t="shared" si="14"/>
        <v>0</v>
      </c>
    </row>
    <row r="116" spans="2:16" ht="12.5">
      <c r="B116" s="9" t="str">
        <f t="shared" si="18"/>
        <v/>
      </c>
      <c r="C116" s="62">
        <f>IF(D93="","-",+C115+1)</f>
        <v>2032</v>
      </c>
      <c r="D116" s="63">
        <f>IF(F115+SUM(E$99:E115)=D$92,F115,D$92-SUM(E$99:E115))</f>
        <v>0</v>
      </c>
      <c r="E116" s="69">
        <f t="shared" si="19"/>
        <v>0</v>
      </c>
      <c r="F116" s="68">
        <f t="shared" si="20"/>
        <v>0</v>
      </c>
      <c r="G116" s="68">
        <f t="shared" si="21"/>
        <v>0</v>
      </c>
      <c r="H116" s="130">
        <f t="shared" si="15"/>
        <v>0</v>
      </c>
      <c r="I116" s="139">
        <f t="shared" si="16"/>
        <v>0</v>
      </c>
      <c r="J116" s="67">
        <f t="shared" si="17"/>
        <v>0</v>
      </c>
      <c r="K116" s="67"/>
      <c r="L116" s="132"/>
      <c r="M116" s="67">
        <f t="shared" si="12"/>
        <v>0</v>
      </c>
      <c r="N116" s="132"/>
      <c r="O116" s="67">
        <f t="shared" si="13"/>
        <v>0</v>
      </c>
      <c r="P116" s="67">
        <f t="shared" si="14"/>
        <v>0</v>
      </c>
    </row>
    <row r="117" spans="2:16" ht="12.5">
      <c r="B117" s="9" t="str">
        <f t="shared" si="18"/>
        <v/>
      </c>
      <c r="C117" s="62">
        <f>IF(D93="","-",+C116+1)</f>
        <v>2033</v>
      </c>
      <c r="D117" s="63">
        <f>IF(F116+SUM(E$99:E116)=D$92,F116,D$92-SUM(E$99:E116))</f>
        <v>0</v>
      </c>
      <c r="E117" s="69">
        <f t="shared" si="19"/>
        <v>0</v>
      </c>
      <c r="F117" s="68">
        <f t="shared" si="20"/>
        <v>0</v>
      </c>
      <c r="G117" s="68">
        <f t="shared" si="21"/>
        <v>0</v>
      </c>
      <c r="H117" s="130">
        <f t="shared" si="15"/>
        <v>0</v>
      </c>
      <c r="I117" s="139">
        <f t="shared" si="16"/>
        <v>0</v>
      </c>
      <c r="J117" s="67">
        <f t="shared" si="17"/>
        <v>0</v>
      </c>
      <c r="K117" s="67"/>
      <c r="L117" s="132"/>
      <c r="M117" s="67">
        <f t="shared" si="12"/>
        <v>0</v>
      </c>
      <c r="N117" s="132"/>
      <c r="O117" s="67">
        <f t="shared" si="13"/>
        <v>0</v>
      </c>
      <c r="P117" s="67">
        <f t="shared" si="14"/>
        <v>0</v>
      </c>
    </row>
    <row r="118" spans="2:16" ht="12.5">
      <c r="B118" s="9" t="str">
        <f t="shared" si="18"/>
        <v/>
      </c>
      <c r="C118" s="62">
        <f>IF(D93="","-",+C117+1)</f>
        <v>2034</v>
      </c>
      <c r="D118" s="63">
        <f>IF(F117+SUM(E$99:E117)=D$92,F117,D$92-SUM(E$99:E117))</f>
        <v>0</v>
      </c>
      <c r="E118" s="69">
        <f t="shared" si="19"/>
        <v>0</v>
      </c>
      <c r="F118" s="68">
        <f t="shared" si="20"/>
        <v>0</v>
      </c>
      <c r="G118" s="68">
        <f t="shared" si="21"/>
        <v>0</v>
      </c>
      <c r="H118" s="130">
        <f t="shared" si="15"/>
        <v>0</v>
      </c>
      <c r="I118" s="139">
        <f t="shared" si="16"/>
        <v>0</v>
      </c>
      <c r="J118" s="67">
        <f t="shared" si="17"/>
        <v>0</v>
      </c>
      <c r="K118" s="67"/>
      <c r="L118" s="132"/>
      <c r="M118" s="67">
        <f t="shared" si="12"/>
        <v>0</v>
      </c>
      <c r="N118" s="132"/>
      <c r="O118" s="67">
        <f t="shared" si="13"/>
        <v>0</v>
      </c>
      <c r="P118" s="67">
        <f t="shared" si="14"/>
        <v>0</v>
      </c>
    </row>
    <row r="119" spans="2:16" ht="12.5">
      <c r="B119" s="9" t="str">
        <f t="shared" si="18"/>
        <v/>
      </c>
      <c r="C119" s="62">
        <f>IF(D93="","-",+C118+1)</f>
        <v>2035</v>
      </c>
      <c r="D119" s="63">
        <f>IF(F118+SUM(E$99:E118)=D$92,F118,D$92-SUM(E$99:E118))</f>
        <v>0</v>
      </c>
      <c r="E119" s="69">
        <f t="shared" si="19"/>
        <v>0</v>
      </c>
      <c r="F119" s="68">
        <f t="shared" si="20"/>
        <v>0</v>
      </c>
      <c r="G119" s="68">
        <f t="shared" si="21"/>
        <v>0</v>
      </c>
      <c r="H119" s="130">
        <f t="shared" si="15"/>
        <v>0</v>
      </c>
      <c r="I119" s="139">
        <f t="shared" si="16"/>
        <v>0</v>
      </c>
      <c r="J119" s="67">
        <f t="shared" si="17"/>
        <v>0</v>
      </c>
      <c r="K119" s="67"/>
      <c r="L119" s="132"/>
      <c r="M119" s="67">
        <f t="shared" si="12"/>
        <v>0</v>
      </c>
      <c r="N119" s="132"/>
      <c r="O119" s="67">
        <f t="shared" si="13"/>
        <v>0</v>
      </c>
      <c r="P119" s="67">
        <f t="shared" si="14"/>
        <v>0</v>
      </c>
    </row>
    <row r="120" spans="2:16" ht="12.5">
      <c r="B120" s="9" t="str">
        <f t="shared" si="18"/>
        <v/>
      </c>
      <c r="C120" s="62">
        <f>IF(D93="","-",+C119+1)</f>
        <v>2036</v>
      </c>
      <c r="D120" s="63">
        <f>IF(F119+SUM(E$99:E119)=D$92,F119,D$92-SUM(E$99:E119))</f>
        <v>0</v>
      </c>
      <c r="E120" s="69">
        <f t="shared" si="19"/>
        <v>0</v>
      </c>
      <c r="F120" s="68">
        <f t="shared" si="20"/>
        <v>0</v>
      </c>
      <c r="G120" s="68">
        <f t="shared" si="21"/>
        <v>0</v>
      </c>
      <c r="H120" s="130">
        <f t="shared" si="15"/>
        <v>0</v>
      </c>
      <c r="I120" s="139">
        <f t="shared" si="16"/>
        <v>0</v>
      </c>
      <c r="J120" s="67">
        <f t="shared" si="17"/>
        <v>0</v>
      </c>
      <c r="K120" s="67"/>
      <c r="L120" s="132"/>
      <c r="M120" s="67">
        <f t="shared" si="12"/>
        <v>0</v>
      </c>
      <c r="N120" s="132"/>
      <c r="O120" s="67">
        <f t="shared" si="13"/>
        <v>0</v>
      </c>
      <c r="P120" s="67">
        <f t="shared" si="14"/>
        <v>0</v>
      </c>
    </row>
    <row r="121" spans="2:16" ht="12.5">
      <c r="B121" s="9" t="str">
        <f t="shared" si="18"/>
        <v/>
      </c>
      <c r="C121" s="62">
        <f>IF(D93="","-",+C120+1)</f>
        <v>2037</v>
      </c>
      <c r="D121" s="63">
        <f>IF(F120+SUM(E$99:E120)=D$92,F120,D$92-SUM(E$99:E120))</f>
        <v>0</v>
      </c>
      <c r="E121" s="69">
        <f t="shared" si="19"/>
        <v>0</v>
      </c>
      <c r="F121" s="68">
        <f t="shared" si="20"/>
        <v>0</v>
      </c>
      <c r="G121" s="68">
        <f t="shared" si="21"/>
        <v>0</v>
      </c>
      <c r="H121" s="130">
        <f t="shared" si="15"/>
        <v>0</v>
      </c>
      <c r="I121" s="139">
        <f t="shared" si="16"/>
        <v>0</v>
      </c>
      <c r="J121" s="67">
        <f t="shared" si="17"/>
        <v>0</v>
      </c>
      <c r="K121" s="67"/>
      <c r="L121" s="132"/>
      <c r="M121" s="67">
        <f t="shared" si="12"/>
        <v>0</v>
      </c>
      <c r="N121" s="132"/>
      <c r="O121" s="67">
        <f t="shared" si="13"/>
        <v>0</v>
      </c>
      <c r="P121" s="67">
        <f t="shared" si="14"/>
        <v>0</v>
      </c>
    </row>
    <row r="122" spans="2:16" ht="12.5">
      <c r="B122" s="9" t="str">
        <f t="shared" si="18"/>
        <v/>
      </c>
      <c r="C122" s="62">
        <f>IF(D93="","-",+C121+1)</f>
        <v>2038</v>
      </c>
      <c r="D122" s="63">
        <f>IF(F121+SUM(E$99:E121)=D$92,F121,D$92-SUM(E$99:E121))</f>
        <v>0</v>
      </c>
      <c r="E122" s="69">
        <f t="shared" si="19"/>
        <v>0</v>
      </c>
      <c r="F122" s="68">
        <f t="shared" si="20"/>
        <v>0</v>
      </c>
      <c r="G122" s="68">
        <f t="shared" si="21"/>
        <v>0</v>
      </c>
      <c r="H122" s="130">
        <f t="shared" si="15"/>
        <v>0</v>
      </c>
      <c r="I122" s="139">
        <f t="shared" si="16"/>
        <v>0</v>
      </c>
      <c r="J122" s="67">
        <f t="shared" si="17"/>
        <v>0</v>
      </c>
      <c r="K122" s="67"/>
      <c r="L122" s="132"/>
      <c r="M122" s="67">
        <f t="shared" si="12"/>
        <v>0</v>
      </c>
      <c r="N122" s="132"/>
      <c r="O122" s="67">
        <f t="shared" si="13"/>
        <v>0</v>
      </c>
      <c r="P122" s="67">
        <f t="shared" si="14"/>
        <v>0</v>
      </c>
    </row>
    <row r="123" spans="2:16" ht="12.5">
      <c r="B123" s="9" t="str">
        <f t="shared" si="18"/>
        <v/>
      </c>
      <c r="C123" s="62">
        <f>IF(D93="","-",+C122+1)</f>
        <v>2039</v>
      </c>
      <c r="D123" s="63">
        <f>IF(F122+SUM(E$99:E122)=D$92,F122,D$92-SUM(E$99:E122))</f>
        <v>0</v>
      </c>
      <c r="E123" s="69">
        <f t="shared" si="19"/>
        <v>0</v>
      </c>
      <c r="F123" s="68">
        <f t="shared" si="20"/>
        <v>0</v>
      </c>
      <c r="G123" s="68">
        <f t="shared" si="21"/>
        <v>0</v>
      </c>
      <c r="H123" s="130">
        <f t="shared" si="15"/>
        <v>0</v>
      </c>
      <c r="I123" s="139">
        <f t="shared" si="16"/>
        <v>0</v>
      </c>
      <c r="J123" s="67">
        <f t="shared" si="17"/>
        <v>0</v>
      </c>
      <c r="K123" s="67"/>
      <c r="L123" s="132"/>
      <c r="M123" s="67">
        <f t="shared" si="12"/>
        <v>0</v>
      </c>
      <c r="N123" s="132"/>
      <c r="O123" s="67">
        <f t="shared" si="13"/>
        <v>0</v>
      </c>
      <c r="P123" s="67">
        <f t="shared" si="14"/>
        <v>0</v>
      </c>
    </row>
    <row r="124" spans="2:16" ht="12.5">
      <c r="B124" s="9" t="str">
        <f t="shared" si="18"/>
        <v/>
      </c>
      <c r="C124" s="62">
        <f>IF(D93="","-",+C123+1)</f>
        <v>2040</v>
      </c>
      <c r="D124" s="63">
        <f>IF(F123+SUM(E$99:E123)=D$92,F123,D$92-SUM(E$99:E123))</f>
        <v>0</v>
      </c>
      <c r="E124" s="69">
        <f t="shared" si="19"/>
        <v>0</v>
      </c>
      <c r="F124" s="68">
        <f t="shared" si="20"/>
        <v>0</v>
      </c>
      <c r="G124" s="68">
        <f t="shared" si="21"/>
        <v>0</v>
      </c>
      <c r="H124" s="130">
        <f t="shared" si="15"/>
        <v>0</v>
      </c>
      <c r="I124" s="139">
        <f t="shared" si="16"/>
        <v>0</v>
      </c>
      <c r="J124" s="67">
        <f t="shared" si="17"/>
        <v>0</v>
      </c>
      <c r="K124" s="67"/>
      <c r="L124" s="132"/>
      <c r="M124" s="67">
        <f t="shared" si="12"/>
        <v>0</v>
      </c>
      <c r="N124" s="132"/>
      <c r="O124" s="67">
        <f t="shared" si="13"/>
        <v>0</v>
      </c>
      <c r="P124" s="67">
        <f t="shared" si="14"/>
        <v>0</v>
      </c>
    </row>
    <row r="125" spans="2:16" ht="12.5">
      <c r="B125" s="9" t="str">
        <f t="shared" si="18"/>
        <v/>
      </c>
      <c r="C125" s="62">
        <f>IF(D93="","-",+C124+1)</f>
        <v>2041</v>
      </c>
      <c r="D125" s="63">
        <f>IF(F124+SUM(E$99:E124)=D$92,F124,D$92-SUM(E$99:E124))</f>
        <v>0</v>
      </c>
      <c r="E125" s="69">
        <f t="shared" si="19"/>
        <v>0</v>
      </c>
      <c r="F125" s="68">
        <f t="shared" si="20"/>
        <v>0</v>
      </c>
      <c r="G125" s="68">
        <f t="shared" si="21"/>
        <v>0</v>
      </c>
      <c r="H125" s="130">
        <f t="shared" si="15"/>
        <v>0</v>
      </c>
      <c r="I125" s="139">
        <f t="shared" si="16"/>
        <v>0</v>
      </c>
      <c r="J125" s="67">
        <f t="shared" si="17"/>
        <v>0</v>
      </c>
      <c r="K125" s="67"/>
      <c r="L125" s="132"/>
      <c r="M125" s="67">
        <f t="shared" si="12"/>
        <v>0</v>
      </c>
      <c r="N125" s="132"/>
      <c r="O125" s="67">
        <f t="shared" si="13"/>
        <v>0</v>
      </c>
      <c r="P125" s="67">
        <f t="shared" si="14"/>
        <v>0</v>
      </c>
    </row>
    <row r="126" spans="2:16" ht="12.5">
      <c r="B126" s="9" t="str">
        <f t="shared" si="18"/>
        <v/>
      </c>
      <c r="C126" s="62">
        <f>IF(D93="","-",+C125+1)</f>
        <v>2042</v>
      </c>
      <c r="D126" s="63">
        <f>IF(F125+SUM(E$99:E125)=D$92,F125,D$92-SUM(E$99:E125))</f>
        <v>0</v>
      </c>
      <c r="E126" s="69">
        <f t="shared" si="19"/>
        <v>0</v>
      </c>
      <c r="F126" s="68">
        <f t="shared" si="20"/>
        <v>0</v>
      </c>
      <c r="G126" s="68">
        <f t="shared" si="21"/>
        <v>0</v>
      </c>
      <c r="H126" s="130">
        <f t="shared" si="15"/>
        <v>0</v>
      </c>
      <c r="I126" s="139">
        <f t="shared" si="16"/>
        <v>0</v>
      </c>
      <c r="J126" s="67">
        <f t="shared" si="17"/>
        <v>0</v>
      </c>
      <c r="K126" s="67"/>
      <c r="L126" s="132"/>
      <c r="M126" s="67">
        <f t="shared" si="12"/>
        <v>0</v>
      </c>
      <c r="N126" s="132"/>
      <c r="O126" s="67">
        <f t="shared" si="13"/>
        <v>0</v>
      </c>
      <c r="P126" s="67">
        <f t="shared" si="14"/>
        <v>0</v>
      </c>
    </row>
    <row r="127" spans="2:16" ht="12.5">
      <c r="B127" s="9" t="str">
        <f t="shared" si="18"/>
        <v/>
      </c>
      <c r="C127" s="62">
        <f>IF(D93="","-",+C126+1)</f>
        <v>2043</v>
      </c>
      <c r="D127" s="63">
        <f>IF(F126+SUM(E$99:E126)=D$92,F126,D$92-SUM(E$99:E126))</f>
        <v>0</v>
      </c>
      <c r="E127" s="69">
        <f t="shared" si="19"/>
        <v>0</v>
      </c>
      <c r="F127" s="68">
        <f t="shared" si="20"/>
        <v>0</v>
      </c>
      <c r="G127" s="68">
        <f t="shared" si="21"/>
        <v>0</v>
      </c>
      <c r="H127" s="130">
        <f t="shared" si="15"/>
        <v>0</v>
      </c>
      <c r="I127" s="139">
        <f t="shared" si="16"/>
        <v>0</v>
      </c>
      <c r="J127" s="67">
        <f t="shared" si="17"/>
        <v>0</v>
      </c>
      <c r="K127" s="67"/>
      <c r="L127" s="132"/>
      <c r="M127" s="67">
        <f t="shared" si="12"/>
        <v>0</v>
      </c>
      <c r="N127" s="132"/>
      <c r="O127" s="67">
        <f t="shared" si="13"/>
        <v>0</v>
      </c>
      <c r="P127" s="67">
        <f t="shared" si="14"/>
        <v>0</v>
      </c>
    </row>
    <row r="128" spans="2:16" ht="12.5">
      <c r="B128" s="9" t="str">
        <f t="shared" si="18"/>
        <v/>
      </c>
      <c r="C128" s="62">
        <f>IF(D93="","-",+C127+1)</f>
        <v>2044</v>
      </c>
      <c r="D128" s="63">
        <f>IF(F127+SUM(E$99:E127)=D$92,F127,D$92-SUM(E$99:E127))</f>
        <v>0</v>
      </c>
      <c r="E128" s="69">
        <f t="shared" si="19"/>
        <v>0</v>
      </c>
      <c r="F128" s="68">
        <f t="shared" si="20"/>
        <v>0</v>
      </c>
      <c r="G128" s="68">
        <f t="shared" si="21"/>
        <v>0</v>
      </c>
      <c r="H128" s="130">
        <f t="shared" si="15"/>
        <v>0</v>
      </c>
      <c r="I128" s="139">
        <f t="shared" si="16"/>
        <v>0</v>
      </c>
      <c r="J128" s="67">
        <f t="shared" si="17"/>
        <v>0</v>
      </c>
      <c r="K128" s="67"/>
      <c r="L128" s="132"/>
      <c r="M128" s="67">
        <f t="shared" si="12"/>
        <v>0</v>
      </c>
      <c r="N128" s="132"/>
      <c r="O128" s="67">
        <f t="shared" si="13"/>
        <v>0</v>
      </c>
      <c r="P128" s="67">
        <f t="shared" si="14"/>
        <v>0</v>
      </c>
    </row>
    <row r="129" spans="2:16" ht="12.5">
      <c r="B129" s="9" t="str">
        <f t="shared" si="18"/>
        <v/>
      </c>
      <c r="C129" s="62">
        <f>IF(D93="","-",+C128+1)</f>
        <v>2045</v>
      </c>
      <c r="D129" s="63">
        <f>IF(F128+SUM(E$99:E128)=D$92,F128,D$92-SUM(E$99:E128))</f>
        <v>0</v>
      </c>
      <c r="E129" s="69">
        <f t="shared" si="19"/>
        <v>0</v>
      </c>
      <c r="F129" s="68">
        <f t="shared" si="20"/>
        <v>0</v>
      </c>
      <c r="G129" s="68">
        <f t="shared" si="21"/>
        <v>0</v>
      </c>
      <c r="H129" s="130">
        <f t="shared" si="15"/>
        <v>0</v>
      </c>
      <c r="I129" s="139">
        <f t="shared" si="16"/>
        <v>0</v>
      </c>
      <c r="J129" s="67">
        <f t="shared" si="17"/>
        <v>0</v>
      </c>
      <c r="K129" s="67"/>
      <c r="L129" s="132"/>
      <c r="M129" s="67">
        <f t="shared" si="12"/>
        <v>0</v>
      </c>
      <c r="N129" s="132"/>
      <c r="O129" s="67">
        <f t="shared" si="13"/>
        <v>0</v>
      </c>
      <c r="P129" s="67">
        <f t="shared" si="14"/>
        <v>0</v>
      </c>
    </row>
    <row r="130" spans="2:16" ht="12.5">
      <c r="B130" s="9" t="str">
        <f t="shared" si="18"/>
        <v/>
      </c>
      <c r="C130" s="62">
        <f>IF(D93="","-",+C129+1)</f>
        <v>2046</v>
      </c>
      <c r="D130" s="63">
        <f>IF(F129+SUM(E$99:E129)=D$92,F129,D$92-SUM(E$99:E129))</f>
        <v>0</v>
      </c>
      <c r="E130" s="69">
        <f t="shared" si="19"/>
        <v>0</v>
      </c>
      <c r="F130" s="68">
        <f t="shared" si="20"/>
        <v>0</v>
      </c>
      <c r="G130" s="68">
        <f t="shared" si="21"/>
        <v>0</v>
      </c>
      <c r="H130" s="130">
        <f t="shared" si="15"/>
        <v>0</v>
      </c>
      <c r="I130" s="139">
        <f t="shared" si="16"/>
        <v>0</v>
      </c>
      <c r="J130" s="67">
        <f t="shared" si="17"/>
        <v>0</v>
      </c>
      <c r="K130" s="67"/>
      <c r="L130" s="132"/>
      <c r="M130" s="67">
        <f t="shared" si="12"/>
        <v>0</v>
      </c>
      <c r="N130" s="132"/>
      <c r="O130" s="67">
        <f t="shared" si="13"/>
        <v>0</v>
      </c>
      <c r="P130" s="67">
        <f t="shared" si="14"/>
        <v>0</v>
      </c>
    </row>
    <row r="131" spans="2:16" ht="12.5">
      <c r="B131" s="9" t="str">
        <f t="shared" si="18"/>
        <v/>
      </c>
      <c r="C131" s="62">
        <f>IF(D93="","-",+C130+1)</f>
        <v>2047</v>
      </c>
      <c r="D131" s="63">
        <f>IF(F130+SUM(E$99:E130)=D$92,F130,D$92-SUM(E$99:E130))</f>
        <v>0</v>
      </c>
      <c r="E131" s="69">
        <f t="shared" si="19"/>
        <v>0</v>
      </c>
      <c r="F131" s="68">
        <f t="shared" si="20"/>
        <v>0</v>
      </c>
      <c r="G131" s="68">
        <f t="shared" si="21"/>
        <v>0</v>
      </c>
      <c r="H131" s="130">
        <f t="shared" si="15"/>
        <v>0</v>
      </c>
      <c r="I131" s="139">
        <f t="shared" si="16"/>
        <v>0</v>
      </c>
      <c r="J131" s="67">
        <f t="shared" ref="J131:J154" si="22">+I541-H541</f>
        <v>0</v>
      </c>
      <c r="K131" s="67"/>
      <c r="L131" s="132"/>
      <c r="M131" s="67">
        <f t="shared" ref="M131:M154" si="23">IF(L541&lt;&gt;0,+H541-L541,0)</f>
        <v>0</v>
      </c>
      <c r="N131" s="132"/>
      <c r="O131" s="67">
        <f t="shared" ref="O131:O154" si="24">IF(N541&lt;&gt;0,+I541-N541,0)</f>
        <v>0</v>
      </c>
      <c r="P131" s="67">
        <f t="shared" ref="P131:P154" si="25">+O541-M541</f>
        <v>0</v>
      </c>
    </row>
    <row r="132" spans="2:16" ht="12.5">
      <c r="B132" s="9" t="str">
        <f t="shared" si="18"/>
        <v/>
      </c>
      <c r="C132" s="62">
        <f>IF(D93="","-",+C131+1)</f>
        <v>2048</v>
      </c>
      <c r="D132" s="63">
        <f>IF(F131+SUM(E$99:E131)=D$92,F131,D$92-SUM(E$99:E131))</f>
        <v>0</v>
      </c>
      <c r="E132" s="69">
        <f t="shared" si="19"/>
        <v>0</v>
      </c>
      <c r="F132" s="68">
        <f t="shared" si="20"/>
        <v>0</v>
      </c>
      <c r="G132" s="68">
        <f t="shared" si="21"/>
        <v>0</v>
      </c>
      <c r="H132" s="130">
        <f t="shared" si="15"/>
        <v>0</v>
      </c>
      <c r="I132" s="139">
        <f t="shared" si="16"/>
        <v>0</v>
      </c>
      <c r="J132" s="67">
        <f t="shared" si="22"/>
        <v>0</v>
      </c>
      <c r="K132" s="67"/>
      <c r="L132" s="132"/>
      <c r="M132" s="67">
        <f t="shared" si="23"/>
        <v>0</v>
      </c>
      <c r="N132" s="132"/>
      <c r="O132" s="67">
        <f t="shared" si="24"/>
        <v>0</v>
      </c>
      <c r="P132" s="67">
        <f t="shared" si="25"/>
        <v>0</v>
      </c>
    </row>
    <row r="133" spans="2:16" ht="12.5">
      <c r="B133" s="9" t="str">
        <f t="shared" si="18"/>
        <v/>
      </c>
      <c r="C133" s="62">
        <f>IF(D93="","-",+C132+1)</f>
        <v>2049</v>
      </c>
      <c r="D133" s="63">
        <f>IF(F132+SUM(E$99:E132)=D$92,F132,D$92-SUM(E$99:E132))</f>
        <v>0</v>
      </c>
      <c r="E133" s="69">
        <f t="shared" si="19"/>
        <v>0</v>
      </c>
      <c r="F133" s="68">
        <f t="shared" si="20"/>
        <v>0</v>
      </c>
      <c r="G133" s="68">
        <f t="shared" si="21"/>
        <v>0</v>
      </c>
      <c r="H133" s="130">
        <f t="shared" si="15"/>
        <v>0</v>
      </c>
      <c r="I133" s="139">
        <f t="shared" si="16"/>
        <v>0</v>
      </c>
      <c r="J133" s="67">
        <f t="shared" si="22"/>
        <v>0</v>
      </c>
      <c r="K133" s="67"/>
      <c r="L133" s="132"/>
      <c r="M133" s="67">
        <f t="shared" si="23"/>
        <v>0</v>
      </c>
      <c r="N133" s="132"/>
      <c r="O133" s="67">
        <f t="shared" si="24"/>
        <v>0</v>
      </c>
      <c r="P133" s="67">
        <f t="shared" si="25"/>
        <v>0</v>
      </c>
    </row>
    <row r="134" spans="2:16" ht="12.5">
      <c r="B134" s="9" t="str">
        <f t="shared" si="18"/>
        <v/>
      </c>
      <c r="C134" s="62">
        <f>IF(D93="","-",+C133+1)</f>
        <v>2050</v>
      </c>
      <c r="D134" s="63">
        <f>IF(F133+SUM(E$99:E133)=D$92,F133,D$92-SUM(E$99:E133))</f>
        <v>0</v>
      </c>
      <c r="E134" s="69">
        <f t="shared" si="19"/>
        <v>0</v>
      </c>
      <c r="F134" s="68">
        <f t="shared" si="20"/>
        <v>0</v>
      </c>
      <c r="G134" s="68">
        <f t="shared" si="21"/>
        <v>0</v>
      </c>
      <c r="H134" s="130">
        <f t="shared" si="15"/>
        <v>0</v>
      </c>
      <c r="I134" s="139">
        <f t="shared" si="16"/>
        <v>0</v>
      </c>
      <c r="J134" s="67">
        <f t="shared" si="22"/>
        <v>0</v>
      </c>
      <c r="K134" s="67"/>
      <c r="L134" s="132"/>
      <c r="M134" s="67">
        <f t="shared" si="23"/>
        <v>0</v>
      </c>
      <c r="N134" s="132"/>
      <c r="O134" s="67">
        <f t="shared" si="24"/>
        <v>0</v>
      </c>
      <c r="P134" s="67">
        <f t="shared" si="25"/>
        <v>0</v>
      </c>
    </row>
    <row r="135" spans="2:16" ht="12.5">
      <c r="B135" s="9" t="str">
        <f t="shared" si="18"/>
        <v/>
      </c>
      <c r="C135" s="62">
        <f>IF(D93="","-",+C134+1)</f>
        <v>2051</v>
      </c>
      <c r="D135" s="63">
        <f>IF(F134+SUM(E$99:E134)=D$92,F134,D$92-SUM(E$99:E134))</f>
        <v>0</v>
      </c>
      <c r="E135" s="69">
        <f t="shared" si="19"/>
        <v>0</v>
      </c>
      <c r="F135" s="68">
        <f t="shared" si="20"/>
        <v>0</v>
      </c>
      <c r="G135" s="68">
        <f t="shared" si="21"/>
        <v>0</v>
      </c>
      <c r="H135" s="130">
        <f t="shared" si="15"/>
        <v>0</v>
      </c>
      <c r="I135" s="139">
        <f t="shared" si="16"/>
        <v>0</v>
      </c>
      <c r="J135" s="67">
        <f t="shared" si="22"/>
        <v>0</v>
      </c>
      <c r="K135" s="67"/>
      <c r="L135" s="132"/>
      <c r="M135" s="67">
        <f t="shared" si="23"/>
        <v>0</v>
      </c>
      <c r="N135" s="132"/>
      <c r="O135" s="67">
        <f t="shared" si="24"/>
        <v>0</v>
      </c>
      <c r="P135" s="67">
        <f t="shared" si="25"/>
        <v>0</v>
      </c>
    </row>
    <row r="136" spans="2:16" ht="12.5">
      <c r="B136" s="9" t="str">
        <f t="shared" si="18"/>
        <v/>
      </c>
      <c r="C136" s="62">
        <f>IF(D93="","-",+C135+1)</f>
        <v>2052</v>
      </c>
      <c r="D136" s="63">
        <f>IF(F135+SUM(E$99:E135)=D$92,F135,D$92-SUM(E$99:E135))</f>
        <v>0</v>
      </c>
      <c r="E136" s="69">
        <f t="shared" si="19"/>
        <v>0</v>
      </c>
      <c r="F136" s="68">
        <f t="shared" si="20"/>
        <v>0</v>
      </c>
      <c r="G136" s="68">
        <f t="shared" si="21"/>
        <v>0</v>
      </c>
      <c r="H136" s="130">
        <f t="shared" si="15"/>
        <v>0</v>
      </c>
      <c r="I136" s="139">
        <f t="shared" si="16"/>
        <v>0</v>
      </c>
      <c r="J136" s="67">
        <f t="shared" si="22"/>
        <v>0</v>
      </c>
      <c r="K136" s="67"/>
      <c r="L136" s="132"/>
      <c r="M136" s="67">
        <f t="shared" si="23"/>
        <v>0</v>
      </c>
      <c r="N136" s="132"/>
      <c r="O136" s="67">
        <f t="shared" si="24"/>
        <v>0</v>
      </c>
      <c r="P136" s="67">
        <f t="shared" si="25"/>
        <v>0</v>
      </c>
    </row>
    <row r="137" spans="2:16" ht="12.5">
      <c r="B137" s="9" t="str">
        <f t="shared" si="18"/>
        <v/>
      </c>
      <c r="C137" s="62">
        <f>IF(D93="","-",+C136+1)</f>
        <v>2053</v>
      </c>
      <c r="D137" s="63">
        <f>IF(F136+SUM(E$99:E136)=D$92,F136,D$92-SUM(E$99:E136))</f>
        <v>0</v>
      </c>
      <c r="E137" s="69">
        <f t="shared" si="19"/>
        <v>0</v>
      </c>
      <c r="F137" s="68">
        <f t="shared" si="20"/>
        <v>0</v>
      </c>
      <c r="G137" s="68">
        <f t="shared" si="21"/>
        <v>0</v>
      </c>
      <c r="H137" s="130">
        <f t="shared" si="15"/>
        <v>0</v>
      </c>
      <c r="I137" s="139">
        <f t="shared" si="16"/>
        <v>0</v>
      </c>
      <c r="J137" s="67">
        <f t="shared" si="22"/>
        <v>0</v>
      </c>
      <c r="K137" s="67"/>
      <c r="L137" s="132"/>
      <c r="M137" s="67">
        <f t="shared" si="23"/>
        <v>0</v>
      </c>
      <c r="N137" s="132"/>
      <c r="O137" s="67">
        <f t="shared" si="24"/>
        <v>0</v>
      </c>
      <c r="P137" s="67">
        <f t="shared" si="25"/>
        <v>0</v>
      </c>
    </row>
    <row r="138" spans="2:16" ht="12.5">
      <c r="B138" s="9" t="str">
        <f t="shared" si="18"/>
        <v/>
      </c>
      <c r="C138" s="62">
        <f>IF(D93="","-",+C137+1)</f>
        <v>2054</v>
      </c>
      <c r="D138" s="63">
        <f>IF(F137+SUM(E$99:E137)=D$92,F137,D$92-SUM(E$99:E137))</f>
        <v>0</v>
      </c>
      <c r="E138" s="69">
        <f t="shared" si="19"/>
        <v>0</v>
      </c>
      <c r="F138" s="68">
        <f t="shared" si="20"/>
        <v>0</v>
      </c>
      <c r="G138" s="68">
        <f t="shared" si="21"/>
        <v>0</v>
      </c>
      <c r="H138" s="130">
        <f t="shared" si="15"/>
        <v>0</v>
      </c>
      <c r="I138" s="139">
        <f t="shared" si="16"/>
        <v>0</v>
      </c>
      <c r="J138" s="67">
        <f t="shared" si="22"/>
        <v>0</v>
      </c>
      <c r="K138" s="67"/>
      <c r="L138" s="132"/>
      <c r="M138" s="67">
        <f t="shared" si="23"/>
        <v>0</v>
      </c>
      <c r="N138" s="132"/>
      <c r="O138" s="67">
        <f t="shared" si="24"/>
        <v>0</v>
      </c>
      <c r="P138" s="67">
        <f t="shared" si="25"/>
        <v>0</v>
      </c>
    </row>
    <row r="139" spans="2:16" ht="12.5">
      <c r="B139" s="9" t="str">
        <f t="shared" si="18"/>
        <v/>
      </c>
      <c r="C139" s="62">
        <f>IF(D93="","-",+C138+1)</f>
        <v>2055</v>
      </c>
      <c r="D139" s="63">
        <f>IF(F138+SUM(E$99:E138)=D$92,F138,D$92-SUM(E$99:E138))</f>
        <v>0</v>
      </c>
      <c r="E139" s="69">
        <f t="shared" si="19"/>
        <v>0</v>
      </c>
      <c r="F139" s="68">
        <f t="shared" si="20"/>
        <v>0</v>
      </c>
      <c r="G139" s="68">
        <f t="shared" si="21"/>
        <v>0</v>
      </c>
      <c r="H139" s="130">
        <f t="shared" si="15"/>
        <v>0</v>
      </c>
      <c r="I139" s="139">
        <f t="shared" si="16"/>
        <v>0</v>
      </c>
      <c r="J139" s="67">
        <f t="shared" si="22"/>
        <v>0</v>
      </c>
      <c r="K139" s="67"/>
      <c r="L139" s="132"/>
      <c r="M139" s="67">
        <f t="shared" si="23"/>
        <v>0</v>
      </c>
      <c r="N139" s="132"/>
      <c r="O139" s="67">
        <f t="shared" si="24"/>
        <v>0</v>
      </c>
      <c r="P139" s="67">
        <f t="shared" si="25"/>
        <v>0</v>
      </c>
    </row>
    <row r="140" spans="2:16" ht="12.5">
      <c r="B140" s="9" t="str">
        <f t="shared" si="18"/>
        <v/>
      </c>
      <c r="C140" s="62">
        <f>IF(D93="","-",+C139+1)</f>
        <v>2056</v>
      </c>
      <c r="D140" s="63">
        <f>IF(F139+SUM(E$99:E139)=D$92,F139,D$92-SUM(E$99:E139))</f>
        <v>0</v>
      </c>
      <c r="E140" s="69">
        <f t="shared" si="19"/>
        <v>0</v>
      </c>
      <c r="F140" s="68">
        <f t="shared" si="20"/>
        <v>0</v>
      </c>
      <c r="G140" s="68">
        <f t="shared" si="21"/>
        <v>0</v>
      </c>
      <c r="H140" s="130">
        <f t="shared" si="15"/>
        <v>0</v>
      </c>
      <c r="I140" s="139">
        <f t="shared" si="16"/>
        <v>0</v>
      </c>
      <c r="J140" s="67">
        <f t="shared" si="22"/>
        <v>0</v>
      </c>
      <c r="K140" s="67"/>
      <c r="L140" s="132"/>
      <c r="M140" s="67">
        <f t="shared" si="23"/>
        <v>0</v>
      </c>
      <c r="N140" s="132"/>
      <c r="O140" s="67">
        <f t="shared" si="24"/>
        <v>0</v>
      </c>
      <c r="P140" s="67">
        <f t="shared" si="25"/>
        <v>0</v>
      </c>
    </row>
    <row r="141" spans="2:16" ht="12.5">
      <c r="B141" s="9" t="str">
        <f t="shared" si="18"/>
        <v/>
      </c>
      <c r="C141" s="62">
        <f>IF(D93="","-",+C140+1)</f>
        <v>2057</v>
      </c>
      <c r="D141" s="63">
        <f>IF(F140+SUM(E$99:E140)=D$92,F140,D$92-SUM(E$99:E140))</f>
        <v>0</v>
      </c>
      <c r="E141" s="69">
        <f t="shared" si="19"/>
        <v>0</v>
      </c>
      <c r="F141" s="68">
        <f t="shared" si="20"/>
        <v>0</v>
      </c>
      <c r="G141" s="68">
        <f t="shared" si="21"/>
        <v>0</v>
      </c>
      <c r="H141" s="130">
        <f t="shared" si="15"/>
        <v>0</v>
      </c>
      <c r="I141" s="139">
        <f t="shared" si="16"/>
        <v>0</v>
      </c>
      <c r="J141" s="67">
        <f t="shared" si="22"/>
        <v>0</v>
      </c>
      <c r="K141" s="67"/>
      <c r="L141" s="132"/>
      <c r="M141" s="67">
        <f t="shared" si="23"/>
        <v>0</v>
      </c>
      <c r="N141" s="132"/>
      <c r="O141" s="67">
        <f t="shared" si="24"/>
        <v>0</v>
      </c>
      <c r="P141" s="67">
        <f t="shared" si="25"/>
        <v>0</v>
      </c>
    </row>
    <row r="142" spans="2:16" ht="12.5">
      <c r="B142" s="9" t="str">
        <f t="shared" si="18"/>
        <v/>
      </c>
      <c r="C142" s="62">
        <f>IF(D93="","-",+C141+1)</f>
        <v>2058</v>
      </c>
      <c r="D142" s="63">
        <f>IF(F141+SUM(E$99:E141)=D$92,F141,D$92-SUM(E$99:E141))</f>
        <v>0</v>
      </c>
      <c r="E142" s="69">
        <f t="shared" si="19"/>
        <v>0</v>
      </c>
      <c r="F142" s="68">
        <f t="shared" si="20"/>
        <v>0</v>
      </c>
      <c r="G142" s="68">
        <f t="shared" si="21"/>
        <v>0</v>
      </c>
      <c r="H142" s="130">
        <f t="shared" si="15"/>
        <v>0</v>
      </c>
      <c r="I142" s="139">
        <f t="shared" si="16"/>
        <v>0</v>
      </c>
      <c r="J142" s="67">
        <f t="shared" si="22"/>
        <v>0</v>
      </c>
      <c r="K142" s="67"/>
      <c r="L142" s="132"/>
      <c r="M142" s="67">
        <f t="shared" si="23"/>
        <v>0</v>
      </c>
      <c r="N142" s="132"/>
      <c r="O142" s="67">
        <f t="shared" si="24"/>
        <v>0</v>
      </c>
      <c r="P142" s="67">
        <f t="shared" si="25"/>
        <v>0</v>
      </c>
    </row>
    <row r="143" spans="2:16" ht="12.5">
      <c r="B143" s="9" t="str">
        <f t="shared" si="18"/>
        <v/>
      </c>
      <c r="C143" s="62">
        <f>IF(D93="","-",+C142+1)</f>
        <v>2059</v>
      </c>
      <c r="D143" s="63">
        <f>IF(F142+SUM(E$99:E142)=D$92,F142,D$92-SUM(E$99:E142))</f>
        <v>0</v>
      </c>
      <c r="E143" s="69">
        <f t="shared" si="19"/>
        <v>0</v>
      </c>
      <c r="F143" s="68">
        <f t="shared" si="20"/>
        <v>0</v>
      </c>
      <c r="G143" s="68">
        <f t="shared" si="21"/>
        <v>0</v>
      </c>
      <c r="H143" s="130">
        <f t="shared" si="15"/>
        <v>0</v>
      </c>
      <c r="I143" s="139">
        <f t="shared" si="16"/>
        <v>0</v>
      </c>
      <c r="J143" s="67">
        <f t="shared" si="22"/>
        <v>0</v>
      </c>
      <c r="K143" s="67"/>
      <c r="L143" s="132"/>
      <c r="M143" s="67">
        <f t="shared" si="23"/>
        <v>0</v>
      </c>
      <c r="N143" s="132"/>
      <c r="O143" s="67">
        <f t="shared" si="24"/>
        <v>0</v>
      </c>
      <c r="P143" s="67">
        <f t="shared" si="25"/>
        <v>0</v>
      </c>
    </row>
    <row r="144" spans="2:16" ht="12.5">
      <c r="B144" s="9" t="str">
        <f t="shared" si="18"/>
        <v/>
      </c>
      <c r="C144" s="62">
        <f>IF(D93="","-",+C143+1)</f>
        <v>2060</v>
      </c>
      <c r="D144" s="63">
        <f>IF(F143+SUM(E$99:E143)=D$92,F143,D$92-SUM(E$99:E143))</f>
        <v>0</v>
      </c>
      <c r="E144" s="69">
        <f t="shared" si="19"/>
        <v>0</v>
      </c>
      <c r="F144" s="68">
        <f t="shared" si="20"/>
        <v>0</v>
      </c>
      <c r="G144" s="68">
        <f t="shared" si="21"/>
        <v>0</v>
      </c>
      <c r="H144" s="130">
        <f t="shared" si="15"/>
        <v>0</v>
      </c>
      <c r="I144" s="139">
        <f t="shared" si="16"/>
        <v>0</v>
      </c>
      <c r="J144" s="67">
        <f t="shared" si="22"/>
        <v>0</v>
      </c>
      <c r="K144" s="67"/>
      <c r="L144" s="132"/>
      <c r="M144" s="67">
        <f t="shared" si="23"/>
        <v>0</v>
      </c>
      <c r="N144" s="132"/>
      <c r="O144" s="67">
        <f t="shared" si="24"/>
        <v>0</v>
      </c>
      <c r="P144" s="67">
        <f t="shared" si="25"/>
        <v>0</v>
      </c>
    </row>
    <row r="145" spans="2:16" ht="12.5">
      <c r="B145" s="9" t="str">
        <f t="shared" si="18"/>
        <v/>
      </c>
      <c r="C145" s="62">
        <f>IF(D93="","-",+C144+1)</f>
        <v>2061</v>
      </c>
      <c r="D145" s="63">
        <f>IF(F144+SUM(E$99:E144)=D$92,F144,D$92-SUM(E$99:E144))</f>
        <v>0</v>
      </c>
      <c r="E145" s="69">
        <f t="shared" si="19"/>
        <v>0</v>
      </c>
      <c r="F145" s="68">
        <f t="shared" si="20"/>
        <v>0</v>
      </c>
      <c r="G145" s="68">
        <f t="shared" si="21"/>
        <v>0</v>
      </c>
      <c r="H145" s="130">
        <f t="shared" si="15"/>
        <v>0</v>
      </c>
      <c r="I145" s="139">
        <f t="shared" si="16"/>
        <v>0</v>
      </c>
      <c r="J145" s="67">
        <f t="shared" si="22"/>
        <v>0</v>
      </c>
      <c r="K145" s="67"/>
      <c r="L145" s="132"/>
      <c r="M145" s="67">
        <f t="shared" si="23"/>
        <v>0</v>
      </c>
      <c r="N145" s="132"/>
      <c r="O145" s="67">
        <f t="shared" si="24"/>
        <v>0</v>
      </c>
      <c r="P145" s="67">
        <f t="shared" si="25"/>
        <v>0</v>
      </c>
    </row>
    <row r="146" spans="2:16" ht="12.5">
      <c r="B146" s="9" t="str">
        <f t="shared" si="18"/>
        <v/>
      </c>
      <c r="C146" s="62">
        <f>IF(D93="","-",+C145+1)</f>
        <v>2062</v>
      </c>
      <c r="D146" s="63">
        <f>IF(F145+SUM(E$99:E145)=D$92,F145,D$92-SUM(E$99:E145))</f>
        <v>0</v>
      </c>
      <c r="E146" s="69">
        <f t="shared" si="19"/>
        <v>0</v>
      </c>
      <c r="F146" s="68">
        <f t="shared" si="20"/>
        <v>0</v>
      </c>
      <c r="G146" s="68">
        <f t="shared" si="21"/>
        <v>0</v>
      </c>
      <c r="H146" s="130">
        <f t="shared" si="15"/>
        <v>0</v>
      </c>
      <c r="I146" s="139">
        <f t="shared" si="16"/>
        <v>0</v>
      </c>
      <c r="J146" s="67">
        <f t="shared" si="22"/>
        <v>0</v>
      </c>
      <c r="K146" s="67"/>
      <c r="L146" s="132"/>
      <c r="M146" s="67">
        <f t="shared" si="23"/>
        <v>0</v>
      </c>
      <c r="N146" s="132"/>
      <c r="O146" s="67">
        <f t="shared" si="24"/>
        <v>0</v>
      </c>
      <c r="P146" s="67">
        <f t="shared" si="25"/>
        <v>0</v>
      </c>
    </row>
    <row r="147" spans="2:16" ht="12.5">
      <c r="B147" s="9" t="str">
        <f t="shared" si="18"/>
        <v/>
      </c>
      <c r="C147" s="62">
        <f>IF(D93="","-",+C146+1)</f>
        <v>2063</v>
      </c>
      <c r="D147" s="63">
        <f>IF(F146+SUM(E$99:E146)=D$92,F146,D$92-SUM(E$99:E146))</f>
        <v>0</v>
      </c>
      <c r="E147" s="69">
        <f t="shared" si="19"/>
        <v>0</v>
      </c>
      <c r="F147" s="68">
        <f t="shared" si="20"/>
        <v>0</v>
      </c>
      <c r="G147" s="68">
        <f t="shared" si="21"/>
        <v>0</v>
      </c>
      <c r="H147" s="130">
        <f t="shared" si="15"/>
        <v>0</v>
      </c>
      <c r="I147" s="139">
        <f t="shared" si="16"/>
        <v>0</v>
      </c>
      <c r="J147" s="67">
        <f t="shared" si="22"/>
        <v>0</v>
      </c>
      <c r="K147" s="67"/>
      <c r="L147" s="132"/>
      <c r="M147" s="67">
        <f t="shared" si="23"/>
        <v>0</v>
      </c>
      <c r="N147" s="132"/>
      <c r="O147" s="67">
        <f t="shared" si="24"/>
        <v>0</v>
      </c>
      <c r="P147" s="67">
        <f t="shared" si="25"/>
        <v>0</v>
      </c>
    </row>
    <row r="148" spans="2:16" ht="12.5">
      <c r="B148" s="9" t="str">
        <f t="shared" si="18"/>
        <v/>
      </c>
      <c r="C148" s="62">
        <f>IF(D93="","-",+C147+1)</f>
        <v>2064</v>
      </c>
      <c r="D148" s="63">
        <f>IF(F147+SUM(E$99:E147)=D$92,F147,D$92-SUM(E$99:E147))</f>
        <v>0</v>
      </c>
      <c r="E148" s="69">
        <f t="shared" si="19"/>
        <v>0</v>
      </c>
      <c r="F148" s="68">
        <f t="shared" si="20"/>
        <v>0</v>
      </c>
      <c r="G148" s="68">
        <f t="shared" si="21"/>
        <v>0</v>
      </c>
      <c r="H148" s="130">
        <f t="shared" si="15"/>
        <v>0</v>
      </c>
      <c r="I148" s="139">
        <f t="shared" si="16"/>
        <v>0</v>
      </c>
      <c r="J148" s="67">
        <f t="shared" si="22"/>
        <v>0</v>
      </c>
      <c r="K148" s="67"/>
      <c r="L148" s="132"/>
      <c r="M148" s="67">
        <f t="shared" si="23"/>
        <v>0</v>
      </c>
      <c r="N148" s="132"/>
      <c r="O148" s="67">
        <f t="shared" si="24"/>
        <v>0</v>
      </c>
      <c r="P148" s="67">
        <f t="shared" si="25"/>
        <v>0</v>
      </c>
    </row>
    <row r="149" spans="2:16" ht="12.5">
      <c r="B149" s="9" t="str">
        <f t="shared" si="18"/>
        <v/>
      </c>
      <c r="C149" s="62">
        <f>IF(D93="","-",+C148+1)</f>
        <v>2065</v>
      </c>
      <c r="D149" s="63">
        <f>IF(F148+SUM(E$99:E148)=D$92,F148,D$92-SUM(E$99:E148))</f>
        <v>0</v>
      </c>
      <c r="E149" s="69">
        <f t="shared" si="19"/>
        <v>0</v>
      </c>
      <c r="F149" s="68">
        <f t="shared" si="20"/>
        <v>0</v>
      </c>
      <c r="G149" s="68">
        <f t="shared" si="21"/>
        <v>0</v>
      </c>
      <c r="H149" s="130">
        <f t="shared" si="15"/>
        <v>0</v>
      </c>
      <c r="I149" s="139">
        <f t="shared" si="16"/>
        <v>0</v>
      </c>
      <c r="J149" s="67">
        <f t="shared" si="22"/>
        <v>0</v>
      </c>
      <c r="K149" s="67"/>
      <c r="L149" s="132"/>
      <c r="M149" s="67">
        <f t="shared" si="23"/>
        <v>0</v>
      </c>
      <c r="N149" s="132"/>
      <c r="O149" s="67">
        <f t="shared" si="24"/>
        <v>0</v>
      </c>
      <c r="P149" s="67">
        <f t="shared" si="25"/>
        <v>0</v>
      </c>
    </row>
    <row r="150" spans="2:16" ht="12.5">
      <c r="B150" s="9" t="str">
        <f t="shared" si="18"/>
        <v/>
      </c>
      <c r="C150" s="62">
        <f>IF(D93="","-",+C149+1)</f>
        <v>2066</v>
      </c>
      <c r="D150" s="63">
        <f>IF(F149+SUM(E$99:E149)=D$92,F149,D$92-SUM(E$99:E149))</f>
        <v>0</v>
      </c>
      <c r="E150" s="69">
        <f t="shared" si="19"/>
        <v>0</v>
      </c>
      <c r="F150" s="68">
        <f t="shared" si="20"/>
        <v>0</v>
      </c>
      <c r="G150" s="68">
        <f t="shared" si="21"/>
        <v>0</v>
      </c>
      <c r="H150" s="130">
        <f t="shared" si="15"/>
        <v>0</v>
      </c>
      <c r="I150" s="139">
        <f t="shared" si="16"/>
        <v>0</v>
      </c>
      <c r="J150" s="67">
        <f t="shared" si="22"/>
        <v>0</v>
      </c>
      <c r="K150" s="67"/>
      <c r="L150" s="132"/>
      <c r="M150" s="67">
        <f t="shared" si="23"/>
        <v>0</v>
      </c>
      <c r="N150" s="132"/>
      <c r="O150" s="67">
        <f t="shared" si="24"/>
        <v>0</v>
      </c>
      <c r="P150" s="67">
        <f t="shared" si="25"/>
        <v>0</v>
      </c>
    </row>
    <row r="151" spans="2:16" ht="12.5">
      <c r="B151" s="9" t="str">
        <f t="shared" si="18"/>
        <v/>
      </c>
      <c r="C151" s="62">
        <f>IF(D93="","-",+C150+1)</f>
        <v>2067</v>
      </c>
      <c r="D151" s="63">
        <f>IF(F150+SUM(E$99:E150)=D$92,F150,D$92-SUM(E$99:E150))</f>
        <v>0</v>
      </c>
      <c r="E151" s="69">
        <f t="shared" si="19"/>
        <v>0</v>
      </c>
      <c r="F151" s="68">
        <f t="shared" si="20"/>
        <v>0</v>
      </c>
      <c r="G151" s="68">
        <f t="shared" si="21"/>
        <v>0</v>
      </c>
      <c r="H151" s="130">
        <f t="shared" si="15"/>
        <v>0</v>
      </c>
      <c r="I151" s="139">
        <f t="shared" si="16"/>
        <v>0</v>
      </c>
      <c r="J151" s="67">
        <f t="shared" si="22"/>
        <v>0</v>
      </c>
      <c r="K151" s="67"/>
      <c r="L151" s="132"/>
      <c r="M151" s="67">
        <f t="shared" si="23"/>
        <v>0</v>
      </c>
      <c r="N151" s="132"/>
      <c r="O151" s="67">
        <f t="shared" si="24"/>
        <v>0</v>
      </c>
      <c r="P151" s="67">
        <f t="shared" si="25"/>
        <v>0</v>
      </c>
    </row>
    <row r="152" spans="2:16" ht="12.5">
      <c r="B152" s="9" t="str">
        <f t="shared" si="18"/>
        <v/>
      </c>
      <c r="C152" s="62">
        <f>IF(D93="","-",+C151+1)</f>
        <v>2068</v>
      </c>
      <c r="D152" s="63">
        <f>IF(F151+SUM(E$99:E151)=D$92,F151,D$92-SUM(E$99:E151))</f>
        <v>0</v>
      </c>
      <c r="E152" s="69">
        <f t="shared" si="19"/>
        <v>0</v>
      </c>
      <c r="F152" s="68">
        <f t="shared" si="20"/>
        <v>0</v>
      </c>
      <c r="G152" s="68">
        <f t="shared" si="21"/>
        <v>0</v>
      </c>
      <c r="H152" s="130">
        <f t="shared" si="15"/>
        <v>0</v>
      </c>
      <c r="I152" s="139">
        <f t="shared" si="16"/>
        <v>0</v>
      </c>
      <c r="J152" s="67">
        <f t="shared" si="22"/>
        <v>0</v>
      </c>
      <c r="K152" s="67"/>
      <c r="L152" s="132"/>
      <c r="M152" s="67">
        <f t="shared" si="23"/>
        <v>0</v>
      </c>
      <c r="N152" s="132"/>
      <c r="O152" s="67">
        <f t="shared" si="24"/>
        <v>0</v>
      </c>
      <c r="P152" s="67">
        <f t="shared" si="25"/>
        <v>0</v>
      </c>
    </row>
    <row r="153" spans="2:16" ht="12.5">
      <c r="B153" s="9" t="str">
        <f t="shared" si="18"/>
        <v/>
      </c>
      <c r="C153" s="62">
        <f>IF(D93="","-",+C152+1)</f>
        <v>2069</v>
      </c>
      <c r="D153" s="63">
        <f>IF(F152+SUM(E$99:E152)=D$92,F152,D$92-SUM(E$99:E152))</f>
        <v>0</v>
      </c>
      <c r="E153" s="69">
        <f t="shared" si="19"/>
        <v>0</v>
      </c>
      <c r="F153" s="68">
        <f t="shared" si="20"/>
        <v>0</v>
      </c>
      <c r="G153" s="68">
        <f t="shared" si="21"/>
        <v>0</v>
      </c>
      <c r="H153" s="130">
        <f t="shared" si="15"/>
        <v>0</v>
      </c>
      <c r="I153" s="139">
        <f t="shared" si="16"/>
        <v>0</v>
      </c>
      <c r="J153" s="67">
        <f t="shared" si="22"/>
        <v>0</v>
      </c>
      <c r="K153" s="67"/>
      <c r="L153" s="132"/>
      <c r="M153" s="67">
        <f t="shared" si="23"/>
        <v>0</v>
      </c>
      <c r="N153" s="132"/>
      <c r="O153" s="67">
        <f t="shared" si="24"/>
        <v>0</v>
      </c>
      <c r="P153" s="67">
        <f t="shared" si="25"/>
        <v>0</v>
      </c>
    </row>
    <row r="154" spans="2:16" ht="13" thickBot="1">
      <c r="B154" s="9" t="str">
        <f t="shared" si="18"/>
        <v/>
      </c>
      <c r="C154" s="72">
        <f>IF(D93="","-",+C153+1)</f>
        <v>2070</v>
      </c>
      <c r="D154" s="98">
        <f>IF(F153+SUM(E$99:E153)=D$92,F153,D$92-SUM(E$99:E153))</f>
        <v>0</v>
      </c>
      <c r="E154" s="74">
        <f t="shared" si="19"/>
        <v>0</v>
      </c>
      <c r="F154" s="73">
        <f t="shared" si="20"/>
        <v>0</v>
      </c>
      <c r="G154" s="73">
        <f t="shared" si="21"/>
        <v>0</v>
      </c>
      <c r="H154" s="140">
        <f t="shared" si="15"/>
        <v>0</v>
      </c>
      <c r="I154" s="141">
        <f t="shared" si="16"/>
        <v>0</v>
      </c>
      <c r="J154" s="76">
        <f t="shared" si="22"/>
        <v>0</v>
      </c>
      <c r="K154" s="67"/>
      <c r="L154" s="133"/>
      <c r="M154" s="76">
        <f t="shared" si="23"/>
        <v>0</v>
      </c>
      <c r="N154" s="133"/>
      <c r="O154" s="76">
        <f t="shared" si="24"/>
        <v>0</v>
      </c>
      <c r="P154" s="76">
        <f t="shared" si="25"/>
        <v>0</v>
      </c>
    </row>
    <row r="155" spans="2:16" ht="12.5">
      <c r="C155" s="63" t="s">
        <v>77</v>
      </c>
      <c r="D155" s="20"/>
      <c r="E155" s="20">
        <f>SUM(E99:E154)</f>
        <v>0</v>
      </c>
      <c r="F155" s="20"/>
      <c r="G155" s="20"/>
      <c r="H155" s="20">
        <f>SUM(H99:H154)</f>
        <v>0</v>
      </c>
      <c r="I155" s="20">
        <f>SUM(I99:I154)</f>
        <v>0</v>
      </c>
      <c r="J155" s="20">
        <f>SUM(J99:J154)</f>
        <v>0</v>
      </c>
      <c r="K155" s="20"/>
      <c r="L155" s="20"/>
      <c r="M155" s="20"/>
      <c r="N155" s="20"/>
      <c r="O155" s="20"/>
      <c r="P155" s="1"/>
    </row>
    <row r="156" spans="2:16" ht="12.5">
      <c r="C156" t="s">
        <v>100</v>
      </c>
      <c r="D156" s="2"/>
      <c r="E156" s="1"/>
      <c r="F156" s="1"/>
      <c r="G156" s="1"/>
      <c r="H156" s="1"/>
      <c r="I156" s="3"/>
      <c r="J156" s="3"/>
      <c r="K156" s="20"/>
      <c r="L156" s="3"/>
      <c r="M156" s="3"/>
      <c r="N156" s="3"/>
      <c r="O156" s="3"/>
      <c r="P156" s="1"/>
    </row>
    <row r="157" spans="2:16" ht="12.5">
      <c r="C157" s="99"/>
      <c r="D157" s="2"/>
      <c r="E157" s="1"/>
      <c r="F157" s="1"/>
      <c r="G157" s="1"/>
      <c r="H157" s="1"/>
      <c r="I157" s="3"/>
      <c r="J157" s="3"/>
      <c r="K157" s="20"/>
      <c r="L157" s="3"/>
      <c r="M157" s="3"/>
      <c r="N157" s="3"/>
      <c r="O157" s="3"/>
      <c r="P157" s="1"/>
    </row>
    <row r="158" spans="2:16" ht="13">
      <c r="C158" s="115" t="s">
        <v>149</v>
      </c>
      <c r="D158" s="2"/>
      <c r="E158" s="1"/>
      <c r="F158" s="1"/>
      <c r="G158" s="1"/>
      <c r="H158" s="1"/>
      <c r="I158" s="3"/>
      <c r="J158" s="3"/>
      <c r="K158" s="20"/>
      <c r="L158" s="3"/>
      <c r="M158" s="3"/>
      <c r="N158" s="3"/>
      <c r="O158" s="3"/>
      <c r="P158" s="1"/>
    </row>
    <row r="159" spans="2:16" ht="13">
      <c r="C159" s="32" t="s">
        <v>78</v>
      </c>
      <c r="D159" s="63"/>
      <c r="E159" s="63"/>
      <c r="F159" s="63"/>
      <c r="G159" s="63"/>
      <c r="H159" s="20"/>
      <c r="I159" s="20"/>
      <c r="J159" s="78"/>
      <c r="K159" s="78"/>
      <c r="L159" s="78"/>
      <c r="M159" s="78"/>
      <c r="N159" s="78"/>
      <c r="O159" s="78"/>
      <c r="P159" s="1"/>
    </row>
    <row r="160" spans="2:16" ht="13">
      <c r="C160" s="100" t="s">
        <v>79</v>
      </c>
      <c r="D160" s="63"/>
      <c r="E160" s="63"/>
      <c r="F160" s="63"/>
      <c r="G160" s="63"/>
      <c r="H160" s="20"/>
      <c r="I160" s="20"/>
      <c r="J160" s="78"/>
      <c r="K160" s="78"/>
      <c r="L160" s="78"/>
      <c r="M160" s="78"/>
      <c r="N160" s="78"/>
      <c r="O160" s="78"/>
      <c r="P160" s="1"/>
    </row>
    <row r="161" spans="3:16" ht="13">
      <c r="C161" s="100"/>
      <c r="D161" s="63"/>
      <c r="E161" s="63"/>
      <c r="F161" s="63"/>
      <c r="G161" s="63"/>
      <c r="H161" s="20"/>
      <c r="I161" s="20"/>
      <c r="J161" s="78"/>
      <c r="K161" s="78"/>
      <c r="L161" s="78"/>
      <c r="M161" s="78"/>
      <c r="N161" s="78"/>
      <c r="O161" s="78"/>
      <c r="P161" s="1"/>
    </row>
    <row r="162" spans="3:16" ht="17.5">
      <c r="C162" s="100"/>
      <c r="D162" s="63"/>
      <c r="E162" s="63"/>
      <c r="F162" s="63"/>
      <c r="G162" s="63"/>
      <c r="H162" s="20"/>
      <c r="I162" s="20"/>
      <c r="J162" s="78"/>
      <c r="K162" s="78"/>
      <c r="L162" s="78"/>
      <c r="M162" s="78"/>
      <c r="N162" s="78"/>
      <c r="P162" s="112" t="s">
        <v>145</v>
      </c>
    </row>
  </sheetData>
  <phoneticPr fontId="0" type="noConversion"/>
  <conditionalFormatting sqref="C17:C72">
    <cfRule type="cellIs" dxfId="1" priority="1" stopIfTrue="1" operator="equal">
      <formula>$I$10</formula>
    </cfRule>
  </conditionalFormatting>
  <conditionalFormatting sqref="C99:C154">
    <cfRule type="cellIs" dxfId="0" priority="2" stopIfTrue="1" operator="equal">
      <formula>$J$92</formula>
    </cfRule>
  </conditionalFormatting>
  <pageMargins left="0.5" right="0.25" top="1" bottom="0.25" header="0.25" footer="0.5"/>
  <pageSetup scale="47" fitToHeight="2" orientation="landscape" horizontalDpi="1200" verticalDpi="1200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9"/>
  <dimension ref="A1:P162"/>
  <sheetViews>
    <sheetView zoomScaleNormal="100" zoomScaleSheetLayoutView="80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179687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1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5"/>
      <c r="K3" s="240"/>
      <c r="L3" s="240"/>
      <c r="M3" s="240"/>
      <c r="N3" s="240"/>
      <c r="O3" s="231" t="str">
        <f>RIGHT(N3,3)</f>
        <v/>
      </c>
      <c r="P3" s="41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95678.3662566477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95678.3662566477</v>
      </c>
      <c r="O6" s="231"/>
      <c r="P6" s="231"/>
    </row>
    <row r="7" spans="1:16" ht="13.5" thickBot="1">
      <c r="C7" s="428" t="s">
        <v>46</v>
      </c>
      <c r="D7" s="429" t="s">
        <v>209</v>
      </c>
      <c r="E7" s="329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 t="str">
        <f>IF(D10&lt;100000,"DOES NOT MEET SPP $100,000 MINIMUM INVESTMENT FOR REGIONAL BPU SHARING.","")</f>
        <v/>
      </c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49</v>
      </c>
      <c r="E9" s="439" t="s">
        <v>374</v>
      </c>
      <c r="F9" s="717">
        <v>220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893858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2009</v>
      </c>
      <c r="E11" s="447" t="s">
        <v>54</v>
      </c>
      <c r="F11" s="445"/>
      <c r="G11" s="194"/>
      <c r="H11" s="194"/>
      <c r="I11" s="449"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6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IF(D10=0,0,ROUND(D10/D13,0))</f>
        <v>23523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C17" s="469">
        <f>IF(D11= "","-",D11)</f>
        <v>2009</v>
      </c>
      <c r="D17" s="470">
        <v>579098</v>
      </c>
      <c r="E17" s="471">
        <v>5463</v>
      </c>
      <c r="F17" s="470">
        <v>573635</v>
      </c>
      <c r="G17" s="471">
        <v>56729</v>
      </c>
      <c r="H17" s="471">
        <v>56729</v>
      </c>
      <c r="I17" s="472">
        <f t="shared" ref="I17:I48" si="0">H17-G17</f>
        <v>0</v>
      </c>
      <c r="J17" s="472"/>
      <c r="K17" s="473">
        <v>56729</v>
      </c>
      <c r="L17" s="474">
        <f t="shared" ref="L17:L48" si="1">IF(K17&lt;&gt;0,+G17-K17,0)</f>
        <v>0</v>
      </c>
      <c r="M17" s="473">
        <v>56729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2010</v>
      </c>
      <c r="D18" s="476">
        <v>888395</v>
      </c>
      <c r="E18" s="477">
        <v>15962</v>
      </c>
      <c r="F18" s="476">
        <v>872433</v>
      </c>
      <c r="G18" s="477">
        <v>141851</v>
      </c>
      <c r="H18" s="478">
        <v>141851</v>
      </c>
      <c r="I18" s="472">
        <f t="shared" si="0"/>
        <v>0</v>
      </c>
      <c r="J18" s="472"/>
      <c r="K18" s="473">
        <f t="shared" ref="K18:K23" si="4">G18</f>
        <v>141851</v>
      </c>
      <c r="L18" s="475">
        <f t="shared" si="1"/>
        <v>0</v>
      </c>
      <c r="M18" s="473">
        <f t="shared" ref="M18:M23" si="5">H18</f>
        <v>141851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/>
      </c>
      <c r="C19" s="469">
        <f>IF(D11="","-",+C18+1)</f>
        <v>2011</v>
      </c>
      <c r="D19" s="476">
        <v>872433</v>
      </c>
      <c r="E19" s="477">
        <v>17527</v>
      </c>
      <c r="F19" s="476">
        <v>854906</v>
      </c>
      <c r="G19" s="477">
        <v>151356.84230707804</v>
      </c>
      <c r="H19" s="478">
        <v>151356.84230707804</v>
      </c>
      <c r="I19" s="472">
        <f t="shared" si="0"/>
        <v>0</v>
      </c>
      <c r="J19" s="472"/>
      <c r="K19" s="473">
        <f t="shared" si="4"/>
        <v>151356.84230707804</v>
      </c>
      <c r="L19" s="475">
        <f t="shared" si="1"/>
        <v>0</v>
      </c>
      <c r="M19" s="473">
        <f t="shared" si="5"/>
        <v>151356.84230707804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79">
        <f>IF(D11="","-",+C19+1)</f>
        <v>2012</v>
      </c>
      <c r="D20" s="476">
        <v>854906</v>
      </c>
      <c r="E20" s="477">
        <v>17190</v>
      </c>
      <c r="F20" s="476">
        <v>837716</v>
      </c>
      <c r="G20" s="477">
        <v>133805.70830730975</v>
      </c>
      <c r="H20" s="478">
        <v>133805.70830730975</v>
      </c>
      <c r="I20" s="472">
        <f t="shared" si="0"/>
        <v>0</v>
      </c>
      <c r="J20" s="472"/>
      <c r="K20" s="473">
        <f t="shared" si="4"/>
        <v>133805.70830730975</v>
      </c>
      <c r="L20" s="475">
        <f t="shared" si="1"/>
        <v>0</v>
      </c>
      <c r="M20" s="473">
        <f t="shared" si="5"/>
        <v>133805.70830730975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6"/>
        <v/>
      </c>
      <c r="C21" s="479">
        <f>IF(D12="","-",+C20+1)</f>
        <v>2013</v>
      </c>
      <c r="D21" s="476">
        <v>837716</v>
      </c>
      <c r="E21" s="477">
        <v>17190</v>
      </c>
      <c r="F21" s="476">
        <v>820526</v>
      </c>
      <c r="G21" s="477">
        <v>134366.65985215519</v>
      </c>
      <c r="H21" s="478">
        <v>134366.65985215519</v>
      </c>
      <c r="I21" s="472">
        <v>0</v>
      </c>
      <c r="J21" s="472"/>
      <c r="K21" s="473">
        <f t="shared" si="4"/>
        <v>134366.65985215519</v>
      </c>
      <c r="L21" s="475">
        <f t="shared" ref="L21:L26" si="7">IF(K21&lt;&gt;0,+G21-K21,0)</f>
        <v>0</v>
      </c>
      <c r="M21" s="473">
        <f t="shared" si="5"/>
        <v>134366.65985215519</v>
      </c>
      <c r="N21" s="475">
        <f t="shared" ref="N21:N26" si="8">IF(M21&lt;&gt;0,+H21-M21,0)</f>
        <v>0</v>
      </c>
      <c r="O21" s="475">
        <f t="shared" ref="O21:O26" si="9">+N21-L21</f>
        <v>0</v>
      </c>
      <c r="P21" s="241"/>
    </row>
    <row r="22" spans="2:16" ht="12.5">
      <c r="B22" s="160" t="str">
        <f t="shared" si="6"/>
        <v/>
      </c>
      <c r="C22" s="469">
        <f>IF(D11="","-",+C21+1)</f>
        <v>2014</v>
      </c>
      <c r="D22" s="476">
        <v>820526</v>
      </c>
      <c r="E22" s="477">
        <v>17190</v>
      </c>
      <c r="F22" s="476">
        <v>803336</v>
      </c>
      <c r="G22" s="477">
        <v>127776.24380165605</v>
      </c>
      <c r="H22" s="478">
        <v>127776.24380165605</v>
      </c>
      <c r="I22" s="472">
        <v>0</v>
      </c>
      <c r="J22" s="472"/>
      <c r="K22" s="473">
        <f t="shared" si="4"/>
        <v>127776.24380165605</v>
      </c>
      <c r="L22" s="475">
        <f t="shared" si="7"/>
        <v>0</v>
      </c>
      <c r="M22" s="473">
        <f t="shared" si="5"/>
        <v>127776.24380165605</v>
      </c>
      <c r="N22" s="475">
        <f t="shared" si="8"/>
        <v>0</v>
      </c>
      <c r="O22" s="475">
        <f t="shared" si="9"/>
        <v>0</v>
      </c>
      <c r="P22" s="241"/>
    </row>
    <row r="23" spans="2:16" ht="12.5">
      <c r="B23" s="160" t="str">
        <f t="shared" si="6"/>
        <v/>
      </c>
      <c r="C23" s="469">
        <f>IF(D11="","-",+C22+1)</f>
        <v>2015</v>
      </c>
      <c r="D23" s="476">
        <v>803336</v>
      </c>
      <c r="E23" s="477">
        <v>17190</v>
      </c>
      <c r="F23" s="476">
        <v>786146</v>
      </c>
      <c r="G23" s="477">
        <v>125577.25148028173</v>
      </c>
      <c r="H23" s="478">
        <v>125577.25148028173</v>
      </c>
      <c r="I23" s="472">
        <v>0</v>
      </c>
      <c r="J23" s="472"/>
      <c r="K23" s="473">
        <f t="shared" si="4"/>
        <v>125577.25148028173</v>
      </c>
      <c r="L23" s="475">
        <f t="shared" si="7"/>
        <v>0</v>
      </c>
      <c r="M23" s="473">
        <f t="shared" si="5"/>
        <v>125577.25148028173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2016</v>
      </c>
      <c r="D24" s="476">
        <v>786146</v>
      </c>
      <c r="E24" s="477">
        <v>17190</v>
      </c>
      <c r="F24" s="476">
        <v>768956</v>
      </c>
      <c r="G24" s="477">
        <v>118045.98754263212</v>
      </c>
      <c r="H24" s="478">
        <v>118045.98754263212</v>
      </c>
      <c r="I24" s="472">
        <f t="shared" si="0"/>
        <v>0</v>
      </c>
      <c r="J24" s="472"/>
      <c r="K24" s="473">
        <f t="shared" ref="K24:K29" si="10">G24</f>
        <v>118045.98754263212</v>
      </c>
      <c r="L24" s="475">
        <f t="shared" si="7"/>
        <v>0</v>
      </c>
      <c r="M24" s="473">
        <f t="shared" ref="M24:M29" si="11">H24</f>
        <v>118045.98754263212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6"/>
        <v/>
      </c>
      <c r="C25" s="469">
        <f>IF(D11="","-",+C24+1)</f>
        <v>2017</v>
      </c>
      <c r="D25" s="476">
        <v>768956</v>
      </c>
      <c r="E25" s="477">
        <v>19432</v>
      </c>
      <c r="F25" s="476">
        <v>749524</v>
      </c>
      <c r="G25" s="477">
        <v>114816.91495996526</v>
      </c>
      <c r="H25" s="478">
        <v>114816.91495996526</v>
      </c>
      <c r="I25" s="472">
        <f t="shared" si="0"/>
        <v>0</v>
      </c>
      <c r="J25" s="472"/>
      <c r="K25" s="473">
        <f t="shared" si="10"/>
        <v>114816.91495996526</v>
      </c>
      <c r="L25" s="475">
        <f t="shared" si="7"/>
        <v>0</v>
      </c>
      <c r="M25" s="473">
        <f t="shared" si="11"/>
        <v>114816.91495996526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2018</v>
      </c>
      <c r="D26" s="476">
        <v>749524</v>
      </c>
      <c r="E26" s="477">
        <v>19864</v>
      </c>
      <c r="F26" s="476">
        <v>729660</v>
      </c>
      <c r="G26" s="477">
        <v>108436.75447594153</v>
      </c>
      <c r="H26" s="478">
        <v>108436.75447594153</v>
      </c>
      <c r="I26" s="472">
        <f t="shared" si="0"/>
        <v>0</v>
      </c>
      <c r="J26" s="472"/>
      <c r="K26" s="473">
        <f t="shared" si="10"/>
        <v>108436.75447594153</v>
      </c>
      <c r="L26" s="475">
        <f t="shared" si="7"/>
        <v>0</v>
      </c>
      <c r="M26" s="473">
        <f t="shared" si="11"/>
        <v>108436.75447594153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6"/>
        <v/>
      </c>
      <c r="C27" s="469">
        <f>IF(D11="","-",+C26+1)</f>
        <v>2019</v>
      </c>
      <c r="D27" s="476">
        <v>729660</v>
      </c>
      <c r="E27" s="477">
        <v>22346</v>
      </c>
      <c r="F27" s="476">
        <v>707314</v>
      </c>
      <c r="G27" s="477">
        <v>102569.83805108386</v>
      </c>
      <c r="H27" s="478">
        <v>102569.83805108386</v>
      </c>
      <c r="I27" s="472">
        <f t="shared" si="0"/>
        <v>0</v>
      </c>
      <c r="J27" s="472"/>
      <c r="K27" s="473">
        <f t="shared" si="10"/>
        <v>102569.83805108386</v>
      </c>
      <c r="L27" s="475">
        <f t="shared" ref="L27" si="12">IF(K27&lt;&gt;0,+G27-K27,0)</f>
        <v>0</v>
      </c>
      <c r="M27" s="473">
        <f t="shared" si="11"/>
        <v>102569.83805108386</v>
      </c>
      <c r="N27" s="475">
        <f t="shared" ref="N27" si="13">IF(M27&lt;&gt;0,+H27-M27,0)</f>
        <v>0</v>
      </c>
      <c r="O27" s="475">
        <f t="shared" ref="O27" si="14">+N27-L27</f>
        <v>0</v>
      </c>
      <c r="P27" s="241"/>
    </row>
    <row r="28" spans="2:16" ht="12.5">
      <c r="B28" s="160" t="str">
        <f t="shared" si="6"/>
        <v>IU</v>
      </c>
      <c r="C28" s="469">
        <f>IF(D11="","-",+C27+1)</f>
        <v>2020</v>
      </c>
      <c r="D28" s="476">
        <v>709796</v>
      </c>
      <c r="E28" s="477">
        <v>21282</v>
      </c>
      <c r="F28" s="476">
        <v>688514</v>
      </c>
      <c r="G28" s="477">
        <v>96794.079800478314</v>
      </c>
      <c r="H28" s="478">
        <v>96794.079800478314</v>
      </c>
      <c r="I28" s="472">
        <f t="shared" si="0"/>
        <v>0</v>
      </c>
      <c r="J28" s="472"/>
      <c r="K28" s="473">
        <f t="shared" si="10"/>
        <v>96794.079800478314</v>
      </c>
      <c r="L28" s="475">
        <f t="shared" ref="L28" si="15">IF(K28&lt;&gt;0,+G28-K28,0)</f>
        <v>0</v>
      </c>
      <c r="M28" s="473">
        <f t="shared" si="11"/>
        <v>96794.079800478314</v>
      </c>
      <c r="N28" s="475">
        <f t="shared" si="2"/>
        <v>0</v>
      </c>
      <c r="O28" s="475">
        <f t="shared" si="3"/>
        <v>0</v>
      </c>
      <c r="P28" s="241"/>
    </row>
    <row r="29" spans="2:16" ht="12.5">
      <c r="B29" s="160" t="str">
        <f t="shared" si="6"/>
        <v>IU</v>
      </c>
      <c r="C29" s="469">
        <f>IF(D11="","-",+C28+1)</f>
        <v>2021</v>
      </c>
      <c r="D29" s="476">
        <v>686032</v>
      </c>
      <c r="E29" s="477">
        <v>20787</v>
      </c>
      <c r="F29" s="476">
        <v>665245</v>
      </c>
      <c r="G29" s="477">
        <v>92514.814817027102</v>
      </c>
      <c r="H29" s="478">
        <v>92514.814817027102</v>
      </c>
      <c r="I29" s="472">
        <f t="shared" si="0"/>
        <v>0</v>
      </c>
      <c r="J29" s="472"/>
      <c r="K29" s="473">
        <f t="shared" si="10"/>
        <v>92514.814817027102</v>
      </c>
      <c r="L29" s="475">
        <f t="shared" ref="L29" si="16">IF(K29&lt;&gt;0,+G29-K29,0)</f>
        <v>0</v>
      </c>
      <c r="M29" s="473">
        <f t="shared" si="11"/>
        <v>92514.814817027102</v>
      </c>
      <c r="N29" s="475">
        <f t="shared" si="2"/>
        <v>0</v>
      </c>
      <c r="O29" s="475">
        <f t="shared" si="3"/>
        <v>0</v>
      </c>
      <c r="P29" s="241"/>
    </row>
    <row r="30" spans="2:16" ht="12.5">
      <c r="B30" s="160" t="str">
        <f t="shared" si="6"/>
        <v/>
      </c>
      <c r="C30" s="469">
        <f>IF(D11="","-",+C29+1)</f>
        <v>2022</v>
      </c>
      <c r="D30" s="476">
        <v>665245</v>
      </c>
      <c r="E30" s="477">
        <v>21282</v>
      </c>
      <c r="F30" s="476">
        <v>643963</v>
      </c>
      <c r="G30" s="477">
        <v>90708.453283775307</v>
      </c>
      <c r="H30" s="478">
        <v>90708.453283775307</v>
      </c>
      <c r="I30" s="472">
        <f t="shared" si="0"/>
        <v>0</v>
      </c>
      <c r="J30" s="472"/>
      <c r="K30" s="473">
        <f t="shared" ref="K30" si="17">G30</f>
        <v>90708.453283775307</v>
      </c>
      <c r="L30" s="475">
        <f t="shared" ref="L30" si="18">IF(K30&lt;&gt;0,+G30-K30,0)</f>
        <v>0</v>
      </c>
      <c r="M30" s="473">
        <f t="shared" ref="M30" si="19">H30</f>
        <v>90708.453283775307</v>
      </c>
      <c r="N30" s="475">
        <f t="shared" si="2"/>
        <v>0</v>
      </c>
      <c r="O30" s="475">
        <f t="shared" si="3"/>
        <v>0</v>
      </c>
      <c r="P30" s="241"/>
    </row>
    <row r="31" spans="2:16" ht="12.5">
      <c r="B31" s="160" t="str">
        <f t="shared" si="6"/>
        <v/>
      </c>
      <c r="C31" s="469">
        <f>IF(D11="","-",+C30+1)</f>
        <v>2023</v>
      </c>
      <c r="D31" s="476">
        <v>643963</v>
      </c>
      <c r="E31" s="477">
        <v>22919</v>
      </c>
      <c r="F31" s="476">
        <v>621044</v>
      </c>
      <c r="G31" s="477">
        <v>97046.160151699252</v>
      </c>
      <c r="H31" s="478">
        <v>97046.160151699252</v>
      </c>
      <c r="I31" s="472">
        <f t="shared" si="0"/>
        <v>0</v>
      </c>
      <c r="J31" s="472"/>
      <c r="K31" s="473">
        <f t="shared" ref="K31" si="20">G31</f>
        <v>97046.160151699252</v>
      </c>
      <c r="L31" s="475">
        <f t="shared" ref="L31" si="21">IF(K31&lt;&gt;0,+G31-K31,0)</f>
        <v>0</v>
      </c>
      <c r="M31" s="473">
        <f t="shared" ref="M31" si="22">H31</f>
        <v>97046.160151699252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6"/>
        <v/>
      </c>
      <c r="C32" s="469">
        <f>IF(D11="","-",+C31+1)</f>
        <v>2024</v>
      </c>
      <c r="D32" s="476">
        <v>621044</v>
      </c>
      <c r="E32" s="477">
        <v>22919</v>
      </c>
      <c r="F32" s="476">
        <v>598125</v>
      </c>
      <c r="G32" s="477">
        <v>95678.3662566477</v>
      </c>
      <c r="H32" s="478">
        <v>95678.3662566477</v>
      </c>
      <c r="I32" s="472">
        <f t="shared" si="0"/>
        <v>0</v>
      </c>
      <c r="J32" s="472"/>
      <c r="K32" s="473">
        <f t="shared" ref="K32" si="23">G32</f>
        <v>95678.3662566477</v>
      </c>
      <c r="L32" s="475">
        <f t="shared" ref="L32" si="24">IF(K32&lt;&gt;0,+G32-K32,0)</f>
        <v>0</v>
      </c>
      <c r="M32" s="473">
        <f t="shared" ref="M32" si="25">H32</f>
        <v>95678.3662566477</v>
      </c>
      <c r="N32" s="475">
        <f t="shared" ref="N32" si="26">IF(M32&lt;&gt;0,+H32-M32,0)</f>
        <v>0</v>
      </c>
      <c r="O32" s="475">
        <f t="shared" ref="O32" si="27">+N32-L32</f>
        <v>0</v>
      </c>
      <c r="P32" s="241"/>
    </row>
    <row r="33" spans="2:16" ht="12.5">
      <c r="B33" s="160" t="str">
        <f t="shared" si="6"/>
        <v/>
      </c>
      <c r="C33" s="469">
        <f>IF(D11="","-",+C32+1)</f>
        <v>2025</v>
      </c>
      <c r="D33" s="480">
        <f>IF(F32+SUM(E$17:E32)=D$10,F32,D$10-SUM(E$17:E32))</f>
        <v>598125</v>
      </c>
      <c r="E33" s="481">
        <f>IF(+I14&lt;F32,I14,D33)</f>
        <v>23523</v>
      </c>
      <c r="F33" s="482">
        <f t="shared" ref="F33:F48" si="28">+D33-E33</f>
        <v>574602</v>
      </c>
      <c r="G33" s="483">
        <f t="shared" ref="G33:G72" si="29">(D33+F33)/2*I$12+E33</f>
        <v>90216.094479824344</v>
      </c>
      <c r="H33" s="452">
        <f t="shared" ref="H33:H72" si="30">+(D33+F33)/2*I$13+E33</f>
        <v>90216.094479824344</v>
      </c>
      <c r="I33" s="472">
        <f t="shared" si="0"/>
        <v>0</v>
      </c>
      <c r="J33" s="472"/>
      <c r="K33" s="484"/>
      <c r="L33" s="475">
        <f t="shared" si="1"/>
        <v>0</v>
      </c>
      <c r="M33" s="484"/>
      <c r="N33" s="475">
        <f t="shared" si="2"/>
        <v>0</v>
      </c>
      <c r="O33" s="475">
        <f t="shared" si="3"/>
        <v>0</v>
      </c>
      <c r="P33" s="241"/>
    </row>
    <row r="34" spans="2:16" ht="12.5">
      <c r="B34" s="160" t="str">
        <f t="shared" si="6"/>
        <v/>
      </c>
      <c r="C34" s="469">
        <f>IF(D11="","-",+C33+1)</f>
        <v>2026</v>
      </c>
      <c r="D34" s="480">
        <f>IF(F33+SUM(E$17:E33)=D$10,F33,D$10-SUM(E$17:E33))</f>
        <v>574602</v>
      </c>
      <c r="E34" s="481">
        <f>IF(+I14&lt;F33,I14,D34)</f>
        <v>23523</v>
      </c>
      <c r="F34" s="482">
        <f t="shared" si="28"/>
        <v>551079</v>
      </c>
      <c r="G34" s="483">
        <f t="shared" si="29"/>
        <v>87540.584047389668</v>
      </c>
      <c r="H34" s="452">
        <f t="shared" si="30"/>
        <v>87540.584047389668</v>
      </c>
      <c r="I34" s="472">
        <f t="shared" si="0"/>
        <v>0</v>
      </c>
      <c r="J34" s="472"/>
      <c r="K34" s="484"/>
      <c r="L34" s="475">
        <f t="shared" si="1"/>
        <v>0</v>
      </c>
      <c r="M34" s="484"/>
      <c r="N34" s="475">
        <f t="shared" si="2"/>
        <v>0</v>
      </c>
      <c r="O34" s="475">
        <f t="shared" si="3"/>
        <v>0</v>
      </c>
      <c r="P34" s="241"/>
    </row>
    <row r="35" spans="2:16" ht="12.5">
      <c r="B35" s="160" t="str">
        <f t="shared" si="6"/>
        <v/>
      </c>
      <c r="C35" s="469">
        <f>IF(D11="","-",+C34+1)</f>
        <v>2027</v>
      </c>
      <c r="D35" s="480">
        <f>IF(F34+SUM(E$17:E34)=D$10,F34,D$10-SUM(E$17:E34))</f>
        <v>551079</v>
      </c>
      <c r="E35" s="481">
        <f>IF(+I14&lt;F34,I14,D35)</f>
        <v>23523</v>
      </c>
      <c r="F35" s="482">
        <f t="shared" si="28"/>
        <v>527556</v>
      </c>
      <c r="G35" s="483">
        <f t="shared" si="29"/>
        <v>84865.073614954992</v>
      </c>
      <c r="H35" s="452">
        <f t="shared" si="30"/>
        <v>84865.073614954992</v>
      </c>
      <c r="I35" s="472">
        <f t="shared" si="0"/>
        <v>0</v>
      </c>
      <c r="J35" s="472"/>
      <c r="K35" s="484"/>
      <c r="L35" s="475">
        <f t="shared" si="1"/>
        <v>0</v>
      </c>
      <c r="M35" s="484"/>
      <c r="N35" s="475">
        <f t="shared" si="2"/>
        <v>0</v>
      </c>
      <c r="O35" s="475">
        <f t="shared" si="3"/>
        <v>0</v>
      </c>
      <c r="P35" s="241"/>
    </row>
    <row r="36" spans="2:16" ht="12.5">
      <c r="B36" s="160" t="str">
        <f t="shared" si="6"/>
        <v/>
      </c>
      <c r="C36" s="469">
        <f>IF(D11="","-",+C35+1)</f>
        <v>2028</v>
      </c>
      <c r="D36" s="480">
        <f>IF(F35+SUM(E$17:E35)=D$10,F35,D$10-SUM(E$17:E35))</f>
        <v>527556</v>
      </c>
      <c r="E36" s="481">
        <f>IF(+I14&lt;F35,I14,D36)</f>
        <v>23523</v>
      </c>
      <c r="F36" s="482">
        <f t="shared" si="28"/>
        <v>504033</v>
      </c>
      <c r="G36" s="483">
        <f t="shared" si="29"/>
        <v>82189.563182520331</v>
      </c>
      <c r="H36" s="452">
        <f t="shared" si="30"/>
        <v>82189.563182520331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6"/>
        <v/>
      </c>
      <c r="C37" s="469">
        <f>IF(D11="","-",+C36+1)</f>
        <v>2029</v>
      </c>
      <c r="D37" s="480">
        <f>IF(F36+SUM(E$17:E36)=D$10,F36,D$10-SUM(E$17:E36))</f>
        <v>504033</v>
      </c>
      <c r="E37" s="481">
        <f>IF(+I14&lt;F36,I14,D37)</f>
        <v>23523</v>
      </c>
      <c r="F37" s="482">
        <f t="shared" si="28"/>
        <v>480510</v>
      </c>
      <c r="G37" s="483">
        <f t="shared" si="29"/>
        <v>79514.052750085655</v>
      </c>
      <c r="H37" s="452">
        <f t="shared" si="30"/>
        <v>79514.052750085655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6"/>
        <v/>
      </c>
      <c r="C38" s="469">
        <f>IF(D11="","-",+C37+1)</f>
        <v>2030</v>
      </c>
      <c r="D38" s="480">
        <f>IF(F37+SUM(E$17:E37)=D$10,F37,D$10-SUM(E$17:E37))</f>
        <v>480510</v>
      </c>
      <c r="E38" s="481">
        <f>IF(+I14&lt;F37,I14,D38)</f>
        <v>23523</v>
      </c>
      <c r="F38" s="482">
        <f t="shared" si="28"/>
        <v>456987</v>
      </c>
      <c r="G38" s="483">
        <f t="shared" si="29"/>
        <v>76838.542317650979</v>
      </c>
      <c r="H38" s="452">
        <f t="shared" si="30"/>
        <v>76838.542317650979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6"/>
        <v/>
      </c>
      <c r="C39" s="469">
        <f>IF(D11="","-",+C38+1)</f>
        <v>2031</v>
      </c>
      <c r="D39" s="480">
        <f>IF(F38+SUM(E$17:E38)=D$10,F38,D$10-SUM(E$17:E38))</f>
        <v>456987</v>
      </c>
      <c r="E39" s="481">
        <f>IF(+I14&lt;F38,I14,D39)</f>
        <v>23523</v>
      </c>
      <c r="F39" s="482">
        <f t="shared" si="28"/>
        <v>433464</v>
      </c>
      <c r="G39" s="483">
        <f t="shared" si="29"/>
        <v>74163.031885216304</v>
      </c>
      <c r="H39" s="452">
        <f t="shared" si="30"/>
        <v>74163.031885216304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6"/>
        <v/>
      </c>
      <c r="C40" s="469">
        <f>IF(D11="","-",+C39+1)</f>
        <v>2032</v>
      </c>
      <c r="D40" s="480">
        <f>IF(F39+SUM(E$17:E39)=D$10,F39,D$10-SUM(E$17:E39))</f>
        <v>433464</v>
      </c>
      <c r="E40" s="481">
        <f>IF(+I14&lt;F39,I14,D40)</f>
        <v>23523</v>
      </c>
      <c r="F40" s="482">
        <f t="shared" si="28"/>
        <v>409941</v>
      </c>
      <c r="G40" s="483">
        <f t="shared" si="29"/>
        <v>71487.521452781628</v>
      </c>
      <c r="H40" s="452">
        <f t="shared" si="30"/>
        <v>71487.521452781628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6"/>
        <v/>
      </c>
      <c r="C41" s="469">
        <f>IF(D11="","-",+C40+1)</f>
        <v>2033</v>
      </c>
      <c r="D41" s="480">
        <f>IF(F40+SUM(E$17:E40)=D$10,F40,D$10-SUM(E$17:E40))</f>
        <v>409941</v>
      </c>
      <c r="E41" s="481">
        <f>IF(+I14&lt;F40,I14,D41)</f>
        <v>23523</v>
      </c>
      <c r="F41" s="482">
        <f t="shared" si="28"/>
        <v>386418</v>
      </c>
      <c r="G41" s="483">
        <f t="shared" si="29"/>
        <v>68812.011020346952</v>
      </c>
      <c r="H41" s="452">
        <f t="shared" si="30"/>
        <v>68812.011020346952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6"/>
        <v/>
      </c>
      <c r="C42" s="469">
        <f>IF(D11="","-",+C41+1)</f>
        <v>2034</v>
      </c>
      <c r="D42" s="480">
        <f>IF(F41+SUM(E$17:E41)=D$10,F41,D$10-SUM(E$17:E41))</f>
        <v>386418</v>
      </c>
      <c r="E42" s="481">
        <f>IF(+I14&lt;F41,I14,D42)</f>
        <v>23523</v>
      </c>
      <c r="F42" s="482">
        <f t="shared" si="28"/>
        <v>362895</v>
      </c>
      <c r="G42" s="483">
        <f t="shared" si="29"/>
        <v>66136.500587912291</v>
      </c>
      <c r="H42" s="452">
        <f t="shared" si="30"/>
        <v>66136.500587912291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6"/>
        <v/>
      </c>
      <c r="C43" s="469">
        <f>IF(D11="","-",+C42+1)</f>
        <v>2035</v>
      </c>
      <c r="D43" s="480">
        <f>IF(F42+SUM(E$17:E42)=D$10,F42,D$10-SUM(E$17:E42))</f>
        <v>362895</v>
      </c>
      <c r="E43" s="481">
        <f>IF(+I14&lt;F42,I14,D43)</f>
        <v>23523</v>
      </c>
      <c r="F43" s="482">
        <f t="shared" si="28"/>
        <v>339372</v>
      </c>
      <c r="G43" s="483">
        <f t="shared" si="29"/>
        <v>63460.990155477615</v>
      </c>
      <c r="H43" s="452">
        <f t="shared" si="30"/>
        <v>63460.990155477615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6"/>
        <v/>
      </c>
      <c r="C44" s="469">
        <f>IF(D11="","-",+C43+1)</f>
        <v>2036</v>
      </c>
      <c r="D44" s="480">
        <f>IF(F43+SUM(E$17:E43)=D$10,F43,D$10-SUM(E$17:E43))</f>
        <v>339372</v>
      </c>
      <c r="E44" s="481">
        <f>IF(+I14&lt;F43,I14,D44)</f>
        <v>23523</v>
      </c>
      <c r="F44" s="482">
        <f t="shared" si="28"/>
        <v>315849</v>
      </c>
      <c r="G44" s="483">
        <f t="shared" si="29"/>
        <v>60785.479723042947</v>
      </c>
      <c r="H44" s="452">
        <f t="shared" si="30"/>
        <v>60785.479723042947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6"/>
        <v/>
      </c>
      <c r="C45" s="469">
        <f>IF(D11="","-",+C44+1)</f>
        <v>2037</v>
      </c>
      <c r="D45" s="480">
        <f>IF(F44+SUM(E$17:E44)=D$10,F44,D$10-SUM(E$17:E44))</f>
        <v>315849</v>
      </c>
      <c r="E45" s="481">
        <f>IF(+I14&lt;F44,I14,D45)</f>
        <v>23523</v>
      </c>
      <c r="F45" s="482">
        <f t="shared" si="28"/>
        <v>292326</v>
      </c>
      <c r="G45" s="483">
        <f t="shared" si="29"/>
        <v>58109.969290608271</v>
      </c>
      <c r="H45" s="452">
        <f t="shared" si="30"/>
        <v>58109.969290608271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6"/>
        <v/>
      </c>
      <c r="C46" s="469">
        <f>IF(D11="","-",+C45+1)</f>
        <v>2038</v>
      </c>
      <c r="D46" s="480">
        <f>IF(F45+SUM(E$17:E45)=D$10,F45,D$10-SUM(E$17:E45))</f>
        <v>292326</v>
      </c>
      <c r="E46" s="481">
        <f>IF(+I14&lt;F45,I14,D46)</f>
        <v>23523</v>
      </c>
      <c r="F46" s="482">
        <f t="shared" si="28"/>
        <v>268803</v>
      </c>
      <c r="G46" s="483">
        <f t="shared" si="29"/>
        <v>55434.458858173602</v>
      </c>
      <c r="H46" s="452">
        <f t="shared" si="30"/>
        <v>55434.458858173602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6"/>
        <v/>
      </c>
      <c r="C47" s="469">
        <f>IF(D11="","-",+C46+1)</f>
        <v>2039</v>
      </c>
      <c r="D47" s="480">
        <f>IF(F46+SUM(E$17:E46)=D$10,F46,D$10-SUM(E$17:E46))</f>
        <v>268803</v>
      </c>
      <c r="E47" s="481">
        <f>IF(+I14&lt;F46,I14,D47)</f>
        <v>23523</v>
      </c>
      <c r="F47" s="482">
        <f t="shared" si="28"/>
        <v>245280</v>
      </c>
      <c r="G47" s="483">
        <f t="shared" si="29"/>
        <v>52758.948425738927</v>
      </c>
      <c r="H47" s="452">
        <f t="shared" si="30"/>
        <v>52758.948425738927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6"/>
        <v/>
      </c>
      <c r="C48" s="469">
        <f>IF(D11="","-",+C47+1)</f>
        <v>2040</v>
      </c>
      <c r="D48" s="480">
        <f>IF(F47+SUM(E$17:E47)=D$10,F47,D$10-SUM(E$17:E47))</f>
        <v>245280</v>
      </c>
      <c r="E48" s="481">
        <f>IF(+I14&lt;F47,I14,D48)</f>
        <v>23523</v>
      </c>
      <c r="F48" s="482">
        <f t="shared" si="28"/>
        <v>221757</v>
      </c>
      <c r="G48" s="483">
        <f t="shared" si="29"/>
        <v>50083.437993304251</v>
      </c>
      <c r="H48" s="452">
        <f t="shared" si="30"/>
        <v>50083.437993304251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6"/>
        <v/>
      </c>
      <c r="C49" s="469">
        <f>IF(D11="","-",+C48+1)</f>
        <v>2041</v>
      </c>
      <c r="D49" s="480">
        <f>IF(F48+SUM(E$17:E48)=D$10,F48,D$10-SUM(E$17:E48))</f>
        <v>221757</v>
      </c>
      <c r="E49" s="481">
        <f>IF(+I14&lt;F48,I14,D49)</f>
        <v>23523</v>
      </c>
      <c r="F49" s="482">
        <f t="shared" ref="F49:F72" si="31">+D49-E49</f>
        <v>198234</v>
      </c>
      <c r="G49" s="483">
        <f t="shared" si="29"/>
        <v>47407.927560869583</v>
      </c>
      <c r="H49" s="452">
        <f t="shared" si="30"/>
        <v>47407.927560869583</v>
      </c>
      <c r="I49" s="472">
        <f t="shared" ref="I49:I72" si="32">H49-G49</f>
        <v>0</v>
      </c>
      <c r="J49" s="472"/>
      <c r="K49" s="484"/>
      <c r="L49" s="475">
        <f t="shared" ref="L49:L72" si="33">IF(K49&lt;&gt;0,+G49-K49,0)</f>
        <v>0</v>
      </c>
      <c r="M49" s="484"/>
      <c r="N49" s="475">
        <f t="shared" ref="N49:N72" si="34">IF(M49&lt;&gt;0,+H49-M49,0)</f>
        <v>0</v>
      </c>
      <c r="O49" s="475">
        <f t="shared" ref="O49:O72" si="35">+N49-L49</f>
        <v>0</v>
      </c>
      <c r="P49" s="241"/>
    </row>
    <row r="50" spans="2:16" ht="12.5">
      <c r="B50" s="160" t="str">
        <f t="shared" si="6"/>
        <v/>
      </c>
      <c r="C50" s="469">
        <f>IF(D11="","-",+C49+1)</f>
        <v>2042</v>
      </c>
      <c r="D50" s="480">
        <f>IF(F49+SUM(E$17:E49)=D$10,F49,D$10-SUM(E$17:E49))</f>
        <v>198234</v>
      </c>
      <c r="E50" s="481">
        <f>IF(+I14&lt;F49,I14,D50)</f>
        <v>23523</v>
      </c>
      <c r="F50" s="482">
        <f t="shared" si="31"/>
        <v>174711</v>
      </c>
      <c r="G50" s="483">
        <f t="shared" si="29"/>
        <v>44732.417128434914</v>
      </c>
      <c r="H50" s="452">
        <f t="shared" si="30"/>
        <v>44732.417128434914</v>
      </c>
      <c r="I50" s="472">
        <f t="shared" si="32"/>
        <v>0</v>
      </c>
      <c r="J50" s="472"/>
      <c r="K50" s="484"/>
      <c r="L50" s="475">
        <f t="shared" si="33"/>
        <v>0</v>
      </c>
      <c r="M50" s="484"/>
      <c r="N50" s="475">
        <f t="shared" si="34"/>
        <v>0</v>
      </c>
      <c r="O50" s="475">
        <f t="shared" si="35"/>
        <v>0</v>
      </c>
      <c r="P50" s="241"/>
    </row>
    <row r="51" spans="2:16" ht="12.5">
      <c r="B51" s="160" t="str">
        <f t="shared" si="6"/>
        <v/>
      </c>
      <c r="C51" s="469">
        <f>IF(D11="","-",+C50+1)</f>
        <v>2043</v>
      </c>
      <c r="D51" s="480">
        <f>IF(F50+SUM(E$17:E50)=D$10,F50,D$10-SUM(E$17:E50))</f>
        <v>174711</v>
      </c>
      <c r="E51" s="481">
        <f>IF(+I14&lt;F50,I14,D51)</f>
        <v>23523</v>
      </c>
      <c r="F51" s="482">
        <f t="shared" si="31"/>
        <v>151188</v>
      </c>
      <c r="G51" s="483">
        <f t="shared" si="29"/>
        <v>42056.906696000238</v>
      </c>
      <c r="H51" s="452">
        <f t="shared" si="30"/>
        <v>42056.906696000238</v>
      </c>
      <c r="I51" s="472">
        <f t="shared" si="32"/>
        <v>0</v>
      </c>
      <c r="J51" s="472"/>
      <c r="K51" s="484"/>
      <c r="L51" s="475">
        <f t="shared" si="33"/>
        <v>0</v>
      </c>
      <c r="M51" s="484"/>
      <c r="N51" s="475">
        <f t="shared" si="34"/>
        <v>0</v>
      </c>
      <c r="O51" s="475">
        <f t="shared" si="35"/>
        <v>0</v>
      </c>
      <c r="P51" s="241"/>
    </row>
    <row r="52" spans="2:16" ht="12.5">
      <c r="B52" s="160" t="str">
        <f t="shared" si="6"/>
        <v/>
      </c>
      <c r="C52" s="469">
        <f>IF(D11="","-",+C51+1)</f>
        <v>2044</v>
      </c>
      <c r="D52" s="480">
        <f>IF(F51+SUM(E$17:E51)=D$10,F51,D$10-SUM(E$17:E51))</f>
        <v>151188</v>
      </c>
      <c r="E52" s="481">
        <f>IF(+I14&lt;F51,I14,D52)</f>
        <v>23523</v>
      </c>
      <c r="F52" s="482">
        <f t="shared" si="31"/>
        <v>127665</v>
      </c>
      <c r="G52" s="483">
        <f t="shared" si="29"/>
        <v>39381.396263565563</v>
      </c>
      <c r="H52" s="452">
        <f t="shared" si="30"/>
        <v>39381.396263565563</v>
      </c>
      <c r="I52" s="472">
        <f t="shared" si="32"/>
        <v>0</v>
      </c>
      <c r="J52" s="472"/>
      <c r="K52" s="484"/>
      <c r="L52" s="475">
        <f t="shared" si="33"/>
        <v>0</v>
      </c>
      <c r="M52" s="484"/>
      <c r="N52" s="475">
        <f t="shared" si="34"/>
        <v>0</v>
      </c>
      <c r="O52" s="475">
        <f t="shared" si="35"/>
        <v>0</v>
      </c>
      <c r="P52" s="241"/>
    </row>
    <row r="53" spans="2:16" ht="12.5">
      <c r="B53" s="160" t="str">
        <f t="shared" si="6"/>
        <v/>
      </c>
      <c r="C53" s="469">
        <f>IF(D11="","-",+C52+1)</f>
        <v>2045</v>
      </c>
      <c r="D53" s="480">
        <f>IF(F52+SUM(E$17:E52)=D$10,F52,D$10-SUM(E$17:E52))</f>
        <v>127665</v>
      </c>
      <c r="E53" s="481">
        <f>IF(+I14&lt;F52,I14,D53)</f>
        <v>23523</v>
      </c>
      <c r="F53" s="482">
        <f t="shared" si="31"/>
        <v>104142</v>
      </c>
      <c r="G53" s="483">
        <f t="shared" si="29"/>
        <v>36705.885831130894</v>
      </c>
      <c r="H53" s="452">
        <f t="shared" si="30"/>
        <v>36705.885831130894</v>
      </c>
      <c r="I53" s="472">
        <f t="shared" si="32"/>
        <v>0</v>
      </c>
      <c r="J53" s="472"/>
      <c r="K53" s="484"/>
      <c r="L53" s="475">
        <f t="shared" si="33"/>
        <v>0</v>
      </c>
      <c r="M53" s="484"/>
      <c r="N53" s="475">
        <f t="shared" si="34"/>
        <v>0</v>
      </c>
      <c r="O53" s="475">
        <f t="shared" si="35"/>
        <v>0</v>
      </c>
      <c r="P53" s="241"/>
    </row>
    <row r="54" spans="2:16" ht="12.5">
      <c r="B54" s="160" t="str">
        <f t="shared" si="6"/>
        <v/>
      </c>
      <c r="C54" s="469">
        <f>IF(D11="","-",+C53+1)</f>
        <v>2046</v>
      </c>
      <c r="D54" s="480">
        <f>IF(F53+SUM(E$17:E53)=D$10,F53,D$10-SUM(E$17:E53))</f>
        <v>104142</v>
      </c>
      <c r="E54" s="481">
        <f>IF(+I14&lt;F53,I14,D54)</f>
        <v>23523</v>
      </c>
      <c r="F54" s="482">
        <f t="shared" si="31"/>
        <v>80619</v>
      </c>
      <c r="G54" s="483">
        <f t="shared" si="29"/>
        <v>34030.375398696226</v>
      </c>
      <c r="H54" s="452">
        <f t="shared" si="30"/>
        <v>34030.375398696226</v>
      </c>
      <c r="I54" s="472">
        <f t="shared" si="32"/>
        <v>0</v>
      </c>
      <c r="J54" s="472"/>
      <c r="K54" s="484"/>
      <c r="L54" s="475">
        <f t="shared" si="33"/>
        <v>0</v>
      </c>
      <c r="M54" s="484"/>
      <c r="N54" s="475">
        <f t="shared" si="34"/>
        <v>0</v>
      </c>
      <c r="O54" s="475">
        <f t="shared" si="35"/>
        <v>0</v>
      </c>
      <c r="P54" s="241"/>
    </row>
    <row r="55" spans="2:16" ht="12.5">
      <c r="B55" s="160" t="str">
        <f t="shared" si="6"/>
        <v/>
      </c>
      <c r="C55" s="469">
        <f>IF(D11="","-",+C54+1)</f>
        <v>2047</v>
      </c>
      <c r="D55" s="480">
        <f>IF(F54+SUM(E$17:E54)=D$10,F54,D$10-SUM(E$17:E54))</f>
        <v>80619</v>
      </c>
      <c r="E55" s="481">
        <f>IF(+I14&lt;F54,I14,D55)</f>
        <v>23523</v>
      </c>
      <c r="F55" s="482">
        <f t="shared" si="31"/>
        <v>57096</v>
      </c>
      <c r="G55" s="483">
        <f t="shared" si="29"/>
        <v>31354.86496626155</v>
      </c>
      <c r="H55" s="452">
        <f t="shared" si="30"/>
        <v>31354.86496626155</v>
      </c>
      <c r="I55" s="472">
        <f t="shared" si="32"/>
        <v>0</v>
      </c>
      <c r="J55" s="472"/>
      <c r="K55" s="484"/>
      <c r="L55" s="475">
        <f t="shared" si="33"/>
        <v>0</v>
      </c>
      <c r="M55" s="484"/>
      <c r="N55" s="475">
        <f t="shared" si="34"/>
        <v>0</v>
      </c>
      <c r="O55" s="475">
        <f t="shared" si="35"/>
        <v>0</v>
      </c>
      <c r="P55" s="241"/>
    </row>
    <row r="56" spans="2:16" ht="12.5">
      <c r="B56" s="160" t="str">
        <f t="shared" si="6"/>
        <v/>
      </c>
      <c r="C56" s="469">
        <f>IF(D11="","-",+C55+1)</f>
        <v>2048</v>
      </c>
      <c r="D56" s="480">
        <f>IF(F55+SUM(E$17:E55)=D$10,F55,D$10-SUM(E$17:E55))</f>
        <v>57096</v>
      </c>
      <c r="E56" s="481">
        <f>IF(+I14&lt;F55,I14,D56)</f>
        <v>23523</v>
      </c>
      <c r="F56" s="482">
        <f t="shared" si="31"/>
        <v>33573</v>
      </c>
      <c r="G56" s="483">
        <f t="shared" si="29"/>
        <v>28679.354533826878</v>
      </c>
      <c r="H56" s="452">
        <f t="shared" si="30"/>
        <v>28679.354533826878</v>
      </c>
      <c r="I56" s="472">
        <f t="shared" si="32"/>
        <v>0</v>
      </c>
      <c r="J56" s="472"/>
      <c r="K56" s="484"/>
      <c r="L56" s="475">
        <f t="shared" si="33"/>
        <v>0</v>
      </c>
      <c r="M56" s="484"/>
      <c r="N56" s="475">
        <f t="shared" si="34"/>
        <v>0</v>
      </c>
      <c r="O56" s="475">
        <f t="shared" si="35"/>
        <v>0</v>
      </c>
      <c r="P56" s="241"/>
    </row>
    <row r="57" spans="2:16" ht="12.5">
      <c r="B57" s="160" t="str">
        <f t="shared" si="6"/>
        <v/>
      </c>
      <c r="C57" s="469">
        <f>IF(D11="","-",+C56+1)</f>
        <v>2049</v>
      </c>
      <c r="D57" s="480">
        <f>IF(F56+SUM(E$17:E56)=D$10,F56,D$10-SUM(E$17:E56))</f>
        <v>33573</v>
      </c>
      <c r="E57" s="481">
        <f>IF(+I14&lt;F56,I14,D57)</f>
        <v>23523</v>
      </c>
      <c r="F57" s="482">
        <f t="shared" si="31"/>
        <v>10050</v>
      </c>
      <c r="G57" s="483">
        <f t="shared" si="29"/>
        <v>26003.844101392206</v>
      </c>
      <c r="H57" s="452">
        <f t="shared" si="30"/>
        <v>26003.844101392206</v>
      </c>
      <c r="I57" s="472">
        <f t="shared" si="32"/>
        <v>0</v>
      </c>
      <c r="J57" s="472"/>
      <c r="K57" s="484"/>
      <c r="L57" s="475">
        <f t="shared" si="33"/>
        <v>0</v>
      </c>
      <c r="M57" s="484"/>
      <c r="N57" s="475">
        <f t="shared" si="34"/>
        <v>0</v>
      </c>
      <c r="O57" s="475">
        <f t="shared" si="35"/>
        <v>0</v>
      </c>
      <c r="P57" s="241"/>
    </row>
    <row r="58" spans="2:16" ht="12.5">
      <c r="B58" s="160" t="str">
        <f t="shared" si="6"/>
        <v/>
      </c>
      <c r="C58" s="469">
        <f>IF(D11="","-",+C57+1)</f>
        <v>2050</v>
      </c>
      <c r="D58" s="480">
        <f>IF(F57+SUM(E$17:E57)=D$10,F57,D$10-SUM(E$17:E57))</f>
        <v>10050</v>
      </c>
      <c r="E58" s="481">
        <f>IF(+I14&lt;F57,I14,D58)</f>
        <v>10050</v>
      </c>
      <c r="F58" s="482">
        <f t="shared" si="31"/>
        <v>0</v>
      </c>
      <c r="G58" s="483">
        <f t="shared" si="29"/>
        <v>10621.544442587434</v>
      </c>
      <c r="H58" s="452">
        <f t="shared" si="30"/>
        <v>10621.544442587434</v>
      </c>
      <c r="I58" s="472">
        <f t="shared" si="32"/>
        <v>0</v>
      </c>
      <c r="J58" s="472"/>
      <c r="K58" s="484"/>
      <c r="L58" s="475">
        <f t="shared" si="33"/>
        <v>0</v>
      </c>
      <c r="M58" s="484"/>
      <c r="N58" s="475">
        <f t="shared" si="34"/>
        <v>0</v>
      </c>
      <c r="O58" s="475">
        <f t="shared" si="35"/>
        <v>0</v>
      </c>
      <c r="P58" s="241"/>
    </row>
    <row r="59" spans="2:16" ht="12.5">
      <c r="B59" s="160" t="str">
        <f t="shared" si="6"/>
        <v/>
      </c>
      <c r="C59" s="469">
        <f>IF(D11="","-",+C58+1)</f>
        <v>2051</v>
      </c>
      <c r="D59" s="480">
        <f>IF(F58+SUM(E$17:E58)=D$10,F58,D$10-SUM(E$17:E58))</f>
        <v>0</v>
      </c>
      <c r="E59" s="481">
        <f>IF(+I14&lt;F58,I14,D59)</f>
        <v>0</v>
      </c>
      <c r="F59" s="482">
        <f t="shared" si="31"/>
        <v>0</v>
      </c>
      <c r="G59" s="483">
        <f t="shared" si="29"/>
        <v>0</v>
      </c>
      <c r="H59" s="452">
        <f t="shared" si="30"/>
        <v>0</v>
      </c>
      <c r="I59" s="472">
        <f t="shared" si="32"/>
        <v>0</v>
      </c>
      <c r="J59" s="472"/>
      <c r="K59" s="484"/>
      <c r="L59" s="475">
        <f t="shared" si="33"/>
        <v>0</v>
      </c>
      <c r="M59" s="484"/>
      <c r="N59" s="475">
        <f t="shared" si="34"/>
        <v>0</v>
      </c>
      <c r="O59" s="475">
        <f t="shared" si="35"/>
        <v>0</v>
      </c>
      <c r="P59" s="241"/>
    </row>
    <row r="60" spans="2:16" ht="12.5">
      <c r="B60" s="160" t="str">
        <f t="shared" si="6"/>
        <v/>
      </c>
      <c r="C60" s="469">
        <f>IF(D11="","-",+C59+1)</f>
        <v>2052</v>
      </c>
      <c r="D60" s="480">
        <f>IF(F59+SUM(E$17:E59)=D$10,F59,D$10-SUM(E$17:E59))</f>
        <v>0</v>
      </c>
      <c r="E60" s="481">
        <f>IF(+I14&lt;F59,I14,D60)</f>
        <v>0</v>
      </c>
      <c r="F60" s="482">
        <f t="shared" si="31"/>
        <v>0</v>
      </c>
      <c r="G60" s="483">
        <f t="shared" si="29"/>
        <v>0</v>
      </c>
      <c r="H60" s="452">
        <f t="shared" si="30"/>
        <v>0</v>
      </c>
      <c r="I60" s="472">
        <f t="shared" si="32"/>
        <v>0</v>
      </c>
      <c r="J60" s="472"/>
      <c r="K60" s="484"/>
      <c r="L60" s="475">
        <f t="shared" si="33"/>
        <v>0</v>
      </c>
      <c r="M60" s="484"/>
      <c r="N60" s="475">
        <f t="shared" si="34"/>
        <v>0</v>
      </c>
      <c r="O60" s="475">
        <f t="shared" si="35"/>
        <v>0</v>
      </c>
      <c r="P60" s="241"/>
    </row>
    <row r="61" spans="2:16" ht="12.5">
      <c r="B61" s="160" t="str">
        <f t="shared" si="6"/>
        <v/>
      </c>
      <c r="C61" s="469">
        <f>IF(D11="","-",+C60+1)</f>
        <v>2053</v>
      </c>
      <c r="D61" s="480">
        <f>IF(F60+SUM(E$17:E60)=D$10,F60,D$10-SUM(E$17:E60))</f>
        <v>0</v>
      </c>
      <c r="E61" s="481">
        <f>IF(+I14&lt;F60,I14,D61)</f>
        <v>0</v>
      </c>
      <c r="F61" s="482">
        <f t="shared" si="31"/>
        <v>0</v>
      </c>
      <c r="G61" s="483">
        <f t="shared" si="29"/>
        <v>0</v>
      </c>
      <c r="H61" s="452">
        <f t="shared" si="30"/>
        <v>0</v>
      </c>
      <c r="I61" s="472">
        <f t="shared" si="32"/>
        <v>0</v>
      </c>
      <c r="J61" s="472"/>
      <c r="K61" s="484"/>
      <c r="L61" s="475">
        <f t="shared" si="33"/>
        <v>0</v>
      </c>
      <c r="M61" s="484"/>
      <c r="N61" s="475">
        <f t="shared" si="34"/>
        <v>0</v>
      </c>
      <c r="O61" s="475">
        <f t="shared" si="35"/>
        <v>0</v>
      </c>
      <c r="P61" s="241"/>
    </row>
    <row r="62" spans="2:16" ht="12.5">
      <c r="B62" s="160" t="str">
        <f t="shared" si="6"/>
        <v/>
      </c>
      <c r="C62" s="469">
        <f>IF(D11="","-",+C61+1)</f>
        <v>2054</v>
      </c>
      <c r="D62" s="480">
        <f>IF(F61+SUM(E$17:E61)=D$10,F61,D$10-SUM(E$17:E61))</f>
        <v>0</v>
      </c>
      <c r="E62" s="481">
        <f>IF(+I14&lt;F61,I14,D62)</f>
        <v>0</v>
      </c>
      <c r="F62" s="482">
        <f t="shared" si="31"/>
        <v>0</v>
      </c>
      <c r="G62" s="483">
        <f t="shared" si="29"/>
        <v>0</v>
      </c>
      <c r="H62" s="452">
        <f t="shared" si="30"/>
        <v>0</v>
      </c>
      <c r="I62" s="472">
        <f t="shared" si="32"/>
        <v>0</v>
      </c>
      <c r="J62" s="472"/>
      <c r="K62" s="484"/>
      <c r="L62" s="475">
        <f t="shared" si="33"/>
        <v>0</v>
      </c>
      <c r="M62" s="484"/>
      <c r="N62" s="475">
        <f t="shared" si="34"/>
        <v>0</v>
      </c>
      <c r="O62" s="475">
        <f t="shared" si="35"/>
        <v>0</v>
      </c>
      <c r="P62" s="241"/>
    </row>
    <row r="63" spans="2:16" ht="12.5">
      <c r="B63" s="160" t="str">
        <f t="shared" si="6"/>
        <v/>
      </c>
      <c r="C63" s="469">
        <f>IF(D11="","-",+C62+1)</f>
        <v>2055</v>
      </c>
      <c r="D63" s="480">
        <f>IF(F62+SUM(E$17:E62)=D$10,F62,D$10-SUM(E$17:E62))</f>
        <v>0</v>
      </c>
      <c r="E63" s="481">
        <f>IF(+I14&lt;F62,I14,D63)</f>
        <v>0</v>
      </c>
      <c r="F63" s="482">
        <f t="shared" si="31"/>
        <v>0</v>
      </c>
      <c r="G63" s="483">
        <f t="shared" si="29"/>
        <v>0</v>
      </c>
      <c r="H63" s="452">
        <f t="shared" si="30"/>
        <v>0</v>
      </c>
      <c r="I63" s="472">
        <f t="shared" si="32"/>
        <v>0</v>
      </c>
      <c r="J63" s="472"/>
      <c r="K63" s="484"/>
      <c r="L63" s="475">
        <f t="shared" si="33"/>
        <v>0</v>
      </c>
      <c r="M63" s="484"/>
      <c r="N63" s="475">
        <f t="shared" si="34"/>
        <v>0</v>
      </c>
      <c r="O63" s="475">
        <f t="shared" si="35"/>
        <v>0</v>
      </c>
      <c r="P63" s="241"/>
    </row>
    <row r="64" spans="2:16" ht="12.5">
      <c r="B64" s="160" t="str">
        <f t="shared" si="6"/>
        <v/>
      </c>
      <c r="C64" s="469">
        <f>IF(D11="","-",+C63+1)</f>
        <v>2056</v>
      </c>
      <c r="D64" s="480">
        <f>IF(F63+SUM(E$17:E63)=D$10,F63,D$10-SUM(E$17:E63))</f>
        <v>0</v>
      </c>
      <c r="E64" s="481">
        <f>IF(+I14&lt;F63,I14,D64)</f>
        <v>0</v>
      </c>
      <c r="F64" s="482">
        <f t="shared" si="31"/>
        <v>0</v>
      </c>
      <c r="G64" s="483">
        <f t="shared" si="29"/>
        <v>0</v>
      </c>
      <c r="H64" s="452">
        <f t="shared" si="30"/>
        <v>0</v>
      </c>
      <c r="I64" s="472">
        <f t="shared" si="32"/>
        <v>0</v>
      </c>
      <c r="J64" s="472"/>
      <c r="K64" s="484"/>
      <c r="L64" s="475">
        <f t="shared" si="33"/>
        <v>0</v>
      </c>
      <c r="M64" s="484"/>
      <c r="N64" s="475">
        <f t="shared" si="34"/>
        <v>0</v>
      </c>
      <c r="O64" s="475">
        <f t="shared" si="35"/>
        <v>0</v>
      </c>
      <c r="P64" s="241"/>
    </row>
    <row r="65" spans="1:16" ht="12.5">
      <c r="B65" s="160" t="str">
        <f t="shared" si="6"/>
        <v/>
      </c>
      <c r="C65" s="469">
        <f>IF(D11="","-",+C64+1)</f>
        <v>2057</v>
      </c>
      <c r="D65" s="480">
        <f>IF(F64+SUM(E$17:E64)=D$10,F64,D$10-SUM(E$17:E64))</f>
        <v>0</v>
      </c>
      <c r="E65" s="481">
        <f>IF(+I14&lt;F64,I14,D65)</f>
        <v>0</v>
      </c>
      <c r="F65" s="482">
        <f t="shared" si="31"/>
        <v>0</v>
      </c>
      <c r="G65" s="483">
        <f t="shared" si="29"/>
        <v>0</v>
      </c>
      <c r="H65" s="452">
        <f t="shared" si="30"/>
        <v>0</v>
      </c>
      <c r="I65" s="472">
        <f t="shared" si="32"/>
        <v>0</v>
      </c>
      <c r="J65" s="472"/>
      <c r="K65" s="484"/>
      <c r="L65" s="475">
        <f t="shared" si="33"/>
        <v>0</v>
      </c>
      <c r="M65" s="484"/>
      <c r="N65" s="475">
        <f t="shared" si="34"/>
        <v>0</v>
      </c>
      <c r="O65" s="475">
        <f t="shared" si="35"/>
        <v>0</v>
      </c>
      <c r="P65" s="241"/>
    </row>
    <row r="66" spans="1:16" ht="12.5">
      <c r="B66" s="160" t="str">
        <f t="shared" si="6"/>
        <v/>
      </c>
      <c r="C66" s="469">
        <f>IF(D11="","-",+C65+1)</f>
        <v>2058</v>
      </c>
      <c r="D66" s="480">
        <f>IF(F65+SUM(E$17:E65)=D$10,F65,D$10-SUM(E$17:E65))</f>
        <v>0</v>
      </c>
      <c r="E66" s="481">
        <f>IF(+I14&lt;F65,I14,D66)</f>
        <v>0</v>
      </c>
      <c r="F66" s="482">
        <f t="shared" si="31"/>
        <v>0</v>
      </c>
      <c r="G66" s="483">
        <f t="shared" si="29"/>
        <v>0</v>
      </c>
      <c r="H66" s="452">
        <f t="shared" si="30"/>
        <v>0</v>
      </c>
      <c r="I66" s="472">
        <f t="shared" si="32"/>
        <v>0</v>
      </c>
      <c r="J66" s="472"/>
      <c r="K66" s="484"/>
      <c r="L66" s="475">
        <f t="shared" si="33"/>
        <v>0</v>
      </c>
      <c r="M66" s="484"/>
      <c r="N66" s="475">
        <f t="shared" si="34"/>
        <v>0</v>
      </c>
      <c r="O66" s="475">
        <f t="shared" si="35"/>
        <v>0</v>
      </c>
      <c r="P66" s="241"/>
    </row>
    <row r="67" spans="1:16" ht="12.5">
      <c r="B67" s="160" t="str">
        <f t="shared" si="6"/>
        <v/>
      </c>
      <c r="C67" s="469">
        <f>IF(D11="","-",+C66+1)</f>
        <v>2059</v>
      </c>
      <c r="D67" s="480">
        <f>IF(F66+SUM(E$17:E66)=D$10,F66,D$10-SUM(E$17:E66))</f>
        <v>0</v>
      </c>
      <c r="E67" s="481">
        <f>IF(+I14&lt;F66,I14,D67)</f>
        <v>0</v>
      </c>
      <c r="F67" s="482">
        <f t="shared" si="31"/>
        <v>0</v>
      </c>
      <c r="G67" s="483">
        <f t="shared" si="29"/>
        <v>0</v>
      </c>
      <c r="H67" s="452">
        <f t="shared" si="30"/>
        <v>0</v>
      </c>
      <c r="I67" s="472">
        <f t="shared" si="32"/>
        <v>0</v>
      </c>
      <c r="J67" s="472"/>
      <c r="K67" s="484"/>
      <c r="L67" s="475">
        <f t="shared" si="33"/>
        <v>0</v>
      </c>
      <c r="M67" s="484"/>
      <c r="N67" s="475">
        <f t="shared" si="34"/>
        <v>0</v>
      </c>
      <c r="O67" s="475">
        <f t="shared" si="35"/>
        <v>0</v>
      </c>
      <c r="P67" s="241"/>
    </row>
    <row r="68" spans="1:16" ht="12.5">
      <c r="B68" s="160" t="str">
        <f t="shared" si="6"/>
        <v/>
      </c>
      <c r="C68" s="469">
        <f>IF(D11="","-",+C67+1)</f>
        <v>2060</v>
      </c>
      <c r="D68" s="480">
        <f>IF(F67+SUM(E$17:E67)=D$10,F67,D$10-SUM(E$17:E67))</f>
        <v>0</v>
      </c>
      <c r="E68" s="481">
        <f>IF(+I14&lt;F67,I14,D68)</f>
        <v>0</v>
      </c>
      <c r="F68" s="482">
        <f t="shared" si="31"/>
        <v>0</v>
      </c>
      <c r="G68" s="483">
        <f t="shared" si="29"/>
        <v>0</v>
      </c>
      <c r="H68" s="452">
        <f t="shared" si="30"/>
        <v>0</v>
      </c>
      <c r="I68" s="472">
        <f t="shared" si="32"/>
        <v>0</v>
      </c>
      <c r="J68" s="472"/>
      <c r="K68" s="484"/>
      <c r="L68" s="475">
        <f t="shared" si="33"/>
        <v>0</v>
      </c>
      <c r="M68" s="484"/>
      <c r="N68" s="475">
        <f t="shared" si="34"/>
        <v>0</v>
      </c>
      <c r="O68" s="475">
        <f t="shared" si="35"/>
        <v>0</v>
      </c>
      <c r="P68" s="241"/>
    </row>
    <row r="69" spans="1:16" ht="12.5">
      <c r="B69" s="160" t="str">
        <f t="shared" si="6"/>
        <v/>
      </c>
      <c r="C69" s="469">
        <f>IF(D11="","-",+C68+1)</f>
        <v>2061</v>
      </c>
      <c r="D69" s="480">
        <f>IF(F68+SUM(E$17:E68)=D$10,F68,D$10-SUM(E$17:E68))</f>
        <v>0</v>
      </c>
      <c r="E69" s="481">
        <f>IF(+I14&lt;F68,I14,D69)</f>
        <v>0</v>
      </c>
      <c r="F69" s="482">
        <f t="shared" si="31"/>
        <v>0</v>
      </c>
      <c r="G69" s="483">
        <f t="shared" si="29"/>
        <v>0</v>
      </c>
      <c r="H69" s="452">
        <f t="shared" si="30"/>
        <v>0</v>
      </c>
      <c r="I69" s="472">
        <f t="shared" si="32"/>
        <v>0</v>
      </c>
      <c r="J69" s="472"/>
      <c r="K69" s="484"/>
      <c r="L69" s="475">
        <f t="shared" si="33"/>
        <v>0</v>
      </c>
      <c r="M69" s="484"/>
      <c r="N69" s="475">
        <f t="shared" si="34"/>
        <v>0</v>
      </c>
      <c r="O69" s="475">
        <f t="shared" si="35"/>
        <v>0</v>
      </c>
      <c r="P69" s="241"/>
    </row>
    <row r="70" spans="1:16" ht="12.5">
      <c r="B70" s="160" t="str">
        <f t="shared" si="6"/>
        <v/>
      </c>
      <c r="C70" s="469">
        <f>IF(D11="","-",+C69+1)</f>
        <v>2062</v>
      </c>
      <c r="D70" s="480">
        <f>IF(F69+SUM(E$17:E69)=D$10,F69,D$10-SUM(E$17:E69))</f>
        <v>0</v>
      </c>
      <c r="E70" s="481">
        <f>IF(+I14&lt;F69,I14,D70)</f>
        <v>0</v>
      </c>
      <c r="F70" s="482">
        <f t="shared" si="31"/>
        <v>0</v>
      </c>
      <c r="G70" s="483">
        <f t="shared" si="29"/>
        <v>0</v>
      </c>
      <c r="H70" s="452">
        <f t="shared" si="30"/>
        <v>0</v>
      </c>
      <c r="I70" s="472">
        <f t="shared" si="32"/>
        <v>0</v>
      </c>
      <c r="J70" s="472"/>
      <c r="K70" s="484"/>
      <c r="L70" s="475">
        <f t="shared" si="33"/>
        <v>0</v>
      </c>
      <c r="M70" s="484"/>
      <c r="N70" s="475">
        <f t="shared" si="34"/>
        <v>0</v>
      </c>
      <c r="O70" s="475">
        <f t="shared" si="35"/>
        <v>0</v>
      </c>
      <c r="P70" s="241"/>
    </row>
    <row r="71" spans="1:16" ht="12.5">
      <c r="B71" s="160" t="str">
        <f t="shared" si="6"/>
        <v/>
      </c>
      <c r="C71" s="469">
        <f>IF(D11="","-",+C70+1)</f>
        <v>2063</v>
      </c>
      <c r="D71" s="480">
        <f>IF(F70+SUM(E$17:E70)=D$10,F70,D$10-SUM(E$17:E70))</f>
        <v>0</v>
      </c>
      <c r="E71" s="481">
        <f>IF(+I14&lt;F70,I14,D71)</f>
        <v>0</v>
      </c>
      <c r="F71" s="482">
        <f t="shared" si="31"/>
        <v>0</v>
      </c>
      <c r="G71" s="483">
        <f t="shared" si="29"/>
        <v>0</v>
      </c>
      <c r="H71" s="452">
        <f t="shared" si="30"/>
        <v>0</v>
      </c>
      <c r="I71" s="472">
        <f t="shared" si="32"/>
        <v>0</v>
      </c>
      <c r="J71" s="472"/>
      <c r="K71" s="484"/>
      <c r="L71" s="475">
        <f t="shared" si="33"/>
        <v>0</v>
      </c>
      <c r="M71" s="484"/>
      <c r="N71" s="475">
        <f t="shared" si="34"/>
        <v>0</v>
      </c>
      <c r="O71" s="475">
        <f t="shared" si="35"/>
        <v>0</v>
      </c>
      <c r="P71" s="241"/>
    </row>
    <row r="72" spans="1:16" ht="13" thickBot="1">
      <c r="B72" s="160" t="str">
        <f t="shared" si="6"/>
        <v/>
      </c>
      <c r="C72" s="486">
        <f>IF(D11="","-",+C71+1)</f>
        <v>2064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1"/>
        <v>0</v>
      </c>
      <c r="G72" s="487">
        <f t="shared" si="29"/>
        <v>0</v>
      </c>
      <c r="H72" s="487">
        <f t="shared" si="30"/>
        <v>0</v>
      </c>
      <c r="I72" s="490">
        <f t="shared" si="32"/>
        <v>0</v>
      </c>
      <c r="J72" s="472"/>
      <c r="K72" s="491"/>
      <c r="L72" s="492">
        <f t="shared" si="33"/>
        <v>0</v>
      </c>
      <c r="M72" s="491"/>
      <c r="N72" s="492">
        <f t="shared" si="34"/>
        <v>0</v>
      </c>
      <c r="O72" s="492">
        <f t="shared" si="35"/>
        <v>0</v>
      </c>
      <c r="P72" s="241"/>
    </row>
    <row r="73" spans="1:16" ht="12.5">
      <c r="C73" s="344" t="s">
        <v>77</v>
      </c>
      <c r="D73" s="345"/>
      <c r="E73" s="345">
        <f>SUM(E17:E72)</f>
        <v>893858</v>
      </c>
      <c r="F73" s="345"/>
      <c r="G73" s="345">
        <f>SUM(G17:G72)</f>
        <v>3251444.8517955262</v>
      </c>
      <c r="H73" s="345">
        <f>SUM(H17:H72)</f>
        <v>3251444.8517955262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1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1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1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1:16" ht="17.5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494"/>
      <c r="P77" s="241"/>
    </row>
    <row r="78" spans="1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1:16" ht="15.5">
      <c r="A79" s="495"/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</row>
    <row r="80" spans="1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496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1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95678.3662566477</v>
      </c>
      <c r="N87" s="505">
        <f>IF(J92&lt;D11,0,VLOOKUP(J92,C17:O72,11))</f>
        <v>95678.3662566477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104135.24673249833</v>
      </c>
      <c r="N88" s="509">
        <f>IF(J92&lt;D11,0,VLOOKUP(J92,C99:P154,7))</f>
        <v>104135.24673249833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Riverside-Glenpool (81-523) Reconductor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8456.8804758506303</v>
      </c>
      <c r="N89" s="514">
        <f>+N88-N87</f>
        <v>8456.8804758506303</v>
      </c>
      <c r="O89" s="515">
        <f>+O88-O87</f>
        <v>0</v>
      </c>
      <c r="P89" s="231"/>
    </row>
    <row r="90" spans="1:16" ht="13.5" thickBot="1">
      <c r="C90" s="493"/>
      <c r="D90" s="516" t="str">
        <f>D8</f>
        <v/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TP2006087</v>
      </c>
      <c r="E91" s="519" t="str">
        <f>E9</f>
        <v>SPP Project ID =</v>
      </c>
      <c r="F91" s="519">
        <f>F9</f>
        <v>220</v>
      </c>
      <c r="G91" s="519"/>
      <c r="H91" s="519"/>
      <c r="I91" s="519"/>
      <c r="J91" s="520"/>
      <c r="K91" s="521"/>
      <c r="P91" s="442"/>
    </row>
    <row r="92" spans="1:16" ht="13">
      <c r="C92" s="443" t="s">
        <v>226</v>
      </c>
      <c r="D92" s="444">
        <f>+D10</f>
        <v>893858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2009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6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23523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2009</v>
      </c>
      <c r="D99" s="470">
        <v>0</v>
      </c>
      <c r="E99" s="477">
        <v>7981</v>
      </c>
      <c r="F99" s="476">
        <v>885877</v>
      </c>
      <c r="G99" s="534">
        <v>442938.5</v>
      </c>
      <c r="H99" s="535">
        <v>72742</v>
      </c>
      <c r="I99" s="536">
        <v>72742</v>
      </c>
      <c r="J99" s="475">
        <f t="shared" ref="J99:J130" si="36">+I99-H99</f>
        <v>0</v>
      </c>
      <c r="K99" s="475"/>
      <c r="L99" s="473">
        <f t="shared" ref="L99:L104" si="37">H99</f>
        <v>72742</v>
      </c>
      <c r="M99" s="474">
        <f t="shared" ref="M99:M130" si="38">IF(L99&lt;&gt;0,+H99-L99,0)</f>
        <v>0</v>
      </c>
      <c r="N99" s="473">
        <f t="shared" ref="N99:N104" si="39">I99</f>
        <v>72742</v>
      </c>
      <c r="O99" s="474">
        <f t="shared" ref="O99:O130" si="40">IF(N99&lt;&gt;0,+I99-N99,0)</f>
        <v>0</v>
      </c>
      <c r="P99" s="474">
        <f t="shared" ref="P99:P130" si="41">+O99-M99</f>
        <v>0</v>
      </c>
    </row>
    <row r="100" spans="1:16" ht="12.5">
      <c r="B100" s="160" t="str">
        <f>IF(D100=F99,"","IU")</f>
        <v/>
      </c>
      <c r="C100" s="469">
        <f>IF(D93="","-",+C99+1)</f>
        <v>2010</v>
      </c>
      <c r="D100" s="470">
        <v>885877</v>
      </c>
      <c r="E100" s="477">
        <v>17527</v>
      </c>
      <c r="F100" s="476">
        <v>868350</v>
      </c>
      <c r="G100" s="476">
        <v>877113.5</v>
      </c>
      <c r="H100" s="535">
        <v>158580.20000000001</v>
      </c>
      <c r="I100" s="536">
        <v>158580.20000000001</v>
      </c>
      <c r="J100" s="475">
        <f t="shared" si="36"/>
        <v>0</v>
      </c>
      <c r="K100" s="475"/>
      <c r="L100" s="473">
        <f t="shared" si="37"/>
        <v>158580.20000000001</v>
      </c>
      <c r="M100" s="475">
        <f t="shared" si="38"/>
        <v>0</v>
      </c>
      <c r="N100" s="473">
        <f t="shared" si="39"/>
        <v>158580.20000000001</v>
      </c>
      <c r="O100" s="475">
        <f t="shared" si="40"/>
        <v>0</v>
      </c>
      <c r="P100" s="475">
        <f t="shared" si="41"/>
        <v>0</v>
      </c>
    </row>
    <row r="101" spans="1:16" ht="12.5">
      <c r="B101" s="160" t="str">
        <f t="shared" ref="B101:B154" si="42">IF(D101=F100,"","IU")</f>
        <v/>
      </c>
      <c r="C101" s="479">
        <f>IF(D93="","-",+C100+1)</f>
        <v>2011</v>
      </c>
      <c r="D101" s="470">
        <v>868350</v>
      </c>
      <c r="E101" s="477">
        <v>17190</v>
      </c>
      <c r="F101" s="476">
        <v>851160</v>
      </c>
      <c r="G101" s="476">
        <v>859755</v>
      </c>
      <c r="H101" s="477">
        <v>137395.30233025842</v>
      </c>
      <c r="I101" s="478">
        <v>137395.30233025842</v>
      </c>
      <c r="J101" s="475">
        <f t="shared" si="36"/>
        <v>0</v>
      </c>
      <c r="K101" s="475"/>
      <c r="L101" s="537">
        <f t="shared" si="37"/>
        <v>137395.30233025842</v>
      </c>
      <c r="M101" s="538">
        <f t="shared" si="38"/>
        <v>0</v>
      </c>
      <c r="N101" s="537">
        <f t="shared" si="39"/>
        <v>137395.30233025842</v>
      </c>
      <c r="O101" s="475">
        <f t="shared" si="40"/>
        <v>0</v>
      </c>
      <c r="P101" s="475">
        <f t="shared" si="41"/>
        <v>0</v>
      </c>
    </row>
    <row r="102" spans="1:16" ht="12.5">
      <c r="B102" s="160" t="str">
        <f t="shared" si="42"/>
        <v/>
      </c>
      <c r="C102" s="479">
        <f>IF(D93="","-",+C101+1)</f>
        <v>2012</v>
      </c>
      <c r="D102" s="470">
        <v>851160</v>
      </c>
      <c r="E102" s="477">
        <v>17190</v>
      </c>
      <c r="F102" s="476">
        <v>833970</v>
      </c>
      <c r="G102" s="476">
        <v>842565</v>
      </c>
      <c r="H102" s="477">
        <v>138397.59402070014</v>
      </c>
      <c r="I102" s="478">
        <v>138397.59402070014</v>
      </c>
      <c r="J102" s="475">
        <v>0</v>
      </c>
      <c r="K102" s="475"/>
      <c r="L102" s="537">
        <f t="shared" si="37"/>
        <v>138397.59402070014</v>
      </c>
      <c r="M102" s="538">
        <f t="shared" ref="M102:M107" si="43">IF(L102&lt;&gt;0,+H102-L102,0)</f>
        <v>0</v>
      </c>
      <c r="N102" s="537">
        <f t="shared" si="39"/>
        <v>138397.59402070014</v>
      </c>
      <c r="O102" s="475">
        <f t="shared" ref="O102:O107" si="44">IF(N102&lt;&gt;0,+I102-N102,0)</f>
        <v>0</v>
      </c>
      <c r="P102" s="475">
        <f t="shared" ref="P102:P107" si="45">+O102-M102</f>
        <v>0</v>
      </c>
    </row>
    <row r="103" spans="1:16" ht="12.5">
      <c r="B103" s="160" t="str">
        <f t="shared" si="42"/>
        <v/>
      </c>
      <c r="C103" s="469">
        <f>IF(D93="","-",+C102+1)</f>
        <v>2013</v>
      </c>
      <c r="D103" s="470">
        <v>833970</v>
      </c>
      <c r="E103" s="477">
        <v>17190</v>
      </c>
      <c r="F103" s="476">
        <v>816780</v>
      </c>
      <c r="G103" s="476">
        <v>825375</v>
      </c>
      <c r="H103" s="477">
        <v>135994.14234787846</v>
      </c>
      <c r="I103" s="478">
        <v>135994.14234787846</v>
      </c>
      <c r="J103" s="475">
        <v>0</v>
      </c>
      <c r="K103" s="475"/>
      <c r="L103" s="537">
        <f t="shared" si="37"/>
        <v>135994.14234787846</v>
      </c>
      <c r="M103" s="538">
        <f t="shared" si="43"/>
        <v>0</v>
      </c>
      <c r="N103" s="537">
        <f t="shared" si="39"/>
        <v>135994.14234787846</v>
      </c>
      <c r="O103" s="475">
        <f t="shared" si="44"/>
        <v>0</v>
      </c>
      <c r="P103" s="475">
        <f t="shared" si="45"/>
        <v>0</v>
      </c>
    </row>
    <row r="104" spans="1:16" ht="12.5">
      <c r="B104" s="160" t="str">
        <f t="shared" si="42"/>
        <v/>
      </c>
      <c r="C104" s="469">
        <f>IF(D93="","-",+C103+1)</f>
        <v>2014</v>
      </c>
      <c r="D104" s="470">
        <v>816780</v>
      </c>
      <c r="E104" s="477">
        <v>17190</v>
      </c>
      <c r="F104" s="476">
        <v>799590</v>
      </c>
      <c r="G104" s="476">
        <v>808185</v>
      </c>
      <c r="H104" s="477">
        <v>130817.50733584017</v>
      </c>
      <c r="I104" s="478">
        <v>130817.50733584017</v>
      </c>
      <c r="J104" s="475">
        <v>0</v>
      </c>
      <c r="K104" s="475"/>
      <c r="L104" s="537">
        <f t="shared" si="37"/>
        <v>130817.50733584017</v>
      </c>
      <c r="M104" s="538">
        <f t="shared" si="43"/>
        <v>0</v>
      </c>
      <c r="N104" s="537">
        <f t="shared" si="39"/>
        <v>130817.50733584017</v>
      </c>
      <c r="O104" s="475">
        <f t="shared" si="44"/>
        <v>0</v>
      </c>
      <c r="P104" s="475">
        <f t="shared" si="45"/>
        <v>0</v>
      </c>
    </row>
    <row r="105" spans="1:16" ht="12.5">
      <c r="B105" s="160" t="str">
        <f t="shared" si="42"/>
        <v/>
      </c>
      <c r="C105" s="469">
        <f>IF(D93="","-",+C104+1)</f>
        <v>2015</v>
      </c>
      <c r="D105" s="470">
        <v>799590</v>
      </c>
      <c r="E105" s="477">
        <v>17190</v>
      </c>
      <c r="F105" s="476">
        <v>782400</v>
      </c>
      <c r="G105" s="476">
        <v>790995</v>
      </c>
      <c r="H105" s="477">
        <v>125114.9078367878</v>
      </c>
      <c r="I105" s="478">
        <v>125114.9078367878</v>
      </c>
      <c r="J105" s="475">
        <f t="shared" si="36"/>
        <v>0</v>
      </c>
      <c r="K105" s="475"/>
      <c r="L105" s="537">
        <f t="shared" ref="L105:L110" si="46">H105</f>
        <v>125114.9078367878</v>
      </c>
      <c r="M105" s="538">
        <f t="shared" si="43"/>
        <v>0</v>
      </c>
      <c r="N105" s="537">
        <f t="shared" ref="N105:N110" si="47">I105</f>
        <v>125114.9078367878</v>
      </c>
      <c r="O105" s="475">
        <f t="shared" si="44"/>
        <v>0</v>
      </c>
      <c r="P105" s="475">
        <f t="shared" si="45"/>
        <v>0</v>
      </c>
    </row>
    <row r="106" spans="1:16" ht="12.5">
      <c r="B106" s="160" t="str">
        <f t="shared" si="42"/>
        <v/>
      </c>
      <c r="C106" s="469">
        <f>IF(D93="","-",+C105+1)</f>
        <v>2016</v>
      </c>
      <c r="D106" s="470">
        <v>782400</v>
      </c>
      <c r="E106" s="477">
        <v>19432</v>
      </c>
      <c r="F106" s="476">
        <v>762968</v>
      </c>
      <c r="G106" s="476">
        <v>772684</v>
      </c>
      <c r="H106" s="477">
        <v>119043.13650322839</v>
      </c>
      <c r="I106" s="478">
        <v>119043.13650322839</v>
      </c>
      <c r="J106" s="475">
        <f t="shared" si="36"/>
        <v>0</v>
      </c>
      <c r="K106" s="475"/>
      <c r="L106" s="537">
        <f t="shared" si="46"/>
        <v>119043.13650322839</v>
      </c>
      <c r="M106" s="538">
        <f t="shared" si="43"/>
        <v>0</v>
      </c>
      <c r="N106" s="537">
        <f t="shared" si="47"/>
        <v>119043.13650322839</v>
      </c>
      <c r="O106" s="475">
        <f t="shared" si="44"/>
        <v>0</v>
      </c>
      <c r="P106" s="475">
        <f t="shared" si="45"/>
        <v>0</v>
      </c>
    </row>
    <row r="107" spans="1:16" ht="12.5">
      <c r="B107" s="160" t="str">
        <f t="shared" si="42"/>
        <v/>
      </c>
      <c r="C107" s="469">
        <f>IF(D93="","-",+C106+1)</f>
        <v>2017</v>
      </c>
      <c r="D107" s="470">
        <v>762968</v>
      </c>
      <c r="E107" s="477">
        <v>19432</v>
      </c>
      <c r="F107" s="476">
        <v>743536</v>
      </c>
      <c r="G107" s="476">
        <v>753252</v>
      </c>
      <c r="H107" s="477">
        <v>114983.91552559278</v>
      </c>
      <c r="I107" s="478">
        <v>114983.91552559278</v>
      </c>
      <c r="J107" s="475">
        <f t="shared" si="36"/>
        <v>0</v>
      </c>
      <c r="K107" s="475"/>
      <c r="L107" s="537">
        <f t="shared" si="46"/>
        <v>114983.91552559278</v>
      </c>
      <c r="M107" s="538">
        <f t="shared" si="43"/>
        <v>0</v>
      </c>
      <c r="N107" s="537">
        <f t="shared" si="47"/>
        <v>114983.91552559278</v>
      </c>
      <c r="O107" s="475">
        <f t="shared" si="44"/>
        <v>0</v>
      </c>
      <c r="P107" s="475">
        <f t="shared" si="45"/>
        <v>0</v>
      </c>
    </row>
    <row r="108" spans="1:16" ht="12.5">
      <c r="B108" s="160" t="str">
        <f t="shared" si="42"/>
        <v/>
      </c>
      <c r="C108" s="469">
        <f>IF(D93="","-",+C107+1)</f>
        <v>2018</v>
      </c>
      <c r="D108" s="470">
        <v>743536</v>
      </c>
      <c r="E108" s="477">
        <v>20787</v>
      </c>
      <c r="F108" s="476">
        <v>722749</v>
      </c>
      <c r="G108" s="476">
        <v>733142.5</v>
      </c>
      <c r="H108" s="477">
        <v>96106.810302403712</v>
      </c>
      <c r="I108" s="478">
        <v>96106.810302403712</v>
      </c>
      <c r="J108" s="475">
        <f t="shared" si="36"/>
        <v>0</v>
      </c>
      <c r="K108" s="475"/>
      <c r="L108" s="537">
        <f t="shared" si="46"/>
        <v>96106.810302403712</v>
      </c>
      <c r="M108" s="538">
        <f t="shared" ref="M108" si="48">IF(L108&lt;&gt;0,+H108-L108,0)</f>
        <v>0</v>
      </c>
      <c r="N108" s="537">
        <f t="shared" si="47"/>
        <v>96106.810302403712</v>
      </c>
      <c r="O108" s="475">
        <f t="shared" ref="O108" si="49">IF(N108&lt;&gt;0,+I108-N108,0)</f>
        <v>0</v>
      </c>
      <c r="P108" s="475">
        <f t="shared" ref="P108" si="50">+O108-M108</f>
        <v>0</v>
      </c>
    </row>
    <row r="109" spans="1:16" ht="12.5">
      <c r="B109" s="160" t="str">
        <f t="shared" si="42"/>
        <v/>
      </c>
      <c r="C109" s="469">
        <f>IF(D93="","-",+C108+1)</f>
        <v>2019</v>
      </c>
      <c r="D109" s="470">
        <v>722749</v>
      </c>
      <c r="E109" s="477">
        <v>21801</v>
      </c>
      <c r="F109" s="476">
        <v>700948</v>
      </c>
      <c r="G109" s="476">
        <v>711848.5</v>
      </c>
      <c r="H109" s="477">
        <v>95202.564794457576</v>
      </c>
      <c r="I109" s="478">
        <v>95202.564794457576</v>
      </c>
      <c r="J109" s="475">
        <f t="shared" si="36"/>
        <v>0</v>
      </c>
      <c r="K109" s="475"/>
      <c r="L109" s="537">
        <f t="shared" si="46"/>
        <v>95202.564794457576</v>
      </c>
      <c r="M109" s="538">
        <f t="shared" ref="M109" si="51">IF(L109&lt;&gt;0,+H109-L109,0)</f>
        <v>0</v>
      </c>
      <c r="N109" s="537">
        <f t="shared" si="47"/>
        <v>95202.564794457576</v>
      </c>
      <c r="O109" s="475">
        <f t="shared" si="40"/>
        <v>0</v>
      </c>
      <c r="P109" s="475">
        <f t="shared" si="41"/>
        <v>0</v>
      </c>
    </row>
    <row r="110" spans="1:16" ht="12.5">
      <c r="B110" s="160" t="str">
        <f t="shared" si="42"/>
        <v/>
      </c>
      <c r="C110" s="469">
        <f>IF(D93="","-",+C109+1)</f>
        <v>2020</v>
      </c>
      <c r="D110" s="470">
        <v>700948</v>
      </c>
      <c r="E110" s="477">
        <v>20787</v>
      </c>
      <c r="F110" s="476">
        <v>680161</v>
      </c>
      <c r="G110" s="476">
        <v>690554.5</v>
      </c>
      <c r="H110" s="477">
        <v>100406.03532694498</v>
      </c>
      <c r="I110" s="478">
        <v>100406.03532694498</v>
      </c>
      <c r="J110" s="475">
        <f t="shared" si="36"/>
        <v>0</v>
      </c>
      <c r="K110" s="475"/>
      <c r="L110" s="537">
        <f t="shared" si="46"/>
        <v>100406.03532694498</v>
      </c>
      <c r="M110" s="538">
        <f t="shared" ref="M110" si="52">IF(L110&lt;&gt;0,+H110-L110,0)</f>
        <v>0</v>
      </c>
      <c r="N110" s="537">
        <f t="shared" si="47"/>
        <v>100406.03532694498</v>
      </c>
      <c r="O110" s="475">
        <f t="shared" si="40"/>
        <v>0</v>
      </c>
      <c r="P110" s="475">
        <f t="shared" si="41"/>
        <v>0</v>
      </c>
    </row>
    <row r="111" spans="1:16" ht="12.5">
      <c r="B111" s="160" t="str">
        <f t="shared" si="42"/>
        <v/>
      </c>
      <c r="C111" s="469">
        <f>IF(D93="","-",+C110+1)</f>
        <v>2021</v>
      </c>
      <c r="D111" s="470">
        <v>680161</v>
      </c>
      <c r="E111" s="477">
        <v>21801</v>
      </c>
      <c r="F111" s="476">
        <v>658360</v>
      </c>
      <c r="G111" s="476">
        <v>669260.5</v>
      </c>
      <c r="H111" s="477">
        <v>97958.021560633977</v>
      </c>
      <c r="I111" s="478">
        <v>97958.021560633977</v>
      </c>
      <c r="J111" s="475">
        <f t="shared" si="36"/>
        <v>0</v>
      </c>
      <c r="K111" s="475"/>
      <c r="L111" s="537">
        <f t="shared" ref="L111" si="53">H111</f>
        <v>97958.021560633977</v>
      </c>
      <c r="M111" s="538">
        <f t="shared" ref="M111" si="54">IF(L111&lt;&gt;0,+H111-L111,0)</f>
        <v>0</v>
      </c>
      <c r="N111" s="537">
        <f t="shared" ref="N111" si="55">I111</f>
        <v>97958.021560633977</v>
      </c>
      <c r="O111" s="475">
        <f t="shared" si="40"/>
        <v>0</v>
      </c>
      <c r="P111" s="475">
        <f t="shared" si="41"/>
        <v>0</v>
      </c>
    </row>
    <row r="112" spans="1:16" ht="12.5">
      <c r="B112" s="160" t="str">
        <f t="shared" si="42"/>
        <v/>
      </c>
      <c r="C112" s="469">
        <f>IF(D93="","-",+C111+1)</f>
        <v>2022</v>
      </c>
      <c r="D112" s="470">
        <v>658360</v>
      </c>
      <c r="E112" s="477">
        <v>22919</v>
      </c>
      <c r="F112" s="476">
        <v>635441</v>
      </c>
      <c r="G112" s="476">
        <v>646900.5</v>
      </c>
      <c r="H112" s="477">
        <v>94196.213236584284</v>
      </c>
      <c r="I112" s="478">
        <v>94196.213236584284</v>
      </c>
      <c r="J112" s="475">
        <f t="shared" si="36"/>
        <v>0</v>
      </c>
      <c r="K112" s="475"/>
      <c r="L112" s="537">
        <f t="shared" ref="L112" si="56">H112</f>
        <v>94196.213236584284</v>
      </c>
      <c r="M112" s="538">
        <f t="shared" ref="M112" si="57">IF(L112&lt;&gt;0,+H112-L112,0)</f>
        <v>0</v>
      </c>
      <c r="N112" s="537">
        <f t="shared" ref="N112" si="58">I112</f>
        <v>94196.213236584284</v>
      </c>
      <c r="O112" s="475">
        <f t="shared" ref="O112" si="59">IF(N112&lt;&gt;0,+I112-N112,0)</f>
        <v>0</v>
      </c>
      <c r="P112" s="475">
        <f t="shared" ref="P112" si="60">+O112-M112</f>
        <v>0</v>
      </c>
    </row>
    <row r="113" spans="2:16" ht="12.5">
      <c r="B113" s="160" t="str">
        <f t="shared" si="42"/>
        <v/>
      </c>
      <c r="C113" s="469">
        <f>IF(D93="","-",+C112+1)</f>
        <v>2023</v>
      </c>
      <c r="D113" s="470">
        <v>635441</v>
      </c>
      <c r="E113" s="477">
        <v>23523</v>
      </c>
      <c r="F113" s="476">
        <v>611918</v>
      </c>
      <c r="G113" s="476">
        <v>623679.5</v>
      </c>
      <c r="H113" s="477">
        <v>94764.071336101319</v>
      </c>
      <c r="I113" s="478">
        <v>94764.071336101319</v>
      </c>
      <c r="J113" s="475">
        <f t="shared" si="36"/>
        <v>0</v>
      </c>
      <c r="K113" s="475"/>
      <c r="L113" s="537">
        <f t="shared" ref="L113" si="61">H113</f>
        <v>94764.071336101319</v>
      </c>
      <c r="M113" s="538">
        <f t="shared" ref="M113" si="62">IF(L113&lt;&gt;0,+H113-L113,0)</f>
        <v>0</v>
      </c>
      <c r="N113" s="537">
        <f t="shared" ref="N113" si="63">I113</f>
        <v>94764.071336101319</v>
      </c>
      <c r="O113" s="475">
        <f t="shared" ref="O113" si="64">IF(N113&lt;&gt;0,+I113-N113,0)</f>
        <v>0</v>
      </c>
      <c r="P113" s="475">
        <f t="shared" ref="P113" si="65">+O113-M113</f>
        <v>0</v>
      </c>
    </row>
    <row r="114" spans="2:16" ht="12.5">
      <c r="B114" s="160" t="str">
        <f t="shared" si="42"/>
        <v/>
      </c>
      <c r="C114" s="469">
        <f>IF(D93="","-",+C113+1)</f>
        <v>2024</v>
      </c>
      <c r="D114" s="344">
        <f>IF(F113+SUM(E$99:E113)=D$92,F113,D$92-SUM(E$99:E113))</f>
        <v>611918</v>
      </c>
      <c r="E114" s="483">
        <f>IF(+J96&lt;F113,J96,D114)</f>
        <v>23523</v>
      </c>
      <c r="F114" s="482">
        <f t="shared" ref="F114:F130" si="66">+D114-E114</f>
        <v>588395</v>
      </c>
      <c r="G114" s="482">
        <f t="shared" ref="G114:G130" si="67">+(F114+D114)/2</f>
        <v>600156.5</v>
      </c>
      <c r="H114" s="483">
        <f t="shared" ref="H114:H154" si="68">(D114+F114)/2*J$94+E114</f>
        <v>104135.24673249833</v>
      </c>
      <c r="I114" s="539">
        <f t="shared" ref="I114:I131" si="69">+J$95*G114+E114</f>
        <v>104135.24673249833</v>
      </c>
      <c r="J114" s="475">
        <f t="shared" si="36"/>
        <v>0</v>
      </c>
      <c r="K114" s="475"/>
      <c r="L114" s="484"/>
      <c r="M114" s="475">
        <f t="shared" si="38"/>
        <v>0</v>
      </c>
      <c r="N114" s="484"/>
      <c r="O114" s="475">
        <f t="shared" si="40"/>
        <v>0</v>
      </c>
      <c r="P114" s="475">
        <f t="shared" si="41"/>
        <v>0</v>
      </c>
    </row>
    <row r="115" spans="2:16" ht="12.5">
      <c r="B115" s="160" t="str">
        <f t="shared" si="42"/>
        <v/>
      </c>
      <c r="C115" s="469">
        <f>IF(D93="","-",+C114+1)</f>
        <v>2025</v>
      </c>
      <c r="D115" s="344">
        <f>IF(F114+SUM(E$99:E114)=D$92,F114,D$92-SUM(E$99:E114))</f>
        <v>588395</v>
      </c>
      <c r="E115" s="483">
        <f>IF(+J96&lt;F114,J96,D115)</f>
        <v>23523</v>
      </c>
      <c r="F115" s="482">
        <f t="shared" si="66"/>
        <v>564872</v>
      </c>
      <c r="G115" s="482">
        <f t="shared" si="67"/>
        <v>576633.5</v>
      </c>
      <c r="H115" s="483">
        <f t="shared" si="68"/>
        <v>100975.66772287575</v>
      </c>
      <c r="I115" s="539">
        <f t="shared" si="69"/>
        <v>100975.66772287575</v>
      </c>
      <c r="J115" s="475">
        <f t="shared" si="36"/>
        <v>0</v>
      </c>
      <c r="K115" s="475"/>
      <c r="L115" s="484"/>
      <c r="M115" s="475">
        <f t="shared" si="38"/>
        <v>0</v>
      </c>
      <c r="N115" s="484"/>
      <c r="O115" s="475">
        <f t="shared" si="40"/>
        <v>0</v>
      </c>
      <c r="P115" s="475">
        <f t="shared" si="41"/>
        <v>0</v>
      </c>
    </row>
    <row r="116" spans="2:16" ht="12.5">
      <c r="B116" s="160" t="str">
        <f t="shared" si="42"/>
        <v/>
      </c>
      <c r="C116" s="469">
        <f>IF(D93="","-",+C115+1)</f>
        <v>2026</v>
      </c>
      <c r="D116" s="344">
        <f>IF(F115+SUM(E$99:E115)=D$92,F115,D$92-SUM(E$99:E115))</f>
        <v>564872</v>
      </c>
      <c r="E116" s="483">
        <f>IF(+J96&lt;F115,J96,D116)</f>
        <v>23523</v>
      </c>
      <c r="F116" s="482">
        <f t="shared" si="66"/>
        <v>541349</v>
      </c>
      <c r="G116" s="482">
        <f t="shared" si="67"/>
        <v>553110.5</v>
      </c>
      <c r="H116" s="483">
        <f t="shared" si="68"/>
        <v>97816.088713253164</v>
      </c>
      <c r="I116" s="539">
        <f t="shared" si="69"/>
        <v>97816.088713253164</v>
      </c>
      <c r="J116" s="475">
        <f t="shared" si="36"/>
        <v>0</v>
      </c>
      <c r="K116" s="475"/>
      <c r="L116" s="484"/>
      <c r="M116" s="475">
        <f t="shared" si="38"/>
        <v>0</v>
      </c>
      <c r="N116" s="484"/>
      <c r="O116" s="475">
        <f t="shared" si="40"/>
        <v>0</v>
      </c>
      <c r="P116" s="475">
        <f t="shared" si="41"/>
        <v>0</v>
      </c>
    </row>
    <row r="117" spans="2:16" ht="12.5">
      <c r="B117" s="160" t="str">
        <f t="shared" si="42"/>
        <v/>
      </c>
      <c r="C117" s="469">
        <f>IF(D93="","-",+C116+1)</f>
        <v>2027</v>
      </c>
      <c r="D117" s="344">
        <f>IF(F116+SUM(E$99:E116)=D$92,F116,D$92-SUM(E$99:E116))</f>
        <v>541349</v>
      </c>
      <c r="E117" s="483">
        <f>IF(+J96&lt;F116,J96,D117)</f>
        <v>23523</v>
      </c>
      <c r="F117" s="482">
        <f t="shared" si="66"/>
        <v>517826</v>
      </c>
      <c r="G117" s="482">
        <f t="shared" si="67"/>
        <v>529587.5</v>
      </c>
      <c r="H117" s="483">
        <f t="shared" si="68"/>
        <v>94656.509703630567</v>
      </c>
      <c r="I117" s="539">
        <f t="shared" si="69"/>
        <v>94656.509703630567</v>
      </c>
      <c r="J117" s="475">
        <f t="shared" si="36"/>
        <v>0</v>
      </c>
      <c r="K117" s="475"/>
      <c r="L117" s="484"/>
      <c r="M117" s="475">
        <f t="shared" si="38"/>
        <v>0</v>
      </c>
      <c r="N117" s="484"/>
      <c r="O117" s="475">
        <f t="shared" si="40"/>
        <v>0</v>
      </c>
      <c r="P117" s="475">
        <f t="shared" si="41"/>
        <v>0</v>
      </c>
    </row>
    <row r="118" spans="2:16" ht="12.5">
      <c r="B118" s="160" t="str">
        <f t="shared" si="42"/>
        <v/>
      </c>
      <c r="C118" s="469">
        <f>IF(D93="","-",+C117+1)</f>
        <v>2028</v>
      </c>
      <c r="D118" s="344">
        <f>IF(F117+SUM(E$99:E117)=D$92,F117,D$92-SUM(E$99:E117))</f>
        <v>517826</v>
      </c>
      <c r="E118" s="483">
        <f>IF(+J96&lt;F117,J96,D118)</f>
        <v>23523</v>
      </c>
      <c r="F118" s="482">
        <f t="shared" si="66"/>
        <v>494303</v>
      </c>
      <c r="G118" s="482">
        <f t="shared" si="67"/>
        <v>506064.5</v>
      </c>
      <c r="H118" s="483">
        <f t="shared" si="68"/>
        <v>91496.930694007984</v>
      </c>
      <c r="I118" s="539">
        <f t="shared" si="69"/>
        <v>91496.930694007984</v>
      </c>
      <c r="J118" s="475">
        <f t="shared" si="36"/>
        <v>0</v>
      </c>
      <c r="K118" s="475"/>
      <c r="L118" s="484"/>
      <c r="M118" s="475">
        <f t="shared" si="38"/>
        <v>0</v>
      </c>
      <c r="N118" s="484"/>
      <c r="O118" s="475">
        <f t="shared" si="40"/>
        <v>0</v>
      </c>
      <c r="P118" s="475">
        <f t="shared" si="41"/>
        <v>0</v>
      </c>
    </row>
    <row r="119" spans="2:16" ht="12.5">
      <c r="B119" s="160" t="str">
        <f t="shared" si="42"/>
        <v/>
      </c>
      <c r="C119" s="469">
        <f>IF(D93="","-",+C118+1)</f>
        <v>2029</v>
      </c>
      <c r="D119" s="344">
        <f>IF(F118+SUM(E$99:E118)=D$92,F118,D$92-SUM(E$99:E118))</f>
        <v>494303</v>
      </c>
      <c r="E119" s="483">
        <f>IF(+J96&lt;F118,J96,D119)</f>
        <v>23523</v>
      </c>
      <c r="F119" s="482">
        <f t="shared" si="66"/>
        <v>470780</v>
      </c>
      <c r="G119" s="482">
        <f t="shared" si="67"/>
        <v>482541.5</v>
      </c>
      <c r="H119" s="483">
        <f t="shared" si="68"/>
        <v>88337.351684385387</v>
      </c>
      <c r="I119" s="539">
        <f t="shared" si="69"/>
        <v>88337.351684385387</v>
      </c>
      <c r="J119" s="475">
        <f t="shared" si="36"/>
        <v>0</v>
      </c>
      <c r="K119" s="475"/>
      <c r="L119" s="484"/>
      <c r="M119" s="475">
        <f t="shared" si="38"/>
        <v>0</v>
      </c>
      <c r="N119" s="484"/>
      <c r="O119" s="475">
        <f t="shared" si="40"/>
        <v>0</v>
      </c>
      <c r="P119" s="475">
        <f t="shared" si="41"/>
        <v>0</v>
      </c>
    </row>
    <row r="120" spans="2:16" ht="12.5">
      <c r="B120" s="160" t="str">
        <f t="shared" si="42"/>
        <v/>
      </c>
      <c r="C120" s="469">
        <f>IF(D93="","-",+C119+1)</f>
        <v>2030</v>
      </c>
      <c r="D120" s="344">
        <f>IF(F119+SUM(E$99:E119)=D$92,F119,D$92-SUM(E$99:E119))</f>
        <v>470780</v>
      </c>
      <c r="E120" s="483">
        <f>IF(+J96&lt;F119,J96,D120)</f>
        <v>23523</v>
      </c>
      <c r="F120" s="482">
        <f t="shared" si="66"/>
        <v>447257</v>
      </c>
      <c r="G120" s="482">
        <f t="shared" si="67"/>
        <v>459018.5</v>
      </c>
      <c r="H120" s="483">
        <f t="shared" si="68"/>
        <v>85177.772674762818</v>
      </c>
      <c r="I120" s="539">
        <f t="shared" si="69"/>
        <v>85177.772674762818</v>
      </c>
      <c r="J120" s="475">
        <f t="shared" si="36"/>
        <v>0</v>
      </c>
      <c r="K120" s="475"/>
      <c r="L120" s="484"/>
      <c r="M120" s="475">
        <f t="shared" si="38"/>
        <v>0</v>
      </c>
      <c r="N120" s="484"/>
      <c r="O120" s="475">
        <f t="shared" si="40"/>
        <v>0</v>
      </c>
      <c r="P120" s="475">
        <f t="shared" si="41"/>
        <v>0</v>
      </c>
    </row>
    <row r="121" spans="2:16" ht="12.5">
      <c r="B121" s="160" t="str">
        <f t="shared" si="42"/>
        <v/>
      </c>
      <c r="C121" s="469">
        <f>IF(D93="","-",+C120+1)</f>
        <v>2031</v>
      </c>
      <c r="D121" s="344">
        <f>IF(F120+SUM(E$99:E120)=D$92,F120,D$92-SUM(E$99:E120))</f>
        <v>447257</v>
      </c>
      <c r="E121" s="483">
        <f>IF(+J96&lt;F120,J96,D121)</f>
        <v>23523</v>
      </c>
      <c r="F121" s="482">
        <f t="shared" si="66"/>
        <v>423734</v>
      </c>
      <c r="G121" s="482">
        <f t="shared" si="67"/>
        <v>435495.5</v>
      </c>
      <c r="H121" s="483">
        <f t="shared" si="68"/>
        <v>82018.193665140221</v>
      </c>
      <c r="I121" s="539">
        <f t="shared" si="69"/>
        <v>82018.193665140221</v>
      </c>
      <c r="J121" s="475">
        <f t="shared" si="36"/>
        <v>0</v>
      </c>
      <c r="K121" s="475"/>
      <c r="L121" s="484"/>
      <c r="M121" s="475">
        <f t="shared" si="38"/>
        <v>0</v>
      </c>
      <c r="N121" s="484"/>
      <c r="O121" s="475">
        <f t="shared" si="40"/>
        <v>0</v>
      </c>
      <c r="P121" s="475">
        <f t="shared" si="41"/>
        <v>0</v>
      </c>
    </row>
    <row r="122" spans="2:16" ht="12.5">
      <c r="B122" s="160" t="str">
        <f t="shared" si="42"/>
        <v/>
      </c>
      <c r="C122" s="469">
        <f>IF(D93="","-",+C121+1)</f>
        <v>2032</v>
      </c>
      <c r="D122" s="344">
        <f>IF(F121+SUM(E$99:E121)=D$92,F121,D$92-SUM(E$99:E121))</f>
        <v>423734</v>
      </c>
      <c r="E122" s="483">
        <f>IF(+J96&lt;F121,J96,D122)</f>
        <v>23523</v>
      </c>
      <c r="F122" s="482">
        <f t="shared" si="66"/>
        <v>400211</v>
      </c>
      <c r="G122" s="482">
        <f t="shared" si="67"/>
        <v>411972.5</v>
      </c>
      <c r="H122" s="483">
        <f t="shared" si="68"/>
        <v>78858.614655517638</v>
      </c>
      <c r="I122" s="539">
        <f t="shared" si="69"/>
        <v>78858.614655517638</v>
      </c>
      <c r="J122" s="475">
        <f t="shared" si="36"/>
        <v>0</v>
      </c>
      <c r="K122" s="475"/>
      <c r="L122" s="484"/>
      <c r="M122" s="475">
        <f t="shared" si="38"/>
        <v>0</v>
      </c>
      <c r="N122" s="484"/>
      <c r="O122" s="475">
        <f t="shared" si="40"/>
        <v>0</v>
      </c>
      <c r="P122" s="475">
        <f t="shared" si="41"/>
        <v>0</v>
      </c>
    </row>
    <row r="123" spans="2:16" ht="12.5">
      <c r="B123" s="160" t="str">
        <f t="shared" si="42"/>
        <v/>
      </c>
      <c r="C123" s="469">
        <f>IF(D93="","-",+C122+1)</f>
        <v>2033</v>
      </c>
      <c r="D123" s="344">
        <f>IF(F122+SUM(E$99:E122)=D$92,F122,D$92-SUM(E$99:E122))</f>
        <v>400211</v>
      </c>
      <c r="E123" s="483">
        <f>IF(+J96&lt;F122,J96,D123)</f>
        <v>23523</v>
      </c>
      <c r="F123" s="482">
        <f t="shared" si="66"/>
        <v>376688</v>
      </c>
      <c r="G123" s="482">
        <f t="shared" si="67"/>
        <v>388449.5</v>
      </c>
      <c r="H123" s="483">
        <f t="shared" si="68"/>
        <v>75699.035645895055</v>
      </c>
      <c r="I123" s="539">
        <f t="shared" si="69"/>
        <v>75699.035645895055</v>
      </c>
      <c r="J123" s="475">
        <f t="shared" si="36"/>
        <v>0</v>
      </c>
      <c r="K123" s="475"/>
      <c r="L123" s="484"/>
      <c r="M123" s="475">
        <f t="shared" si="38"/>
        <v>0</v>
      </c>
      <c r="N123" s="484"/>
      <c r="O123" s="475">
        <f t="shared" si="40"/>
        <v>0</v>
      </c>
      <c r="P123" s="475">
        <f t="shared" si="41"/>
        <v>0</v>
      </c>
    </row>
    <row r="124" spans="2:16" ht="12.5">
      <c r="B124" s="160" t="str">
        <f t="shared" si="42"/>
        <v/>
      </c>
      <c r="C124" s="469">
        <f>IF(D93="","-",+C123+1)</f>
        <v>2034</v>
      </c>
      <c r="D124" s="344">
        <f>IF(F123+SUM(E$99:E123)=D$92,F123,D$92-SUM(E$99:E123))</f>
        <v>376688</v>
      </c>
      <c r="E124" s="483">
        <f>IF(+J96&lt;F123,J96,D124)</f>
        <v>23523</v>
      </c>
      <c r="F124" s="482">
        <f t="shared" si="66"/>
        <v>353165</v>
      </c>
      <c r="G124" s="482">
        <f t="shared" si="67"/>
        <v>364926.5</v>
      </c>
      <c r="H124" s="483">
        <f t="shared" si="68"/>
        <v>72539.456636272458</v>
      </c>
      <c r="I124" s="539">
        <f t="shared" si="69"/>
        <v>72539.456636272458</v>
      </c>
      <c r="J124" s="475">
        <f t="shared" si="36"/>
        <v>0</v>
      </c>
      <c r="K124" s="475"/>
      <c r="L124" s="484"/>
      <c r="M124" s="475">
        <f t="shared" si="38"/>
        <v>0</v>
      </c>
      <c r="N124" s="484"/>
      <c r="O124" s="475">
        <f t="shared" si="40"/>
        <v>0</v>
      </c>
      <c r="P124" s="475">
        <f t="shared" si="41"/>
        <v>0</v>
      </c>
    </row>
    <row r="125" spans="2:16" ht="12.5">
      <c r="B125" s="160" t="str">
        <f t="shared" si="42"/>
        <v/>
      </c>
      <c r="C125" s="469">
        <f>IF(D93="","-",+C124+1)</f>
        <v>2035</v>
      </c>
      <c r="D125" s="344">
        <f>IF(F124+SUM(E$99:E124)=D$92,F124,D$92-SUM(E$99:E124))</f>
        <v>353165</v>
      </c>
      <c r="E125" s="483">
        <f>IF(+J96&lt;F124,J96,D125)</f>
        <v>23523</v>
      </c>
      <c r="F125" s="482">
        <f t="shared" si="66"/>
        <v>329642</v>
      </c>
      <c r="G125" s="482">
        <f t="shared" si="67"/>
        <v>341403.5</v>
      </c>
      <c r="H125" s="483">
        <f t="shared" si="68"/>
        <v>69379.877626649875</v>
      </c>
      <c r="I125" s="539">
        <f t="shared" si="69"/>
        <v>69379.877626649875</v>
      </c>
      <c r="J125" s="475">
        <f t="shared" si="36"/>
        <v>0</v>
      </c>
      <c r="K125" s="475"/>
      <c r="L125" s="484"/>
      <c r="M125" s="475">
        <f t="shared" si="38"/>
        <v>0</v>
      </c>
      <c r="N125" s="484"/>
      <c r="O125" s="475">
        <f t="shared" si="40"/>
        <v>0</v>
      </c>
      <c r="P125" s="475">
        <f t="shared" si="41"/>
        <v>0</v>
      </c>
    </row>
    <row r="126" spans="2:16" ht="12.5">
      <c r="B126" s="160" t="str">
        <f t="shared" si="42"/>
        <v/>
      </c>
      <c r="C126" s="469">
        <f>IF(D93="","-",+C125+1)</f>
        <v>2036</v>
      </c>
      <c r="D126" s="344">
        <f>IF(F125+SUM(E$99:E125)=D$92,F125,D$92-SUM(E$99:E125))</f>
        <v>329642</v>
      </c>
      <c r="E126" s="483">
        <f>IF(+J96&lt;F125,J96,D126)</f>
        <v>23523</v>
      </c>
      <c r="F126" s="482">
        <f t="shared" si="66"/>
        <v>306119</v>
      </c>
      <c r="G126" s="482">
        <f t="shared" si="67"/>
        <v>317880.5</v>
      </c>
      <c r="H126" s="483">
        <f t="shared" si="68"/>
        <v>66220.298617027292</v>
      </c>
      <c r="I126" s="539">
        <f t="shared" si="69"/>
        <v>66220.298617027292</v>
      </c>
      <c r="J126" s="475">
        <f t="shared" si="36"/>
        <v>0</v>
      </c>
      <c r="K126" s="475"/>
      <c r="L126" s="484"/>
      <c r="M126" s="475">
        <f t="shared" si="38"/>
        <v>0</v>
      </c>
      <c r="N126" s="484"/>
      <c r="O126" s="475">
        <f t="shared" si="40"/>
        <v>0</v>
      </c>
      <c r="P126" s="475">
        <f t="shared" si="41"/>
        <v>0</v>
      </c>
    </row>
    <row r="127" spans="2:16" ht="12.5">
      <c r="B127" s="160" t="str">
        <f t="shared" si="42"/>
        <v/>
      </c>
      <c r="C127" s="469">
        <f>IF(D93="","-",+C126+1)</f>
        <v>2037</v>
      </c>
      <c r="D127" s="344">
        <f>IF(F126+SUM(E$99:E126)=D$92,F126,D$92-SUM(E$99:E126))</f>
        <v>306119</v>
      </c>
      <c r="E127" s="483">
        <f>IF(+J96&lt;F126,J96,D127)</f>
        <v>23523</v>
      </c>
      <c r="F127" s="482">
        <f t="shared" si="66"/>
        <v>282596</v>
      </c>
      <c r="G127" s="482">
        <f t="shared" si="67"/>
        <v>294357.5</v>
      </c>
      <c r="H127" s="483">
        <f t="shared" si="68"/>
        <v>63060.719607404702</v>
      </c>
      <c r="I127" s="539">
        <f t="shared" si="69"/>
        <v>63060.719607404702</v>
      </c>
      <c r="J127" s="475">
        <f t="shared" si="36"/>
        <v>0</v>
      </c>
      <c r="K127" s="475"/>
      <c r="L127" s="484"/>
      <c r="M127" s="475">
        <f t="shared" si="38"/>
        <v>0</v>
      </c>
      <c r="N127" s="484"/>
      <c r="O127" s="475">
        <f t="shared" si="40"/>
        <v>0</v>
      </c>
      <c r="P127" s="475">
        <f t="shared" si="41"/>
        <v>0</v>
      </c>
    </row>
    <row r="128" spans="2:16" ht="12.5">
      <c r="B128" s="160" t="str">
        <f t="shared" si="42"/>
        <v/>
      </c>
      <c r="C128" s="469">
        <f>IF(D93="","-",+C127+1)</f>
        <v>2038</v>
      </c>
      <c r="D128" s="344">
        <f>IF(F127+SUM(E$99:E127)=D$92,F127,D$92-SUM(E$99:E127))</f>
        <v>282596</v>
      </c>
      <c r="E128" s="483">
        <f>IF(+J96&lt;F127,J96,D128)</f>
        <v>23523</v>
      </c>
      <c r="F128" s="482">
        <f t="shared" si="66"/>
        <v>259073</v>
      </c>
      <c r="G128" s="482">
        <f t="shared" si="67"/>
        <v>270834.5</v>
      </c>
      <c r="H128" s="483">
        <f t="shared" si="68"/>
        <v>59901.140597782112</v>
      </c>
      <c r="I128" s="539">
        <f t="shared" si="69"/>
        <v>59901.140597782112</v>
      </c>
      <c r="J128" s="475">
        <f t="shared" si="36"/>
        <v>0</v>
      </c>
      <c r="K128" s="475"/>
      <c r="L128" s="484"/>
      <c r="M128" s="475">
        <f t="shared" si="38"/>
        <v>0</v>
      </c>
      <c r="N128" s="484"/>
      <c r="O128" s="475">
        <f t="shared" si="40"/>
        <v>0</v>
      </c>
      <c r="P128" s="475">
        <f t="shared" si="41"/>
        <v>0</v>
      </c>
    </row>
    <row r="129" spans="2:16" ht="12.5">
      <c r="B129" s="160" t="str">
        <f t="shared" si="42"/>
        <v/>
      </c>
      <c r="C129" s="469">
        <f>IF(D93="","-",+C128+1)</f>
        <v>2039</v>
      </c>
      <c r="D129" s="344">
        <f>IF(F128+SUM(E$99:E128)=D$92,F128,D$92-SUM(E$99:E128))</f>
        <v>259073</v>
      </c>
      <c r="E129" s="483">
        <f>IF(+J96&lt;F128,J96,D129)</f>
        <v>23523</v>
      </c>
      <c r="F129" s="482">
        <f t="shared" si="66"/>
        <v>235550</v>
      </c>
      <c r="G129" s="482">
        <f t="shared" si="67"/>
        <v>247311.5</v>
      </c>
      <c r="H129" s="483">
        <f t="shared" si="68"/>
        <v>56741.561588159522</v>
      </c>
      <c r="I129" s="539">
        <f t="shared" si="69"/>
        <v>56741.561588159522</v>
      </c>
      <c r="J129" s="475">
        <f t="shared" si="36"/>
        <v>0</v>
      </c>
      <c r="K129" s="475"/>
      <c r="L129" s="484"/>
      <c r="M129" s="475">
        <f t="shared" si="38"/>
        <v>0</v>
      </c>
      <c r="N129" s="484"/>
      <c r="O129" s="475">
        <f t="shared" si="40"/>
        <v>0</v>
      </c>
      <c r="P129" s="475">
        <f t="shared" si="41"/>
        <v>0</v>
      </c>
    </row>
    <row r="130" spans="2:16" ht="12.5">
      <c r="B130" s="160" t="str">
        <f t="shared" si="42"/>
        <v/>
      </c>
      <c r="C130" s="469">
        <f>IF(D93="","-",+C129+1)</f>
        <v>2040</v>
      </c>
      <c r="D130" s="344">
        <f>IF(F129+SUM(E$99:E129)=D$92,F129,D$92-SUM(E$99:E129))</f>
        <v>235550</v>
      </c>
      <c r="E130" s="483">
        <f>IF(+J96&lt;F129,J96,D130)</f>
        <v>23523</v>
      </c>
      <c r="F130" s="482">
        <f t="shared" si="66"/>
        <v>212027</v>
      </c>
      <c r="G130" s="482">
        <f t="shared" si="67"/>
        <v>223788.5</v>
      </c>
      <c r="H130" s="483">
        <f t="shared" si="68"/>
        <v>53581.982578536932</v>
      </c>
      <c r="I130" s="539">
        <f t="shared" si="69"/>
        <v>53581.982578536932</v>
      </c>
      <c r="J130" s="475">
        <f t="shared" si="36"/>
        <v>0</v>
      </c>
      <c r="K130" s="475"/>
      <c r="L130" s="484"/>
      <c r="M130" s="475">
        <f t="shared" si="38"/>
        <v>0</v>
      </c>
      <c r="N130" s="484"/>
      <c r="O130" s="475">
        <f t="shared" si="40"/>
        <v>0</v>
      </c>
      <c r="P130" s="475">
        <f t="shared" si="41"/>
        <v>0</v>
      </c>
    </row>
    <row r="131" spans="2:16" ht="12.5">
      <c r="B131" s="160" t="str">
        <f t="shared" si="42"/>
        <v/>
      </c>
      <c r="C131" s="469">
        <f>IF(D93="","-",+C130+1)</f>
        <v>2041</v>
      </c>
      <c r="D131" s="344">
        <f>IF(F130+SUM(E$99:E130)=D$92,F130,D$92-SUM(E$99:E130))</f>
        <v>212027</v>
      </c>
      <c r="E131" s="483">
        <f>IF(+J96&lt;F130,J96,D131)</f>
        <v>23523</v>
      </c>
      <c r="F131" s="482">
        <f t="shared" ref="F131:F154" si="70">+D131-E131</f>
        <v>188504</v>
      </c>
      <c r="G131" s="482">
        <f t="shared" ref="G131:G154" si="71">+(F131+D131)/2</f>
        <v>200265.5</v>
      </c>
      <c r="H131" s="483">
        <f t="shared" si="68"/>
        <v>50422.403568914349</v>
      </c>
      <c r="I131" s="539">
        <f t="shared" si="69"/>
        <v>50422.403568914349</v>
      </c>
      <c r="J131" s="475">
        <f t="shared" ref="J131:J154" si="72">+I131-H131</f>
        <v>0</v>
      </c>
      <c r="K131" s="475"/>
      <c r="L131" s="484"/>
      <c r="M131" s="475">
        <f t="shared" ref="M131:M154" si="73">IF(L131&lt;&gt;0,+H131-L131,0)</f>
        <v>0</v>
      </c>
      <c r="N131" s="484"/>
      <c r="O131" s="475">
        <f t="shared" ref="O131:O154" si="74">IF(N131&lt;&gt;0,+I131-N131,0)</f>
        <v>0</v>
      </c>
      <c r="P131" s="475">
        <f t="shared" ref="P131:P154" si="75">+O131-M131</f>
        <v>0</v>
      </c>
    </row>
    <row r="132" spans="2:16" ht="12.5">
      <c r="B132" s="160" t="str">
        <f t="shared" si="42"/>
        <v/>
      </c>
      <c r="C132" s="469">
        <f>IF(D93="","-",+C131+1)</f>
        <v>2042</v>
      </c>
      <c r="D132" s="344">
        <f>IF(F131+SUM(E$99:E131)=D$92,F131,D$92-SUM(E$99:E131))</f>
        <v>188504</v>
      </c>
      <c r="E132" s="483">
        <f>IF(+J96&lt;F131,J96,D132)</f>
        <v>23523</v>
      </c>
      <c r="F132" s="482">
        <f t="shared" si="70"/>
        <v>164981</v>
      </c>
      <c r="G132" s="482">
        <f t="shared" si="71"/>
        <v>176742.5</v>
      </c>
      <c r="H132" s="483">
        <f t="shared" si="68"/>
        <v>47262.824559291766</v>
      </c>
      <c r="I132" s="539">
        <f t="shared" ref="I132:I154" si="76">+J$95*G132+E132</f>
        <v>47262.824559291766</v>
      </c>
      <c r="J132" s="475">
        <f t="shared" si="72"/>
        <v>0</v>
      </c>
      <c r="K132" s="475"/>
      <c r="L132" s="484"/>
      <c r="M132" s="475">
        <f t="shared" si="73"/>
        <v>0</v>
      </c>
      <c r="N132" s="484"/>
      <c r="O132" s="475">
        <f t="shared" si="74"/>
        <v>0</v>
      </c>
      <c r="P132" s="475">
        <f t="shared" si="75"/>
        <v>0</v>
      </c>
    </row>
    <row r="133" spans="2:16" ht="12.5">
      <c r="B133" s="160" t="str">
        <f t="shared" si="42"/>
        <v/>
      </c>
      <c r="C133" s="469">
        <f>IF(D93="","-",+C132+1)</f>
        <v>2043</v>
      </c>
      <c r="D133" s="344">
        <f>IF(F132+SUM(E$99:E132)=D$92,F132,D$92-SUM(E$99:E132))</f>
        <v>164981</v>
      </c>
      <c r="E133" s="483">
        <f>IF(+J96&lt;F132,J96,D133)</f>
        <v>23523</v>
      </c>
      <c r="F133" s="482">
        <f t="shared" si="70"/>
        <v>141458</v>
      </c>
      <c r="G133" s="482">
        <f t="shared" si="71"/>
        <v>153219.5</v>
      </c>
      <c r="H133" s="483">
        <f t="shared" si="68"/>
        <v>44103.245549669176</v>
      </c>
      <c r="I133" s="539">
        <f t="shared" si="76"/>
        <v>44103.245549669176</v>
      </c>
      <c r="J133" s="475">
        <f t="shared" si="72"/>
        <v>0</v>
      </c>
      <c r="K133" s="475"/>
      <c r="L133" s="484"/>
      <c r="M133" s="475">
        <f t="shared" si="73"/>
        <v>0</v>
      </c>
      <c r="N133" s="484"/>
      <c r="O133" s="475">
        <f t="shared" si="74"/>
        <v>0</v>
      </c>
      <c r="P133" s="475">
        <f t="shared" si="75"/>
        <v>0</v>
      </c>
    </row>
    <row r="134" spans="2:16" ht="12.5">
      <c r="B134" s="160" t="str">
        <f t="shared" si="42"/>
        <v/>
      </c>
      <c r="C134" s="469">
        <f>IF(D93="","-",+C133+1)</f>
        <v>2044</v>
      </c>
      <c r="D134" s="344">
        <f>IF(F133+SUM(E$99:E133)=D$92,F133,D$92-SUM(E$99:E133))</f>
        <v>141458</v>
      </c>
      <c r="E134" s="483">
        <f>IF(+J96&lt;F133,J96,D134)</f>
        <v>23523</v>
      </c>
      <c r="F134" s="482">
        <f t="shared" si="70"/>
        <v>117935</v>
      </c>
      <c r="G134" s="482">
        <f t="shared" si="71"/>
        <v>129696.5</v>
      </c>
      <c r="H134" s="483">
        <f t="shared" si="68"/>
        <v>40943.666540046586</v>
      </c>
      <c r="I134" s="539">
        <f t="shared" si="76"/>
        <v>40943.666540046586</v>
      </c>
      <c r="J134" s="475">
        <f t="shared" si="72"/>
        <v>0</v>
      </c>
      <c r="K134" s="475"/>
      <c r="L134" s="484"/>
      <c r="M134" s="475">
        <f t="shared" si="73"/>
        <v>0</v>
      </c>
      <c r="N134" s="484"/>
      <c r="O134" s="475">
        <f t="shared" si="74"/>
        <v>0</v>
      </c>
      <c r="P134" s="475">
        <f t="shared" si="75"/>
        <v>0</v>
      </c>
    </row>
    <row r="135" spans="2:16" ht="12.5">
      <c r="B135" s="160" t="str">
        <f t="shared" si="42"/>
        <v/>
      </c>
      <c r="C135" s="469">
        <f>IF(D93="","-",+C134+1)</f>
        <v>2045</v>
      </c>
      <c r="D135" s="344">
        <f>IF(F134+SUM(E$99:E134)=D$92,F134,D$92-SUM(E$99:E134))</f>
        <v>117935</v>
      </c>
      <c r="E135" s="483">
        <f>IF(+J96&lt;F134,J96,D135)</f>
        <v>23523</v>
      </c>
      <c r="F135" s="482">
        <f t="shared" si="70"/>
        <v>94412</v>
      </c>
      <c r="G135" s="482">
        <f t="shared" si="71"/>
        <v>106173.5</v>
      </c>
      <c r="H135" s="483">
        <f t="shared" si="68"/>
        <v>37784.087530424003</v>
      </c>
      <c r="I135" s="539">
        <f t="shared" si="76"/>
        <v>37784.087530424003</v>
      </c>
      <c r="J135" s="475">
        <f t="shared" si="72"/>
        <v>0</v>
      </c>
      <c r="K135" s="475"/>
      <c r="L135" s="484"/>
      <c r="M135" s="475">
        <f t="shared" si="73"/>
        <v>0</v>
      </c>
      <c r="N135" s="484"/>
      <c r="O135" s="475">
        <f t="shared" si="74"/>
        <v>0</v>
      </c>
      <c r="P135" s="475">
        <f t="shared" si="75"/>
        <v>0</v>
      </c>
    </row>
    <row r="136" spans="2:16" ht="12.5">
      <c r="B136" s="160" t="str">
        <f t="shared" si="42"/>
        <v/>
      </c>
      <c r="C136" s="469">
        <f>IF(D93="","-",+C135+1)</f>
        <v>2046</v>
      </c>
      <c r="D136" s="344">
        <f>IF(F135+SUM(E$99:E135)=D$92,F135,D$92-SUM(E$99:E135))</f>
        <v>94412</v>
      </c>
      <c r="E136" s="483">
        <f>IF(+J96&lt;F135,J96,D136)</f>
        <v>23523</v>
      </c>
      <c r="F136" s="482">
        <f t="shared" si="70"/>
        <v>70889</v>
      </c>
      <c r="G136" s="482">
        <f t="shared" si="71"/>
        <v>82650.5</v>
      </c>
      <c r="H136" s="483">
        <f t="shared" si="68"/>
        <v>34624.508520801413</v>
      </c>
      <c r="I136" s="539">
        <f t="shared" si="76"/>
        <v>34624.508520801413</v>
      </c>
      <c r="J136" s="475">
        <f t="shared" si="72"/>
        <v>0</v>
      </c>
      <c r="K136" s="475"/>
      <c r="L136" s="484"/>
      <c r="M136" s="475">
        <f t="shared" si="73"/>
        <v>0</v>
      </c>
      <c r="N136" s="484"/>
      <c r="O136" s="475">
        <f t="shared" si="74"/>
        <v>0</v>
      </c>
      <c r="P136" s="475">
        <f t="shared" si="75"/>
        <v>0</v>
      </c>
    </row>
    <row r="137" spans="2:16" ht="12.5">
      <c r="B137" s="160" t="str">
        <f t="shared" si="42"/>
        <v/>
      </c>
      <c r="C137" s="469">
        <f>IF(D93="","-",+C136+1)</f>
        <v>2047</v>
      </c>
      <c r="D137" s="344">
        <f>IF(F136+SUM(E$99:E136)=D$92,F136,D$92-SUM(E$99:E136))</f>
        <v>70889</v>
      </c>
      <c r="E137" s="483">
        <f>IF(+J96&lt;F136,J96,D137)</f>
        <v>23523</v>
      </c>
      <c r="F137" s="482">
        <f t="shared" si="70"/>
        <v>47366</v>
      </c>
      <c r="G137" s="482">
        <f t="shared" si="71"/>
        <v>59127.5</v>
      </c>
      <c r="H137" s="483">
        <f t="shared" si="68"/>
        <v>31464.929511178827</v>
      </c>
      <c r="I137" s="539">
        <f t="shared" si="76"/>
        <v>31464.929511178827</v>
      </c>
      <c r="J137" s="475">
        <f t="shared" si="72"/>
        <v>0</v>
      </c>
      <c r="K137" s="475"/>
      <c r="L137" s="484"/>
      <c r="M137" s="475">
        <f t="shared" si="73"/>
        <v>0</v>
      </c>
      <c r="N137" s="484"/>
      <c r="O137" s="475">
        <f t="shared" si="74"/>
        <v>0</v>
      </c>
      <c r="P137" s="475">
        <f t="shared" si="75"/>
        <v>0</v>
      </c>
    </row>
    <row r="138" spans="2:16" ht="12.5">
      <c r="B138" s="160" t="str">
        <f t="shared" si="42"/>
        <v/>
      </c>
      <c r="C138" s="469">
        <f>IF(D93="","-",+C137+1)</f>
        <v>2048</v>
      </c>
      <c r="D138" s="344">
        <f>IF(F137+SUM(E$99:E137)=D$92,F137,D$92-SUM(E$99:E137))</f>
        <v>47366</v>
      </c>
      <c r="E138" s="483">
        <f>IF(+J96&lt;F137,J96,D138)</f>
        <v>23523</v>
      </c>
      <c r="F138" s="482">
        <f t="shared" si="70"/>
        <v>23843</v>
      </c>
      <c r="G138" s="482">
        <f t="shared" si="71"/>
        <v>35604.5</v>
      </c>
      <c r="H138" s="483">
        <f t="shared" si="68"/>
        <v>28305.35050155624</v>
      </c>
      <c r="I138" s="539">
        <f t="shared" si="76"/>
        <v>28305.35050155624</v>
      </c>
      <c r="J138" s="475">
        <f t="shared" si="72"/>
        <v>0</v>
      </c>
      <c r="K138" s="475"/>
      <c r="L138" s="484"/>
      <c r="M138" s="475">
        <f t="shared" si="73"/>
        <v>0</v>
      </c>
      <c r="N138" s="484"/>
      <c r="O138" s="475">
        <f t="shared" si="74"/>
        <v>0</v>
      </c>
      <c r="P138" s="475">
        <f t="shared" si="75"/>
        <v>0</v>
      </c>
    </row>
    <row r="139" spans="2:16" ht="12.5">
      <c r="B139" s="160" t="str">
        <f t="shared" si="42"/>
        <v/>
      </c>
      <c r="C139" s="469">
        <f>IF(D93="","-",+C138+1)</f>
        <v>2049</v>
      </c>
      <c r="D139" s="344">
        <f>IF(F138+SUM(E$99:E138)=D$92,F138,D$92-SUM(E$99:E138))</f>
        <v>23843</v>
      </c>
      <c r="E139" s="483">
        <f>IF(+J96&lt;F138,J96,D139)</f>
        <v>23523</v>
      </c>
      <c r="F139" s="482">
        <f t="shared" si="70"/>
        <v>320</v>
      </c>
      <c r="G139" s="482">
        <f t="shared" si="71"/>
        <v>12081.5</v>
      </c>
      <c r="H139" s="483">
        <f t="shared" si="68"/>
        <v>25145.77149193365</v>
      </c>
      <c r="I139" s="539">
        <f t="shared" si="76"/>
        <v>25145.77149193365</v>
      </c>
      <c r="J139" s="475">
        <f t="shared" si="72"/>
        <v>0</v>
      </c>
      <c r="K139" s="475"/>
      <c r="L139" s="484"/>
      <c r="M139" s="475">
        <f t="shared" si="73"/>
        <v>0</v>
      </c>
      <c r="N139" s="484"/>
      <c r="O139" s="475">
        <f t="shared" si="74"/>
        <v>0</v>
      </c>
      <c r="P139" s="475">
        <f t="shared" si="75"/>
        <v>0</v>
      </c>
    </row>
    <row r="140" spans="2:16" ht="12.5">
      <c r="B140" s="160" t="str">
        <f t="shared" si="42"/>
        <v/>
      </c>
      <c r="C140" s="469">
        <f>IF(D93="","-",+C139+1)</f>
        <v>2050</v>
      </c>
      <c r="D140" s="344">
        <f>IF(F139+SUM(E$99:E139)=D$92,F139,D$92-SUM(E$99:E139))</f>
        <v>320</v>
      </c>
      <c r="E140" s="483">
        <f>IF(+J96&lt;F139,J96,D140)</f>
        <v>320</v>
      </c>
      <c r="F140" s="482">
        <f t="shared" si="70"/>
        <v>0</v>
      </c>
      <c r="G140" s="482">
        <f t="shared" si="71"/>
        <v>160</v>
      </c>
      <c r="H140" s="483">
        <f t="shared" si="68"/>
        <v>341.49099356117904</v>
      </c>
      <c r="I140" s="539">
        <f t="shared" si="76"/>
        <v>341.49099356117904</v>
      </c>
      <c r="J140" s="475">
        <f t="shared" si="72"/>
        <v>0</v>
      </c>
      <c r="K140" s="475"/>
      <c r="L140" s="484"/>
      <c r="M140" s="475">
        <f t="shared" si="73"/>
        <v>0</v>
      </c>
      <c r="N140" s="484"/>
      <c r="O140" s="475">
        <f t="shared" si="74"/>
        <v>0</v>
      </c>
      <c r="P140" s="475">
        <f t="shared" si="75"/>
        <v>0</v>
      </c>
    </row>
    <row r="141" spans="2:16" ht="12.5">
      <c r="B141" s="160" t="str">
        <f t="shared" si="42"/>
        <v/>
      </c>
      <c r="C141" s="469">
        <f>IF(D93="","-",+C140+1)</f>
        <v>2051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70"/>
        <v>0</v>
      </c>
      <c r="G141" s="482">
        <f t="shared" si="71"/>
        <v>0</v>
      </c>
      <c r="H141" s="483">
        <f t="shared" si="68"/>
        <v>0</v>
      </c>
      <c r="I141" s="539">
        <f t="shared" si="76"/>
        <v>0</v>
      </c>
      <c r="J141" s="475">
        <f t="shared" si="72"/>
        <v>0</v>
      </c>
      <c r="K141" s="475"/>
      <c r="L141" s="484"/>
      <c r="M141" s="475">
        <f t="shared" si="73"/>
        <v>0</v>
      </c>
      <c r="N141" s="484"/>
      <c r="O141" s="475">
        <f t="shared" si="74"/>
        <v>0</v>
      </c>
      <c r="P141" s="475">
        <f t="shared" si="75"/>
        <v>0</v>
      </c>
    </row>
    <row r="142" spans="2:16" ht="12.5">
      <c r="B142" s="160" t="str">
        <f t="shared" si="42"/>
        <v/>
      </c>
      <c r="C142" s="469">
        <f>IF(D93="","-",+C141+1)</f>
        <v>2052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70"/>
        <v>0</v>
      </c>
      <c r="G142" s="482">
        <f t="shared" si="71"/>
        <v>0</v>
      </c>
      <c r="H142" s="483">
        <f t="shared" si="68"/>
        <v>0</v>
      </c>
      <c r="I142" s="539">
        <f t="shared" si="76"/>
        <v>0</v>
      </c>
      <c r="J142" s="475">
        <f t="shared" si="72"/>
        <v>0</v>
      </c>
      <c r="K142" s="475"/>
      <c r="L142" s="484"/>
      <c r="M142" s="475">
        <f t="shared" si="73"/>
        <v>0</v>
      </c>
      <c r="N142" s="484"/>
      <c r="O142" s="475">
        <f t="shared" si="74"/>
        <v>0</v>
      </c>
      <c r="P142" s="475">
        <f t="shared" si="75"/>
        <v>0</v>
      </c>
    </row>
    <row r="143" spans="2:16" ht="12.5">
      <c r="B143" s="160" t="str">
        <f t="shared" si="42"/>
        <v/>
      </c>
      <c r="C143" s="469">
        <f>IF(D93="","-",+C142+1)</f>
        <v>2053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70"/>
        <v>0</v>
      </c>
      <c r="G143" s="482">
        <f t="shared" si="71"/>
        <v>0</v>
      </c>
      <c r="H143" s="483">
        <f t="shared" si="68"/>
        <v>0</v>
      </c>
      <c r="I143" s="539">
        <f t="shared" si="76"/>
        <v>0</v>
      </c>
      <c r="J143" s="475">
        <f t="shared" si="72"/>
        <v>0</v>
      </c>
      <c r="K143" s="475"/>
      <c r="L143" s="484"/>
      <c r="M143" s="475">
        <f t="shared" si="73"/>
        <v>0</v>
      </c>
      <c r="N143" s="484"/>
      <c r="O143" s="475">
        <f t="shared" si="74"/>
        <v>0</v>
      </c>
      <c r="P143" s="475">
        <f t="shared" si="75"/>
        <v>0</v>
      </c>
    </row>
    <row r="144" spans="2:16" ht="12.5">
      <c r="B144" s="160" t="str">
        <f t="shared" si="42"/>
        <v/>
      </c>
      <c r="C144" s="469">
        <f>IF(D93="","-",+C143+1)</f>
        <v>2054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70"/>
        <v>0</v>
      </c>
      <c r="G144" s="482">
        <f t="shared" si="71"/>
        <v>0</v>
      </c>
      <c r="H144" s="483">
        <f t="shared" si="68"/>
        <v>0</v>
      </c>
      <c r="I144" s="539">
        <f t="shared" si="76"/>
        <v>0</v>
      </c>
      <c r="J144" s="475">
        <f t="shared" si="72"/>
        <v>0</v>
      </c>
      <c r="K144" s="475"/>
      <c r="L144" s="484"/>
      <c r="M144" s="475">
        <f t="shared" si="73"/>
        <v>0</v>
      </c>
      <c r="N144" s="484"/>
      <c r="O144" s="475">
        <f t="shared" si="74"/>
        <v>0</v>
      </c>
      <c r="P144" s="475">
        <f t="shared" si="75"/>
        <v>0</v>
      </c>
    </row>
    <row r="145" spans="2:16" ht="12.5">
      <c r="B145" s="160" t="str">
        <f t="shared" si="42"/>
        <v/>
      </c>
      <c r="C145" s="469">
        <f>IF(D93="","-",+C144+1)</f>
        <v>2055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70"/>
        <v>0</v>
      </c>
      <c r="G145" s="482">
        <f t="shared" si="71"/>
        <v>0</v>
      </c>
      <c r="H145" s="483">
        <f t="shared" si="68"/>
        <v>0</v>
      </c>
      <c r="I145" s="539">
        <f t="shared" si="76"/>
        <v>0</v>
      </c>
      <c r="J145" s="475">
        <f t="shared" si="72"/>
        <v>0</v>
      </c>
      <c r="K145" s="475"/>
      <c r="L145" s="484"/>
      <c r="M145" s="475">
        <f t="shared" si="73"/>
        <v>0</v>
      </c>
      <c r="N145" s="484"/>
      <c r="O145" s="475">
        <f t="shared" si="74"/>
        <v>0</v>
      </c>
      <c r="P145" s="475">
        <f t="shared" si="75"/>
        <v>0</v>
      </c>
    </row>
    <row r="146" spans="2:16" ht="12.5">
      <c r="B146" s="160" t="str">
        <f t="shared" si="42"/>
        <v/>
      </c>
      <c r="C146" s="469">
        <f>IF(D93="","-",+C145+1)</f>
        <v>2056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70"/>
        <v>0</v>
      </c>
      <c r="G146" s="482">
        <f t="shared" si="71"/>
        <v>0</v>
      </c>
      <c r="H146" s="483">
        <f t="shared" si="68"/>
        <v>0</v>
      </c>
      <c r="I146" s="539">
        <f t="shared" si="76"/>
        <v>0</v>
      </c>
      <c r="J146" s="475">
        <f t="shared" si="72"/>
        <v>0</v>
      </c>
      <c r="K146" s="475"/>
      <c r="L146" s="484"/>
      <c r="M146" s="475">
        <f t="shared" si="73"/>
        <v>0</v>
      </c>
      <c r="N146" s="484"/>
      <c r="O146" s="475">
        <f t="shared" si="74"/>
        <v>0</v>
      </c>
      <c r="P146" s="475">
        <f t="shared" si="75"/>
        <v>0</v>
      </c>
    </row>
    <row r="147" spans="2:16" ht="12.5">
      <c r="B147" s="160" t="str">
        <f t="shared" si="42"/>
        <v/>
      </c>
      <c r="C147" s="469">
        <f>IF(D93="","-",+C146+1)</f>
        <v>2057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70"/>
        <v>0</v>
      </c>
      <c r="G147" s="482">
        <f t="shared" si="71"/>
        <v>0</v>
      </c>
      <c r="H147" s="483">
        <f t="shared" si="68"/>
        <v>0</v>
      </c>
      <c r="I147" s="539">
        <f t="shared" si="76"/>
        <v>0</v>
      </c>
      <c r="J147" s="475">
        <f t="shared" si="72"/>
        <v>0</v>
      </c>
      <c r="K147" s="475"/>
      <c r="L147" s="484"/>
      <c r="M147" s="475">
        <f t="shared" si="73"/>
        <v>0</v>
      </c>
      <c r="N147" s="484"/>
      <c r="O147" s="475">
        <f t="shared" si="74"/>
        <v>0</v>
      </c>
      <c r="P147" s="475">
        <f t="shared" si="75"/>
        <v>0</v>
      </c>
    </row>
    <row r="148" spans="2:16" ht="12.5">
      <c r="B148" s="160" t="str">
        <f t="shared" si="42"/>
        <v/>
      </c>
      <c r="C148" s="469">
        <f>IF(D93="","-",+C147+1)</f>
        <v>2058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70"/>
        <v>0</v>
      </c>
      <c r="G148" s="482">
        <f t="shared" si="71"/>
        <v>0</v>
      </c>
      <c r="H148" s="483">
        <f t="shared" si="68"/>
        <v>0</v>
      </c>
      <c r="I148" s="539">
        <f t="shared" si="76"/>
        <v>0</v>
      </c>
      <c r="J148" s="475">
        <f t="shared" si="72"/>
        <v>0</v>
      </c>
      <c r="K148" s="475"/>
      <c r="L148" s="484"/>
      <c r="M148" s="475">
        <f t="shared" si="73"/>
        <v>0</v>
      </c>
      <c r="N148" s="484"/>
      <c r="O148" s="475">
        <f t="shared" si="74"/>
        <v>0</v>
      </c>
      <c r="P148" s="475">
        <f t="shared" si="75"/>
        <v>0</v>
      </c>
    </row>
    <row r="149" spans="2:16" ht="12.5">
      <c r="B149" s="160" t="str">
        <f t="shared" si="42"/>
        <v/>
      </c>
      <c r="C149" s="469">
        <f>IF(D93="","-",+C148+1)</f>
        <v>2059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70"/>
        <v>0</v>
      </c>
      <c r="G149" s="482">
        <f t="shared" si="71"/>
        <v>0</v>
      </c>
      <c r="H149" s="483">
        <f t="shared" si="68"/>
        <v>0</v>
      </c>
      <c r="I149" s="539">
        <f t="shared" si="76"/>
        <v>0</v>
      </c>
      <c r="J149" s="475">
        <f t="shared" si="72"/>
        <v>0</v>
      </c>
      <c r="K149" s="475"/>
      <c r="L149" s="484"/>
      <c r="M149" s="475">
        <f t="shared" si="73"/>
        <v>0</v>
      </c>
      <c r="N149" s="484"/>
      <c r="O149" s="475">
        <f t="shared" si="74"/>
        <v>0</v>
      </c>
      <c r="P149" s="475">
        <f t="shared" si="75"/>
        <v>0</v>
      </c>
    </row>
    <row r="150" spans="2:16" ht="12.5">
      <c r="B150" s="160" t="str">
        <f t="shared" si="42"/>
        <v/>
      </c>
      <c r="C150" s="469">
        <f>IF(D93="","-",+C149+1)</f>
        <v>2060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70"/>
        <v>0</v>
      </c>
      <c r="G150" s="482">
        <f t="shared" si="71"/>
        <v>0</v>
      </c>
      <c r="H150" s="483">
        <f t="shared" si="68"/>
        <v>0</v>
      </c>
      <c r="I150" s="539">
        <f t="shared" si="76"/>
        <v>0</v>
      </c>
      <c r="J150" s="475">
        <f t="shared" si="72"/>
        <v>0</v>
      </c>
      <c r="K150" s="475"/>
      <c r="L150" s="484"/>
      <c r="M150" s="475">
        <f t="shared" si="73"/>
        <v>0</v>
      </c>
      <c r="N150" s="484"/>
      <c r="O150" s="475">
        <f t="shared" si="74"/>
        <v>0</v>
      </c>
      <c r="P150" s="475">
        <f t="shared" si="75"/>
        <v>0</v>
      </c>
    </row>
    <row r="151" spans="2:16" ht="12.5">
      <c r="B151" s="160" t="str">
        <f t="shared" si="42"/>
        <v/>
      </c>
      <c r="C151" s="469">
        <f>IF(D93="","-",+C150+1)</f>
        <v>2061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70"/>
        <v>0</v>
      </c>
      <c r="G151" s="482">
        <f t="shared" si="71"/>
        <v>0</v>
      </c>
      <c r="H151" s="483">
        <f t="shared" si="68"/>
        <v>0</v>
      </c>
      <c r="I151" s="539">
        <f t="shared" si="76"/>
        <v>0</v>
      </c>
      <c r="J151" s="475">
        <f t="shared" si="72"/>
        <v>0</v>
      </c>
      <c r="K151" s="475"/>
      <c r="L151" s="484"/>
      <c r="M151" s="475">
        <f t="shared" si="73"/>
        <v>0</v>
      </c>
      <c r="N151" s="484"/>
      <c r="O151" s="475">
        <f t="shared" si="74"/>
        <v>0</v>
      </c>
      <c r="P151" s="475">
        <f t="shared" si="75"/>
        <v>0</v>
      </c>
    </row>
    <row r="152" spans="2:16" ht="12.5">
      <c r="B152" s="160" t="str">
        <f t="shared" si="42"/>
        <v/>
      </c>
      <c r="C152" s="469">
        <f>IF(D93="","-",+C151+1)</f>
        <v>2062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70"/>
        <v>0</v>
      </c>
      <c r="G152" s="482">
        <f t="shared" si="71"/>
        <v>0</v>
      </c>
      <c r="H152" s="483">
        <f t="shared" si="68"/>
        <v>0</v>
      </c>
      <c r="I152" s="539">
        <f t="shared" si="76"/>
        <v>0</v>
      </c>
      <c r="J152" s="475">
        <f t="shared" si="72"/>
        <v>0</v>
      </c>
      <c r="K152" s="475"/>
      <c r="L152" s="484"/>
      <c r="M152" s="475">
        <f t="shared" si="73"/>
        <v>0</v>
      </c>
      <c r="N152" s="484"/>
      <c r="O152" s="475">
        <f t="shared" si="74"/>
        <v>0</v>
      </c>
      <c r="P152" s="475">
        <f t="shared" si="75"/>
        <v>0</v>
      </c>
    </row>
    <row r="153" spans="2:16" ht="12.5">
      <c r="B153" s="160" t="str">
        <f t="shared" si="42"/>
        <v/>
      </c>
      <c r="C153" s="469">
        <f>IF(D93="","-",+C152+1)</f>
        <v>2063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70"/>
        <v>0</v>
      </c>
      <c r="G153" s="482">
        <f t="shared" si="71"/>
        <v>0</v>
      </c>
      <c r="H153" s="483">
        <f t="shared" si="68"/>
        <v>0</v>
      </c>
      <c r="I153" s="539">
        <f t="shared" si="76"/>
        <v>0</v>
      </c>
      <c r="J153" s="475">
        <f t="shared" si="72"/>
        <v>0</v>
      </c>
      <c r="K153" s="475"/>
      <c r="L153" s="484"/>
      <c r="M153" s="475">
        <f t="shared" si="73"/>
        <v>0</v>
      </c>
      <c r="N153" s="484"/>
      <c r="O153" s="475">
        <f t="shared" si="74"/>
        <v>0</v>
      </c>
      <c r="P153" s="475">
        <f t="shared" si="75"/>
        <v>0</v>
      </c>
    </row>
    <row r="154" spans="2:16" ht="13" thickBot="1">
      <c r="B154" s="160" t="str">
        <f t="shared" si="42"/>
        <v/>
      </c>
      <c r="C154" s="486">
        <f>IF(D93="","-",+C153+1)</f>
        <v>2064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70"/>
        <v>0</v>
      </c>
      <c r="G154" s="487">
        <f t="shared" si="71"/>
        <v>0</v>
      </c>
      <c r="H154" s="487">
        <f t="shared" si="68"/>
        <v>0</v>
      </c>
      <c r="I154" s="542">
        <f t="shared" si="76"/>
        <v>0</v>
      </c>
      <c r="J154" s="492">
        <f t="shared" si="72"/>
        <v>0</v>
      </c>
      <c r="K154" s="475"/>
      <c r="L154" s="491"/>
      <c r="M154" s="492">
        <f t="shared" si="73"/>
        <v>0</v>
      </c>
      <c r="N154" s="491"/>
      <c r="O154" s="492">
        <f t="shared" si="74"/>
        <v>0</v>
      </c>
      <c r="P154" s="492">
        <f t="shared" si="75"/>
        <v>0</v>
      </c>
    </row>
    <row r="155" spans="2:16" ht="12.5">
      <c r="C155" s="344" t="s">
        <v>77</v>
      </c>
      <c r="D155" s="345"/>
      <c r="E155" s="345">
        <f>SUM(E99:E154)</f>
        <v>893858</v>
      </c>
      <c r="F155" s="345"/>
      <c r="G155" s="345"/>
      <c r="H155" s="345">
        <f>SUM(H99:H154)</f>
        <v>3392697.1503685885</v>
      </c>
      <c r="I155" s="345">
        <f>SUM(I99:I154)</f>
        <v>3392697.1503685885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 t="s">
        <v>100</v>
      </c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93" t="s">
        <v>107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78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 t="s">
        <v>79</v>
      </c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45" t="s">
        <v>145</v>
      </c>
    </row>
  </sheetData>
  <phoneticPr fontId="0" type="noConversion"/>
  <conditionalFormatting sqref="C17:C72">
    <cfRule type="cellIs" dxfId="71" priority="1" stopIfTrue="1" operator="equal">
      <formula>$I$10</formula>
    </cfRule>
  </conditionalFormatting>
  <conditionalFormatting sqref="C99:C154">
    <cfRule type="cellIs" dxfId="7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0"/>
  <dimension ref="A1:P162"/>
  <sheetViews>
    <sheetView topLeftCell="A65"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2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496436.99458453123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496436.99458453123</v>
      </c>
      <c r="O6" s="231"/>
      <c r="P6" s="231"/>
    </row>
    <row r="7" spans="1:16" ht="13.5" thickBot="1">
      <c r="C7" s="428" t="s">
        <v>46</v>
      </c>
      <c r="D7" s="429" t="s">
        <v>210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80</v>
      </c>
      <c r="E9" s="439" t="s">
        <v>374</v>
      </c>
      <c r="F9" s="719">
        <v>230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4688896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2009</v>
      </c>
      <c r="E11" s="447" t="s">
        <v>54</v>
      </c>
      <c r="F11" s="445"/>
      <c r="G11" s="194"/>
      <c r="H11" s="194"/>
      <c r="I11" s="449"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5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123392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C17" s="469">
        <f>IF(D11= "","-",D11)</f>
        <v>2009</v>
      </c>
      <c r="D17" s="470">
        <v>6704177</v>
      </c>
      <c r="E17" s="471">
        <v>73788</v>
      </c>
      <c r="F17" s="470">
        <v>6630389</v>
      </c>
      <c r="G17" s="471">
        <v>750999</v>
      </c>
      <c r="H17" s="471">
        <v>750999</v>
      </c>
      <c r="I17" s="472">
        <f t="shared" ref="I17:I48" si="0">H17-G17</f>
        <v>0</v>
      </c>
      <c r="J17" s="472"/>
      <c r="K17" s="473">
        <v>750999</v>
      </c>
      <c r="L17" s="474">
        <f t="shared" ref="L17:L48" si="1">IF(K17&lt;&gt;0,+G17-K17,0)</f>
        <v>0</v>
      </c>
      <c r="M17" s="473">
        <v>750999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2010</v>
      </c>
      <c r="D18" s="476">
        <v>4651603</v>
      </c>
      <c r="E18" s="477">
        <v>84382</v>
      </c>
      <c r="F18" s="476">
        <v>4567221</v>
      </c>
      <c r="G18" s="477">
        <v>743416</v>
      </c>
      <c r="H18" s="478">
        <v>743416</v>
      </c>
      <c r="I18" s="472">
        <f t="shared" si="0"/>
        <v>0</v>
      </c>
      <c r="J18" s="472"/>
      <c r="K18" s="473">
        <f t="shared" ref="K18:K23" si="4">G18</f>
        <v>743416</v>
      </c>
      <c r="L18" s="547">
        <f t="shared" si="1"/>
        <v>0</v>
      </c>
      <c r="M18" s="473">
        <f t="shared" ref="M18:M23" si="5">H18</f>
        <v>743416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2011</v>
      </c>
      <c r="D19" s="476">
        <v>4530726</v>
      </c>
      <c r="E19" s="477">
        <v>91939.137254901958</v>
      </c>
      <c r="F19" s="476">
        <v>4438786.8627450978</v>
      </c>
      <c r="G19" s="477">
        <v>786801.66702531651</v>
      </c>
      <c r="H19" s="478">
        <v>786801.66702531651</v>
      </c>
      <c r="I19" s="472">
        <f t="shared" si="0"/>
        <v>0</v>
      </c>
      <c r="J19" s="472"/>
      <c r="K19" s="473">
        <f t="shared" si="4"/>
        <v>786801.66702531651</v>
      </c>
      <c r="L19" s="547">
        <f t="shared" si="1"/>
        <v>0</v>
      </c>
      <c r="M19" s="473">
        <f t="shared" si="5"/>
        <v>786801.66702531651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69">
        <f>IF(D11="","-",+C19+1)</f>
        <v>2012</v>
      </c>
      <c r="D20" s="476">
        <v>4438786.8627450978</v>
      </c>
      <c r="E20" s="477">
        <v>90171.076923076922</v>
      </c>
      <c r="F20" s="476">
        <v>4348615.7858220208</v>
      </c>
      <c r="G20" s="477">
        <v>695527.67751323315</v>
      </c>
      <c r="H20" s="478">
        <v>695527.67751323315</v>
      </c>
      <c r="I20" s="472">
        <f t="shared" si="0"/>
        <v>0</v>
      </c>
      <c r="J20" s="472"/>
      <c r="K20" s="473">
        <f t="shared" si="4"/>
        <v>695527.67751323315</v>
      </c>
      <c r="L20" s="547">
        <f t="shared" si="1"/>
        <v>0</v>
      </c>
      <c r="M20" s="473">
        <f t="shared" si="5"/>
        <v>695527.67751323315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6"/>
        <v/>
      </c>
      <c r="C21" s="469">
        <f>IF(D12="","-",+C20+1)</f>
        <v>2013</v>
      </c>
      <c r="D21" s="476">
        <v>4348615.7858220208</v>
      </c>
      <c r="E21" s="477">
        <v>90171.076923076922</v>
      </c>
      <c r="F21" s="476">
        <v>4258444.7088989438</v>
      </c>
      <c r="G21" s="477">
        <v>698305.7699783385</v>
      </c>
      <c r="H21" s="478">
        <v>698305.7699783385</v>
      </c>
      <c r="I21" s="472">
        <v>0</v>
      </c>
      <c r="J21" s="472"/>
      <c r="K21" s="473">
        <f t="shared" si="4"/>
        <v>698305.7699783385</v>
      </c>
      <c r="L21" s="547">
        <f t="shared" ref="L21:L26" si="7">IF(K21&lt;&gt;0,+G21-K21,0)</f>
        <v>0</v>
      </c>
      <c r="M21" s="473">
        <f t="shared" si="5"/>
        <v>698305.7699783385</v>
      </c>
      <c r="N21" s="475">
        <f t="shared" ref="N21:N26" si="8">IF(M21&lt;&gt;0,+H21-M21,0)</f>
        <v>0</v>
      </c>
      <c r="O21" s="475">
        <f t="shared" ref="O21:O26" si="9">+N21-L21</f>
        <v>0</v>
      </c>
      <c r="P21" s="241"/>
    </row>
    <row r="22" spans="2:16" ht="12.5">
      <c r="B22" s="160" t="str">
        <f t="shared" si="6"/>
        <v/>
      </c>
      <c r="C22" s="469">
        <f>IF(D11="","-",+C21+1)</f>
        <v>2014</v>
      </c>
      <c r="D22" s="476">
        <v>4258444.7088989438</v>
      </c>
      <c r="E22" s="477">
        <v>90171.076923076922</v>
      </c>
      <c r="F22" s="476">
        <v>4168273.6319758669</v>
      </c>
      <c r="G22" s="477">
        <v>663970.48849892756</v>
      </c>
      <c r="H22" s="478">
        <v>663970.48849892756</v>
      </c>
      <c r="I22" s="472">
        <v>0</v>
      </c>
      <c r="J22" s="472"/>
      <c r="K22" s="473">
        <f t="shared" si="4"/>
        <v>663970.48849892756</v>
      </c>
      <c r="L22" s="547">
        <f t="shared" si="7"/>
        <v>0</v>
      </c>
      <c r="M22" s="473">
        <f t="shared" si="5"/>
        <v>663970.48849892756</v>
      </c>
      <c r="N22" s="475">
        <f t="shared" si="8"/>
        <v>0</v>
      </c>
      <c r="O22" s="475">
        <f t="shared" si="9"/>
        <v>0</v>
      </c>
      <c r="P22" s="241"/>
    </row>
    <row r="23" spans="2:16" ht="12.5">
      <c r="B23" s="160" t="str">
        <f t="shared" si="6"/>
        <v/>
      </c>
      <c r="C23" s="469">
        <f>IF(D11="","-",+C22+1)</f>
        <v>2015</v>
      </c>
      <c r="D23" s="476">
        <v>4168273.6319758669</v>
      </c>
      <c r="E23" s="477">
        <v>90171.076923076922</v>
      </c>
      <c r="F23" s="476">
        <v>4078102.5550527899</v>
      </c>
      <c r="G23" s="477">
        <v>652425.83265151177</v>
      </c>
      <c r="H23" s="478">
        <v>652425.83265151177</v>
      </c>
      <c r="I23" s="472">
        <v>0</v>
      </c>
      <c r="J23" s="472"/>
      <c r="K23" s="473">
        <f t="shared" si="4"/>
        <v>652425.83265151177</v>
      </c>
      <c r="L23" s="547">
        <f t="shared" si="7"/>
        <v>0</v>
      </c>
      <c r="M23" s="473">
        <f t="shared" si="5"/>
        <v>652425.83265151177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2016</v>
      </c>
      <c r="D24" s="476">
        <v>4078102.5550527899</v>
      </c>
      <c r="E24" s="477">
        <v>90171.076923076922</v>
      </c>
      <c r="F24" s="476">
        <v>3987931.4781297129</v>
      </c>
      <c r="G24" s="477">
        <v>613226.71011811122</v>
      </c>
      <c r="H24" s="478">
        <v>613226.71011811122</v>
      </c>
      <c r="I24" s="472">
        <f t="shared" si="0"/>
        <v>0</v>
      </c>
      <c r="J24" s="472"/>
      <c r="K24" s="473">
        <f t="shared" ref="K24:K29" si="10">G24</f>
        <v>613226.71011811122</v>
      </c>
      <c r="L24" s="547">
        <f t="shared" si="7"/>
        <v>0</v>
      </c>
      <c r="M24" s="473">
        <f t="shared" ref="M24:M29" si="11">H24</f>
        <v>613226.71011811122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6"/>
        <v/>
      </c>
      <c r="C25" s="469">
        <f>IF(D11="","-",+C24+1)</f>
        <v>2017</v>
      </c>
      <c r="D25" s="476">
        <v>3987931.4781297129</v>
      </c>
      <c r="E25" s="477">
        <v>101932.52173913043</v>
      </c>
      <c r="F25" s="476">
        <v>3885998.9563905825</v>
      </c>
      <c r="G25" s="477">
        <v>596467.29312714399</v>
      </c>
      <c r="H25" s="478">
        <v>596467.29312714399</v>
      </c>
      <c r="I25" s="472">
        <f t="shared" si="0"/>
        <v>0</v>
      </c>
      <c r="J25" s="548"/>
      <c r="K25" s="473">
        <f t="shared" si="10"/>
        <v>596467.29312714399</v>
      </c>
      <c r="L25" s="547">
        <f t="shared" si="7"/>
        <v>0</v>
      </c>
      <c r="M25" s="473">
        <f t="shared" si="11"/>
        <v>596467.29312714399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2018</v>
      </c>
      <c r="D26" s="476">
        <v>3885998.9563905825</v>
      </c>
      <c r="E26" s="477">
        <v>104197.68888888889</v>
      </c>
      <c r="F26" s="476">
        <v>3781801.2675016937</v>
      </c>
      <c r="G26" s="477">
        <v>563341.50507496181</v>
      </c>
      <c r="H26" s="478">
        <v>563341.50507496181</v>
      </c>
      <c r="I26" s="472">
        <f t="shared" si="0"/>
        <v>0</v>
      </c>
      <c r="J26" s="548"/>
      <c r="K26" s="473">
        <f t="shared" si="10"/>
        <v>563341.50507496181</v>
      </c>
      <c r="L26" s="547">
        <f t="shared" si="7"/>
        <v>0</v>
      </c>
      <c r="M26" s="473">
        <f t="shared" si="11"/>
        <v>563341.50507496181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6"/>
        <v/>
      </c>
      <c r="C27" s="469">
        <f>IF(D11="","-",+C26+1)</f>
        <v>2019</v>
      </c>
      <c r="D27" s="476">
        <v>3781801.2675016937</v>
      </c>
      <c r="E27" s="477">
        <v>117222.39999999999</v>
      </c>
      <c r="F27" s="476">
        <v>3664578.8675016938</v>
      </c>
      <c r="G27" s="477">
        <v>532941.26061774243</v>
      </c>
      <c r="H27" s="478">
        <v>532941.26061774243</v>
      </c>
      <c r="I27" s="472">
        <f t="shared" si="0"/>
        <v>0</v>
      </c>
      <c r="J27" s="549"/>
      <c r="K27" s="473">
        <f t="shared" si="10"/>
        <v>532941.26061774243</v>
      </c>
      <c r="L27" s="547">
        <f t="shared" ref="L27" si="12">IF(K27&lt;&gt;0,+G27-K27,0)</f>
        <v>0</v>
      </c>
      <c r="M27" s="473">
        <f t="shared" si="11"/>
        <v>532941.26061774243</v>
      </c>
      <c r="N27" s="475">
        <f t="shared" ref="N27" si="13">IF(M27&lt;&gt;0,+H27-M27,0)</f>
        <v>0</v>
      </c>
      <c r="O27" s="475">
        <f t="shared" ref="O27" si="14">+N27-L27</f>
        <v>0</v>
      </c>
      <c r="P27" s="241"/>
    </row>
    <row r="28" spans="2:16" ht="12.5">
      <c r="B28" s="160" t="str">
        <f t="shared" si="6"/>
        <v>IU</v>
      </c>
      <c r="C28" s="469">
        <f>IF(D11="","-",+C27+1)</f>
        <v>2020</v>
      </c>
      <c r="D28" s="476">
        <v>3677603.5786128049</v>
      </c>
      <c r="E28" s="477">
        <v>111640.38095238095</v>
      </c>
      <c r="F28" s="476">
        <v>3565963.1976604238</v>
      </c>
      <c r="G28" s="477">
        <v>502810.28780425031</v>
      </c>
      <c r="H28" s="478">
        <v>502810.28780425031</v>
      </c>
      <c r="I28" s="472">
        <f t="shared" si="0"/>
        <v>0</v>
      </c>
      <c r="J28" s="472"/>
      <c r="K28" s="473">
        <f t="shared" si="10"/>
        <v>502810.28780425031</v>
      </c>
      <c r="L28" s="547">
        <f t="shared" ref="L28" si="15">IF(K28&lt;&gt;0,+G28-K28,0)</f>
        <v>0</v>
      </c>
      <c r="M28" s="473">
        <f t="shared" si="11"/>
        <v>502810.28780425031</v>
      </c>
      <c r="N28" s="475">
        <f t="shared" ref="N28" si="16">IF(M28&lt;&gt;0,+H28-M28,0)</f>
        <v>0</v>
      </c>
      <c r="O28" s="475">
        <f t="shared" si="3"/>
        <v>0</v>
      </c>
      <c r="P28" s="241"/>
    </row>
    <row r="29" spans="2:16" ht="12.5">
      <c r="B29" s="160" t="str">
        <f t="shared" si="6"/>
        <v>IU</v>
      </c>
      <c r="C29" s="469">
        <f>IF(D11="","-",+C28+1)</f>
        <v>2021</v>
      </c>
      <c r="D29" s="476">
        <v>3552938.4865493132</v>
      </c>
      <c r="E29" s="477">
        <v>109044.09302325582</v>
      </c>
      <c r="F29" s="476">
        <v>3443894.3935260572</v>
      </c>
      <c r="G29" s="477">
        <v>480370.47549623175</v>
      </c>
      <c r="H29" s="478">
        <v>480370.47549623175</v>
      </c>
      <c r="I29" s="472">
        <f t="shared" si="0"/>
        <v>0</v>
      </c>
      <c r="J29" s="472"/>
      <c r="K29" s="473">
        <f t="shared" si="10"/>
        <v>480370.47549623175</v>
      </c>
      <c r="L29" s="547">
        <f t="shared" ref="L29" si="17">IF(K29&lt;&gt;0,+G29-K29,0)</f>
        <v>0</v>
      </c>
      <c r="M29" s="473">
        <f t="shared" si="11"/>
        <v>480370.47549623175</v>
      </c>
      <c r="N29" s="475">
        <f t="shared" si="2"/>
        <v>0</v>
      </c>
      <c r="O29" s="475">
        <f t="shared" si="3"/>
        <v>0</v>
      </c>
      <c r="P29" s="241"/>
    </row>
    <row r="30" spans="2:16" ht="12.5">
      <c r="B30" s="160" t="str">
        <f t="shared" si="6"/>
        <v/>
      </c>
      <c r="C30" s="469">
        <f>IF(D11="","-",+C29+1)</f>
        <v>2022</v>
      </c>
      <c r="D30" s="476">
        <v>3443894.3935260572</v>
      </c>
      <c r="E30" s="477">
        <v>111640.38095238095</v>
      </c>
      <c r="F30" s="476">
        <v>3332254.0125736762</v>
      </c>
      <c r="G30" s="477">
        <v>470894.83739416272</v>
      </c>
      <c r="H30" s="478">
        <v>470894.83739416272</v>
      </c>
      <c r="I30" s="472">
        <f t="shared" si="0"/>
        <v>0</v>
      </c>
      <c r="J30" s="472"/>
      <c r="K30" s="473">
        <f t="shared" ref="K30" si="18">G30</f>
        <v>470894.83739416272</v>
      </c>
      <c r="L30" s="547">
        <f t="shared" ref="L30" si="19">IF(K30&lt;&gt;0,+G30-K30,0)</f>
        <v>0</v>
      </c>
      <c r="M30" s="473">
        <f t="shared" ref="M30" si="20">H30</f>
        <v>470894.83739416272</v>
      </c>
      <c r="N30" s="475">
        <f t="shared" si="2"/>
        <v>0</v>
      </c>
      <c r="O30" s="475">
        <f t="shared" si="3"/>
        <v>0</v>
      </c>
      <c r="P30" s="241"/>
    </row>
    <row r="31" spans="2:16" ht="12.5">
      <c r="B31" s="160" t="str">
        <f t="shared" si="6"/>
        <v/>
      </c>
      <c r="C31" s="469">
        <f>IF(D11="","-",+C30+1)</f>
        <v>2023</v>
      </c>
      <c r="D31" s="476">
        <v>3332254.0125736762</v>
      </c>
      <c r="E31" s="477">
        <v>120228.10256410256</v>
      </c>
      <c r="F31" s="476">
        <v>3212025.9100095737</v>
      </c>
      <c r="G31" s="477">
        <v>503612.14466528577</v>
      </c>
      <c r="H31" s="478">
        <v>503612.14466528577</v>
      </c>
      <c r="I31" s="472">
        <f t="shared" si="0"/>
        <v>0</v>
      </c>
      <c r="J31" s="472"/>
      <c r="K31" s="473">
        <f t="shared" ref="K31" si="21">G31</f>
        <v>503612.14466528577</v>
      </c>
      <c r="L31" s="547">
        <f t="shared" ref="L31" si="22">IF(K31&lt;&gt;0,+G31-K31,0)</f>
        <v>0</v>
      </c>
      <c r="M31" s="473">
        <f t="shared" ref="M31" si="23">H31</f>
        <v>503612.14466528577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6"/>
        <v/>
      </c>
      <c r="C32" s="469">
        <f>IF(D11="","-",+C31+1)</f>
        <v>2024</v>
      </c>
      <c r="D32" s="476">
        <v>3212025.9100095737</v>
      </c>
      <c r="E32" s="477">
        <v>120228.10256410256</v>
      </c>
      <c r="F32" s="476">
        <v>3091797.8074454712</v>
      </c>
      <c r="G32" s="477">
        <v>496436.99458453123</v>
      </c>
      <c r="H32" s="478">
        <v>496436.99458453123</v>
      </c>
      <c r="I32" s="472">
        <f t="shared" si="0"/>
        <v>0</v>
      </c>
      <c r="J32" s="472"/>
      <c r="K32" s="473">
        <f t="shared" ref="K32" si="24">G32</f>
        <v>496436.99458453123</v>
      </c>
      <c r="L32" s="547">
        <f t="shared" ref="L32" si="25">IF(K32&lt;&gt;0,+G32-K32,0)</f>
        <v>0</v>
      </c>
      <c r="M32" s="473">
        <f t="shared" ref="M32" si="26">H32</f>
        <v>496436.99458453123</v>
      </c>
      <c r="N32" s="475">
        <f t="shared" ref="N32" si="27">IF(M32&lt;&gt;0,+H32-M32,0)</f>
        <v>0</v>
      </c>
      <c r="O32" s="475">
        <f t="shared" ref="O32" si="28">+N32-L32</f>
        <v>0</v>
      </c>
      <c r="P32" s="241"/>
    </row>
    <row r="33" spans="2:16" ht="12.5">
      <c r="B33" s="160" t="str">
        <f t="shared" si="6"/>
        <v/>
      </c>
      <c r="C33" s="469">
        <f>IF(D11="","-",+C32+1)</f>
        <v>2025</v>
      </c>
      <c r="D33" s="482">
        <f>IF(F32+SUM(E$17:E32)=D$10,F32,D$10-SUM(E$17:E32))</f>
        <v>3091797.8074454712</v>
      </c>
      <c r="E33" s="481">
        <f>IF(+I14&lt;F32,I14,D33)</f>
        <v>123392</v>
      </c>
      <c r="F33" s="482">
        <f t="shared" ref="F33:F48" si="29">+D33-E33</f>
        <v>2968405.8074454712</v>
      </c>
      <c r="G33" s="483">
        <f t="shared" ref="G33:G72" si="30">(D33+F33)/2*I$12+E33</f>
        <v>468036.34796409961</v>
      </c>
      <c r="H33" s="452">
        <f t="shared" ref="H33:H72" si="31">+(D33+F33)/2*I$13+E33</f>
        <v>468036.34796409961</v>
      </c>
      <c r="I33" s="472">
        <f t="shared" si="0"/>
        <v>0</v>
      </c>
      <c r="J33" s="472"/>
      <c r="K33" s="484"/>
      <c r="L33" s="475">
        <f t="shared" si="1"/>
        <v>0</v>
      </c>
      <c r="M33" s="484"/>
      <c r="N33" s="475">
        <f t="shared" si="2"/>
        <v>0</v>
      </c>
      <c r="O33" s="475">
        <f t="shared" si="3"/>
        <v>0</v>
      </c>
      <c r="P33" s="241"/>
    </row>
    <row r="34" spans="2:16" ht="12.5">
      <c r="B34" s="160" t="str">
        <f t="shared" si="6"/>
        <v/>
      </c>
      <c r="C34" s="469">
        <f>IF(D11="","-",+C33+1)</f>
        <v>2026</v>
      </c>
      <c r="D34" s="482">
        <f>IF(F33+SUM(E$17:E33)=D$10,F33,D$10-SUM(E$17:E33))</f>
        <v>2968405.8074454712</v>
      </c>
      <c r="E34" s="481">
        <f>IF(+I14&lt;F33,I14,D34)</f>
        <v>123392</v>
      </c>
      <c r="F34" s="482">
        <f t="shared" si="29"/>
        <v>2845013.8074454712</v>
      </c>
      <c r="G34" s="483">
        <f t="shared" si="30"/>
        <v>454001.71873827896</v>
      </c>
      <c r="H34" s="452">
        <f t="shared" si="31"/>
        <v>454001.71873827896</v>
      </c>
      <c r="I34" s="472">
        <f t="shared" si="0"/>
        <v>0</v>
      </c>
      <c r="J34" s="472"/>
      <c r="K34" s="484"/>
      <c r="L34" s="475">
        <f t="shared" si="1"/>
        <v>0</v>
      </c>
      <c r="M34" s="484"/>
      <c r="N34" s="475">
        <f t="shared" si="2"/>
        <v>0</v>
      </c>
      <c r="O34" s="475">
        <f t="shared" si="3"/>
        <v>0</v>
      </c>
      <c r="P34" s="241"/>
    </row>
    <row r="35" spans="2:16" ht="12.5">
      <c r="B35" s="160" t="str">
        <f t="shared" si="6"/>
        <v/>
      </c>
      <c r="C35" s="469">
        <f>IF(D11="","-",+C34+1)</f>
        <v>2027</v>
      </c>
      <c r="D35" s="482">
        <f>IF(F34+SUM(E$17:E34)=D$10,F34,D$10-SUM(E$17:E34))</f>
        <v>2845013.8074454712</v>
      </c>
      <c r="E35" s="481">
        <f>IF(+I14&lt;F34,I14,D35)</f>
        <v>123392</v>
      </c>
      <c r="F35" s="482">
        <f t="shared" si="29"/>
        <v>2721621.8074454712</v>
      </c>
      <c r="G35" s="483">
        <f t="shared" si="30"/>
        <v>439967.0895124583</v>
      </c>
      <c r="H35" s="452">
        <f t="shared" si="31"/>
        <v>439967.0895124583</v>
      </c>
      <c r="I35" s="472">
        <f t="shared" si="0"/>
        <v>0</v>
      </c>
      <c r="J35" s="472"/>
      <c r="K35" s="484"/>
      <c r="L35" s="475">
        <f t="shared" si="1"/>
        <v>0</v>
      </c>
      <c r="M35" s="484"/>
      <c r="N35" s="475">
        <f t="shared" si="2"/>
        <v>0</v>
      </c>
      <c r="O35" s="475">
        <f t="shared" si="3"/>
        <v>0</v>
      </c>
      <c r="P35" s="241"/>
    </row>
    <row r="36" spans="2:16" ht="12.5">
      <c r="B36" s="160" t="str">
        <f t="shared" si="6"/>
        <v/>
      </c>
      <c r="C36" s="469">
        <f>IF(D11="","-",+C35+1)</f>
        <v>2028</v>
      </c>
      <c r="D36" s="482">
        <f>IF(F35+SUM(E$17:E35)=D$10,F35,D$10-SUM(E$17:E35))</f>
        <v>2721621.8074454712</v>
      </c>
      <c r="E36" s="481">
        <f>IF(+I14&lt;F35,I14,D36)</f>
        <v>123392</v>
      </c>
      <c r="F36" s="482">
        <f t="shared" si="29"/>
        <v>2598229.8074454712</v>
      </c>
      <c r="G36" s="483">
        <f t="shared" si="30"/>
        <v>425932.46028663765</v>
      </c>
      <c r="H36" s="452">
        <f t="shared" si="31"/>
        <v>425932.46028663765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6"/>
        <v/>
      </c>
      <c r="C37" s="469">
        <f>IF(D11="","-",+C36+1)</f>
        <v>2029</v>
      </c>
      <c r="D37" s="482">
        <f>IF(F36+SUM(E$17:E36)=D$10,F36,D$10-SUM(E$17:E36))</f>
        <v>2598229.8074454712</v>
      </c>
      <c r="E37" s="481">
        <f>IF(+I14&lt;F36,I14,D37)</f>
        <v>123392</v>
      </c>
      <c r="F37" s="482">
        <f t="shared" si="29"/>
        <v>2474837.8074454712</v>
      </c>
      <c r="G37" s="483">
        <f t="shared" si="30"/>
        <v>411897.831060817</v>
      </c>
      <c r="H37" s="452">
        <f t="shared" si="31"/>
        <v>411897.831060817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6"/>
        <v/>
      </c>
      <c r="C38" s="469">
        <f>IF(D11="","-",+C37+1)</f>
        <v>2030</v>
      </c>
      <c r="D38" s="482">
        <f>IF(F37+SUM(E$17:E37)=D$10,F37,D$10-SUM(E$17:E37))</f>
        <v>2474837.8074454712</v>
      </c>
      <c r="E38" s="481">
        <f>IF(+I14&lt;F37,I14,D38)</f>
        <v>123392</v>
      </c>
      <c r="F38" s="482">
        <f t="shared" si="29"/>
        <v>2351445.8074454712</v>
      </c>
      <c r="G38" s="483">
        <f t="shared" si="30"/>
        <v>397863.20183499635</v>
      </c>
      <c r="H38" s="452">
        <f t="shared" si="31"/>
        <v>397863.20183499635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6"/>
        <v/>
      </c>
      <c r="C39" s="469">
        <f>IF(D11="","-",+C38+1)</f>
        <v>2031</v>
      </c>
      <c r="D39" s="482">
        <f>IF(F38+SUM(E$17:E38)=D$10,F38,D$10-SUM(E$17:E38))</f>
        <v>2351445.8074454712</v>
      </c>
      <c r="E39" s="481">
        <f>IF(+I14&lt;F38,I14,D39)</f>
        <v>123392</v>
      </c>
      <c r="F39" s="482">
        <f t="shared" si="29"/>
        <v>2228053.8074454712</v>
      </c>
      <c r="G39" s="483">
        <f t="shared" si="30"/>
        <v>383828.5726091757</v>
      </c>
      <c r="H39" s="452">
        <f t="shared" si="31"/>
        <v>383828.5726091757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6"/>
        <v/>
      </c>
      <c r="C40" s="469">
        <f>IF(D11="","-",+C39+1)</f>
        <v>2032</v>
      </c>
      <c r="D40" s="482">
        <f>IF(F39+SUM(E$17:E39)=D$10,F39,D$10-SUM(E$17:E39))</f>
        <v>2228053.8074454712</v>
      </c>
      <c r="E40" s="481">
        <f>IF(+I14&lt;F39,I14,D40)</f>
        <v>123392</v>
      </c>
      <c r="F40" s="482">
        <f t="shared" si="29"/>
        <v>2104661.8074454712</v>
      </c>
      <c r="G40" s="483">
        <f t="shared" si="30"/>
        <v>369793.94338335504</v>
      </c>
      <c r="H40" s="452">
        <f t="shared" si="31"/>
        <v>369793.94338335504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6"/>
        <v/>
      </c>
      <c r="C41" s="469">
        <f>IF(D11="","-",+C40+1)</f>
        <v>2033</v>
      </c>
      <c r="D41" s="482">
        <f>IF(F40+SUM(E$17:E40)=D$10,F40,D$10-SUM(E$17:E40))</f>
        <v>2104661.8074454712</v>
      </c>
      <c r="E41" s="481">
        <f>IF(+I14&lt;F40,I14,D41)</f>
        <v>123392</v>
      </c>
      <c r="F41" s="482">
        <f t="shared" si="29"/>
        <v>1981269.8074454712</v>
      </c>
      <c r="G41" s="483">
        <f t="shared" si="30"/>
        <v>355759.31415753439</v>
      </c>
      <c r="H41" s="452">
        <f t="shared" si="31"/>
        <v>355759.31415753439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6"/>
        <v/>
      </c>
      <c r="C42" s="469">
        <f>IF(D11="","-",+C41+1)</f>
        <v>2034</v>
      </c>
      <c r="D42" s="482">
        <f>IF(F41+SUM(E$17:E41)=D$10,F41,D$10-SUM(E$17:E41))</f>
        <v>1981269.8074454712</v>
      </c>
      <c r="E42" s="481">
        <f>IF(+I14&lt;F41,I14,D42)</f>
        <v>123392</v>
      </c>
      <c r="F42" s="482">
        <f t="shared" si="29"/>
        <v>1857877.8074454712</v>
      </c>
      <c r="G42" s="483">
        <f t="shared" si="30"/>
        <v>341724.68493171374</v>
      </c>
      <c r="H42" s="452">
        <f t="shared" si="31"/>
        <v>341724.68493171374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6"/>
        <v/>
      </c>
      <c r="C43" s="469">
        <f>IF(D11="","-",+C42+1)</f>
        <v>2035</v>
      </c>
      <c r="D43" s="482">
        <f>IF(F42+SUM(E$17:E42)=D$10,F42,D$10-SUM(E$17:E42))</f>
        <v>1857877.8074454712</v>
      </c>
      <c r="E43" s="481">
        <f>IF(+I14&lt;F42,I14,D43)</f>
        <v>123392</v>
      </c>
      <c r="F43" s="482">
        <f t="shared" si="29"/>
        <v>1734485.8074454712</v>
      </c>
      <c r="G43" s="483">
        <f t="shared" si="30"/>
        <v>327690.05570589309</v>
      </c>
      <c r="H43" s="452">
        <f t="shared" si="31"/>
        <v>327690.05570589309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6"/>
        <v/>
      </c>
      <c r="C44" s="469">
        <f>IF(D11="","-",+C43+1)</f>
        <v>2036</v>
      </c>
      <c r="D44" s="482">
        <f>IF(F43+SUM(E$17:E43)=D$10,F43,D$10-SUM(E$17:E43))</f>
        <v>1734485.8074454712</v>
      </c>
      <c r="E44" s="481">
        <f>IF(+I14&lt;F43,I14,D44)</f>
        <v>123392</v>
      </c>
      <c r="F44" s="482">
        <f t="shared" si="29"/>
        <v>1611093.8074454712</v>
      </c>
      <c r="G44" s="483">
        <f t="shared" si="30"/>
        <v>313655.42648007243</v>
      </c>
      <c r="H44" s="452">
        <f t="shared" si="31"/>
        <v>313655.42648007243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6"/>
        <v/>
      </c>
      <c r="C45" s="469">
        <f>IF(D11="","-",+C44+1)</f>
        <v>2037</v>
      </c>
      <c r="D45" s="482">
        <f>IF(F44+SUM(E$17:E44)=D$10,F44,D$10-SUM(E$17:E44))</f>
        <v>1611093.8074454712</v>
      </c>
      <c r="E45" s="481">
        <f>IF(+I14&lt;F44,I14,D45)</f>
        <v>123392</v>
      </c>
      <c r="F45" s="482">
        <f t="shared" si="29"/>
        <v>1487701.8074454712</v>
      </c>
      <c r="G45" s="483">
        <f t="shared" si="30"/>
        <v>299620.79725425178</v>
      </c>
      <c r="H45" s="452">
        <f t="shared" si="31"/>
        <v>299620.79725425178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6"/>
        <v/>
      </c>
      <c r="C46" s="469">
        <f>IF(D11="","-",+C45+1)</f>
        <v>2038</v>
      </c>
      <c r="D46" s="482">
        <f>IF(F45+SUM(E$17:E45)=D$10,F45,D$10-SUM(E$17:E45))</f>
        <v>1487701.8074454712</v>
      </c>
      <c r="E46" s="481">
        <f>IF(+I14&lt;F45,I14,D46)</f>
        <v>123392</v>
      </c>
      <c r="F46" s="482">
        <f t="shared" si="29"/>
        <v>1364309.8074454712</v>
      </c>
      <c r="G46" s="483">
        <f t="shared" si="30"/>
        <v>285586.16802843119</v>
      </c>
      <c r="H46" s="452">
        <f t="shared" si="31"/>
        <v>285586.16802843119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6"/>
        <v/>
      </c>
      <c r="C47" s="469">
        <f>IF(D11="","-",+C46+1)</f>
        <v>2039</v>
      </c>
      <c r="D47" s="482">
        <f>IF(F46+SUM(E$17:E46)=D$10,F46,D$10-SUM(E$17:E46))</f>
        <v>1364309.8074454712</v>
      </c>
      <c r="E47" s="481">
        <f>IF(+I14&lt;F46,I14,D47)</f>
        <v>123392</v>
      </c>
      <c r="F47" s="482">
        <f t="shared" si="29"/>
        <v>1240917.8074454712</v>
      </c>
      <c r="G47" s="483">
        <f t="shared" si="30"/>
        <v>271551.53880261054</v>
      </c>
      <c r="H47" s="452">
        <f t="shared" si="31"/>
        <v>271551.53880261054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6"/>
        <v/>
      </c>
      <c r="C48" s="469">
        <f>IF(D11="","-",+C47+1)</f>
        <v>2040</v>
      </c>
      <c r="D48" s="482">
        <f>IF(F47+SUM(E$17:E47)=D$10,F47,D$10-SUM(E$17:E47))</f>
        <v>1240917.8074454712</v>
      </c>
      <c r="E48" s="481">
        <f>IF(+I14&lt;F47,I14,D48)</f>
        <v>123392</v>
      </c>
      <c r="F48" s="482">
        <f t="shared" si="29"/>
        <v>1117525.8074454712</v>
      </c>
      <c r="G48" s="483">
        <f t="shared" si="30"/>
        <v>257516.90957678988</v>
      </c>
      <c r="H48" s="452">
        <f t="shared" si="31"/>
        <v>257516.90957678988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6"/>
        <v/>
      </c>
      <c r="C49" s="469">
        <f>IF(D11="","-",+C48+1)</f>
        <v>2041</v>
      </c>
      <c r="D49" s="482">
        <f>IF(F48+SUM(E$17:E48)=D$10,F48,D$10-SUM(E$17:E48))</f>
        <v>1117525.8074454712</v>
      </c>
      <c r="E49" s="481">
        <f>IF(+I14&lt;F48,I14,D49)</f>
        <v>123392</v>
      </c>
      <c r="F49" s="482">
        <f t="shared" ref="F49:F72" si="32">+D49-E49</f>
        <v>994133.80744547118</v>
      </c>
      <c r="G49" s="483">
        <f t="shared" si="30"/>
        <v>243482.28035096923</v>
      </c>
      <c r="H49" s="452">
        <f t="shared" si="31"/>
        <v>243482.28035096923</v>
      </c>
      <c r="I49" s="472">
        <f t="shared" ref="I49:I72" si="33">H49-G49</f>
        <v>0</v>
      </c>
      <c r="J49" s="472"/>
      <c r="K49" s="484"/>
      <c r="L49" s="475">
        <f t="shared" ref="L49:L72" si="34">IF(K49&lt;&gt;0,+G49-K49,0)</f>
        <v>0</v>
      </c>
      <c r="M49" s="484"/>
      <c r="N49" s="475">
        <f t="shared" ref="N49:N72" si="35">IF(M49&lt;&gt;0,+H49-M49,0)</f>
        <v>0</v>
      </c>
      <c r="O49" s="475">
        <f t="shared" ref="O49:O72" si="36">+N49-L49</f>
        <v>0</v>
      </c>
      <c r="P49" s="241"/>
    </row>
    <row r="50" spans="2:16" ht="12.5">
      <c r="B50" s="160" t="str">
        <f t="shared" si="6"/>
        <v/>
      </c>
      <c r="C50" s="469">
        <f>IF(D11="","-",+C49+1)</f>
        <v>2042</v>
      </c>
      <c r="D50" s="482">
        <f>IF(F49+SUM(E$17:E49)=D$10,F49,D$10-SUM(E$17:E49))</f>
        <v>994133.80744547118</v>
      </c>
      <c r="E50" s="481">
        <f>IF(+I14&lt;F49,I14,D50)</f>
        <v>123392</v>
      </c>
      <c r="F50" s="482">
        <f t="shared" si="32"/>
        <v>870741.80744547118</v>
      </c>
      <c r="G50" s="483">
        <f t="shared" si="30"/>
        <v>229447.65112514858</v>
      </c>
      <c r="H50" s="452">
        <f t="shared" si="31"/>
        <v>229447.65112514858</v>
      </c>
      <c r="I50" s="472">
        <f t="shared" si="33"/>
        <v>0</v>
      </c>
      <c r="J50" s="472"/>
      <c r="K50" s="484"/>
      <c r="L50" s="475">
        <f t="shared" si="34"/>
        <v>0</v>
      </c>
      <c r="M50" s="484"/>
      <c r="N50" s="475">
        <f t="shared" si="35"/>
        <v>0</v>
      </c>
      <c r="O50" s="475">
        <f t="shared" si="36"/>
        <v>0</v>
      </c>
      <c r="P50" s="241"/>
    </row>
    <row r="51" spans="2:16" ht="12.5">
      <c r="B51" s="160" t="str">
        <f t="shared" si="6"/>
        <v/>
      </c>
      <c r="C51" s="469">
        <f>IF(D11="","-",+C50+1)</f>
        <v>2043</v>
      </c>
      <c r="D51" s="482">
        <f>IF(F50+SUM(E$17:E50)=D$10,F50,D$10-SUM(E$17:E50))</f>
        <v>870741.80744547118</v>
      </c>
      <c r="E51" s="481">
        <f>IF(+I14&lt;F50,I14,D51)</f>
        <v>123392</v>
      </c>
      <c r="F51" s="482">
        <f t="shared" si="32"/>
        <v>747349.80744547118</v>
      </c>
      <c r="G51" s="483">
        <f t="shared" si="30"/>
        <v>215413.02189932793</v>
      </c>
      <c r="H51" s="452">
        <f t="shared" si="31"/>
        <v>215413.02189932793</v>
      </c>
      <c r="I51" s="472">
        <f t="shared" si="33"/>
        <v>0</v>
      </c>
      <c r="J51" s="472"/>
      <c r="K51" s="484"/>
      <c r="L51" s="475">
        <f t="shared" si="34"/>
        <v>0</v>
      </c>
      <c r="M51" s="484"/>
      <c r="N51" s="475">
        <f t="shared" si="35"/>
        <v>0</v>
      </c>
      <c r="O51" s="475">
        <f t="shared" si="36"/>
        <v>0</v>
      </c>
      <c r="P51" s="241"/>
    </row>
    <row r="52" spans="2:16" ht="12.5">
      <c r="B52" s="160" t="str">
        <f t="shared" si="6"/>
        <v/>
      </c>
      <c r="C52" s="469">
        <f>IF(D11="","-",+C51+1)</f>
        <v>2044</v>
      </c>
      <c r="D52" s="482">
        <f>IF(F51+SUM(E$17:E51)=D$10,F51,D$10-SUM(E$17:E51))</f>
        <v>747349.80744547118</v>
      </c>
      <c r="E52" s="481">
        <f>IF(+I14&lt;F51,I14,D52)</f>
        <v>123392</v>
      </c>
      <c r="F52" s="482">
        <f t="shared" si="32"/>
        <v>623957.80744547118</v>
      </c>
      <c r="G52" s="483">
        <f t="shared" si="30"/>
        <v>201378.39267350727</v>
      </c>
      <c r="H52" s="452">
        <f t="shared" si="31"/>
        <v>201378.39267350727</v>
      </c>
      <c r="I52" s="472">
        <f t="shared" si="33"/>
        <v>0</v>
      </c>
      <c r="J52" s="472"/>
      <c r="K52" s="484"/>
      <c r="L52" s="475">
        <f t="shared" si="34"/>
        <v>0</v>
      </c>
      <c r="M52" s="484"/>
      <c r="N52" s="475">
        <f t="shared" si="35"/>
        <v>0</v>
      </c>
      <c r="O52" s="475">
        <f t="shared" si="36"/>
        <v>0</v>
      </c>
      <c r="P52" s="241"/>
    </row>
    <row r="53" spans="2:16" ht="12.5">
      <c r="B53" s="160" t="str">
        <f t="shared" si="6"/>
        <v/>
      </c>
      <c r="C53" s="469">
        <f>IF(D11="","-",+C52+1)</f>
        <v>2045</v>
      </c>
      <c r="D53" s="482">
        <f>IF(F52+SUM(E$17:E52)=D$10,F52,D$10-SUM(E$17:E52))</f>
        <v>623957.80744547118</v>
      </c>
      <c r="E53" s="481">
        <f>IF(+I14&lt;F52,I14,D53)</f>
        <v>123392</v>
      </c>
      <c r="F53" s="482">
        <f t="shared" si="32"/>
        <v>500565.80744547118</v>
      </c>
      <c r="G53" s="483">
        <f t="shared" si="30"/>
        <v>187343.76344768665</v>
      </c>
      <c r="H53" s="452">
        <f t="shared" si="31"/>
        <v>187343.76344768665</v>
      </c>
      <c r="I53" s="472">
        <f t="shared" si="33"/>
        <v>0</v>
      </c>
      <c r="J53" s="472"/>
      <c r="K53" s="484"/>
      <c r="L53" s="475">
        <f t="shared" si="34"/>
        <v>0</v>
      </c>
      <c r="M53" s="484"/>
      <c r="N53" s="475">
        <f t="shared" si="35"/>
        <v>0</v>
      </c>
      <c r="O53" s="475">
        <f t="shared" si="36"/>
        <v>0</v>
      </c>
      <c r="P53" s="241"/>
    </row>
    <row r="54" spans="2:16" ht="12.5">
      <c r="B54" s="160" t="str">
        <f t="shared" si="6"/>
        <v/>
      </c>
      <c r="C54" s="469">
        <f>IF(D11="","-",+C53+1)</f>
        <v>2046</v>
      </c>
      <c r="D54" s="482">
        <f>IF(F53+SUM(E$17:E53)=D$10,F53,D$10-SUM(E$17:E53))</f>
        <v>500565.80744547118</v>
      </c>
      <c r="E54" s="481">
        <f>IF(+I14&lt;F53,I14,D54)</f>
        <v>123392</v>
      </c>
      <c r="F54" s="482">
        <f t="shared" si="32"/>
        <v>377173.80744547118</v>
      </c>
      <c r="G54" s="483">
        <f t="shared" si="30"/>
        <v>173309.134221866</v>
      </c>
      <c r="H54" s="452">
        <f t="shared" si="31"/>
        <v>173309.134221866</v>
      </c>
      <c r="I54" s="472">
        <f t="shared" si="33"/>
        <v>0</v>
      </c>
      <c r="J54" s="472"/>
      <c r="K54" s="484"/>
      <c r="L54" s="475">
        <f t="shared" si="34"/>
        <v>0</v>
      </c>
      <c r="M54" s="484"/>
      <c r="N54" s="475">
        <f t="shared" si="35"/>
        <v>0</v>
      </c>
      <c r="O54" s="475">
        <f t="shared" si="36"/>
        <v>0</v>
      </c>
      <c r="P54" s="241"/>
    </row>
    <row r="55" spans="2:16" ht="12.5">
      <c r="B55" s="160" t="str">
        <f t="shared" si="6"/>
        <v/>
      </c>
      <c r="C55" s="469">
        <f>IF(D11="","-",+C54+1)</f>
        <v>2047</v>
      </c>
      <c r="D55" s="482">
        <f>IF(F54+SUM(E$17:E54)=D$10,F54,D$10-SUM(E$17:E54))</f>
        <v>377173.80744547118</v>
      </c>
      <c r="E55" s="481">
        <f>IF(+I14&lt;F54,I14,D55)</f>
        <v>123392</v>
      </c>
      <c r="F55" s="482">
        <f t="shared" si="32"/>
        <v>253781.80744547118</v>
      </c>
      <c r="G55" s="483">
        <f t="shared" si="30"/>
        <v>159274.50499604535</v>
      </c>
      <c r="H55" s="452">
        <f t="shared" si="31"/>
        <v>159274.50499604535</v>
      </c>
      <c r="I55" s="472">
        <f t="shared" si="33"/>
        <v>0</v>
      </c>
      <c r="J55" s="472"/>
      <c r="K55" s="484"/>
      <c r="L55" s="475">
        <f t="shared" si="34"/>
        <v>0</v>
      </c>
      <c r="M55" s="484"/>
      <c r="N55" s="475">
        <f t="shared" si="35"/>
        <v>0</v>
      </c>
      <c r="O55" s="475">
        <f t="shared" si="36"/>
        <v>0</v>
      </c>
      <c r="P55" s="241"/>
    </row>
    <row r="56" spans="2:16" ht="12.5">
      <c r="B56" s="160" t="str">
        <f t="shared" si="6"/>
        <v/>
      </c>
      <c r="C56" s="469">
        <f>IF(D11="","-",+C55+1)</f>
        <v>2048</v>
      </c>
      <c r="D56" s="482">
        <f>IF(F55+SUM(E$17:E55)=D$10,F55,D$10-SUM(E$17:E55))</f>
        <v>253781.80744547118</v>
      </c>
      <c r="E56" s="481">
        <f>IF(+I14&lt;F55,I14,D56)</f>
        <v>123392</v>
      </c>
      <c r="F56" s="482">
        <f t="shared" si="32"/>
        <v>130389.80744547118</v>
      </c>
      <c r="G56" s="483">
        <f t="shared" si="30"/>
        <v>145239.87577022469</v>
      </c>
      <c r="H56" s="452">
        <f t="shared" si="31"/>
        <v>145239.87577022469</v>
      </c>
      <c r="I56" s="472">
        <f t="shared" si="33"/>
        <v>0</v>
      </c>
      <c r="J56" s="472"/>
      <c r="K56" s="484"/>
      <c r="L56" s="475">
        <f t="shared" si="34"/>
        <v>0</v>
      </c>
      <c r="M56" s="484"/>
      <c r="N56" s="475">
        <f t="shared" si="35"/>
        <v>0</v>
      </c>
      <c r="O56" s="475">
        <f t="shared" si="36"/>
        <v>0</v>
      </c>
      <c r="P56" s="241"/>
    </row>
    <row r="57" spans="2:16" ht="12.5">
      <c r="B57" s="160" t="str">
        <f t="shared" si="6"/>
        <v/>
      </c>
      <c r="C57" s="469">
        <f>IF(D11="","-",+C56+1)</f>
        <v>2049</v>
      </c>
      <c r="D57" s="482">
        <f>IF(F56+SUM(E$17:E56)=D$10,F56,D$10-SUM(E$17:E56))</f>
        <v>130389.80744547118</v>
      </c>
      <c r="E57" s="481">
        <f>IF(+I14&lt;F56,I14,D57)</f>
        <v>123392</v>
      </c>
      <c r="F57" s="482">
        <f t="shared" si="32"/>
        <v>6997.807445471175</v>
      </c>
      <c r="G57" s="483">
        <f t="shared" si="30"/>
        <v>131205.24654440407</v>
      </c>
      <c r="H57" s="452">
        <f t="shared" si="31"/>
        <v>131205.24654440407</v>
      </c>
      <c r="I57" s="472">
        <f t="shared" si="33"/>
        <v>0</v>
      </c>
      <c r="J57" s="472"/>
      <c r="K57" s="484"/>
      <c r="L57" s="475">
        <f t="shared" si="34"/>
        <v>0</v>
      </c>
      <c r="M57" s="484"/>
      <c r="N57" s="475">
        <f t="shared" si="35"/>
        <v>0</v>
      </c>
      <c r="O57" s="475">
        <f t="shared" si="36"/>
        <v>0</v>
      </c>
      <c r="P57" s="241"/>
    </row>
    <row r="58" spans="2:16" ht="12.5">
      <c r="B58" s="160" t="str">
        <f t="shared" si="6"/>
        <v/>
      </c>
      <c r="C58" s="469">
        <f>IF(D11="","-",+C57+1)</f>
        <v>2050</v>
      </c>
      <c r="D58" s="482">
        <f>IF(F57+SUM(E$17:E57)=D$10,F57,D$10-SUM(E$17:E57))</f>
        <v>6997.807445471175</v>
      </c>
      <c r="E58" s="481">
        <f>IF(+I14&lt;F57,I14,D58)</f>
        <v>6997.807445471175</v>
      </c>
      <c r="F58" s="482">
        <f t="shared" si="32"/>
        <v>0</v>
      </c>
      <c r="G58" s="483">
        <f t="shared" si="30"/>
        <v>7395.7734112180433</v>
      </c>
      <c r="H58" s="452">
        <f t="shared" si="31"/>
        <v>7395.7734112180433</v>
      </c>
      <c r="I58" s="472">
        <f t="shared" si="33"/>
        <v>0</v>
      </c>
      <c r="J58" s="472"/>
      <c r="K58" s="484"/>
      <c r="L58" s="475">
        <f t="shared" si="34"/>
        <v>0</v>
      </c>
      <c r="M58" s="484"/>
      <c r="N58" s="475">
        <f t="shared" si="35"/>
        <v>0</v>
      </c>
      <c r="O58" s="475">
        <f t="shared" si="36"/>
        <v>0</v>
      </c>
      <c r="P58" s="241"/>
    </row>
    <row r="59" spans="2:16" ht="12.5">
      <c r="B59" s="160" t="str">
        <f t="shared" si="6"/>
        <v/>
      </c>
      <c r="C59" s="469">
        <f>IF(D11="","-",+C58+1)</f>
        <v>2051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32"/>
        <v>0</v>
      </c>
      <c r="G59" s="483">
        <f t="shared" si="30"/>
        <v>0</v>
      </c>
      <c r="H59" s="452">
        <f t="shared" si="31"/>
        <v>0</v>
      </c>
      <c r="I59" s="472">
        <f t="shared" si="33"/>
        <v>0</v>
      </c>
      <c r="J59" s="472"/>
      <c r="K59" s="484"/>
      <c r="L59" s="475">
        <f t="shared" si="34"/>
        <v>0</v>
      </c>
      <c r="M59" s="484"/>
      <c r="N59" s="475">
        <f t="shared" si="35"/>
        <v>0</v>
      </c>
      <c r="O59" s="475">
        <f t="shared" si="36"/>
        <v>0</v>
      </c>
      <c r="P59" s="241"/>
    </row>
    <row r="60" spans="2:16" ht="12.5">
      <c r="B60" s="160" t="str">
        <f t="shared" si="6"/>
        <v/>
      </c>
      <c r="C60" s="469">
        <f>IF(D11="","-",+C59+1)</f>
        <v>2052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2"/>
        <v>0</v>
      </c>
      <c r="G60" s="483">
        <f t="shared" si="30"/>
        <v>0</v>
      </c>
      <c r="H60" s="452">
        <f t="shared" si="31"/>
        <v>0</v>
      </c>
      <c r="I60" s="472">
        <f t="shared" si="33"/>
        <v>0</v>
      </c>
      <c r="J60" s="472"/>
      <c r="K60" s="484"/>
      <c r="L60" s="475">
        <f t="shared" si="34"/>
        <v>0</v>
      </c>
      <c r="M60" s="484"/>
      <c r="N60" s="475">
        <f t="shared" si="35"/>
        <v>0</v>
      </c>
      <c r="O60" s="475">
        <f t="shared" si="36"/>
        <v>0</v>
      </c>
      <c r="P60" s="241"/>
    </row>
    <row r="61" spans="2:16" ht="12.5">
      <c r="B61" s="160" t="str">
        <f t="shared" si="6"/>
        <v/>
      </c>
      <c r="C61" s="469">
        <f>IF(D11="","-",+C60+1)</f>
        <v>2053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2"/>
        <v>0</v>
      </c>
      <c r="G61" s="483">
        <f t="shared" si="30"/>
        <v>0</v>
      </c>
      <c r="H61" s="452">
        <f t="shared" si="31"/>
        <v>0</v>
      </c>
      <c r="I61" s="472">
        <f t="shared" si="33"/>
        <v>0</v>
      </c>
      <c r="J61" s="472"/>
      <c r="K61" s="484"/>
      <c r="L61" s="475">
        <f t="shared" si="34"/>
        <v>0</v>
      </c>
      <c r="M61" s="484"/>
      <c r="N61" s="475">
        <f t="shared" si="35"/>
        <v>0</v>
      </c>
      <c r="O61" s="475">
        <f t="shared" si="36"/>
        <v>0</v>
      </c>
      <c r="P61" s="241"/>
    </row>
    <row r="62" spans="2:16" ht="12.5">
      <c r="B62" s="160" t="str">
        <f t="shared" si="6"/>
        <v/>
      </c>
      <c r="C62" s="469">
        <f>IF(D11="","-",+C61+1)</f>
        <v>2054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2"/>
        <v>0</v>
      </c>
      <c r="G62" s="483">
        <f t="shared" si="30"/>
        <v>0</v>
      </c>
      <c r="H62" s="452">
        <f t="shared" si="31"/>
        <v>0</v>
      </c>
      <c r="I62" s="472">
        <f t="shared" si="33"/>
        <v>0</v>
      </c>
      <c r="J62" s="472"/>
      <c r="K62" s="484"/>
      <c r="L62" s="475">
        <f t="shared" si="34"/>
        <v>0</v>
      </c>
      <c r="M62" s="484"/>
      <c r="N62" s="475">
        <f t="shared" si="35"/>
        <v>0</v>
      </c>
      <c r="O62" s="475">
        <f t="shared" si="36"/>
        <v>0</v>
      </c>
      <c r="P62" s="241"/>
    </row>
    <row r="63" spans="2:16" ht="12.5">
      <c r="B63" s="160" t="str">
        <f t="shared" si="6"/>
        <v/>
      </c>
      <c r="C63" s="469">
        <f>IF(D11="","-",+C62+1)</f>
        <v>2055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2"/>
        <v>0</v>
      </c>
      <c r="G63" s="483">
        <f t="shared" si="30"/>
        <v>0</v>
      </c>
      <c r="H63" s="452">
        <f t="shared" si="31"/>
        <v>0</v>
      </c>
      <c r="I63" s="472">
        <f t="shared" si="33"/>
        <v>0</v>
      </c>
      <c r="J63" s="472"/>
      <c r="K63" s="484"/>
      <c r="L63" s="475">
        <f t="shared" si="34"/>
        <v>0</v>
      </c>
      <c r="M63" s="484"/>
      <c r="N63" s="475">
        <f t="shared" si="35"/>
        <v>0</v>
      </c>
      <c r="O63" s="475">
        <f t="shared" si="36"/>
        <v>0</v>
      </c>
      <c r="P63" s="241"/>
    </row>
    <row r="64" spans="2:16" ht="12.5">
      <c r="B64" s="160" t="str">
        <f t="shared" si="6"/>
        <v/>
      </c>
      <c r="C64" s="469">
        <f>IF(D11="","-",+C63+1)</f>
        <v>2056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2"/>
        <v>0</v>
      </c>
      <c r="G64" s="483">
        <f t="shared" si="30"/>
        <v>0</v>
      </c>
      <c r="H64" s="452">
        <f t="shared" si="31"/>
        <v>0</v>
      </c>
      <c r="I64" s="472">
        <f t="shared" si="33"/>
        <v>0</v>
      </c>
      <c r="J64" s="472"/>
      <c r="K64" s="484"/>
      <c r="L64" s="475">
        <f t="shared" si="34"/>
        <v>0</v>
      </c>
      <c r="M64" s="484"/>
      <c r="N64" s="475">
        <f t="shared" si="35"/>
        <v>0</v>
      </c>
      <c r="O64" s="475">
        <f t="shared" si="36"/>
        <v>0</v>
      </c>
      <c r="P64" s="241"/>
    </row>
    <row r="65" spans="2:16" ht="12.5">
      <c r="B65" s="160" t="str">
        <f t="shared" si="6"/>
        <v/>
      </c>
      <c r="C65" s="469">
        <f>IF(D11="","-",+C64+1)</f>
        <v>2057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2"/>
        <v>0</v>
      </c>
      <c r="G65" s="483">
        <f t="shared" si="30"/>
        <v>0</v>
      </c>
      <c r="H65" s="452">
        <f t="shared" si="31"/>
        <v>0</v>
      </c>
      <c r="I65" s="472">
        <f t="shared" si="33"/>
        <v>0</v>
      </c>
      <c r="J65" s="472"/>
      <c r="K65" s="484"/>
      <c r="L65" s="475">
        <f t="shared" si="34"/>
        <v>0</v>
      </c>
      <c r="M65" s="484"/>
      <c r="N65" s="475">
        <f t="shared" si="35"/>
        <v>0</v>
      </c>
      <c r="O65" s="475">
        <f t="shared" si="36"/>
        <v>0</v>
      </c>
      <c r="P65" s="241"/>
    </row>
    <row r="66" spans="2:16" ht="12.5">
      <c r="B66" s="160" t="str">
        <f t="shared" si="6"/>
        <v/>
      </c>
      <c r="C66" s="469">
        <f>IF(D11="","-",+C65+1)</f>
        <v>2058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2"/>
        <v>0</v>
      </c>
      <c r="G66" s="483">
        <f t="shared" si="30"/>
        <v>0</v>
      </c>
      <c r="H66" s="452">
        <f t="shared" si="31"/>
        <v>0</v>
      </c>
      <c r="I66" s="472">
        <f t="shared" si="33"/>
        <v>0</v>
      </c>
      <c r="J66" s="472"/>
      <c r="K66" s="484"/>
      <c r="L66" s="475">
        <f t="shared" si="34"/>
        <v>0</v>
      </c>
      <c r="M66" s="484"/>
      <c r="N66" s="475">
        <f t="shared" si="35"/>
        <v>0</v>
      </c>
      <c r="O66" s="475">
        <f t="shared" si="36"/>
        <v>0</v>
      </c>
      <c r="P66" s="241"/>
    </row>
    <row r="67" spans="2:16" ht="12.5">
      <c r="B67" s="160" t="str">
        <f t="shared" si="6"/>
        <v/>
      </c>
      <c r="C67" s="469">
        <f>IF(D11="","-",+C66+1)</f>
        <v>2059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2"/>
        <v>0</v>
      </c>
      <c r="G67" s="483">
        <f t="shared" si="30"/>
        <v>0</v>
      </c>
      <c r="H67" s="452">
        <f t="shared" si="31"/>
        <v>0</v>
      </c>
      <c r="I67" s="472">
        <f t="shared" si="33"/>
        <v>0</v>
      </c>
      <c r="J67" s="472"/>
      <c r="K67" s="484"/>
      <c r="L67" s="475">
        <f t="shared" si="34"/>
        <v>0</v>
      </c>
      <c r="M67" s="484"/>
      <c r="N67" s="475">
        <f t="shared" si="35"/>
        <v>0</v>
      </c>
      <c r="O67" s="475">
        <f t="shared" si="36"/>
        <v>0</v>
      </c>
      <c r="P67" s="241"/>
    </row>
    <row r="68" spans="2:16" ht="12.5">
      <c r="B68" s="160" t="str">
        <f t="shared" si="6"/>
        <v/>
      </c>
      <c r="C68" s="469">
        <f>IF(D11="","-",+C67+1)</f>
        <v>2060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2"/>
        <v>0</v>
      </c>
      <c r="G68" s="483">
        <f t="shared" si="30"/>
        <v>0</v>
      </c>
      <c r="H68" s="452">
        <f t="shared" si="31"/>
        <v>0</v>
      </c>
      <c r="I68" s="472">
        <f t="shared" si="33"/>
        <v>0</v>
      </c>
      <c r="J68" s="472"/>
      <c r="K68" s="484"/>
      <c r="L68" s="475">
        <f t="shared" si="34"/>
        <v>0</v>
      </c>
      <c r="M68" s="484"/>
      <c r="N68" s="475">
        <f t="shared" si="35"/>
        <v>0</v>
      </c>
      <c r="O68" s="475">
        <f t="shared" si="36"/>
        <v>0</v>
      </c>
      <c r="P68" s="241"/>
    </row>
    <row r="69" spans="2:16" ht="12.5">
      <c r="B69" s="160" t="str">
        <f t="shared" si="6"/>
        <v/>
      </c>
      <c r="C69" s="469">
        <f>IF(D11="","-",+C68+1)</f>
        <v>2061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2"/>
        <v>0</v>
      </c>
      <c r="G69" s="483">
        <f t="shared" si="30"/>
        <v>0</v>
      </c>
      <c r="H69" s="452">
        <f t="shared" si="31"/>
        <v>0</v>
      </c>
      <c r="I69" s="472">
        <f t="shared" si="33"/>
        <v>0</v>
      </c>
      <c r="J69" s="472"/>
      <c r="K69" s="484"/>
      <c r="L69" s="475">
        <f t="shared" si="34"/>
        <v>0</v>
      </c>
      <c r="M69" s="484"/>
      <c r="N69" s="475">
        <f t="shared" si="35"/>
        <v>0</v>
      </c>
      <c r="O69" s="475">
        <f t="shared" si="36"/>
        <v>0</v>
      </c>
      <c r="P69" s="241"/>
    </row>
    <row r="70" spans="2:16" ht="12.5">
      <c r="B70" s="160" t="str">
        <f t="shared" si="6"/>
        <v/>
      </c>
      <c r="C70" s="469">
        <f>IF(D11="","-",+C69+1)</f>
        <v>2062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2"/>
        <v>0</v>
      </c>
      <c r="G70" s="483">
        <f t="shared" si="30"/>
        <v>0</v>
      </c>
      <c r="H70" s="452">
        <f t="shared" si="31"/>
        <v>0</v>
      </c>
      <c r="I70" s="472">
        <f t="shared" si="33"/>
        <v>0</v>
      </c>
      <c r="J70" s="472"/>
      <c r="K70" s="484"/>
      <c r="L70" s="475">
        <f t="shared" si="34"/>
        <v>0</v>
      </c>
      <c r="M70" s="484"/>
      <c r="N70" s="475">
        <f t="shared" si="35"/>
        <v>0</v>
      </c>
      <c r="O70" s="475">
        <f t="shared" si="36"/>
        <v>0</v>
      </c>
      <c r="P70" s="241"/>
    </row>
    <row r="71" spans="2:16" ht="12.5">
      <c r="B71" s="160" t="str">
        <f t="shared" si="6"/>
        <v/>
      </c>
      <c r="C71" s="469">
        <f>IF(D11="","-",+C70+1)</f>
        <v>2063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2"/>
        <v>0</v>
      </c>
      <c r="G71" s="483">
        <f t="shared" si="30"/>
        <v>0</v>
      </c>
      <c r="H71" s="452">
        <f t="shared" si="31"/>
        <v>0</v>
      </c>
      <c r="I71" s="472">
        <f t="shared" si="33"/>
        <v>0</v>
      </c>
      <c r="J71" s="472"/>
      <c r="K71" s="484"/>
      <c r="L71" s="475">
        <f t="shared" si="34"/>
        <v>0</v>
      </c>
      <c r="M71" s="484"/>
      <c r="N71" s="475">
        <f t="shared" si="35"/>
        <v>0</v>
      </c>
      <c r="O71" s="475">
        <f t="shared" si="36"/>
        <v>0</v>
      </c>
      <c r="P71" s="241"/>
    </row>
    <row r="72" spans="2:16" ht="13" thickBot="1">
      <c r="B72" s="160" t="str">
        <f t="shared" si="6"/>
        <v/>
      </c>
      <c r="C72" s="486">
        <f>IF(D11="","-",+C71+1)</f>
        <v>2064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2"/>
        <v>0</v>
      </c>
      <c r="G72" s="487">
        <f t="shared" si="30"/>
        <v>0</v>
      </c>
      <c r="H72" s="487">
        <f t="shared" si="31"/>
        <v>0</v>
      </c>
      <c r="I72" s="490">
        <f t="shared" si="33"/>
        <v>0</v>
      </c>
      <c r="J72" s="472"/>
      <c r="K72" s="491"/>
      <c r="L72" s="492">
        <f t="shared" si="34"/>
        <v>0</v>
      </c>
      <c r="M72" s="491"/>
      <c r="N72" s="492">
        <f t="shared" si="35"/>
        <v>0</v>
      </c>
      <c r="O72" s="492">
        <f t="shared" si="36"/>
        <v>0</v>
      </c>
      <c r="P72" s="241"/>
    </row>
    <row r="73" spans="2:16" ht="12.5">
      <c r="C73" s="344" t="s">
        <v>77</v>
      </c>
      <c r="D73" s="345"/>
      <c r="E73" s="345">
        <f>SUM(E17:E72)</f>
        <v>4688896</v>
      </c>
      <c r="F73" s="345"/>
      <c r="G73" s="345">
        <f>SUM(G17:G72)</f>
        <v>17249463.649317265</v>
      </c>
      <c r="H73" s="345">
        <f>SUM(H17:H72)</f>
        <v>17249463.649317265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2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496436.99458453123</v>
      </c>
      <c r="N87" s="505">
        <f>IF(J92&lt;D11,0,VLOOKUP(J92,C17:O72,11))</f>
        <v>496436.99458453123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545271.35205885395</v>
      </c>
      <c r="N88" s="509">
        <f>IF(J92&lt;D11,0,VLOOKUP(J92,C99:P154,7))</f>
        <v>545271.35205885395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Craig Jct. to Broken Bow Dam 138 Rebuild (7.7mi)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48834.357474322722</v>
      </c>
      <c r="N89" s="514">
        <f>+N88-N87</f>
        <v>48834.357474322722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TP2007059</v>
      </c>
      <c r="E91" s="439" t="s">
        <v>374</v>
      </c>
      <c r="F91" s="718">
        <f>F9</f>
        <v>230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4688896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2009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5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123392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2009</v>
      </c>
      <c r="D99" s="470">
        <v>0</v>
      </c>
      <c r="E99" s="477">
        <v>49223</v>
      </c>
      <c r="F99" s="476">
        <v>4676168</v>
      </c>
      <c r="G99" s="534">
        <v>2338084</v>
      </c>
      <c r="H99" s="535">
        <v>391070</v>
      </c>
      <c r="I99" s="536">
        <v>391070</v>
      </c>
      <c r="J99" s="475">
        <f t="shared" ref="J99:J130" si="37">+I99-H99</f>
        <v>0</v>
      </c>
      <c r="K99" s="475"/>
      <c r="L99" s="473">
        <f t="shared" ref="L99:L104" si="38">H99</f>
        <v>391070</v>
      </c>
      <c r="M99" s="474">
        <f t="shared" ref="M99:M130" si="39">IF(L99&lt;&gt;0,+H99-L99,0)</f>
        <v>0</v>
      </c>
      <c r="N99" s="473">
        <f t="shared" ref="N99:N104" si="40">I99</f>
        <v>391070</v>
      </c>
      <c r="O99" s="474">
        <f t="shared" ref="O99:O130" si="41">IF(N99&lt;&gt;0,+I99-N99,0)</f>
        <v>0</v>
      </c>
      <c r="P99" s="474">
        <f t="shared" ref="P99:P130" si="42">+O99-M99</f>
        <v>0</v>
      </c>
    </row>
    <row r="100" spans="1:16" ht="12.5">
      <c r="B100" s="160" t="str">
        <f>IF(D100=F99,"","IU")</f>
        <v>IU</v>
      </c>
      <c r="C100" s="469">
        <f>IF(D93="","-",+C99+1)</f>
        <v>2010</v>
      </c>
      <c r="D100" s="470">
        <v>4639673.1399999997</v>
      </c>
      <c r="E100" s="477">
        <v>91939</v>
      </c>
      <c r="F100" s="476">
        <v>4547734.1399999997</v>
      </c>
      <c r="G100" s="476">
        <v>4593703.6399999997</v>
      </c>
      <c r="H100" s="477">
        <v>830676.46951907186</v>
      </c>
      <c r="I100" s="478">
        <v>830676.46951907186</v>
      </c>
      <c r="J100" s="475">
        <f t="shared" si="37"/>
        <v>0</v>
      </c>
      <c r="K100" s="475"/>
      <c r="L100" s="537">
        <f t="shared" si="38"/>
        <v>830676.46951907186</v>
      </c>
      <c r="M100" s="538">
        <f t="shared" si="39"/>
        <v>0</v>
      </c>
      <c r="N100" s="537">
        <f t="shared" si="40"/>
        <v>830676.46951907186</v>
      </c>
      <c r="O100" s="475">
        <f t="shared" si="41"/>
        <v>0</v>
      </c>
      <c r="P100" s="475">
        <f t="shared" si="42"/>
        <v>0</v>
      </c>
    </row>
    <row r="101" spans="1:16" ht="12.5">
      <c r="B101" s="160" t="str">
        <f t="shared" ref="B101:B154" si="43">IF(D101=F100,"","IU")</f>
        <v/>
      </c>
      <c r="C101" s="479">
        <f>IF(D93="","-",+C100+1)</f>
        <v>2011</v>
      </c>
      <c r="D101" s="470">
        <v>4547734.1399999997</v>
      </c>
      <c r="E101" s="477">
        <v>90171</v>
      </c>
      <c r="F101" s="476">
        <v>4457563.1399999997</v>
      </c>
      <c r="G101" s="476">
        <v>4502648.6399999997</v>
      </c>
      <c r="H101" s="477">
        <v>719701.78616364778</v>
      </c>
      <c r="I101" s="478">
        <v>719701.78616364778</v>
      </c>
      <c r="J101" s="475">
        <f t="shared" si="37"/>
        <v>0</v>
      </c>
      <c r="K101" s="475"/>
      <c r="L101" s="537">
        <f t="shared" si="38"/>
        <v>719701.78616364778</v>
      </c>
      <c r="M101" s="538">
        <f t="shared" si="39"/>
        <v>0</v>
      </c>
      <c r="N101" s="537">
        <f t="shared" si="40"/>
        <v>719701.78616364778</v>
      </c>
      <c r="O101" s="475">
        <f t="shared" si="41"/>
        <v>0</v>
      </c>
      <c r="P101" s="475">
        <f t="shared" si="42"/>
        <v>0</v>
      </c>
    </row>
    <row r="102" spans="1:16" ht="12.5">
      <c r="B102" s="160" t="str">
        <f t="shared" si="43"/>
        <v/>
      </c>
      <c r="C102" s="469">
        <f>IF(D93="","-",+C101+1)</f>
        <v>2012</v>
      </c>
      <c r="D102" s="470">
        <v>4457563.1399999997</v>
      </c>
      <c r="E102" s="477">
        <v>90171</v>
      </c>
      <c r="F102" s="476">
        <v>4367392.1399999997</v>
      </c>
      <c r="G102" s="476">
        <v>4412477.6399999997</v>
      </c>
      <c r="H102" s="477">
        <v>724930.09682284109</v>
      </c>
      <c r="I102" s="478">
        <v>724930.09682284109</v>
      </c>
      <c r="J102" s="475">
        <v>0</v>
      </c>
      <c r="K102" s="475"/>
      <c r="L102" s="537">
        <f t="shared" si="38"/>
        <v>724930.09682284109</v>
      </c>
      <c r="M102" s="538">
        <f t="shared" ref="M102:M107" si="44">IF(L102&lt;&gt;0,+H102-L102,0)</f>
        <v>0</v>
      </c>
      <c r="N102" s="537">
        <f t="shared" si="40"/>
        <v>724930.09682284109</v>
      </c>
      <c r="O102" s="475">
        <f>IF(N102&lt;&gt;0,+I102-N102,0)</f>
        <v>0</v>
      </c>
      <c r="P102" s="475">
        <f>+O102-M102</f>
        <v>0</v>
      </c>
    </row>
    <row r="103" spans="1:16" ht="12.5">
      <c r="B103" s="160" t="str">
        <f t="shared" si="43"/>
        <v/>
      </c>
      <c r="C103" s="469">
        <f>IF(D93="","-",+C102+1)</f>
        <v>2013</v>
      </c>
      <c r="D103" s="470">
        <v>4367392.1399999997</v>
      </c>
      <c r="E103" s="477">
        <v>90171</v>
      </c>
      <c r="F103" s="476">
        <v>4277221.1399999997</v>
      </c>
      <c r="G103" s="476">
        <v>4322306.6399999997</v>
      </c>
      <c r="H103" s="477">
        <v>712322.06264393788</v>
      </c>
      <c r="I103" s="478">
        <v>712322.06264393788</v>
      </c>
      <c r="J103" s="475">
        <v>0</v>
      </c>
      <c r="K103" s="475"/>
      <c r="L103" s="537">
        <f t="shared" si="38"/>
        <v>712322.06264393788</v>
      </c>
      <c r="M103" s="538">
        <f t="shared" si="44"/>
        <v>0</v>
      </c>
      <c r="N103" s="537">
        <f t="shared" si="40"/>
        <v>712322.06264393788</v>
      </c>
      <c r="O103" s="475">
        <f>IF(N103&lt;&gt;0,+I103-N103,0)</f>
        <v>0</v>
      </c>
      <c r="P103" s="475">
        <f>+O103-M103</f>
        <v>0</v>
      </c>
    </row>
    <row r="104" spans="1:16" ht="12.5">
      <c r="B104" s="160" t="str">
        <f t="shared" si="43"/>
        <v/>
      </c>
      <c r="C104" s="469">
        <f>IF(D93="","-",+C103+1)</f>
        <v>2014</v>
      </c>
      <c r="D104" s="470">
        <v>4277221.1399999997</v>
      </c>
      <c r="E104" s="477">
        <v>90171</v>
      </c>
      <c r="F104" s="476">
        <v>4187050.1399999997</v>
      </c>
      <c r="G104" s="476">
        <v>4232135.6399999997</v>
      </c>
      <c r="H104" s="477">
        <v>685191.9710405051</v>
      </c>
      <c r="I104" s="478">
        <v>685191.9710405051</v>
      </c>
      <c r="J104" s="475">
        <v>0</v>
      </c>
      <c r="K104" s="475"/>
      <c r="L104" s="537">
        <f t="shared" si="38"/>
        <v>685191.9710405051</v>
      </c>
      <c r="M104" s="538">
        <f t="shared" si="44"/>
        <v>0</v>
      </c>
      <c r="N104" s="537">
        <f t="shared" si="40"/>
        <v>685191.9710405051</v>
      </c>
      <c r="O104" s="475">
        <f>IF(N104&lt;&gt;0,+I104-N104,0)</f>
        <v>0</v>
      </c>
      <c r="P104" s="475">
        <f>+O104-M104</f>
        <v>0</v>
      </c>
    </row>
    <row r="105" spans="1:16" ht="12.5">
      <c r="B105" s="160" t="str">
        <f t="shared" si="43"/>
        <v/>
      </c>
      <c r="C105" s="469">
        <f>IF(D93="","-",+C104+1)</f>
        <v>2015</v>
      </c>
      <c r="D105" s="470">
        <v>4187050.1399999997</v>
      </c>
      <c r="E105" s="477">
        <v>90171</v>
      </c>
      <c r="F105" s="476">
        <v>4096879.1399999997</v>
      </c>
      <c r="G105" s="476">
        <v>4141964.6399999997</v>
      </c>
      <c r="H105" s="477">
        <v>655308.7720911433</v>
      </c>
      <c r="I105" s="478">
        <v>655308.7720911433</v>
      </c>
      <c r="J105" s="475">
        <f t="shared" si="37"/>
        <v>0</v>
      </c>
      <c r="K105" s="475"/>
      <c r="L105" s="537">
        <f t="shared" ref="L105:L110" si="45">H105</f>
        <v>655308.7720911433</v>
      </c>
      <c r="M105" s="538">
        <f t="shared" si="44"/>
        <v>0</v>
      </c>
      <c r="N105" s="537">
        <f t="shared" ref="N105:N110" si="46">I105</f>
        <v>655308.7720911433</v>
      </c>
      <c r="O105" s="475">
        <f t="shared" si="41"/>
        <v>0</v>
      </c>
      <c r="P105" s="475">
        <f t="shared" si="42"/>
        <v>0</v>
      </c>
    </row>
    <row r="106" spans="1:16" ht="12.5">
      <c r="B106" s="160" t="str">
        <f t="shared" si="43"/>
        <v/>
      </c>
      <c r="C106" s="469">
        <f>IF(D93="","-",+C105+1)</f>
        <v>2016</v>
      </c>
      <c r="D106" s="470">
        <v>4096879.1399999997</v>
      </c>
      <c r="E106" s="477">
        <v>101933</v>
      </c>
      <c r="F106" s="476">
        <v>3994946.1399999997</v>
      </c>
      <c r="G106" s="476">
        <v>4045912.6399999997</v>
      </c>
      <c r="H106" s="477">
        <v>623514.8578657991</v>
      </c>
      <c r="I106" s="478">
        <v>623514.8578657991</v>
      </c>
      <c r="J106" s="475">
        <f t="shared" si="37"/>
        <v>0</v>
      </c>
      <c r="K106" s="475"/>
      <c r="L106" s="537">
        <f t="shared" si="45"/>
        <v>623514.8578657991</v>
      </c>
      <c r="M106" s="538">
        <f t="shared" si="44"/>
        <v>0</v>
      </c>
      <c r="N106" s="537">
        <f t="shared" si="46"/>
        <v>623514.8578657991</v>
      </c>
      <c r="O106" s="475">
        <f>IF(N106&lt;&gt;0,+I106-N106,0)</f>
        <v>0</v>
      </c>
      <c r="P106" s="475">
        <f>+O106-M106</f>
        <v>0</v>
      </c>
    </row>
    <row r="107" spans="1:16" ht="12.5">
      <c r="B107" s="160" t="str">
        <f t="shared" si="43"/>
        <v/>
      </c>
      <c r="C107" s="469">
        <f>IF(D93="","-",+C106+1)</f>
        <v>2017</v>
      </c>
      <c r="D107" s="470">
        <v>3994946.1399999997</v>
      </c>
      <c r="E107" s="477">
        <v>101933</v>
      </c>
      <c r="F107" s="476">
        <v>3893013.1399999997</v>
      </c>
      <c r="G107" s="476">
        <v>3943979.6399999997</v>
      </c>
      <c r="H107" s="477">
        <v>602236.76208219538</v>
      </c>
      <c r="I107" s="478">
        <v>602236.76208219538</v>
      </c>
      <c r="J107" s="475">
        <f t="shared" si="37"/>
        <v>0</v>
      </c>
      <c r="K107" s="475"/>
      <c r="L107" s="537">
        <f t="shared" si="45"/>
        <v>602236.76208219538</v>
      </c>
      <c r="M107" s="538">
        <f t="shared" si="44"/>
        <v>0</v>
      </c>
      <c r="N107" s="537">
        <f t="shared" si="46"/>
        <v>602236.76208219538</v>
      </c>
      <c r="O107" s="475">
        <f>IF(N107&lt;&gt;0,+I107-N107,0)</f>
        <v>0</v>
      </c>
      <c r="P107" s="475">
        <f>+O107-M107</f>
        <v>0</v>
      </c>
    </row>
    <row r="108" spans="1:16" ht="12.5">
      <c r="B108" s="160" t="str">
        <f t="shared" si="43"/>
        <v/>
      </c>
      <c r="C108" s="469">
        <f>IF(D93="","-",+C107+1)</f>
        <v>2018</v>
      </c>
      <c r="D108" s="470">
        <v>3893013.1399999997</v>
      </c>
      <c r="E108" s="477">
        <v>109044</v>
      </c>
      <c r="F108" s="476">
        <v>3783969.1399999997</v>
      </c>
      <c r="G108" s="476">
        <v>3838491.1399999997</v>
      </c>
      <c r="H108" s="477">
        <v>503393.56302800257</v>
      </c>
      <c r="I108" s="478">
        <v>503393.56302800257</v>
      </c>
      <c r="J108" s="475">
        <f t="shared" si="37"/>
        <v>0</v>
      </c>
      <c r="K108" s="475"/>
      <c r="L108" s="537">
        <f t="shared" si="45"/>
        <v>503393.56302800257</v>
      </c>
      <c r="M108" s="538">
        <f t="shared" ref="M108" si="47">IF(L108&lt;&gt;0,+H108-L108,0)</f>
        <v>0</v>
      </c>
      <c r="N108" s="537">
        <f t="shared" si="46"/>
        <v>503393.56302800257</v>
      </c>
      <c r="O108" s="475">
        <f>IF(N108&lt;&gt;0,+I108-N108,0)</f>
        <v>0</v>
      </c>
      <c r="P108" s="475">
        <f>+O108-M108</f>
        <v>0</v>
      </c>
    </row>
    <row r="109" spans="1:16" ht="12.5">
      <c r="B109" s="160" t="str">
        <f t="shared" si="43"/>
        <v/>
      </c>
      <c r="C109" s="469">
        <f>IF(D93="","-",+C108+1)</f>
        <v>2019</v>
      </c>
      <c r="D109" s="470">
        <v>3783969.1399999997</v>
      </c>
      <c r="E109" s="477">
        <v>114363</v>
      </c>
      <c r="F109" s="476">
        <v>3669606.1399999997</v>
      </c>
      <c r="G109" s="476">
        <v>3726787.6399999997</v>
      </c>
      <c r="H109" s="477">
        <v>498647.07790793071</v>
      </c>
      <c r="I109" s="478">
        <v>498647.07790793071</v>
      </c>
      <c r="J109" s="475">
        <f t="shared" si="37"/>
        <v>0</v>
      </c>
      <c r="K109" s="475"/>
      <c r="L109" s="537">
        <f t="shared" si="45"/>
        <v>498647.07790793071</v>
      </c>
      <c r="M109" s="538">
        <f t="shared" ref="M109" si="48">IF(L109&lt;&gt;0,+H109-L109,0)</f>
        <v>0</v>
      </c>
      <c r="N109" s="537">
        <f t="shared" si="46"/>
        <v>498647.07790793071</v>
      </c>
      <c r="O109" s="475">
        <f t="shared" si="41"/>
        <v>0</v>
      </c>
      <c r="P109" s="475">
        <f t="shared" si="42"/>
        <v>0</v>
      </c>
    </row>
    <row r="110" spans="1:16" ht="12.5">
      <c r="B110" s="160" t="str">
        <f t="shared" si="43"/>
        <v/>
      </c>
      <c r="C110" s="469">
        <f>IF(D93="","-",+C109+1)</f>
        <v>2020</v>
      </c>
      <c r="D110" s="470">
        <v>3669606.1399999997</v>
      </c>
      <c r="E110" s="477">
        <v>109044</v>
      </c>
      <c r="F110" s="476">
        <v>3560562.1399999997</v>
      </c>
      <c r="G110" s="476">
        <v>3615084.1399999997</v>
      </c>
      <c r="H110" s="477">
        <v>525853.2624876654</v>
      </c>
      <c r="I110" s="478">
        <v>525853.2624876654</v>
      </c>
      <c r="J110" s="475">
        <f t="shared" si="37"/>
        <v>0</v>
      </c>
      <c r="K110" s="475"/>
      <c r="L110" s="537">
        <f t="shared" si="45"/>
        <v>525853.2624876654</v>
      </c>
      <c r="M110" s="538">
        <f t="shared" ref="M110" si="49">IF(L110&lt;&gt;0,+H110-L110,0)</f>
        <v>0</v>
      </c>
      <c r="N110" s="537">
        <f t="shared" si="46"/>
        <v>525853.2624876654</v>
      </c>
      <c r="O110" s="475">
        <f t="shared" si="41"/>
        <v>0</v>
      </c>
      <c r="P110" s="475">
        <f t="shared" si="42"/>
        <v>0</v>
      </c>
    </row>
    <row r="111" spans="1:16" ht="12.5">
      <c r="B111" s="160" t="str">
        <f t="shared" si="43"/>
        <v/>
      </c>
      <c r="C111" s="469">
        <f>IF(D93="","-",+C110+1)</f>
        <v>2021</v>
      </c>
      <c r="D111" s="470">
        <v>3560562.1399999997</v>
      </c>
      <c r="E111" s="477">
        <v>114363</v>
      </c>
      <c r="F111" s="476">
        <v>3446199.1399999997</v>
      </c>
      <c r="G111" s="476">
        <v>3503380.6399999997</v>
      </c>
      <c r="H111" s="477">
        <v>513022.46807795716</v>
      </c>
      <c r="I111" s="478">
        <v>513022.46807795716</v>
      </c>
      <c r="J111" s="475">
        <f t="shared" si="37"/>
        <v>0</v>
      </c>
      <c r="K111" s="475"/>
      <c r="L111" s="537">
        <f t="shared" ref="L111" si="50">H111</f>
        <v>513022.46807795716</v>
      </c>
      <c r="M111" s="538">
        <f t="shared" ref="M111" si="51">IF(L111&lt;&gt;0,+H111-L111,0)</f>
        <v>0</v>
      </c>
      <c r="N111" s="537">
        <f t="shared" ref="N111" si="52">I111</f>
        <v>513022.46807795716</v>
      </c>
      <c r="O111" s="475">
        <f t="shared" si="41"/>
        <v>0</v>
      </c>
      <c r="P111" s="475">
        <f t="shared" si="42"/>
        <v>0</v>
      </c>
    </row>
    <row r="112" spans="1:16" ht="12.5">
      <c r="B112" s="160" t="str">
        <f t="shared" si="43"/>
        <v>IU</v>
      </c>
      <c r="C112" s="469">
        <f>IF(D93="","-",+C111+1)</f>
        <v>2022</v>
      </c>
      <c r="D112" s="470">
        <v>3446199</v>
      </c>
      <c r="E112" s="477">
        <v>120228</v>
      </c>
      <c r="F112" s="476">
        <v>3325971</v>
      </c>
      <c r="G112" s="476">
        <v>3386085</v>
      </c>
      <c r="H112" s="477">
        <v>493315.82816244458</v>
      </c>
      <c r="I112" s="478">
        <v>493315.82816244458</v>
      </c>
      <c r="J112" s="475">
        <f t="shared" si="37"/>
        <v>0</v>
      </c>
      <c r="K112" s="475"/>
      <c r="L112" s="537">
        <f t="shared" ref="L112" si="53">H112</f>
        <v>493315.82816244458</v>
      </c>
      <c r="M112" s="538">
        <f t="shared" ref="M112" si="54">IF(L112&lt;&gt;0,+H112-L112,0)</f>
        <v>0</v>
      </c>
      <c r="N112" s="537">
        <f t="shared" ref="N112" si="55">I112</f>
        <v>493315.82816244458</v>
      </c>
      <c r="O112" s="475">
        <f t="shared" ref="O112" si="56">IF(N112&lt;&gt;0,+I112-N112,0)</f>
        <v>0</v>
      </c>
      <c r="P112" s="475">
        <f t="shared" ref="P112" si="57">+O112-M112</f>
        <v>0</v>
      </c>
    </row>
    <row r="113" spans="2:16" ht="12.5">
      <c r="B113" s="160" t="str">
        <f t="shared" si="43"/>
        <v/>
      </c>
      <c r="C113" s="469">
        <f>IF(D93="","-",+C112+1)</f>
        <v>2023</v>
      </c>
      <c r="D113" s="470">
        <v>3325971</v>
      </c>
      <c r="E113" s="477">
        <v>123392</v>
      </c>
      <c r="F113" s="476">
        <v>3202579</v>
      </c>
      <c r="G113" s="476">
        <v>3264275</v>
      </c>
      <c r="H113" s="477">
        <v>496260.51361260412</v>
      </c>
      <c r="I113" s="478">
        <v>496260.51361260412</v>
      </c>
      <c r="J113" s="475">
        <f t="shared" si="37"/>
        <v>0</v>
      </c>
      <c r="K113" s="475"/>
      <c r="L113" s="537">
        <f t="shared" ref="L113" si="58">H113</f>
        <v>496260.51361260412</v>
      </c>
      <c r="M113" s="538">
        <f t="shared" ref="M113" si="59">IF(L113&lt;&gt;0,+H113-L113,0)</f>
        <v>0</v>
      </c>
      <c r="N113" s="537">
        <f t="shared" ref="N113" si="60">I113</f>
        <v>496260.51361260412</v>
      </c>
      <c r="O113" s="475">
        <f t="shared" ref="O113" si="61">IF(N113&lt;&gt;0,+I113-N113,0)</f>
        <v>0</v>
      </c>
      <c r="P113" s="475">
        <f t="shared" ref="P113" si="62">+O113-M113</f>
        <v>0</v>
      </c>
    </row>
    <row r="114" spans="2:16" ht="12.5">
      <c r="B114" s="160" t="str">
        <f t="shared" si="43"/>
        <v/>
      </c>
      <c r="C114" s="469">
        <f>IF(D93="","-",+C113+1)</f>
        <v>2024</v>
      </c>
      <c r="D114" s="344">
        <f>IF(F113+SUM(E$99:E113)=D$92,F113,D$92-SUM(E$99:E113))</f>
        <v>3202579</v>
      </c>
      <c r="E114" s="483">
        <f>IF(+J96&lt;F113,J96,D114)</f>
        <v>123392</v>
      </c>
      <c r="F114" s="482">
        <f t="shared" ref="F114:F130" si="63">+D114-E114</f>
        <v>3079187</v>
      </c>
      <c r="G114" s="482">
        <f t="shared" ref="G114:G130" si="64">+(F114+D114)/2</f>
        <v>3140883</v>
      </c>
      <c r="H114" s="483">
        <f t="shared" ref="H114:H154" si="65">(D114+F114)/2*J$94+E114</f>
        <v>545271.35205885395</v>
      </c>
      <c r="I114" s="539">
        <f t="shared" ref="I114:I154" si="66">+J$95*G114+E114</f>
        <v>545271.35205885395</v>
      </c>
      <c r="J114" s="475">
        <f t="shared" si="37"/>
        <v>0</v>
      </c>
      <c r="K114" s="475"/>
      <c r="L114" s="484"/>
      <c r="M114" s="475">
        <f t="shared" si="39"/>
        <v>0</v>
      </c>
      <c r="N114" s="484"/>
      <c r="O114" s="475">
        <f t="shared" si="41"/>
        <v>0</v>
      </c>
      <c r="P114" s="475">
        <f t="shared" si="42"/>
        <v>0</v>
      </c>
    </row>
    <row r="115" spans="2:16" ht="12.5">
      <c r="B115" s="160" t="str">
        <f t="shared" si="43"/>
        <v/>
      </c>
      <c r="C115" s="469">
        <f>IF(D93="","-",+C114+1)</f>
        <v>2025</v>
      </c>
      <c r="D115" s="344">
        <f>IF(F114+SUM(E$99:E114)=D$92,F114,D$92-SUM(E$99:E114))</f>
        <v>3079187</v>
      </c>
      <c r="E115" s="483">
        <f>IF(+J96&lt;F114,J96,D115)</f>
        <v>123392</v>
      </c>
      <c r="F115" s="482">
        <f t="shared" si="63"/>
        <v>2955795</v>
      </c>
      <c r="G115" s="482">
        <f t="shared" si="64"/>
        <v>3017491</v>
      </c>
      <c r="H115" s="483">
        <f t="shared" si="65"/>
        <v>528697.49782447261</v>
      </c>
      <c r="I115" s="539">
        <f t="shared" si="66"/>
        <v>528697.49782447261</v>
      </c>
      <c r="J115" s="475">
        <f t="shared" si="37"/>
        <v>0</v>
      </c>
      <c r="K115" s="475"/>
      <c r="L115" s="484"/>
      <c r="M115" s="475">
        <f t="shared" si="39"/>
        <v>0</v>
      </c>
      <c r="N115" s="484"/>
      <c r="O115" s="475">
        <f t="shared" si="41"/>
        <v>0</v>
      </c>
      <c r="P115" s="475">
        <f t="shared" si="42"/>
        <v>0</v>
      </c>
    </row>
    <row r="116" spans="2:16" ht="12.5">
      <c r="B116" s="160" t="str">
        <f t="shared" si="43"/>
        <v/>
      </c>
      <c r="C116" s="469">
        <f>IF(D93="","-",+C115+1)</f>
        <v>2026</v>
      </c>
      <c r="D116" s="344">
        <f>IF(F115+SUM(E$99:E115)=D$92,F115,D$92-SUM(E$99:E115))</f>
        <v>2955795</v>
      </c>
      <c r="E116" s="483">
        <f>IF(+J96&lt;F115,J96,D116)</f>
        <v>123392</v>
      </c>
      <c r="F116" s="482">
        <f t="shared" si="63"/>
        <v>2832403</v>
      </c>
      <c r="G116" s="482">
        <f t="shared" si="64"/>
        <v>2894099</v>
      </c>
      <c r="H116" s="483">
        <f t="shared" si="65"/>
        <v>512123.64359009144</v>
      </c>
      <c r="I116" s="539">
        <f t="shared" si="66"/>
        <v>512123.64359009144</v>
      </c>
      <c r="J116" s="475">
        <f t="shared" si="37"/>
        <v>0</v>
      </c>
      <c r="K116" s="475"/>
      <c r="L116" s="484"/>
      <c r="M116" s="475">
        <f t="shared" si="39"/>
        <v>0</v>
      </c>
      <c r="N116" s="484"/>
      <c r="O116" s="475">
        <f t="shared" si="41"/>
        <v>0</v>
      </c>
      <c r="P116" s="475">
        <f t="shared" si="42"/>
        <v>0</v>
      </c>
    </row>
    <row r="117" spans="2:16" ht="12.5">
      <c r="B117" s="160" t="str">
        <f t="shared" si="43"/>
        <v/>
      </c>
      <c r="C117" s="469">
        <f>IF(D93="","-",+C116+1)</f>
        <v>2027</v>
      </c>
      <c r="D117" s="344">
        <f>IF(F116+SUM(E$99:E116)=D$92,F116,D$92-SUM(E$99:E116))</f>
        <v>2832403</v>
      </c>
      <c r="E117" s="483">
        <f>IF(+J96&lt;F116,J96,D117)</f>
        <v>123392</v>
      </c>
      <c r="F117" s="482">
        <f t="shared" si="63"/>
        <v>2709011</v>
      </c>
      <c r="G117" s="482">
        <f t="shared" si="64"/>
        <v>2770707</v>
      </c>
      <c r="H117" s="483">
        <f t="shared" si="65"/>
        <v>495549.78935571015</v>
      </c>
      <c r="I117" s="539">
        <f t="shared" si="66"/>
        <v>495549.78935571015</v>
      </c>
      <c r="J117" s="475">
        <f t="shared" si="37"/>
        <v>0</v>
      </c>
      <c r="K117" s="475"/>
      <c r="L117" s="484"/>
      <c r="M117" s="475">
        <f t="shared" si="39"/>
        <v>0</v>
      </c>
      <c r="N117" s="484"/>
      <c r="O117" s="475">
        <f t="shared" si="41"/>
        <v>0</v>
      </c>
      <c r="P117" s="475">
        <f t="shared" si="42"/>
        <v>0</v>
      </c>
    </row>
    <row r="118" spans="2:16" ht="12.5">
      <c r="B118" s="160" t="str">
        <f t="shared" si="43"/>
        <v/>
      </c>
      <c r="C118" s="469">
        <f>IF(D93="","-",+C117+1)</f>
        <v>2028</v>
      </c>
      <c r="D118" s="344">
        <f>IF(F117+SUM(E$99:E117)=D$92,F117,D$92-SUM(E$99:E117))</f>
        <v>2709011</v>
      </c>
      <c r="E118" s="483">
        <f>IF(+J96&lt;F117,J96,D118)</f>
        <v>123392</v>
      </c>
      <c r="F118" s="482">
        <f t="shared" si="63"/>
        <v>2585619</v>
      </c>
      <c r="G118" s="482">
        <f t="shared" si="64"/>
        <v>2647315</v>
      </c>
      <c r="H118" s="483">
        <f t="shared" si="65"/>
        <v>478975.93512132892</v>
      </c>
      <c r="I118" s="539">
        <f t="shared" si="66"/>
        <v>478975.93512132892</v>
      </c>
      <c r="J118" s="475">
        <f t="shared" si="37"/>
        <v>0</v>
      </c>
      <c r="K118" s="475"/>
      <c r="L118" s="484"/>
      <c r="M118" s="475">
        <f t="shared" si="39"/>
        <v>0</v>
      </c>
      <c r="N118" s="484"/>
      <c r="O118" s="475">
        <f t="shared" si="41"/>
        <v>0</v>
      </c>
      <c r="P118" s="475">
        <f t="shared" si="42"/>
        <v>0</v>
      </c>
    </row>
    <row r="119" spans="2:16" ht="12.5">
      <c r="B119" s="160" t="str">
        <f t="shared" si="43"/>
        <v/>
      </c>
      <c r="C119" s="469">
        <f>IF(D93="","-",+C118+1)</f>
        <v>2029</v>
      </c>
      <c r="D119" s="344">
        <f>IF(F118+SUM(E$99:E118)=D$92,F118,D$92-SUM(E$99:E118))</f>
        <v>2585619</v>
      </c>
      <c r="E119" s="483">
        <f>IF(+J96&lt;F118,J96,D119)</f>
        <v>123392</v>
      </c>
      <c r="F119" s="482">
        <f t="shared" si="63"/>
        <v>2462227</v>
      </c>
      <c r="G119" s="482">
        <f t="shared" si="64"/>
        <v>2523923</v>
      </c>
      <c r="H119" s="483">
        <f t="shared" si="65"/>
        <v>462402.08088694763</v>
      </c>
      <c r="I119" s="539">
        <f t="shared" si="66"/>
        <v>462402.08088694763</v>
      </c>
      <c r="J119" s="475">
        <f t="shared" si="37"/>
        <v>0</v>
      </c>
      <c r="K119" s="475"/>
      <c r="L119" s="484"/>
      <c r="M119" s="475">
        <f t="shared" si="39"/>
        <v>0</v>
      </c>
      <c r="N119" s="484"/>
      <c r="O119" s="475">
        <f t="shared" si="41"/>
        <v>0</v>
      </c>
      <c r="P119" s="475">
        <f t="shared" si="42"/>
        <v>0</v>
      </c>
    </row>
    <row r="120" spans="2:16" ht="12.5">
      <c r="B120" s="160" t="str">
        <f t="shared" si="43"/>
        <v/>
      </c>
      <c r="C120" s="469">
        <f>IF(D93="","-",+C119+1)</f>
        <v>2030</v>
      </c>
      <c r="D120" s="344">
        <f>IF(F119+SUM(E$99:E119)=D$92,F119,D$92-SUM(E$99:E119))</f>
        <v>2462227</v>
      </c>
      <c r="E120" s="483">
        <f>IF(+J96&lt;F119,J96,D120)</f>
        <v>123392</v>
      </c>
      <c r="F120" s="482">
        <f t="shared" si="63"/>
        <v>2338835</v>
      </c>
      <c r="G120" s="482">
        <f t="shared" si="64"/>
        <v>2400531</v>
      </c>
      <c r="H120" s="483">
        <f t="shared" si="65"/>
        <v>445828.2266525664</v>
      </c>
      <c r="I120" s="539">
        <f t="shared" si="66"/>
        <v>445828.2266525664</v>
      </c>
      <c r="J120" s="475">
        <f t="shared" si="37"/>
        <v>0</v>
      </c>
      <c r="K120" s="475"/>
      <c r="L120" s="484"/>
      <c r="M120" s="475">
        <f t="shared" si="39"/>
        <v>0</v>
      </c>
      <c r="N120" s="484"/>
      <c r="O120" s="475">
        <f t="shared" si="41"/>
        <v>0</v>
      </c>
      <c r="P120" s="475">
        <f t="shared" si="42"/>
        <v>0</v>
      </c>
    </row>
    <row r="121" spans="2:16" ht="12.5">
      <c r="B121" s="160" t="str">
        <f t="shared" si="43"/>
        <v/>
      </c>
      <c r="C121" s="469">
        <f>IF(D93="","-",+C120+1)</f>
        <v>2031</v>
      </c>
      <c r="D121" s="344">
        <f>IF(F120+SUM(E$99:E120)=D$92,F120,D$92-SUM(E$99:E120))</f>
        <v>2338835</v>
      </c>
      <c r="E121" s="483">
        <f>IF(+J96&lt;F120,J96,D121)</f>
        <v>123392</v>
      </c>
      <c r="F121" s="482">
        <f t="shared" si="63"/>
        <v>2215443</v>
      </c>
      <c r="G121" s="482">
        <f t="shared" si="64"/>
        <v>2277139</v>
      </c>
      <c r="H121" s="483">
        <f t="shared" si="65"/>
        <v>429254.37241818511</v>
      </c>
      <c r="I121" s="539">
        <f t="shared" si="66"/>
        <v>429254.37241818511</v>
      </c>
      <c r="J121" s="475">
        <f t="shared" si="37"/>
        <v>0</v>
      </c>
      <c r="K121" s="475"/>
      <c r="L121" s="484"/>
      <c r="M121" s="475">
        <f t="shared" si="39"/>
        <v>0</v>
      </c>
      <c r="N121" s="484"/>
      <c r="O121" s="475">
        <f t="shared" si="41"/>
        <v>0</v>
      </c>
      <c r="P121" s="475">
        <f t="shared" si="42"/>
        <v>0</v>
      </c>
    </row>
    <row r="122" spans="2:16" ht="12.5">
      <c r="B122" s="160" t="str">
        <f t="shared" si="43"/>
        <v/>
      </c>
      <c r="C122" s="469">
        <f>IF(D93="","-",+C121+1)</f>
        <v>2032</v>
      </c>
      <c r="D122" s="344">
        <f>IF(F121+SUM(E$99:E121)=D$92,F121,D$92-SUM(E$99:E121))</f>
        <v>2215443</v>
      </c>
      <c r="E122" s="483">
        <f>IF(+J96&lt;F121,J96,D122)</f>
        <v>123392</v>
      </c>
      <c r="F122" s="482">
        <f t="shared" si="63"/>
        <v>2092051</v>
      </c>
      <c r="G122" s="482">
        <f t="shared" si="64"/>
        <v>2153747</v>
      </c>
      <c r="H122" s="483">
        <f t="shared" si="65"/>
        <v>412680.51818380388</v>
      </c>
      <c r="I122" s="539">
        <f t="shared" si="66"/>
        <v>412680.51818380388</v>
      </c>
      <c r="J122" s="475">
        <f t="shared" si="37"/>
        <v>0</v>
      </c>
      <c r="K122" s="475"/>
      <c r="L122" s="484"/>
      <c r="M122" s="475">
        <f t="shared" si="39"/>
        <v>0</v>
      </c>
      <c r="N122" s="484"/>
      <c r="O122" s="475">
        <f t="shared" si="41"/>
        <v>0</v>
      </c>
      <c r="P122" s="475">
        <f t="shared" si="42"/>
        <v>0</v>
      </c>
    </row>
    <row r="123" spans="2:16" ht="12.5">
      <c r="B123" s="160" t="str">
        <f t="shared" si="43"/>
        <v/>
      </c>
      <c r="C123" s="469">
        <f>IF(D93="","-",+C122+1)</f>
        <v>2033</v>
      </c>
      <c r="D123" s="344">
        <f>IF(F122+SUM(E$99:E122)=D$92,F122,D$92-SUM(E$99:E122))</f>
        <v>2092051</v>
      </c>
      <c r="E123" s="483">
        <f>IF(+J96&lt;F122,J96,D123)</f>
        <v>123392</v>
      </c>
      <c r="F123" s="482">
        <f t="shared" si="63"/>
        <v>1968659</v>
      </c>
      <c r="G123" s="482">
        <f t="shared" si="64"/>
        <v>2030355</v>
      </c>
      <c r="H123" s="483">
        <f t="shared" si="65"/>
        <v>396106.6639494226</v>
      </c>
      <c r="I123" s="539">
        <f t="shared" si="66"/>
        <v>396106.6639494226</v>
      </c>
      <c r="J123" s="475">
        <f t="shared" si="37"/>
        <v>0</v>
      </c>
      <c r="K123" s="475"/>
      <c r="L123" s="484"/>
      <c r="M123" s="475">
        <f t="shared" si="39"/>
        <v>0</v>
      </c>
      <c r="N123" s="484"/>
      <c r="O123" s="475">
        <f t="shared" si="41"/>
        <v>0</v>
      </c>
      <c r="P123" s="475">
        <f t="shared" si="42"/>
        <v>0</v>
      </c>
    </row>
    <row r="124" spans="2:16" ht="12.5">
      <c r="B124" s="160" t="str">
        <f t="shared" si="43"/>
        <v/>
      </c>
      <c r="C124" s="469">
        <f>IF(D93="","-",+C123+1)</f>
        <v>2034</v>
      </c>
      <c r="D124" s="344">
        <f>IF(F123+SUM(E$99:E123)=D$92,F123,D$92-SUM(E$99:E123))</f>
        <v>1968659</v>
      </c>
      <c r="E124" s="483">
        <f>IF(+J96&lt;F123,J96,D124)</f>
        <v>123392</v>
      </c>
      <c r="F124" s="482">
        <f t="shared" si="63"/>
        <v>1845267</v>
      </c>
      <c r="G124" s="482">
        <f t="shared" si="64"/>
        <v>1906963</v>
      </c>
      <c r="H124" s="483">
        <f t="shared" si="65"/>
        <v>379532.80971504137</v>
      </c>
      <c r="I124" s="539">
        <f t="shared" si="66"/>
        <v>379532.80971504137</v>
      </c>
      <c r="J124" s="475">
        <f t="shared" si="37"/>
        <v>0</v>
      </c>
      <c r="K124" s="475"/>
      <c r="L124" s="484"/>
      <c r="M124" s="475">
        <f t="shared" si="39"/>
        <v>0</v>
      </c>
      <c r="N124" s="484"/>
      <c r="O124" s="475">
        <f t="shared" si="41"/>
        <v>0</v>
      </c>
      <c r="P124" s="475">
        <f t="shared" si="42"/>
        <v>0</v>
      </c>
    </row>
    <row r="125" spans="2:16" ht="12.5">
      <c r="B125" s="160" t="str">
        <f t="shared" si="43"/>
        <v/>
      </c>
      <c r="C125" s="469">
        <f>IF(D93="","-",+C124+1)</f>
        <v>2035</v>
      </c>
      <c r="D125" s="344">
        <f>IF(F124+SUM(E$99:E124)=D$92,F124,D$92-SUM(E$99:E124))</f>
        <v>1845267</v>
      </c>
      <c r="E125" s="483">
        <f>IF(+J96&lt;F124,J96,D125)</f>
        <v>123392</v>
      </c>
      <c r="F125" s="482">
        <f t="shared" si="63"/>
        <v>1721875</v>
      </c>
      <c r="G125" s="482">
        <f t="shared" si="64"/>
        <v>1783571</v>
      </c>
      <c r="H125" s="483">
        <f t="shared" si="65"/>
        <v>362958.95548066008</v>
      </c>
      <c r="I125" s="539">
        <f t="shared" si="66"/>
        <v>362958.95548066008</v>
      </c>
      <c r="J125" s="475">
        <f t="shared" si="37"/>
        <v>0</v>
      </c>
      <c r="K125" s="475"/>
      <c r="L125" s="484"/>
      <c r="M125" s="475">
        <f t="shared" si="39"/>
        <v>0</v>
      </c>
      <c r="N125" s="484"/>
      <c r="O125" s="475">
        <f t="shared" si="41"/>
        <v>0</v>
      </c>
      <c r="P125" s="475">
        <f t="shared" si="42"/>
        <v>0</v>
      </c>
    </row>
    <row r="126" spans="2:16" ht="12.5">
      <c r="B126" s="160" t="str">
        <f t="shared" si="43"/>
        <v/>
      </c>
      <c r="C126" s="469">
        <f>IF(D93="","-",+C125+1)</f>
        <v>2036</v>
      </c>
      <c r="D126" s="344">
        <f>IF(F125+SUM(E$99:E125)=D$92,F125,D$92-SUM(E$99:E125))</f>
        <v>1721875</v>
      </c>
      <c r="E126" s="483">
        <f>IF(+J96&lt;F125,J96,D126)</f>
        <v>123392</v>
      </c>
      <c r="F126" s="482">
        <f t="shared" si="63"/>
        <v>1598483</v>
      </c>
      <c r="G126" s="482">
        <f t="shared" si="64"/>
        <v>1660179</v>
      </c>
      <c r="H126" s="483">
        <f t="shared" si="65"/>
        <v>346385.10124627885</v>
      </c>
      <c r="I126" s="539">
        <f t="shared" si="66"/>
        <v>346385.10124627885</v>
      </c>
      <c r="J126" s="475">
        <f t="shared" si="37"/>
        <v>0</v>
      </c>
      <c r="K126" s="475"/>
      <c r="L126" s="484"/>
      <c r="M126" s="475">
        <f t="shared" si="39"/>
        <v>0</v>
      </c>
      <c r="N126" s="484"/>
      <c r="O126" s="475">
        <f t="shared" si="41"/>
        <v>0</v>
      </c>
      <c r="P126" s="475">
        <f t="shared" si="42"/>
        <v>0</v>
      </c>
    </row>
    <row r="127" spans="2:16" ht="12.5">
      <c r="B127" s="160" t="str">
        <f t="shared" si="43"/>
        <v/>
      </c>
      <c r="C127" s="469">
        <f>IF(D93="","-",+C126+1)</f>
        <v>2037</v>
      </c>
      <c r="D127" s="344">
        <f>IF(F126+SUM(E$99:E126)=D$92,F126,D$92-SUM(E$99:E126))</f>
        <v>1598483</v>
      </c>
      <c r="E127" s="483">
        <f>IF(+J96&lt;F126,J96,D127)</f>
        <v>123392</v>
      </c>
      <c r="F127" s="482">
        <f t="shared" si="63"/>
        <v>1475091</v>
      </c>
      <c r="G127" s="482">
        <f t="shared" si="64"/>
        <v>1536787</v>
      </c>
      <c r="H127" s="483">
        <f t="shared" si="65"/>
        <v>329811.24701189762</v>
      </c>
      <c r="I127" s="539">
        <f t="shared" si="66"/>
        <v>329811.24701189762</v>
      </c>
      <c r="J127" s="475">
        <f t="shared" si="37"/>
        <v>0</v>
      </c>
      <c r="K127" s="475"/>
      <c r="L127" s="484"/>
      <c r="M127" s="475">
        <f t="shared" si="39"/>
        <v>0</v>
      </c>
      <c r="N127" s="484"/>
      <c r="O127" s="475">
        <f t="shared" si="41"/>
        <v>0</v>
      </c>
      <c r="P127" s="475">
        <f t="shared" si="42"/>
        <v>0</v>
      </c>
    </row>
    <row r="128" spans="2:16" ht="12.5">
      <c r="B128" s="160" t="str">
        <f t="shared" si="43"/>
        <v/>
      </c>
      <c r="C128" s="469">
        <f>IF(D93="","-",+C127+1)</f>
        <v>2038</v>
      </c>
      <c r="D128" s="344">
        <f>IF(F127+SUM(E$99:E127)=D$92,F127,D$92-SUM(E$99:E127))</f>
        <v>1475091</v>
      </c>
      <c r="E128" s="483">
        <f>IF(+J96&lt;F127,J96,D128)</f>
        <v>123392</v>
      </c>
      <c r="F128" s="482">
        <f t="shared" si="63"/>
        <v>1351699</v>
      </c>
      <c r="G128" s="482">
        <f t="shared" si="64"/>
        <v>1413395</v>
      </c>
      <c r="H128" s="483">
        <f t="shared" si="65"/>
        <v>313237.39277751633</v>
      </c>
      <c r="I128" s="539">
        <f t="shared" si="66"/>
        <v>313237.39277751633</v>
      </c>
      <c r="J128" s="475">
        <f t="shared" si="37"/>
        <v>0</v>
      </c>
      <c r="K128" s="475"/>
      <c r="L128" s="484"/>
      <c r="M128" s="475">
        <f t="shared" si="39"/>
        <v>0</v>
      </c>
      <c r="N128" s="484"/>
      <c r="O128" s="475">
        <f t="shared" si="41"/>
        <v>0</v>
      </c>
      <c r="P128" s="475">
        <f t="shared" si="42"/>
        <v>0</v>
      </c>
    </row>
    <row r="129" spans="2:16" ht="12.5">
      <c r="B129" s="160" t="str">
        <f t="shared" si="43"/>
        <v/>
      </c>
      <c r="C129" s="469">
        <f>IF(D93="","-",+C128+1)</f>
        <v>2039</v>
      </c>
      <c r="D129" s="344">
        <f>IF(F128+SUM(E$99:E128)=D$92,F128,D$92-SUM(E$99:E128))</f>
        <v>1351699</v>
      </c>
      <c r="E129" s="483">
        <f>IF(+J96&lt;F128,J96,D129)</f>
        <v>123392</v>
      </c>
      <c r="F129" s="482">
        <f t="shared" si="63"/>
        <v>1228307</v>
      </c>
      <c r="G129" s="482">
        <f t="shared" si="64"/>
        <v>1290003</v>
      </c>
      <c r="H129" s="483">
        <f t="shared" si="65"/>
        <v>296663.53854313504</v>
      </c>
      <c r="I129" s="539">
        <f t="shared" si="66"/>
        <v>296663.53854313504</v>
      </c>
      <c r="J129" s="475">
        <f t="shared" si="37"/>
        <v>0</v>
      </c>
      <c r="K129" s="475"/>
      <c r="L129" s="484"/>
      <c r="M129" s="475">
        <f t="shared" si="39"/>
        <v>0</v>
      </c>
      <c r="N129" s="484"/>
      <c r="O129" s="475">
        <f t="shared" si="41"/>
        <v>0</v>
      </c>
      <c r="P129" s="475">
        <f t="shared" si="42"/>
        <v>0</v>
      </c>
    </row>
    <row r="130" spans="2:16" ht="12.5">
      <c r="B130" s="160" t="str">
        <f t="shared" si="43"/>
        <v/>
      </c>
      <c r="C130" s="469">
        <f>IF(D93="","-",+C129+1)</f>
        <v>2040</v>
      </c>
      <c r="D130" s="344">
        <f>IF(F129+SUM(E$99:E129)=D$92,F129,D$92-SUM(E$99:E129))</f>
        <v>1228307</v>
      </c>
      <c r="E130" s="483">
        <f>IF(+J96&lt;F129,J96,D130)</f>
        <v>123392</v>
      </c>
      <c r="F130" s="482">
        <f t="shared" si="63"/>
        <v>1104915</v>
      </c>
      <c r="G130" s="482">
        <f t="shared" si="64"/>
        <v>1166611</v>
      </c>
      <c r="H130" s="483">
        <f t="shared" si="65"/>
        <v>280089.68430875381</v>
      </c>
      <c r="I130" s="539">
        <f t="shared" si="66"/>
        <v>280089.68430875381</v>
      </c>
      <c r="J130" s="475">
        <f t="shared" si="37"/>
        <v>0</v>
      </c>
      <c r="K130" s="475"/>
      <c r="L130" s="484"/>
      <c r="M130" s="475">
        <f t="shared" si="39"/>
        <v>0</v>
      </c>
      <c r="N130" s="484"/>
      <c r="O130" s="475">
        <f t="shared" si="41"/>
        <v>0</v>
      </c>
      <c r="P130" s="475">
        <f t="shared" si="42"/>
        <v>0</v>
      </c>
    </row>
    <row r="131" spans="2:16" ht="12.5">
      <c r="B131" s="160" t="str">
        <f t="shared" si="43"/>
        <v/>
      </c>
      <c r="C131" s="469">
        <f>IF(D93="","-",+C130+1)</f>
        <v>2041</v>
      </c>
      <c r="D131" s="344">
        <f>IF(F130+SUM(E$99:E130)=D$92,F130,D$92-SUM(E$99:E130))</f>
        <v>1104915</v>
      </c>
      <c r="E131" s="483">
        <f>IF(+J96&lt;F130,J96,D131)</f>
        <v>123392</v>
      </c>
      <c r="F131" s="482">
        <f t="shared" ref="F131:F154" si="67">+D131-E131</f>
        <v>981523</v>
      </c>
      <c r="G131" s="482">
        <f t="shared" ref="G131:G154" si="68">+(F131+D131)/2</f>
        <v>1043219</v>
      </c>
      <c r="H131" s="483">
        <f t="shared" si="65"/>
        <v>263515.83007437258</v>
      </c>
      <c r="I131" s="539">
        <f t="shared" si="66"/>
        <v>263515.83007437258</v>
      </c>
      <c r="J131" s="475">
        <f t="shared" ref="J131:J154" si="69">+I131-H131</f>
        <v>0</v>
      </c>
      <c r="K131" s="475"/>
      <c r="L131" s="484"/>
      <c r="M131" s="475">
        <f t="shared" ref="M131:M154" si="70">IF(L131&lt;&gt;0,+H131-L131,0)</f>
        <v>0</v>
      </c>
      <c r="N131" s="484"/>
      <c r="O131" s="475">
        <f t="shared" ref="O131:O154" si="71">IF(N131&lt;&gt;0,+I131-N131,0)</f>
        <v>0</v>
      </c>
      <c r="P131" s="475">
        <f t="shared" ref="P131:P154" si="72">+O131-M131</f>
        <v>0</v>
      </c>
    </row>
    <row r="132" spans="2:16" ht="12.5">
      <c r="B132" s="160" t="str">
        <f t="shared" si="43"/>
        <v/>
      </c>
      <c r="C132" s="469">
        <f>IF(D93="","-",+C131+1)</f>
        <v>2042</v>
      </c>
      <c r="D132" s="344">
        <f>IF(F131+SUM(E$99:E131)=D$92,F131,D$92-SUM(E$99:E131))</f>
        <v>981523</v>
      </c>
      <c r="E132" s="483">
        <f>IF(+J96&lt;F131,J96,D132)</f>
        <v>123392</v>
      </c>
      <c r="F132" s="482">
        <f t="shared" si="67"/>
        <v>858131</v>
      </c>
      <c r="G132" s="482">
        <f t="shared" si="68"/>
        <v>919827</v>
      </c>
      <c r="H132" s="483">
        <f t="shared" si="65"/>
        <v>246941.9758399913</v>
      </c>
      <c r="I132" s="539">
        <f t="shared" si="66"/>
        <v>246941.9758399913</v>
      </c>
      <c r="J132" s="475">
        <f t="shared" si="69"/>
        <v>0</v>
      </c>
      <c r="K132" s="475"/>
      <c r="L132" s="484"/>
      <c r="M132" s="475">
        <f t="shared" si="70"/>
        <v>0</v>
      </c>
      <c r="N132" s="484"/>
      <c r="O132" s="475">
        <f t="shared" si="71"/>
        <v>0</v>
      </c>
      <c r="P132" s="475">
        <f t="shared" si="72"/>
        <v>0</v>
      </c>
    </row>
    <row r="133" spans="2:16" ht="12.5">
      <c r="B133" s="160" t="str">
        <f t="shared" si="43"/>
        <v/>
      </c>
      <c r="C133" s="469">
        <f>IF(D93="","-",+C132+1)</f>
        <v>2043</v>
      </c>
      <c r="D133" s="344">
        <f>IF(F132+SUM(E$99:E132)=D$92,F132,D$92-SUM(E$99:E132))</f>
        <v>858131</v>
      </c>
      <c r="E133" s="483">
        <f>IF(+J96&lt;F132,J96,D133)</f>
        <v>123392</v>
      </c>
      <c r="F133" s="482">
        <f t="shared" si="67"/>
        <v>734739</v>
      </c>
      <c r="G133" s="482">
        <f t="shared" si="68"/>
        <v>796435</v>
      </c>
      <c r="H133" s="483">
        <f t="shared" si="65"/>
        <v>230368.12160561007</v>
      </c>
      <c r="I133" s="539">
        <f t="shared" si="66"/>
        <v>230368.12160561007</v>
      </c>
      <c r="J133" s="475">
        <f t="shared" si="69"/>
        <v>0</v>
      </c>
      <c r="K133" s="475"/>
      <c r="L133" s="484"/>
      <c r="M133" s="475">
        <f t="shared" si="70"/>
        <v>0</v>
      </c>
      <c r="N133" s="484"/>
      <c r="O133" s="475">
        <f t="shared" si="71"/>
        <v>0</v>
      </c>
      <c r="P133" s="475">
        <f t="shared" si="72"/>
        <v>0</v>
      </c>
    </row>
    <row r="134" spans="2:16" ht="12.5">
      <c r="B134" s="160" t="str">
        <f t="shared" si="43"/>
        <v/>
      </c>
      <c r="C134" s="469">
        <f>IF(D93="","-",+C133+1)</f>
        <v>2044</v>
      </c>
      <c r="D134" s="344">
        <f>IF(F133+SUM(E$99:E133)=D$92,F133,D$92-SUM(E$99:E133))</f>
        <v>734739</v>
      </c>
      <c r="E134" s="483">
        <f>IF(+J96&lt;F133,J96,D134)</f>
        <v>123392</v>
      </c>
      <c r="F134" s="482">
        <f t="shared" si="67"/>
        <v>611347</v>
      </c>
      <c r="G134" s="482">
        <f t="shared" si="68"/>
        <v>673043</v>
      </c>
      <c r="H134" s="483">
        <f t="shared" si="65"/>
        <v>213794.26737122878</v>
      </c>
      <c r="I134" s="539">
        <f t="shared" si="66"/>
        <v>213794.26737122878</v>
      </c>
      <c r="J134" s="475">
        <f t="shared" si="69"/>
        <v>0</v>
      </c>
      <c r="K134" s="475"/>
      <c r="L134" s="484"/>
      <c r="M134" s="475">
        <f t="shared" si="70"/>
        <v>0</v>
      </c>
      <c r="N134" s="484"/>
      <c r="O134" s="475">
        <f t="shared" si="71"/>
        <v>0</v>
      </c>
      <c r="P134" s="475">
        <f t="shared" si="72"/>
        <v>0</v>
      </c>
    </row>
    <row r="135" spans="2:16" ht="12.5">
      <c r="B135" s="160" t="str">
        <f t="shared" si="43"/>
        <v/>
      </c>
      <c r="C135" s="469">
        <f>IF(D93="","-",+C134+1)</f>
        <v>2045</v>
      </c>
      <c r="D135" s="344">
        <f>IF(F134+SUM(E$99:E134)=D$92,F134,D$92-SUM(E$99:E134))</f>
        <v>611347</v>
      </c>
      <c r="E135" s="483">
        <f>IF(+J96&lt;F134,J96,D135)</f>
        <v>123392</v>
      </c>
      <c r="F135" s="482">
        <f t="shared" si="67"/>
        <v>487955</v>
      </c>
      <c r="G135" s="482">
        <f t="shared" si="68"/>
        <v>549651</v>
      </c>
      <c r="H135" s="483">
        <f t="shared" si="65"/>
        <v>197220.41313684755</v>
      </c>
      <c r="I135" s="539">
        <f t="shared" si="66"/>
        <v>197220.41313684755</v>
      </c>
      <c r="J135" s="475">
        <f t="shared" si="69"/>
        <v>0</v>
      </c>
      <c r="K135" s="475"/>
      <c r="L135" s="484"/>
      <c r="M135" s="475">
        <f t="shared" si="70"/>
        <v>0</v>
      </c>
      <c r="N135" s="484"/>
      <c r="O135" s="475">
        <f t="shared" si="71"/>
        <v>0</v>
      </c>
      <c r="P135" s="475">
        <f t="shared" si="72"/>
        <v>0</v>
      </c>
    </row>
    <row r="136" spans="2:16" ht="12.5">
      <c r="B136" s="160" t="str">
        <f t="shared" si="43"/>
        <v/>
      </c>
      <c r="C136" s="469">
        <f>IF(D93="","-",+C135+1)</f>
        <v>2046</v>
      </c>
      <c r="D136" s="344">
        <f>IF(F135+SUM(E$99:E135)=D$92,F135,D$92-SUM(E$99:E135))</f>
        <v>487955</v>
      </c>
      <c r="E136" s="483">
        <f>IF(+J96&lt;F135,J96,D136)</f>
        <v>123392</v>
      </c>
      <c r="F136" s="482">
        <f t="shared" si="67"/>
        <v>364563</v>
      </c>
      <c r="G136" s="482">
        <f t="shared" si="68"/>
        <v>426259</v>
      </c>
      <c r="H136" s="483">
        <f t="shared" si="65"/>
        <v>180646.55890246629</v>
      </c>
      <c r="I136" s="539">
        <f t="shared" si="66"/>
        <v>180646.55890246629</v>
      </c>
      <c r="J136" s="475">
        <f t="shared" si="69"/>
        <v>0</v>
      </c>
      <c r="K136" s="475"/>
      <c r="L136" s="484"/>
      <c r="M136" s="475">
        <f t="shared" si="70"/>
        <v>0</v>
      </c>
      <c r="N136" s="484"/>
      <c r="O136" s="475">
        <f t="shared" si="71"/>
        <v>0</v>
      </c>
      <c r="P136" s="475">
        <f t="shared" si="72"/>
        <v>0</v>
      </c>
    </row>
    <row r="137" spans="2:16" ht="12.5">
      <c r="B137" s="160" t="str">
        <f t="shared" si="43"/>
        <v/>
      </c>
      <c r="C137" s="469">
        <f>IF(D93="","-",+C136+1)</f>
        <v>2047</v>
      </c>
      <c r="D137" s="344">
        <f>IF(F136+SUM(E$99:E136)=D$92,F136,D$92-SUM(E$99:E136))</f>
        <v>364563</v>
      </c>
      <c r="E137" s="483">
        <f>IF(+J96&lt;F136,J96,D137)</f>
        <v>123392</v>
      </c>
      <c r="F137" s="482">
        <f t="shared" si="67"/>
        <v>241171</v>
      </c>
      <c r="G137" s="482">
        <f t="shared" si="68"/>
        <v>302867</v>
      </c>
      <c r="H137" s="483">
        <f t="shared" si="65"/>
        <v>164072.70466808503</v>
      </c>
      <c r="I137" s="539">
        <f t="shared" si="66"/>
        <v>164072.70466808503</v>
      </c>
      <c r="J137" s="475">
        <f t="shared" si="69"/>
        <v>0</v>
      </c>
      <c r="K137" s="475"/>
      <c r="L137" s="484"/>
      <c r="M137" s="475">
        <f t="shared" si="70"/>
        <v>0</v>
      </c>
      <c r="N137" s="484"/>
      <c r="O137" s="475">
        <f t="shared" si="71"/>
        <v>0</v>
      </c>
      <c r="P137" s="475">
        <f t="shared" si="72"/>
        <v>0</v>
      </c>
    </row>
    <row r="138" spans="2:16" ht="12.5">
      <c r="B138" s="160" t="str">
        <f t="shared" si="43"/>
        <v/>
      </c>
      <c r="C138" s="469">
        <f>IF(D93="","-",+C137+1)</f>
        <v>2048</v>
      </c>
      <c r="D138" s="344">
        <f>IF(F137+SUM(E$99:E137)=D$92,F137,D$92-SUM(E$99:E137))</f>
        <v>241171</v>
      </c>
      <c r="E138" s="483">
        <f>IF(+J96&lt;F137,J96,D138)</f>
        <v>123392</v>
      </c>
      <c r="F138" s="482">
        <f t="shared" si="67"/>
        <v>117779</v>
      </c>
      <c r="G138" s="482">
        <f t="shared" si="68"/>
        <v>179475</v>
      </c>
      <c r="H138" s="483">
        <f t="shared" si="65"/>
        <v>147498.85043370377</v>
      </c>
      <c r="I138" s="539">
        <f t="shared" si="66"/>
        <v>147498.85043370377</v>
      </c>
      <c r="J138" s="475">
        <f t="shared" si="69"/>
        <v>0</v>
      </c>
      <c r="K138" s="475"/>
      <c r="L138" s="484"/>
      <c r="M138" s="475">
        <f t="shared" si="70"/>
        <v>0</v>
      </c>
      <c r="N138" s="484"/>
      <c r="O138" s="475">
        <f t="shared" si="71"/>
        <v>0</v>
      </c>
      <c r="P138" s="475">
        <f t="shared" si="72"/>
        <v>0</v>
      </c>
    </row>
    <row r="139" spans="2:16" ht="12.5">
      <c r="B139" s="160" t="str">
        <f t="shared" si="43"/>
        <v/>
      </c>
      <c r="C139" s="469">
        <f>IF(D93="","-",+C138+1)</f>
        <v>2049</v>
      </c>
      <c r="D139" s="344">
        <f>IF(F138+SUM(E$99:E138)=D$92,F138,D$92-SUM(E$99:E138))</f>
        <v>117779</v>
      </c>
      <c r="E139" s="483">
        <f>IF(+J96&lt;F138,J96,D139)</f>
        <v>117779</v>
      </c>
      <c r="F139" s="482">
        <f t="shared" si="67"/>
        <v>0</v>
      </c>
      <c r="G139" s="482">
        <f t="shared" si="68"/>
        <v>58889.5</v>
      </c>
      <c r="H139" s="483">
        <f t="shared" si="65"/>
        <v>125688.96165825656</v>
      </c>
      <c r="I139" s="539">
        <f t="shared" si="66"/>
        <v>125688.96165825656</v>
      </c>
      <c r="J139" s="475">
        <f t="shared" si="69"/>
        <v>0</v>
      </c>
      <c r="K139" s="475"/>
      <c r="L139" s="484"/>
      <c r="M139" s="475">
        <f t="shared" si="70"/>
        <v>0</v>
      </c>
      <c r="N139" s="484"/>
      <c r="O139" s="475">
        <f t="shared" si="71"/>
        <v>0</v>
      </c>
      <c r="P139" s="475">
        <f t="shared" si="72"/>
        <v>0</v>
      </c>
    </row>
    <row r="140" spans="2:16" ht="12.5">
      <c r="B140" s="160" t="str">
        <f t="shared" si="43"/>
        <v/>
      </c>
      <c r="C140" s="469">
        <f>IF(D93="","-",+C139+1)</f>
        <v>2050</v>
      </c>
      <c r="D140" s="344">
        <f>IF(F139+SUM(E$99:E139)=D$92,F139,D$92-SUM(E$99:E139))</f>
        <v>0</v>
      </c>
      <c r="E140" s="483">
        <f>IF(+J96&lt;F139,J96,D140)</f>
        <v>0</v>
      </c>
      <c r="F140" s="482">
        <f t="shared" si="67"/>
        <v>0</v>
      </c>
      <c r="G140" s="482">
        <f t="shared" si="68"/>
        <v>0</v>
      </c>
      <c r="H140" s="483">
        <f t="shared" si="65"/>
        <v>0</v>
      </c>
      <c r="I140" s="539">
        <f t="shared" si="66"/>
        <v>0</v>
      </c>
      <c r="J140" s="475">
        <f t="shared" si="69"/>
        <v>0</v>
      </c>
      <c r="K140" s="475"/>
      <c r="L140" s="484"/>
      <c r="M140" s="475">
        <f t="shared" si="70"/>
        <v>0</v>
      </c>
      <c r="N140" s="484"/>
      <c r="O140" s="475">
        <f t="shared" si="71"/>
        <v>0</v>
      </c>
      <c r="P140" s="475">
        <f t="shared" si="72"/>
        <v>0</v>
      </c>
    </row>
    <row r="141" spans="2:16" ht="12.5">
      <c r="B141" s="160" t="str">
        <f t="shared" si="43"/>
        <v/>
      </c>
      <c r="C141" s="469">
        <f>IF(D93="","-",+C140+1)</f>
        <v>2051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67"/>
        <v>0</v>
      </c>
      <c r="G141" s="482">
        <f t="shared" si="68"/>
        <v>0</v>
      </c>
      <c r="H141" s="483">
        <f t="shared" si="65"/>
        <v>0</v>
      </c>
      <c r="I141" s="539">
        <f t="shared" si="66"/>
        <v>0</v>
      </c>
      <c r="J141" s="475">
        <f t="shared" si="69"/>
        <v>0</v>
      </c>
      <c r="K141" s="475"/>
      <c r="L141" s="484"/>
      <c r="M141" s="475">
        <f t="shared" si="70"/>
        <v>0</v>
      </c>
      <c r="N141" s="484"/>
      <c r="O141" s="475">
        <f t="shared" si="71"/>
        <v>0</v>
      </c>
      <c r="P141" s="475">
        <f t="shared" si="72"/>
        <v>0</v>
      </c>
    </row>
    <row r="142" spans="2:16" ht="12.5">
      <c r="B142" s="160" t="str">
        <f t="shared" si="43"/>
        <v/>
      </c>
      <c r="C142" s="469">
        <f>IF(D93="","-",+C141+1)</f>
        <v>2052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67"/>
        <v>0</v>
      </c>
      <c r="G142" s="482">
        <f t="shared" si="68"/>
        <v>0</v>
      </c>
      <c r="H142" s="483">
        <f t="shared" si="65"/>
        <v>0</v>
      </c>
      <c r="I142" s="539">
        <f t="shared" si="66"/>
        <v>0</v>
      </c>
      <c r="J142" s="475">
        <f t="shared" si="69"/>
        <v>0</v>
      </c>
      <c r="K142" s="475"/>
      <c r="L142" s="484"/>
      <c r="M142" s="475">
        <f t="shared" si="70"/>
        <v>0</v>
      </c>
      <c r="N142" s="484"/>
      <c r="O142" s="475">
        <f t="shared" si="71"/>
        <v>0</v>
      </c>
      <c r="P142" s="475">
        <f t="shared" si="72"/>
        <v>0</v>
      </c>
    </row>
    <row r="143" spans="2:16" ht="12.5">
      <c r="B143" s="160" t="str">
        <f t="shared" si="43"/>
        <v/>
      </c>
      <c r="C143" s="469">
        <f>IF(D93="","-",+C142+1)</f>
        <v>2053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67"/>
        <v>0</v>
      </c>
      <c r="G143" s="482">
        <f t="shared" si="68"/>
        <v>0</v>
      </c>
      <c r="H143" s="483">
        <f t="shared" si="65"/>
        <v>0</v>
      </c>
      <c r="I143" s="539">
        <f t="shared" si="66"/>
        <v>0</v>
      </c>
      <c r="J143" s="475">
        <f t="shared" si="69"/>
        <v>0</v>
      </c>
      <c r="K143" s="475"/>
      <c r="L143" s="484"/>
      <c r="M143" s="475">
        <f t="shared" si="70"/>
        <v>0</v>
      </c>
      <c r="N143" s="484"/>
      <c r="O143" s="475">
        <f t="shared" si="71"/>
        <v>0</v>
      </c>
      <c r="P143" s="475">
        <f t="shared" si="72"/>
        <v>0</v>
      </c>
    </row>
    <row r="144" spans="2:16" ht="12.5">
      <c r="B144" s="160" t="str">
        <f t="shared" si="43"/>
        <v/>
      </c>
      <c r="C144" s="469">
        <f>IF(D93="","-",+C143+1)</f>
        <v>2054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67"/>
        <v>0</v>
      </c>
      <c r="G144" s="482">
        <f t="shared" si="68"/>
        <v>0</v>
      </c>
      <c r="H144" s="483">
        <f t="shared" si="65"/>
        <v>0</v>
      </c>
      <c r="I144" s="539">
        <f t="shared" si="66"/>
        <v>0</v>
      </c>
      <c r="J144" s="475">
        <f t="shared" si="69"/>
        <v>0</v>
      </c>
      <c r="K144" s="475"/>
      <c r="L144" s="484"/>
      <c r="M144" s="475">
        <f t="shared" si="70"/>
        <v>0</v>
      </c>
      <c r="N144" s="484"/>
      <c r="O144" s="475">
        <f t="shared" si="71"/>
        <v>0</v>
      </c>
      <c r="P144" s="475">
        <f t="shared" si="72"/>
        <v>0</v>
      </c>
    </row>
    <row r="145" spans="2:16" ht="12.5">
      <c r="B145" s="160" t="str">
        <f t="shared" si="43"/>
        <v/>
      </c>
      <c r="C145" s="469">
        <f>IF(D93="","-",+C144+1)</f>
        <v>2055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67"/>
        <v>0</v>
      </c>
      <c r="G145" s="482">
        <f t="shared" si="68"/>
        <v>0</v>
      </c>
      <c r="H145" s="483">
        <f t="shared" si="65"/>
        <v>0</v>
      </c>
      <c r="I145" s="539">
        <f t="shared" si="66"/>
        <v>0</v>
      </c>
      <c r="J145" s="475">
        <f t="shared" si="69"/>
        <v>0</v>
      </c>
      <c r="K145" s="475"/>
      <c r="L145" s="484"/>
      <c r="M145" s="475">
        <f t="shared" si="70"/>
        <v>0</v>
      </c>
      <c r="N145" s="484"/>
      <c r="O145" s="475">
        <f t="shared" si="71"/>
        <v>0</v>
      </c>
      <c r="P145" s="475">
        <f t="shared" si="72"/>
        <v>0</v>
      </c>
    </row>
    <row r="146" spans="2:16" ht="12.5">
      <c r="B146" s="160" t="str">
        <f t="shared" si="43"/>
        <v/>
      </c>
      <c r="C146" s="469">
        <f>IF(D93="","-",+C145+1)</f>
        <v>2056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67"/>
        <v>0</v>
      </c>
      <c r="G146" s="482">
        <f t="shared" si="68"/>
        <v>0</v>
      </c>
      <c r="H146" s="483">
        <f t="shared" si="65"/>
        <v>0</v>
      </c>
      <c r="I146" s="539">
        <f t="shared" si="66"/>
        <v>0</v>
      </c>
      <c r="J146" s="475">
        <f t="shared" si="69"/>
        <v>0</v>
      </c>
      <c r="K146" s="475"/>
      <c r="L146" s="484"/>
      <c r="M146" s="475">
        <f t="shared" si="70"/>
        <v>0</v>
      </c>
      <c r="N146" s="484"/>
      <c r="O146" s="475">
        <f t="shared" si="71"/>
        <v>0</v>
      </c>
      <c r="P146" s="475">
        <f t="shared" si="72"/>
        <v>0</v>
      </c>
    </row>
    <row r="147" spans="2:16" ht="12.5">
      <c r="B147" s="160" t="str">
        <f t="shared" si="43"/>
        <v/>
      </c>
      <c r="C147" s="469">
        <f>IF(D93="","-",+C146+1)</f>
        <v>2057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67"/>
        <v>0</v>
      </c>
      <c r="G147" s="482">
        <f t="shared" si="68"/>
        <v>0</v>
      </c>
      <c r="H147" s="483">
        <f t="shared" si="65"/>
        <v>0</v>
      </c>
      <c r="I147" s="539">
        <f t="shared" si="66"/>
        <v>0</v>
      </c>
      <c r="J147" s="475">
        <f t="shared" si="69"/>
        <v>0</v>
      </c>
      <c r="K147" s="475"/>
      <c r="L147" s="484"/>
      <c r="M147" s="475">
        <f t="shared" si="70"/>
        <v>0</v>
      </c>
      <c r="N147" s="484"/>
      <c r="O147" s="475">
        <f t="shared" si="71"/>
        <v>0</v>
      </c>
      <c r="P147" s="475">
        <f t="shared" si="72"/>
        <v>0</v>
      </c>
    </row>
    <row r="148" spans="2:16" ht="12.5">
      <c r="B148" s="160" t="str">
        <f t="shared" si="43"/>
        <v/>
      </c>
      <c r="C148" s="469">
        <f>IF(D93="","-",+C147+1)</f>
        <v>2058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67"/>
        <v>0</v>
      </c>
      <c r="G148" s="482">
        <f t="shared" si="68"/>
        <v>0</v>
      </c>
      <c r="H148" s="483">
        <f t="shared" si="65"/>
        <v>0</v>
      </c>
      <c r="I148" s="539">
        <f t="shared" si="66"/>
        <v>0</v>
      </c>
      <c r="J148" s="475">
        <f t="shared" si="69"/>
        <v>0</v>
      </c>
      <c r="K148" s="475"/>
      <c r="L148" s="484"/>
      <c r="M148" s="475">
        <f t="shared" si="70"/>
        <v>0</v>
      </c>
      <c r="N148" s="484"/>
      <c r="O148" s="475">
        <f t="shared" si="71"/>
        <v>0</v>
      </c>
      <c r="P148" s="475">
        <f t="shared" si="72"/>
        <v>0</v>
      </c>
    </row>
    <row r="149" spans="2:16" ht="12.5">
      <c r="B149" s="160" t="str">
        <f t="shared" si="43"/>
        <v/>
      </c>
      <c r="C149" s="469">
        <f>IF(D93="","-",+C148+1)</f>
        <v>2059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67"/>
        <v>0</v>
      </c>
      <c r="G149" s="482">
        <f t="shared" si="68"/>
        <v>0</v>
      </c>
      <c r="H149" s="483">
        <f t="shared" si="65"/>
        <v>0</v>
      </c>
      <c r="I149" s="539">
        <f t="shared" si="66"/>
        <v>0</v>
      </c>
      <c r="J149" s="475">
        <f t="shared" si="69"/>
        <v>0</v>
      </c>
      <c r="K149" s="475"/>
      <c r="L149" s="484"/>
      <c r="M149" s="475">
        <f t="shared" si="70"/>
        <v>0</v>
      </c>
      <c r="N149" s="484"/>
      <c r="O149" s="475">
        <f t="shared" si="71"/>
        <v>0</v>
      </c>
      <c r="P149" s="475">
        <f t="shared" si="72"/>
        <v>0</v>
      </c>
    </row>
    <row r="150" spans="2:16" ht="12.5">
      <c r="B150" s="160" t="str">
        <f t="shared" si="43"/>
        <v/>
      </c>
      <c r="C150" s="469">
        <f>IF(D93="","-",+C149+1)</f>
        <v>2060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67"/>
        <v>0</v>
      </c>
      <c r="G150" s="482">
        <f t="shared" si="68"/>
        <v>0</v>
      </c>
      <c r="H150" s="483">
        <f t="shared" si="65"/>
        <v>0</v>
      </c>
      <c r="I150" s="539">
        <f t="shared" si="66"/>
        <v>0</v>
      </c>
      <c r="J150" s="475">
        <f t="shared" si="69"/>
        <v>0</v>
      </c>
      <c r="K150" s="475"/>
      <c r="L150" s="484"/>
      <c r="M150" s="475">
        <f t="shared" si="70"/>
        <v>0</v>
      </c>
      <c r="N150" s="484"/>
      <c r="O150" s="475">
        <f t="shared" si="71"/>
        <v>0</v>
      </c>
      <c r="P150" s="475">
        <f t="shared" si="72"/>
        <v>0</v>
      </c>
    </row>
    <row r="151" spans="2:16" ht="12.5">
      <c r="B151" s="160" t="str">
        <f t="shared" si="43"/>
        <v/>
      </c>
      <c r="C151" s="469">
        <f>IF(D93="","-",+C150+1)</f>
        <v>2061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67"/>
        <v>0</v>
      </c>
      <c r="G151" s="482">
        <f t="shared" si="68"/>
        <v>0</v>
      </c>
      <c r="H151" s="483">
        <f t="shared" si="65"/>
        <v>0</v>
      </c>
      <c r="I151" s="539">
        <f t="shared" si="66"/>
        <v>0</v>
      </c>
      <c r="J151" s="475">
        <f t="shared" si="69"/>
        <v>0</v>
      </c>
      <c r="K151" s="475"/>
      <c r="L151" s="484"/>
      <c r="M151" s="475">
        <f t="shared" si="70"/>
        <v>0</v>
      </c>
      <c r="N151" s="484"/>
      <c r="O151" s="475">
        <f t="shared" si="71"/>
        <v>0</v>
      </c>
      <c r="P151" s="475">
        <f t="shared" si="72"/>
        <v>0</v>
      </c>
    </row>
    <row r="152" spans="2:16" ht="12.5">
      <c r="B152" s="160" t="str">
        <f t="shared" si="43"/>
        <v/>
      </c>
      <c r="C152" s="469">
        <f>IF(D93="","-",+C151+1)</f>
        <v>2062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67"/>
        <v>0</v>
      </c>
      <c r="G152" s="482">
        <f t="shared" si="68"/>
        <v>0</v>
      </c>
      <c r="H152" s="483">
        <f t="shared" si="65"/>
        <v>0</v>
      </c>
      <c r="I152" s="539">
        <f t="shared" si="66"/>
        <v>0</v>
      </c>
      <c r="J152" s="475">
        <f t="shared" si="69"/>
        <v>0</v>
      </c>
      <c r="K152" s="475"/>
      <c r="L152" s="484"/>
      <c r="M152" s="475">
        <f t="shared" si="70"/>
        <v>0</v>
      </c>
      <c r="N152" s="484"/>
      <c r="O152" s="475">
        <f t="shared" si="71"/>
        <v>0</v>
      </c>
      <c r="P152" s="475">
        <f t="shared" si="72"/>
        <v>0</v>
      </c>
    </row>
    <row r="153" spans="2:16" ht="12.5">
      <c r="B153" s="160" t="str">
        <f t="shared" si="43"/>
        <v/>
      </c>
      <c r="C153" s="469">
        <f>IF(D93="","-",+C152+1)</f>
        <v>2063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67"/>
        <v>0</v>
      </c>
      <c r="G153" s="482">
        <f t="shared" si="68"/>
        <v>0</v>
      </c>
      <c r="H153" s="483">
        <f t="shared" si="65"/>
        <v>0</v>
      </c>
      <c r="I153" s="539">
        <f t="shared" si="66"/>
        <v>0</v>
      </c>
      <c r="J153" s="475">
        <f t="shared" si="69"/>
        <v>0</v>
      </c>
      <c r="K153" s="475"/>
      <c r="L153" s="484"/>
      <c r="M153" s="475">
        <f t="shared" si="70"/>
        <v>0</v>
      </c>
      <c r="N153" s="484"/>
      <c r="O153" s="475">
        <f t="shared" si="71"/>
        <v>0</v>
      </c>
      <c r="P153" s="475">
        <f t="shared" si="72"/>
        <v>0</v>
      </c>
    </row>
    <row r="154" spans="2:16" ht="13" thickBot="1">
      <c r="B154" s="160" t="str">
        <f t="shared" si="43"/>
        <v/>
      </c>
      <c r="C154" s="486">
        <f>IF(D93="","-",+C153+1)</f>
        <v>2064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67"/>
        <v>0</v>
      </c>
      <c r="G154" s="487">
        <f t="shared" si="68"/>
        <v>0</v>
      </c>
      <c r="H154" s="487">
        <f t="shared" si="65"/>
        <v>0</v>
      </c>
      <c r="I154" s="542">
        <f t="shared" si="66"/>
        <v>0</v>
      </c>
      <c r="J154" s="492">
        <f t="shared" si="69"/>
        <v>0</v>
      </c>
      <c r="K154" s="475"/>
      <c r="L154" s="491"/>
      <c r="M154" s="492">
        <f t="shared" si="70"/>
        <v>0</v>
      </c>
      <c r="N154" s="491"/>
      <c r="O154" s="492">
        <f t="shared" si="71"/>
        <v>0</v>
      </c>
      <c r="P154" s="492">
        <f t="shared" si="72"/>
        <v>0</v>
      </c>
    </row>
    <row r="155" spans="2:16" ht="12.5">
      <c r="C155" s="344" t="s">
        <v>77</v>
      </c>
      <c r="D155" s="345"/>
      <c r="E155" s="345">
        <f>SUM(E99:E154)</f>
        <v>4688896</v>
      </c>
      <c r="F155" s="345"/>
      <c r="G155" s="345"/>
      <c r="H155" s="345">
        <f>SUM(H99:H154)</f>
        <v>17760761.984320972</v>
      </c>
      <c r="I155" s="345">
        <f>SUM(I99:I154)</f>
        <v>17760761.984320972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 t="s">
        <v>100</v>
      </c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93" t="s">
        <v>107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78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 t="s">
        <v>79</v>
      </c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69" priority="1" stopIfTrue="1" operator="equal">
      <formula>$I$10</formula>
    </cfRule>
  </conditionalFormatting>
  <conditionalFormatting sqref="C99:C154">
    <cfRule type="cellIs" dxfId="68" priority="2" stopIfTrue="1" operator="equal">
      <formula>$J$92</formula>
    </cfRule>
  </conditionalFormatting>
  <pageMargins left="0.5" right="0.25" top="1" bottom="0.25" header="0.25" footer="0.5"/>
  <pageSetup scale="47" fitToHeight="0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1"/>
  <dimension ref="A1:P162"/>
  <sheetViews>
    <sheetView topLeftCell="A65"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3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1222201.8409369821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1222201.8409369821</v>
      </c>
      <c r="O6" s="231"/>
      <c r="P6" s="231"/>
    </row>
    <row r="7" spans="1:16" ht="13.5" thickBot="1">
      <c r="C7" s="428" t="s">
        <v>46</v>
      </c>
      <c r="D7" s="429" t="s">
        <v>208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81</v>
      </c>
      <c r="E9" s="439" t="s">
        <v>374</v>
      </c>
      <c r="F9" s="439" t="s">
        <v>375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11456065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2009</v>
      </c>
      <c r="E11" s="447" t="s">
        <v>54</v>
      </c>
      <c r="F11" s="445"/>
      <c r="G11" s="194"/>
      <c r="H11" s="194"/>
      <c r="I11" s="449"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10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301475.39473684208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C17" s="469">
        <f>IF(D11= "","-",D11)</f>
        <v>2009</v>
      </c>
      <c r="D17" s="470">
        <v>9403820</v>
      </c>
      <c r="E17" s="471">
        <v>29572</v>
      </c>
      <c r="F17" s="470">
        <v>9374248</v>
      </c>
      <c r="G17" s="471">
        <v>388620</v>
      </c>
      <c r="H17" s="471">
        <v>388620</v>
      </c>
      <c r="I17" s="472">
        <f t="shared" ref="I17:I48" si="0">H17-G17</f>
        <v>0</v>
      </c>
      <c r="J17" s="472"/>
      <c r="K17" s="473">
        <v>388620</v>
      </c>
      <c r="L17" s="474">
        <f t="shared" ref="L17:L48" si="1">IF(K17&lt;&gt;0,+G17-K17,0)</f>
        <v>0</v>
      </c>
      <c r="M17" s="473">
        <v>388620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2010</v>
      </c>
      <c r="D18" s="476">
        <v>12236959</v>
      </c>
      <c r="E18" s="477">
        <v>219045</v>
      </c>
      <c r="F18" s="476">
        <v>12017913</v>
      </c>
      <c r="G18" s="477">
        <v>1953188</v>
      </c>
      <c r="H18" s="478">
        <v>1953188</v>
      </c>
      <c r="I18" s="472">
        <f t="shared" si="0"/>
        <v>0</v>
      </c>
      <c r="J18" s="472"/>
      <c r="K18" s="473">
        <f t="shared" ref="K18:K23" si="4">G18</f>
        <v>1953188</v>
      </c>
      <c r="L18" s="547">
        <f t="shared" si="1"/>
        <v>0</v>
      </c>
      <c r="M18" s="473">
        <f t="shared" ref="M18:M23" si="5">H18</f>
        <v>1953188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2011</v>
      </c>
      <c r="D19" s="476">
        <v>11983531</v>
      </c>
      <c r="E19" s="477">
        <v>239846.03921568627</v>
      </c>
      <c r="F19" s="476">
        <v>11743684.960784314</v>
      </c>
      <c r="G19" s="477">
        <v>2078241.729976739</v>
      </c>
      <c r="H19" s="478">
        <v>2078241.729976739</v>
      </c>
      <c r="I19" s="472">
        <f t="shared" si="0"/>
        <v>0</v>
      </c>
      <c r="J19" s="472"/>
      <c r="K19" s="473">
        <f t="shared" si="4"/>
        <v>2078241.729976739</v>
      </c>
      <c r="L19" s="547">
        <f t="shared" si="1"/>
        <v>0</v>
      </c>
      <c r="M19" s="473">
        <f t="shared" si="5"/>
        <v>2078241.729976739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69">
        <f>IF(D11="","-",+C19+1)</f>
        <v>2012</v>
      </c>
      <c r="D20" s="476">
        <v>11743684.960784314</v>
      </c>
      <c r="E20" s="477">
        <v>235233.61538461538</v>
      </c>
      <c r="F20" s="476">
        <v>11508451.345399698</v>
      </c>
      <c r="G20" s="477">
        <v>1837287.5395832672</v>
      </c>
      <c r="H20" s="478">
        <v>1837287.5395832672</v>
      </c>
      <c r="I20" s="472">
        <f t="shared" si="0"/>
        <v>0</v>
      </c>
      <c r="J20" s="472"/>
      <c r="K20" s="473">
        <f t="shared" si="4"/>
        <v>1837287.5395832672</v>
      </c>
      <c r="L20" s="547">
        <f t="shared" si="1"/>
        <v>0</v>
      </c>
      <c r="M20" s="473">
        <f t="shared" si="5"/>
        <v>1837287.5395832672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6"/>
        <v/>
      </c>
      <c r="C21" s="469">
        <f>IF(D12="","-",+C20+1)</f>
        <v>2013</v>
      </c>
      <c r="D21" s="476">
        <v>11508451.345399698</v>
      </c>
      <c r="E21" s="477">
        <v>235233.61538461538</v>
      </c>
      <c r="F21" s="476">
        <v>11273217.730015082</v>
      </c>
      <c r="G21" s="477">
        <v>1845125.3182548014</v>
      </c>
      <c r="H21" s="478">
        <v>1845125.3182548014</v>
      </c>
      <c r="I21" s="472">
        <v>0</v>
      </c>
      <c r="J21" s="472"/>
      <c r="K21" s="473">
        <f t="shared" si="4"/>
        <v>1845125.3182548014</v>
      </c>
      <c r="L21" s="547">
        <f t="shared" ref="L21:L26" si="7">IF(K21&lt;&gt;0,+G21-K21,0)</f>
        <v>0</v>
      </c>
      <c r="M21" s="473">
        <f t="shared" si="5"/>
        <v>1845125.3182548014</v>
      </c>
      <c r="N21" s="475">
        <f t="shared" ref="N21:N26" si="8">IF(M21&lt;&gt;0,+H21-M21,0)</f>
        <v>0</v>
      </c>
      <c r="O21" s="475">
        <f t="shared" ref="O21:O26" si="9">+N21-L21</f>
        <v>0</v>
      </c>
      <c r="P21" s="241"/>
    </row>
    <row r="22" spans="2:16" ht="12.5">
      <c r="B22" s="160" t="str">
        <f t="shared" si="6"/>
        <v/>
      </c>
      <c r="C22" s="469">
        <f>IF(D11="","-",+C21+1)</f>
        <v>2014</v>
      </c>
      <c r="D22" s="476">
        <v>11273217.730015082</v>
      </c>
      <c r="E22" s="477">
        <v>235233.61538461538</v>
      </c>
      <c r="F22" s="476">
        <v>11037984.114630466</v>
      </c>
      <c r="G22" s="477">
        <v>1754708.9063952654</v>
      </c>
      <c r="H22" s="478">
        <v>1754708.9063952654</v>
      </c>
      <c r="I22" s="472">
        <v>0</v>
      </c>
      <c r="J22" s="472"/>
      <c r="K22" s="473">
        <f t="shared" si="4"/>
        <v>1754708.9063952654</v>
      </c>
      <c r="L22" s="547">
        <f t="shared" si="7"/>
        <v>0</v>
      </c>
      <c r="M22" s="473">
        <f t="shared" si="5"/>
        <v>1754708.9063952654</v>
      </c>
      <c r="N22" s="475">
        <f t="shared" si="8"/>
        <v>0</v>
      </c>
      <c r="O22" s="475">
        <f t="shared" si="9"/>
        <v>0</v>
      </c>
      <c r="P22" s="241"/>
    </row>
    <row r="23" spans="2:16" ht="12.5">
      <c r="B23" s="160" t="str">
        <f t="shared" si="6"/>
        <v>IU</v>
      </c>
      <c r="C23" s="469">
        <f>IF(D11="","-",+C22+1)</f>
        <v>2015</v>
      </c>
      <c r="D23" s="476">
        <v>10261901.114630468</v>
      </c>
      <c r="E23" s="477">
        <v>220308.94230769231</v>
      </c>
      <c r="F23" s="476">
        <v>10041592.172322776</v>
      </c>
      <c r="G23" s="477">
        <v>1604759.8916783908</v>
      </c>
      <c r="H23" s="478">
        <v>1604759.8916783908</v>
      </c>
      <c r="I23" s="472">
        <v>0</v>
      </c>
      <c r="J23" s="472"/>
      <c r="K23" s="473">
        <f t="shared" si="4"/>
        <v>1604759.8916783908</v>
      </c>
      <c r="L23" s="547">
        <f t="shared" si="7"/>
        <v>0</v>
      </c>
      <c r="M23" s="473">
        <f t="shared" si="5"/>
        <v>1604759.8916783908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2016</v>
      </c>
      <c r="D24" s="476">
        <v>10041592.172322776</v>
      </c>
      <c r="E24" s="477">
        <v>220308.94230769231</v>
      </c>
      <c r="F24" s="476">
        <v>9821283.2300150841</v>
      </c>
      <c r="G24" s="477">
        <v>1508464.8564289983</v>
      </c>
      <c r="H24" s="478">
        <v>1508464.8564289983</v>
      </c>
      <c r="I24" s="472">
        <f t="shared" si="0"/>
        <v>0</v>
      </c>
      <c r="J24" s="472"/>
      <c r="K24" s="473">
        <f t="shared" ref="K24:K29" si="10">G24</f>
        <v>1508464.8564289983</v>
      </c>
      <c r="L24" s="547">
        <f t="shared" si="7"/>
        <v>0</v>
      </c>
      <c r="M24" s="473">
        <f t="shared" ref="M24:M29" si="11">H24</f>
        <v>1508464.8564289983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6"/>
        <v/>
      </c>
      <c r="C25" s="469">
        <f>IF(D11="","-",+C24+1)</f>
        <v>2017</v>
      </c>
      <c r="D25" s="476">
        <v>9821283.2300150841</v>
      </c>
      <c r="E25" s="477">
        <v>249044.89130434784</v>
      </c>
      <c r="F25" s="476">
        <v>9572238.3387107365</v>
      </c>
      <c r="G25" s="477">
        <v>1467214.2093174371</v>
      </c>
      <c r="H25" s="478">
        <v>1467214.2093174371</v>
      </c>
      <c r="I25" s="472">
        <f t="shared" si="0"/>
        <v>0</v>
      </c>
      <c r="J25" s="472"/>
      <c r="K25" s="473">
        <f t="shared" si="10"/>
        <v>1467214.2093174371</v>
      </c>
      <c r="L25" s="547">
        <f t="shared" si="7"/>
        <v>0</v>
      </c>
      <c r="M25" s="473">
        <f t="shared" si="11"/>
        <v>1467214.2093174371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2018</v>
      </c>
      <c r="D26" s="476">
        <v>9572238.3387107365</v>
      </c>
      <c r="E26" s="477">
        <v>254579.22222222222</v>
      </c>
      <c r="F26" s="476">
        <v>9317659.1164885145</v>
      </c>
      <c r="G26" s="477">
        <v>1385696.2768787597</v>
      </c>
      <c r="H26" s="478">
        <v>1385696.2768787597</v>
      </c>
      <c r="I26" s="472">
        <f t="shared" si="0"/>
        <v>0</v>
      </c>
      <c r="J26" s="472"/>
      <c r="K26" s="473">
        <f t="shared" si="10"/>
        <v>1385696.2768787597</v>
      </c>
      <c r="L26" s="547">
        <f t="shared" si="7"/>
        <v>0</v>
      </c>
      <c r="M26" s="473">
        <f t="shared" si="11"/>
        <v>1385696.2768787597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6"/>
        <v/>
      </c>
      <c r="C27" s="469">
        <f>IF(D11="","-",+C26+1)</f>
        <v>2019</v>
      </c>
      <c r="D27" s="476">
        <v>9317659.1164885145</v>
      </c>
      <c r="E27" s="477">
        <v>286401.625</v>
      </c>
      <c r="F27" s="476">
        <v>9031257.4914885145</v>
      </c>
      <c r="G27" s="477">
        <v>1310790.7332032048</v>
      </c>
      <c r="H27" s="478">
        <v>1310790.7332032048</v>
      </c>
      <c r="I27" s="472">
        <f t="shared" si="0"/>
        <v>0</v>
      </c>
      <c r="J27" s="472"/>
      <c r="K27" s="473">
        <f t="shared" si="10"/>
        <v>1310790.7332032048</v>
      </c>
      <c r="L27" s="547">
        <f t="shared" ref="L27" si="12">IF(K27&lt;&gt;0,+G27-K27,0)</f>
        <v>0</v>
      </c>
      <c r="M27" s="473">
        <f t="shared" si="11"/>
        <v>1310790.7332032048</v>
      </c>
      <c r="N27" s="475">
        <f t="shared" ref="N27" si="13">IF(M27&lt;&gt;0,+H27-M27,0)</f>
        <v>0</v>
      </c>
      <c r="O27" s="475">
        <f t="shared" ref="O27" si="14">+N27-L27</f>
        <v>0</v>
      </c>
      <c r="P27" s="241"/>
    </row>
    <row r="28" spans="2:16" ht="12.5">
      <c r="B28" s="160" t="str">
        <f t="shared" si="6"/>
        <v>IU</v>
      </c>
      <c r="C28" s="469">
        <f>IF(D11="","-",+C27+1)</f>
        <v>2020</v>
      </c>
      <c r="D28" s="476">
        <v>9012688</v>
      </c>
      <c r="E28" s="477">
        <v>272763.45238095237</v>
      </c>
      <c r="F28" s="476">
        <v>8739924.5476190485</v>
      </c>
      <c r="G28" s="477">
        <v>1231446.9312681679</v>
      </c>
      <c r="H28" s="478">
        <v>1231446.9312681679</v>
      </c>
      <c r="I28" s="472">
        <f t="shared" si="0"/>
        <v>0</v>
      </c>
      <c r="J28" s="472"/>
      <c r="K28" s="473">
        <f t="shared" si="10"/>
        <v>1231446.9312681679</v>
      </c>
      <c r="L28" s="547">
        <f t="shared" ref="L28" si="15">IF(K28&lt;&gt;0,+G28-K28,0)</f>
        <v>0</v>
      </c>
      <c r="M28" s="473">
        <f t="shared" si="11"/>
        <v>1231446.9312681679</v>
      </c>
      <c r="N28" s="475">
        <f t="shared" si="2"/>
        <v>0</v>
      </c>
      <c r="O28" s="475">
        <f t="shared" si="3"/>
        <v>0</v>
      </c>
      <c r="P28" s="241"/>
    </row>
    <row r="29" spans="2:16" ht="12.5">
      <c r="B29" s="160" t="str">
        <f t="shared" si="6"/>
        <v>IU</v>
      </c>
      <c r="C29" s="469">
        <f>IF(D11="","-",+C28+1)</f>
        <v>2021</v>
      </c>
      <c r="D29" s="476">
        <v>8758494.0391075611</v>
      </c>
      <c r="E29" s="477">
        <v>266420.11627906974</v>
      </c>
      <c r="F29" s="476">
        <v>8492073.9228284918</v>
      </c>
      <c r="G29" s="477">
        <v>1182049.5546801805</v>
      </c>
      <c r="H29" s="478">
        <v>1182049.5546801805</v>
      </c>
      <c r="I29" s="472">
        <f t="shared" si="0"/>
        <v>0</v>
      </c>
      <c r="J29" s="472"/>
      <c r="K29" s="473">
        <f t="shared" si="10"/>
        <v>1182049.5546801805</v>
      </c>
      <c r="L29" s="547">
        <f t="shared" ref="L29" si="16">IF(K29&lt;&gt;0,+G29-K29,0)</f>
        <v>0</v>
      </c>
      <c r="M29" s="473">
        <f t="shared" si="11"/>
        <v>1182049.5546801805</v>
      </c>
      <c r="N29" s="475">
        <f t="shared" si="2"/>
        <v>0</v>
      </c>
      <c r="O29" s="475">
        <f t="shared" si="3"/>
        <v>0</v>
      </c>
      <c r="P29" s="241"/>
    </row>
    <row r="30" spans="2:16" ht="12.5">
      <c r="B30" s="160" t="str">
        <f t="shared" si="6"/>
        <v/>
      </c>
      <c r="C30" s="469">
        <f>IF(D11="","-",+C29+1)</f>
        <v>2022</v>
      </c>
      <c r="D30" s="476">
        <v>8492073.9228284918</v>
      </c>
      <c r="E30" s="477">
        <v>272763.45238095237</v>
      </c>
      <c r="F30" s="476">
        <v>8219310.4704475394</v>
      </c>
      <c r="G30" s="477">
        <v>1158897.5538764906</v>
      </c>
      <c r="H30" s="478">
        <v>1158897.5538764906</v>
      </c>
      <c r="I30" s="472">
        <f t="shared" si="0"/>
        <v>0</v>
      </c>
      <c r="J30" s="472"/>
      <c r="K30" s="473">
        <f t="shared" ref="K30" si="17">G30</f>
        <v>1158897.5538764906</v>
      </c>
      <c r="L30" s="547">
        <f t="shared" ref="L30" si="18">IF(K30&lt;&gt;0,+G30-K30,0)</f>
        <v>0</v>
      </c>
      <c r="M30" s="473">
        <f t="shared" ref="M30" si="19">H30</f>
        <v>1158897.5538764906</v>
      </c>
      <c r="N30" s="475">
        <f t="shared" si="2"/>
        <v>0</v>
      </c>
      <c r="O30" s="475">
        <f t="shared" si="3"/>
        <v>0</v>
      </c>
      <c r="P30" s="241"/>
    </row>
    <row r="31" spans="2:16" ht="12.5">
      <c r="B31" s="160" t="str">
        <f t="shared" si="6"/>
        <v/>
      </c>
      <c r="C31" s="469">
        <f>IF(D11="","-",+C30+1)</f>
        <v>2023</v>
      </c>
      <c r="D31" s="476">
        <v>8219310.4704475394</v>
      </c>
      <c r="E31" s="477">
        <v>293745.25641025644</v>
      </c>
      <c r="F31" s="476">
        <v>7925565.2140372833</v>
      </c>
      <c r="G31" s="477">
        <v>1239732.4037197519</v>
      </c>
      <c r="H31" s="478">
        <v>1239732.4037197519</v>
      </c>
      <c r="I31" s="472">
        <f t="shared" si="0"/>
        <v>0</v>
      </c>
      <c r="J31" s="472"/>
      <c r="K31" s="473">
        <f t="shared" ref="K31" si="20">G31</f>
        <v>1239732.4037197519</v>
      </c>
      <c r="L31" s="547">
        <f t="shared" ref="L31" si="21">IF(K31&lt;&gt;0,+G31-K31,0)</f>
        <v>0</v>
      </c>
      <c r="M31" s="473">
        <f t="shared" ref="M31" si="22">H31</f>
        <v>1239732.4037197519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6"/>
        <v/>
      </c>
      <c r="C32" s="469">
        <f>IF(D11="","-",+C31+1)</f>
        <v>2024</v>
      </c>
      <c r="D32" s="476">
        <v>7925565.2140372833</v>
      </c>
      <c r="E32" s="477">
        <v>293745.25641025644</v>
      </c>
      <c r="F32" s="476">
        <v>7631819.9576270273</v>
      </c>
      <c r="G32" s="477">
        <v>1222201.8409369821</v>
      </c>
      <c r="H32" s="478">
        <v>1222201.8409369821</v>
      </c>
      <c r="I32" s="472">
        <f t="shared" si="0"/>
        <v>0</v>
      </c>
      <c r="J32" s="472"/>
      <c r="K32" s="473">
        <f t="shared" ref="K32" si="23">G32</f>
        <v>1222201.8409369821</v>
      </c>
      <c r="L32" s="547">
        <f t="shared" ref="L32" si="24">IF(K32&lt;&gt;0,+G32-K32,0)</f>
        <v>0</v>
      </c>
      <c r="M32" s="473">
        <f t="shared" ref="M32" si="25">H32</f>
        <v>1222201.8409369821</v>
      </c>
      <c r="N32" s="475">
        <f t="shared" ref="N32" si="26">IF(M32&lt;&gt;0,+H32-M32,0)</f>
        <v>0</v>
      </c>
      <c r="O32" s="475">
        <f t="shared" ref="O32" si="27">+N32-L32</f>
        <v>0</v>
      </c>
      <c r="P32" s="241"/>
    </row>
    <row r="33" spans="2:16" ht="12.5">
      <c r="B33" s="160" t="str">
        <f t="shared" si="6"/>
        <v/>
      </c>
      <c r="C33" s="469">
        <f>IF(D11="","-",+C32+1)</f>
        <v>2025</v>
      </c>
      <c r="D33" s="482">
        <f>IF(F32+SUM(E$17:E32)=D$10,F32,D$10-SUM(E$17:E32))</f>
        <v>7631819.9576270273</v>
      </c>
      <c r="E33" s="481">
        <f>IF(+I14&lt;F32,I14,D33)</f>
        <v>301475.39473684208</v>
      </c>
      <c r="F33" s="482">
        <f t="shared" ref="F33:F72" si="28">+D33-E33</f>
        <v>7330344.562890185</v>
      </c>
      <c r="G33" s="483">
        <f t="shared" ref="G33:G72" si="29">(D33+F33)/2*I$12+E33</f>
        <v>1152375.0943169915</v>
      </c>
      <c r="H33" s="452">
        <f t="shared" ref="H33:H72" si="30">+(D33+F33)/2*I$13+E33</f>
        <v>1152375.0943169915</v>
      </c>
      <c r="I33" s="472">
        <f t="shared" si="0"/>
        <v>0</v>
      </c>
      <c r="J33" s="472"/>
      <c r="K33" s="484"/>
      <c r="L33" s="475">
        <f t="shared" si="1"/>
        <v>0</v>
      </c>
      <c r="M33" s="484"/>
      <c r="N33" s="475">
        <f t="shared" si="2"/>
        <v>0</v>
      </c>
      <c r="O33" s="475">
        <f t="shared" si="3"/>
        <v>0</v>
      </c>
      <c r="P33" s="241"/>
    </row>
    <row r="34" spans="2:16" ht="12.5">
      <c r="B34" s="160" t="str">
        <f t="shared" si="6"/>
        <v/>
      </c>
      <c r="C34" s="469">
        <f>IF(D11="","-",+C33+1)</f>
        <v>2026</v>
      </c>
      <c r="D34" s="482">
        <f>IF(F33+SUM(E$17:E33)=D$10,F33,D$10-SUM(E$17:E33))</f>
        <v>7330344.562890185</v>
      </c>
      <c r="E34" s="481">
        <f>IF(+I14&lt;F33,I14,D34)</f>
        <v>301475.39473684208</v>
      </c>
      <c r="F34" s="482">
        <f t="shared" si="28"/>
        <v>7028869.1681533428</v>
      </c>
      <c r="G34" s="483">
        <f t="shared" si="29"/>
        <v>1118085.2263689926</v>
      </c>
      <c r="H34" s="452">
        <f t="shared" si="30"/>
        <v>1118085.2263689926</v>
      </c>
      <c r="I34" s="472">
        <f t="shared" si="0"/>
        <v>0</v>
      </c>
      <c r="J34" s="472"/>
      <c r="K34" s="484"/>
      <c r="L34" s="475">
        <f t="shared" si="1"/>
        <v>0</v>
      </c>
      <c r="M34" s="484"/>
      <c r="N34" s="475">
        <f t="shared" si="2"/>
        <v>0</v>
      </c>
      <c r="O34" s="475">
        <f t="shared" si="3"/>
        <v>0</v>
      </c>
      <c r="P34" s="241"/>
    </row>
    <row r="35" spans="2:16" ht="12.5">
      <c r="B35" s="160" t="str">
        <f t="shared" si="6"/>
        <v/>
      </c>
      <c r="C35" s="469">
        <f>IF(D11="","-",+C34+1)</f>
        <v>2027</v>
      </c>
      <c r="D35" s="482">
        <f>IF(F34+SUM(E$17:E34)=D$10,F34,D$10-SUM(E$17:E34))</f>
        <v>7028869.1681533428</v>
      </c>
      <c r="E35" s="481">
        <f>IF(+I14&lt;F34,I14,D35)</f>
        <v>301475.39473684208</v>
      </c>
      <c r="F35" s="482">
        <f t="shared" si="28"/>
        <v>6727393.7734165005</v>
      </c>
      <c r="G35" s="483">
        <f t="shared" si="29"/>
        <v>1083795.3584209934</v>
      </c>
      <c r="H35" s="452">
        <f t="shared" si="30"/>
        <v>1083795.3584209934</v>
      </c>
      <c r="I35" s="472">
        <f t="shared" si="0"/>
        <v>0</v>
      </c>
      <c r="J35" s="472"/>
      <c r="K35" s="484"/>
      <c r="L35" s="475">
        <f t="shared" si="1"/>
        <v>0</v>
      </c>
      <c r="M35" s="484"/>
      <c r="N35" s="475">
        <f t="shared" si="2"/>
        <v>0</v>
      </c>
      <c r="O35" s="475">
        <f t="shared" si="3"/>
        <v>0</v>
      </c>
      <c r="P35" s="241"/>
    </row>
    <row r="36" spans="2:16" ht="12.5">
      <c r="B36" s="160" t="str">
        <f t="shared" si="6"/>
        <v/>
      </c>
      <c r="C36" s="469">
        <f>IF(D11="","-",+C35+1)</f>
        <v>2028</v>
      </c>
      <c r="D36" s="482">
        <f>IF(F35+SUM(E$17:E35)=D$10,F35,D$10-SUM(E$17:E35))</f>
        <v>6727393.7734165005</v>
      </c>
      <c r="E36" s="481">
        <f>IF(+I14&lt;F35,I14,D36)</f>
        <v>301475.39473684208</v>
      </c>
      <c r="F36" s="482">
        <f t="shared" si="28"/>
        <v>6425918.3786796583</v>
      </c>
      <c r="G36" s="483">
        <f t="shared" si="29"/>
        <v>1049505.4904729945</v>
      </c>
      <c r="H36" s="452">
        <f t="shared" si="30"/>
        <v>1049505.4904729945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6"/>
        <v/>
      </c>
      <c r="C37" s="469">
        <f>IF(D11="","-",+C36+1)</f>
        <v>2029</v>
      </c>
      <c r="D37" s="482">
        <f>IF(F36+SUM(E$17:E36)=D$10,F36,D$10-SUM(E$17:E36))</f>
        <v>6425918.3786796583</v>
      </c>
      <c r="E37" s="481">
        <f>IF(+I14&lt;F36,I14,D37)</f>
        <v>301475.39473684208</v>
      </c>
      <c r="F37" s="482">
        <f t="shared" si="28"/>
        <v>6124442.983942816</v>
      </c>
      <c r="G37" s="483">
        <f t="shared" si="29"/>
        <v>1015215.6225249954</v>
      </c>
      <c r="H37" s="452">
        <f t="shared" si="30"/>
        <v>1015215.6225249954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6"/>
        <v/>
      </c>
      <c r="C38" s="469">
        <f>IF(D11="","-",+C37+1)</f>
        <v>2030</v>
      </c>
      <c r="D38" s="482">
        <f>IF(F37+SUM(E$17:E37)=D$10,F37,D$10-SUM(E$17:E37))</f>
        <v>6124442.983942816</v>
      </c>
      <c r="E38" s="481">
        <f>IF(+I14&lt;F37,I14,D38)</f>
        <v>301475.39473684208</v>
      </c>
      <c r="F38" s="482">
        <f t="shared" si="28"/>
        <v>5822967.5892059738</v>
      </c>
      <c r="G38" s="483">
        <f t="shared" si="29"/>
        <v>980925.75457699643</v>
      </c>
      <c r="H38" s="452">
        <f t="shared" si="30"/>
        <v>980925.75457699643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6"/>
        <v/>
      </c>
      <c r="C39" s="469">
        <f>IF(D11="","-",+C38+1)</f>
        <v>2031</v>
      </c>
      <c r="D39" s="482">
        <f>IF(F38+SUM(E$17:E38)=D$10,F38,D$10-SUM(E$17:E38))</f>
        <v>5822967.5892059738</v>
      </c>
      <c r="E39" s="481">
        <f>IF(+I14&lt;F38,I14,D39)</f>
        <v>301475.39473684208</v>
      </c>
      <c r="F39" s="482">
        <f t="shared" si="28"/>
        <v>5521492.1944691315</v>
      </c>
      <c r="G39" s="483">
        <f t="shared" si="29"/>
        <v>946635.88662899705</v>
      </c>
      <c r="H39" s="452">
        <f t="shared" si="30"/>
        <v>946635.88662899705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6"/>
        <v/>
      </c>
      <c r="C40" s="469">
        <f>IF(D11="","-",+C39+1)</f>
        <v>2032</v>
      </c>
      <c r="D40" s="482">
        <f>IF(F39+SUM(E$17:E39)=D$10,F39,D$10-SUM(E$17:E39))</f>
        <v>5521492.1944691315</v>
      </c>
      <c r="E40" s="481">
        <f>IF(+I14&lt;F39,I14,D40)</f>
        <v>301475.39473684208</v>
      </c>
      <c r="F40" s="482">
        <f t="shared" si="28"/>
        <v>5220016.7997322893</v>
      </c>
      <c r="G40" s="483">
        <f t="shared" si="29"/>
        <v>912346.01868099812</v>
      </c>
      <c r="H40" s="452">
        <f t="shared" si="30"/>
        <v>912346.01868099812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6"/>
        <v/>
      </c>
      <c r="C41" s="469">
        <f>IF(D11="","-",+C40+1)</f>
        <v>2033</v>
      </c>
      <c r="D41" s="482">
        <f>IF(F40+SUM(E$17:E40)=D$10,F40,D$10-SUM(E$17:E40))</f>
        <v>5220016.7997322893</v>
      </c>
      <c r="E41" s="481">
        <f>IF(+I14&lt;F40,I14,D41)</f>
        <v>301475.39473684208</v>
      </c>
      <c r="F41" s="482">
        <f t="shared" si="28"/>
        <v>4918541.404995447</v>
      </c>
      <c r="G41" s="483">
        <f t="shared" si="29"/>
        <v>878056.15073299897</v>
      </c>
      <c r="H41" s="452">
        <f t="shared" si="30"/>
        <v>878056.15073299897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6"/>
        <v/>
      </c>
      <c r="C42" s="469">
        <f>IF(D11="","-",+C41+1)</f>
        <v>2034</v>
      </c>
      <c r="D42" s="482">
        <f>IF(F41+SUM(E$17:E41)=D$10,F41,D$10-SUM(E$17:E41))</f>
        <v>4918541.404995447</v>
      </c>
      <c r="E42" s="481">
        <f>IF(+I14&lt;F41,I14,D42)</f>
        <v>301475.39473684208</v>
      </c>
      <c r="F42" s="482">
        <f t="shared" si="28"/>
        <v>4617066.0102586048</v>
      </c>
      <c r="G42" s="483">
        <f t="shared" si="29"/>
        <v>843766.28278500005</v>
      </c>
      <c r="H42" s="452">
        <f t="shared" si="30"/>
        <v>843766.28278500005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6"/>
        <v/>
      </c>
      <c r="C43" s="469">
        <f>IF(D11="","-",+C42+1)</f>
        <v>2035</v>
      </c>
      <c r="D43" s="482">
        <f>IF(F42+SUM(E$17:E42)=D$10,F42,D$10-SUM(E$17:E42))</f>
        <v>4617066.0102586048</v>
      </c>
      <c r="E43" s="481">
        <f>IF(+I14&lt;F42,I14,D43)</f>
        <v>301475.39473684208</v>
      </c>
      <c r="F43" s="482">
        <f t="shared" si="28"/>
        <v>4315590.6155217625</v>
      </c>
      <c r="G43" s="483">
        <f t="shared" si="29"/>
        <v>809476.41483700089</v>
      </c>
      <c r="H43" s="452">
        <f t="shared" si="30"/>
        <v>809476.41483700089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6"/>
        <v/>
      </c>
      <c r="C44" s="469">
        <f>IF(D11="","-",+C43+1)</f>
        <v>2036</v>
      </c>
      <c r="D44" s="482">
        <f>IF(F43+SUM(E$17:E43)=D$10,F43,D$10-SUM(E$17:E43))</f>
        <v>4315590.6155217625</v>
      </c>
      <c r="E44" s="481">
        <f>IF(+I14&lt;F43,I14,D44)</f>
        <v>301475.39473684208</v>
      </c>
      <c r="F44" s="482">
        <f t="shared" si="28"/>
        <v>4014115.2207849203</v>
      </c>
      <c r="G44" s="483">
        <f t="shared" si="29"/>
        <v>775186.54688900174</v>
      </c>
      <c r="H44" s="452">
        <f t="shared" si="30"/>
        <v>775186.54688900174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6"/>
        <v/>
      </c>
      <c r="C45" s="469">
        <f>IF(D11="","-",+C44+1)</f>
        <v>2037</v>
      </c>
      <c r="D45" s="482">
        <f>IF(F44+SUM(E$17:E44)=D$10,F44,D$10-SUM(E$17:E44))</f>
        <v>4014115.2207849203</v>
      </c>
      <c r="E45" s="481">
        <f>IF(+I14&lt;F44,I14,D45)</f>
        <v>301475.39473684208</v>
      </c>
      <c r="F45" s="482">
        <f t="shared" si="28"/>
        <v>3712639.826048078</v>
      </c>
      <c r="G45" s="483">
        <f t="shared" si="29"/>
        <v>740896.6789410027</v>
      </c>
      <c r="H45" s="452">
        <f t="shared" si="30"/>
        <v>740896.6789410027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6"/>
        <v/>
      </c>
      <c r="C46" s="469">
        <f>IF(D11="","-",+C45+1)</f>
        <v>2038</v>
      </c>
      <c r="D46" s="482">
        <f>IF(F45+SUM(E$17:E45)=D$10,F45,D$10-SUM(E$17:E45))</f>
        <v>3712639.826048078</v>
      </c>
      <c r="E46" s="481">
        <f>IF(+I14&lt;F45,I14,D46)</f>
        <v>301475.39473684208</v>
      </c>
      <c r="F46" s="482">
        <f t="shared" si="28"/>
        <v>3411164.4313112358</v>
      </c>
      <c r="G46" s="483">
        <f t="shared" si="29"/>
        <v>706606.81099300366</v>
      </c>
      <c r="H46" s="452">
        <f t="shared" si="30"/>
        <v>706606.81099300366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6"/>
        <v/>
      </c>
      <c r="C47" s="469">
        <f>IF(D11="","-",+C46+1)</f>
        <v>2039</v>
      </c>
      <c r="D47" s="482">
        <f>IF(F46+SUM(E$17:E46)=D$10,F46,D$10-SUM(E$17:E46))</f>
        <v>3411164.4313112358</v>
      </c>
      <c r="E47" s="481">
        <f>IF(+I14&lt;F46,I14,D47)</f>
        <v>301475.39473684208</v>
      </c>
      <c r="F47" s="482">
        <f t="shared" si="28"/>
        <v>3109689.0365743935</v>
      </c>
      <c r="G47" s="483">
        <f t="shared" si="29"/>
        <v>672316.9430450045</v>
      </c>
      <c r="H47" s="452">
        <f t="shared" si="30"/>
        <v>672316.9430450045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6"/>
        <v/>
      </c>
      <c r="C48" s="469">
        <f>IF(D11="","-",+C47+1)</f>
        <v>2040</v>
      </c>
      <c r="D48" s="482">
        <f>IF(F47+SUM(E$17:E47)=D$10,F47,D$10-SUM(E$17:E47))</f>
        <v>3109689.0365743935</v>
      </c>
      <c r="E48" s="481">
        <f>IF(+I14&lt;F47,I14,D48)</f>
        <v>301475.39473684208</v>
      </c>
      <c r="F48" s="482">
        <f t="shared" si="28"/>
        <v>2808213.6418375513</v>
      </c>
      <c r="G48" s="483">
        <f t="shared" si="29"/>
        <v>638027.07509700547</v>
      </c>
      <c r="H48" s="452">
        <f t="shared" si="30"/>
        <v>638027.07509700547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6"/>
        <v/>
      </c>
      <c r="C49" s="469">
        <f>IF(D11="","-",+C48+1)</f>
        <v>2041</v>
      </c>
      <c r="D49" s="482">
        <f>IF(F48+SUM(E$17:E48)=D$10,F48,D$10-SUM(E$17:E48))</f>
        <v>2808213.6418375513</v>
      </c>
      <c r="E49" s="481">
        <f>IF(+I14&lt;F48,I14,D49)</f>
        <v>301475.39473684208</v>
      </c>
      <c r="F49" s="482">
        <f t="shared" si="28"/>
        <v>2506738.247100709</v>
      </c>
      <c r="G49" s="483">
        <f t="shared" si="29"/>
        <v>603737.20714900643</v>
      </c>
      <c r="H49" s="452">
        <f t="shared" si="30"/>
        <v>603737.20714900643</v>
      </c>
      <c r="I49" s="472">
        <f t="shared" ref="I49:I72" si="31">H303-G303</f>
        <v>0</v>
      </c>
      <c r="J49" s="472"/>
      <c r="K49" s="484"/>
      <c r="L49" s="475">
        <f t="shared" ref="L49:L72" si="32">IF(K303&lt;&gt;0,+G303-K303,0)</f>
        <v>0</v>
      </c>
      <c r="M49" s="484"/>
      <c r="N49" s="475">
        <f t="shared" ref="N49:N72" si="33">IF(M303&lt;&gt;0,+H303-M303,0)</f>
        <v>0</v>
      </c>
      <c r="O49" s="475">
        <f t="shared" ref="O49:O72" si="34">+N303-L303</f>
        <v>0</v>
      </c>
      <c r="P49" s="241"/>
    </row>
    <row r="50" spans="2:16" ht="12.5">
      <c r="B50" s="160" t="str">
        <f t="shared" si="6"/>
        <v/>
      </c>
      <c r="C50" s="469">
        <f>IF(D11="","-",+C49+1)</f>
        <v>2042</v>
      </c>
      <c r="D50" s="482">
        <f>IF(F49+SUM(E$17:E49)=D$10,F49,D$10-SUM(E$17:E49))</f>
        <v>2506738.247100709</v>
      </c>
      <c r="E50" s="481">
        <f>IF(+I14&lt;F49,I14,D50)</f>
        <v>301475.39473684208</v>
      </c>
      <c r="F50" s="482">
        <f t="shared" si="28"/>
        <v>2205262.8523638668</v>
      </c>
      <c r="G50" s="483">
        <f t="shared" si="29"/>
        <v>569447.33920100727</v>
      </c>
      <c r="H50" s="452">
        <f t="shared" si="30"/>
        <v>569447.33920100727</v>
      </c>
      <c r="I50" s="472">
        <f t="shared" si="31"/>
        <v>0</v>
      </c>
      <c r="J50" s="472"/>
      <c r="K50" s="484"/>
      <c r="L50" s="475">
        <f t="shared" si="32"/>
        <v>0</v>
      </c>
      <c r="M50" s="484"/>
      <c r="N50" s="475">
        <f t="shared" si="33"/>
        <v>0</v>
      </c>
      <c r="O50" s="475">
        <f t="shared" si="34"/>
        <v>0</v>
      </c>
      <c r="P50" s="241"/>
    </row>
    <row r="51" spans="2:16" ht="12.5">
      <c r="B51" s="160" t="str">
        <f t="shared" si="6"/>
        <v/>
      </c>
      <c r="C51" s="469">
        <f>IF(D11="","-",+C50+1)</f>
        <v>2043</v>
      </c>
      <c r="D51" s="482">
        <f>IF(F50+SUM(E$17:E50)=D$10,F50,D$10-SUM(E$17:E50))</f>
        <v>2205262.8523638668</v>
      </c>
      <c r="E51" s="481">
        <f>IF(+I14&lt;F50,I14,D51)</f>
        <v>301475.39473684208</v>
      </c>
      <c r="F51" s="482">
        <f t="shared" si="28"/>
        <v>1903787.4576270247</v>
      </c>
      <c r="G51" s="483">
        <f t="shared" si="29"/>
        <v>535157.47125300823</v>
      </c>
      <c r="H51" s="452">
        <f t="shared" si="30"/>
        <v>535157.47125300823</v>
      </c>
      <c r="I51" s="472">
        <f t="shared" si="31"/>
        <v>0</v>
      </c>
      <c r="J51" s="472"/>
      <c r="K51" s="484"/>
      <c r="L51" s="475">
        <f t="shared" si="32"/>
        <v>0</v>
      </c>
      <c r="M51" s="484"/>
      <c r="N51" s="475">
        <f t="shared" si="33"/>
        <v>0</v>
      </c>
      <c r="O51" s="475">
        <f t="shared" si="34"/>
        <v>0</v>
      </c>
      <c r="P51" s="241"/>
    </row>
    <row r="52" spans="2:16" ht="12.5">
      <c r="B52" s="160" t="str">
        <f t="shared" si="6"/>
        <v/>
      </c>
      <c r="C52" s="469">
        <f>IF(D11="","-",+C51+1)</f>
        <v>2044</v>
      </c>
      <c r="D52" s="482">
        <f>IF(F51+SUM(E$17:E51)=D$10,F51,D$10-SUM(E$17:E51))</f>
        <v>1903787.4576270247</v>
      </c>
      <c r="E52" s="481">
        <f>IF(+I14&lt;F51,I14,D52)</f>
        <v>301475.39473684208</v>
      </c>
      <c r="F52" s="482">
        <f t="shared" si="28"/>
        <v>1602312.0628901827</v>
      </c>
      <c r="G52" s="483">
        <f t="shared" si="29"/>
        <v>500867.60330500919</v>
      </c>
      <c r="H52" s="452">
        <f t="shared" si="30"/>
        <v>500867.60330500919</v>
      </c>
      <c r="I52" s="472">
        <f t="shared" si="31"/>
        <v>0</v>
      </c>
      <c r="J52" s="472"/>
      <c r="K52" s="484"/>
      <c r="L52" s="475">
        <f t="shared" si="32"/>
        <v>0</v>
      </c>
      <c r="M52" s="484"/>
      <c r="N52" s="475">
        <f t="shared" si="33"/>
        <v>0</v>
      </c>
      <c r="O52" s="475">
        <f t="shared" si="34"/>
        <v>0</v>
      </c>
      <c r="P52" s="241"/>
    </row>
    <row r="53" spans="2:16" ht="12.5">
      <c r="B53" s="160" t="str">
        <f t="shared" si="6"/>
        <v/>
      </c>
      <c r="C53" s="469">
        <f>IF(D11="","-",+C52+1)</f>
        <v>2045</v>
      </c>
      <c r="D53" s="482">
        <f>IF(F52+SUM(E$17:E52)=D$10,F52,D$10-SUM(E$17:E52))</f>
        <v>1602312.0628901827</v>
      </c>
      <c r="E53" s="481">
        <f>IF(+I14&lt;F52,I14,D53)</f>
        <v>301475.39473684208</v>
      </c>
      <c r="F53" s="482">
        <f t="shared" si="28"/>
        <v>1300836.6681533407</v>
      </c>
      <c r="G53" s="483">
        <f t="shared" si="29"/>
        <v>466577.73535701015</v>
      </c>
      <c r="H53" s="452">
        <f t="shared" si="30"/>
        <v>466577.73535701015</v>
      </c>
      <c r="I53" s="472">
        <f t="shared" si="31"/>
        <v>0</v>
      </c>
      <c r="J53" s="472"/>
      <c r="K53" s="484"/>
      <c r="L53" s="475">
        <f t="shared" si="32"/>
        <v>0</v>
      </c>
      <c r="M53" s="484"/>
      <c r="N53" s="475">
        <f t="shared" si="33"/>
        <v>0</v>
      </c>
      <c r="O53" s="475">
        <f t="shared" si="34"/>
        <v>0</v>
      </c>
      <c r="P53" s="241"/>
    </row>
    <row r="54" spans="2:16" ht="12.5">
      <c r="B54" s="160" t="str">
        <f t="shared" si="6"/>
        <v/>
      </c>
      <c r="C54" s="469">
        <f>IF(D11="","-",+C53+1)</f>
        <v>2046</v>
      </c>
      <c r="D54" s="482">
        <f>IF(F53+SUM(E$17:E53)=D$10,F53,D$10-SUM(E$17:E53))</f>
        <v>1300836.6681533407</v>
      </c>
      <c r="E54" s="481">
        <f>IF(+I14&lt;F53,I14,D54)</f>
        <v>301475.39473684208</v>
      </c>
      <c r="F54" s="482">
        <f t="shared" si="28"/>
        <v>999361.27341649868</v>
      </c>
      <c r="G54" s="483">
        <f t="shared" si="29"/>
        <v>432287.86740901112</v>
      </c>
      <c r="H54" s="452">
        <f t="shared" si="30"/>
        <v>432287.86740901112</v>
      </c>
      <c r="I54" s="472">
        <f t="shared" si="31"/>
        <v>0</v>
      </c>
      <c r="J54" s="472"/>
      <c r="K54" s="484"/>
      <c r="L54" s="475">
        <f t="shared" si="32"/>
        <v>0</v>
      </c>
      <c r="M54" s="484"/>
      <c r="N54" s="475">
        <f t="shared" si="33"/>
        <v>0</v>
      </c>
      <c r="O54" s="475">
        <f t="shared" si="34"/>
        <v>0</v>
      </c>
      <c r="P54" s="241"/>
    </row>
    <row r="55" spans="2:16" ht="12.5">
      <c r="B55" s="160" t="str">
        <f t="shared" si="6"/>
        <v/>
      </c>
      <c r="C55" s="469">
        <f>IF(D11="","-",+C54+1)</f>
        <v>2047</v>
      </c>
      <c r="D55" s="482">
        <f>IF(F54+SUM(E$17:E54)=D$10,F54,D$10-SUM(E$17:E54))</f>
        <v>999361.27341649868</v>
      </c>
      <c r="E55" s="481">
        <f>IF(+I14&lt;F54,I14,D55)</f>
        <v>301475.39473684208</v>
      </c>
      <c r="F55" s="482">
        <f t="shared" si="28"/>
        <v>697885.87867965666</v>
      </c>
      <c r="G55" s="483">
        <f t="shared" si="29"/>
        <v>397997.99946101208</v>
      </c>
      <c r="H55" s="452">
        <f t="shared" si="30"/>
        <v>397997.99946101208</v>
      </c>
      <c r="I55" s="472">
        <f t="shared" si="31"/>
        <v>0</v>
      </c>
      <c r="J55" s="472"/>
      <c r="K55" s="484"/>
      <c r="L55" s="475">
        <f t="shared" si="32"/>
        <v>0</v>
      </c>
      <c r="M55" s="484"/>
      <c r="N55" s="475">
        <f t="shared" si="33"/>
        <v>0</v>
      </c>
      <c r="O55" s="475">
        <f t="shared" si="34"/>
        <v>0</v>
      </c>
      <c r="P55" s="241"/>
    </row>
    <row r="56" spans="2:16" ht="12.5">
      <c r="B56" s="160" t="str">
        <f t="shared" si="6"/>
        <v/>
      </c>
      <c r="C56" s="469">
        <f>IF(D11="","-",+C55+1)</f>
        <v>2048</v>
      </c>
      <c r="D56" s="482">
        <f>IF(F55+SUM(E$17:E55)=D$10,F55,D$10-SUM(E$17:E55))</f>
        <v>697885.87867965666</v>
      </c>
      <c r="E56" s="481">
        <f>IF(+I14&lt;F55,I14,D56)</f>
        <v>301475.39473684208</v>
      </c>
      <c r="F56" s="482">
        <f t="shared" si="28"/>
        <v>396410.48394281458</v>
      </c>
      <c r="G56" s="483">
        <f t="shared" si="29"/>
        <v>363708.13151301298</v>
      </c>
      <c r="H56" s="452">
        <f t="shared" si="30"/>
        <v>363708.13151301298</v>
      </c>
      <c r="I56" s="472">
        <f t="shared" si="31"/>
        <v>0</v>
      </c>
      <c r="J56" s="472"/>
      <c r="K56" s="484"/>
      <c r="L56" s="475">
        <f t="shared" si="32"/>
        <v>0</v>
      </c>
      <c r="M56" s="484"/>
      <c r="N56" s="475">
        <f t="shared" si="33"/>
        <v>0</v>
      </c>
      <c r="O56" s="475">
        <f t="shared" si="34"/>
        <v>0</v>
      </c>
      <c r="P56" s="241"/>
    </row>
    <row r="57" spans="2:16" ht="12.5">
      <c r="B57" s="160" t="str">
        <f t="shared" si="6"/>
        <v/>
      </c>
      <c r="C57" s="469">
        <f>IF(D11="","-",+C56+1)</f>
        <v>2049</v>
      </c>
      <c r="D57" s="482">
        <f>IF(F56+SUM(E$17:E56)=D$10,F56,D$10-SUM(E$17:E56))</f>
        <v>396410.48394281458</v>
      </c>
      <c r="E57" s="481">
        <f>IF(+I14&lt;F56,I14,D57)</f>
        <v>301475.39473684208</v>
      </c>
      <c r="F57" s="482">
        <f t="shared" si="28"/>
        <v>94935.089205972501</v>
      </c>
      <c r="G57" s="483">
        <f t="shared" si="29"/>
        <v>329418.26356501394</v>
      </c>
      <c r="H57" s="452">
        <f t="shared" si="30"/>
        <v>329418.26356501394</v>
      </c>
      <c r="I57" s="472">
        <f t="shared" si="31"/>
        <v>0</v>
      </c>
      <c r="J57" s="472"/>
      <c r="K57" s="484"/>
      <c r="L57" s="475">
        <f t="shared" si="32"/>
        <v>0</v>
      </c>
      <c r="M57" s="484"/>
      <c r="N57" s="475">
        <f t="shared" si="33"/>
        <v>0</v>
      </c>
      <c r="O57" s="475">
        <f t="shared" si="34"/>
        <v>0</v>
      </c>
      <c r="P57" s="241"/>
    </row>
    <row r="58" spans="2:16" ht="12.5">
      <c r="B58" s="160" t="str">
        <f t="shared" si="6"/>
        <v/>
      </c>
      <c r="C58" s="469">
        <f>IF(D11="","-",+C57+1)</f>
        <v>2050</v>
      </c>
      <c r="D58" s="482">
        <f>IF(F57+SUM(E$17:E57)=D$10,F57,D$10-SUM(E$17:E57))</f>
        <v>94935.089205972501</v>
      </c>
      <c r="E58" s="481">
        <f>IF(+I14&lt;F57,I14,D58)</f>
        <v>94935.089205972501</v>
      </c>
      <c r="F58" s="482">
        <f t="shared" si="28"/>
        <v>0</v>
      </c>
      <c r="G58" s="483">
        <f t="shared" si="29"/>
        <v>100334.05663305866</v>
      </c>
      <c r="H58" s="452">
        <f t="shared" si="30"/>
        <v>100334.05663305866</v>
      </c>
      <c r="I58" s="472">
        <f t="shared" si="31"/>
        <v>0</v>
      </c>
      <c r="J58" s="472"/>
      <c r="K58" s="484"/>
      <c r="L58" s="475">
        <f t="shared" si="32"/>
        <v>0</v>
      </c>
      <c r="M58" s="484"/>
      <c r="N58" s="475">
        <f t="shared" si="33"/>
        <v>0</v>
      </c>
      <c r="O58" s="475">
        <f t="shared" si="34"/>
        <v>0</v>
      </c>
      <c r="P58" s="241"/>
    </row>
    <row r="59" spans="2:16" ht="12.5">
      <c r="B59" s="160" t="str">
        <f t="shared" si="6"/>
        <v/>
      </c>
      <c r="C59" s="469">
        <f>IF(D11="","-",+C58+1)</f>
        <v>2051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28"/>
        <v>0</v>
      </c>
      <c r="G59" s="483">
        <f t="shared" si="29"/>
        <v>0</v>
      </c>
      <c r="H59" s="452">
        <f t="shared" si="30"/>
        <v>0</v>
      </c>
      <c r="I59" s="472">
        <f t="shared" si="31"/>
        <v>0</v>
      </c>
      <c r="J59" s="472"/>
      <c r="K59" s="484"/>
      <c r="L59" s="475">
        <f t="shared" si="32"/>
        <v>0</v>
      </c>
      <c r="M59" s="484"/>
      <c r="N59" s="475">
        <f t="shared" si="33"/>
        <v>0</v>
      </c>
      <c r="O59" s="475">
        <f t="shared" si="34"/>
        <v>0</v>
      </c>
      <c r="P59" s="241"/>
    </row>
    <row r="60" spans="2:16" ht="12.5">
      <c r="B60" s="160" t="str">
        <f t="shared" si="6"/>
        <v/>
      </c>
      <c r="C60" s="469">
        <f>IF(D11="","-",+C59+1)</f>
        <v>2052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28"/>
        <v>0</v>
      </c>
      <c r="G60" s="483">
        <f t="shared" si="29"/>
        <v>0</v>
      </c>
      <c r="H60" s="452">
        <f t="shared" si="30"/>
        <v>0</v>
      </c>
      <c r="I60" s="472">
        <f t="shared" si="31"/>
        <v>0</v>
      </c>
      <c r="J60" s="472"/>
      <c r="K60" s="484"/>
      <c r="L60" s="475">
        <f t="shared" si="32"/>
        <v>0</v>
      </c>
      <c r="M60" s="484"/>
      <c r="N60" s="475">
        <f t="shared" si="33"/>
        <v>0</v>
      </c>
      <c r="O60" s="475">
        <f t="shared" si="34"/>
        <v>0</v>
      </c>
      <c r="P60" s="241"/>
    </row>
    <row r="61" spans="2:16" ht="12.5">
      <c r="B61" s="160" t="str">
        <f t="shared" si="6"/>
        <v/>
      </c>
      <c r="C61" s="469">
        <f>IF(D11="","-",+C60+1)</f>
        <v>2053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28"/>
        <v>0</v>
      </c>
      <c r="G61" s="483">
        <f t="shared" si="29"/>
        <v>0</v>
      </c>
      <c r="H61" s="452">
        <f t="shared" si="30"/>
        <v>0</v>
      </c>
      <c r="I61" s="472">
        <f t="shared" si="31"/>
        <v>0</v>
      </c>
      <c r="J61" s="472"/>
      <c r="K61" s="484"/>
      <c r="L61" s="475">
        <f t="shared" si="32"/>
        <v>0</v>
      </c>
      <c r="M61" s="484"/>
      <c r="N61" s="475">
        <f t="shared" si="33"/>
        <v>0</v>
      </c>
      <c r="O61" s="475">
        <f t="shared" si="34"/>
        <v>0</v>
      </c>
      <c r="P61" s="241"/>
    </row>
    <row r="62" spans="2:16" ht="12.5">
      <c r="B62" s="160" t="str">
        <f t="shared" si="6"/>
        <v/>
      </c>
      <c r="C62" s="469">
        <f>IF(D11="","-",+C61+1)</f>
        <v>2054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28"/>
        <v>0</v>
      </c>
      <c r="G62" s="483">
        <f t="shared" si="29"/>
        <v>0</v>
      </c>
      <c r="H62" s="452">
        <f t="shared" si="30"/>
        <v>0</v>
      </c>
      <c r="I62" s="472">
        <f t="shared" si="31"/>
        <v>0</v>
      </c>
      <c r="J62" s="472"/>
      <c r="K62" s="484"/>
      <c r="L62" s="475">
        <f t="shared" si="32"/>
        <v>0</v>
      </c>
      <c r="M62" s="484"/>
      <c r="N62" s="475">
        <f t="shared" si="33"/>
        <v>0</v>
      </c>
      <c r="O62" s="475">
        <f t="shared" si="34"/>
        <v>0</v>
      </c>
      <c r="P62" s="241"/>
    </row>
    <row r="63" spans="2:16" ht="12.5">
      <c r="B63" s="160" t="str">
        <f t="shared" si="6"/>
        <v/>
      </c>
      <c r="C63" s="469">
        <f>IF(D11="","-",+C62+1)</f>
        <v>2055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28"/>
        <v>0</v>
      </c>
      <c r="G63" s="483">
        <f t="shared" si="29"/>
        <v>0</v>
      </c>
      <c r="H63" s="452">
        <f t="shared" si="30"/>
        <v>0</v>
      </c>
      <c r="I63" s="472">
        <f t="shared" si="31"/>
        <v>0</v>
      </c>
      <c r="J63" s="472"/>
      <c r="K63" s="484"/>
      <c r="L63" s="475">
        <f t="shared" si="32"/>
        <v>0</v>
      </c>
      <c r="M63" s="484"/>
      <c r="N63" s="475">
        <f t="shared" si="33"/>
        <v>0</v>
      </c>
      <c r="O63" s="475">
        <f t="shared" si="34"/>
        <v>0</v>
      </c>
      <c r="P63" s="241"/>
    </row>
    <row r="64" spans="2:16" ht="12.5">
      <c r="B64" s="160" t="str">
        <f t="shared" si="6"/>
        <v/>
      </c>
      <c r="C64" s="469">
        <f>IF(D11="","-",+C63+1)</f>
        <v>2056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28"/>
        <v>0</v>
      </c>
      <c r="G64" s="483">
        <f t="shared" si="29"/>
        <v>0</v>
      </c>
      <c r="H64" s="452">
        <f t="shared" si="30"/>
        <v>0</v>
      </c>
      <c r="I64" s="472">
        <f t="shared" si="31"/>
        <v>0</v>
      </c>
      <c r="J64" s="472"/>
      <c r="K64" s="484"/>
      <c r="L64" s="475">
        <f t="shared" si="32"/>
        <v>0</v>
      </c>
      <c r="M64" s="484"/>
      <c r="N64" s="475">
        <f t="shared" si="33"/>
        <v>0</v>
      </c>
      <c r="O64" s="475">
        <f t="shared" si="34"/>
        <v>0</v>
      </c>
      <c r="P64" s="241"/>
    </row>
    <row r="65" spans="2:16" ht="12.5">
      <c r="B65" s="160" t="str">
        <f t="shared" si="6"/>
        <v/>
      </c>
      <c r="C65" s="469">
        <f>IF(D11="","-",+C64+1)</f>
        <v>2057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28"/>
        <v>0</v>
      </c>
      <c r="G65" s="483">
        <f t="shared" si="29"/>
        <v>0</v>
      </c>
      <c r="H65" s="452">
        <f t="shared" si="30"/>
        <v>0</v>
      </c>
      <c r="I65" s="472">
        <f t="shared" si="31"/>
        <v>0</v>
      </c>
      <c r="J65" s="472"/>
      <c r="K65" s="484"/>
      <c r="L65" s="475">
        <f t="shared" si="32"/>
        <v>0</v>
      </c>
      <c r="M65" s="484"/>
      <c r="N65" s="475">
        <f t="shared" si="33"/>
        <v>0</v>
      </c>
      <c r="O65" s="475">
        <f t="shared" si="34"/>
        <v>0</v>
      </c>
      <c r="P65" s="241"/>
    </row>
    <row r="66" spans="2:16" ht="12.5">
      <c r="B66" s="160" t="str">
        <f t="shared" si="6"/>
        <v/>
      </c>
      <c r="C66" s="469">
        <f>IF(D11="","-",+C65+1)</f>
        <v>2058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28"/>
        <v>0</v>
      </c>
      <c r="G66" s="483">
        <f t="shared" si="29"/>
        <v>0</v>
      </c>
      <c r="H66" s="452">
        <f t="shared" si="30"/>
        <v>0</v>
      </c>
      <c r="I66" s="472">
        <f t="shared" si="31"/>
        <v>0</v>
      </c>
      <c r="J66" s="472"/>
      <c r="K66" s="484"/>
      <c r="L66" s="475">
        <f t="shared" si="32"/>
        <v>0</v>
      </c>
      <c r="M66" s="484"/>
      <c r="N66" s="475">
        <f t="shared" si="33"/>
        <v>0</v>
      </c>
      <c r="O66" s="475">
        <f t="shared" si="34"/>
        <v>0</v>
      </c>
      <c r="P66" s="241"/>
    </row>
    <row r="67" spans="2:16" ht="12.5">
      <c r="B67" s="160" t="str">
        <f t="shared" si="6"/>
        <v/>
      </c>
      <c r="C67" s="469">
        <f>IF(D11="","-",+C66+1)</f>
        <v>2059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28"/>
        <v>0</v>
      </c>
      <c r="G67" s="483">
        <f t="shared" si="29"/>
        <v>0</v>
      </c>
      <c r="H67" s="452">
        <f t="shared" si="30"/>
        <v>0</v>
      </c>
      <c r="I67" s="472">
        <f t="shared" si="31"/>
        <v>0</v>
      </c>
      <c r="J67" s="472"/>
      <c r="K67" s="484"/>
      <c r="L67" s="475">
        <f t="shared" si="32"/>
        <v>0</v>
      </c>
      <c r="M67" s="484"/>
      <c r="N67" s="475">
        <f t="shared" si="33"/>
        <v>0</v>
      </c>
      <c r="O67" s="475">
        <f t="shared" si="34"/>
        <v>0</v>
      </c>
      <c r="P67" s="241"/>
    </row>
    <row r="68" spans="2:16" ht="12.5">
      <c r="B68" s="160" t="str">
        <f t="shared" si="6"/>
        <v/>
      </c>
      <c r="C68" s="469">
        <f>IF(D11="","-",+C67+1)</f>
        <v>2060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28"/>
        <v>0</v>
      </c>
      <c r="G68" s="483">
        <f t="shared" si="29"/>
        <v>0</v>
      </c>
      <c r="H68" s="452">
        <f t="shared" si="30"/>
        <v>0</v>
      </c>
      <c r="I68" s="472">
        <f t="shared" si="31"/>
        <v>0</v>
      </c>
      <c r="J68" s="472"/>
      <c r="K68" s="484"/>
      <c r="L68" s="475">
        <f t="shared" si="32"/>
        <v>0</v>
      </c>
      <c r="M68" s="484"/>
      <c r="N68" s="475">
        <f t="shared" si="33"/>
        <v>0</v>
      </c>
      <c r="O68" s="475">
        <f t="shared" si="34"/>
        <v>0</v>
      </c>
      <c r="P68" s="241"/>
    </row>
    <row r="69" spans="2:16" ht="12.5">
      <c r="B69" s="160" t="str">
        <f t="shared" si="6"/>
        <v/>
      </c>
      <c r="C69" s="469">
        <f>IF(D11="","-",+C68+1)</f>
        <v>2061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28"/>
        <v>0</v>
      </c>
      <c r="G69" s="483">
        <f t="shared" si="29"/>
        <v>0</v>
      </c>
      <c r="H69" s="452">
        <f t="shared" si="30"/>
        <v>0</v>
      </c>
      <c r="I69" s="472">
        <f t="shared" si="31"/>
        <v>0</v>
      </c>
      <c r="J69" s="472"/>
      <c r="K69" s="484"/>
      <c r="L69" s="475">
        <f t="shared" si="32"/>
        <v>0</v>
      </c>
      <c r="M69" s="484"/>
      <c r="N69" s="475">
        <f t="shared" si="33"/>
        <v>0</v>
      </c>
      <c r="O69" s="475">
        <f t="shared" si="34"/>
        <v>0</v>
      </c>
      <c r="P69" s="241"/>
    </row>
    <row r="70" spans="2:16" ht="12.5">
      <c r="B70" s="160" t="str">
        <f t="shared" si="6"/>
        <v/>
      </c>
      <c r="C70" s="469">
        <f>IF(D11="","-",+C69+1)</f>
        <v>2062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28"/>
        <v>0</v>
      </c>
      <c r="G70" s="483">
        <f t="shared" si="29"/>
        <v>0</v>
      </c>
      <c r="H70" s="452">
        <f t="shared" si="30"/>
        <v>0</v>
      </c>
      <c r="I70" s="472">
        <f t="shared" si="31"/>
        <v>0</v>
      </c>
      <c r="J70" s="472"/>
      <c r="K70" s="484"/>
      <c r="L70" s="475">
        <f t="shared" si="32"/>
        <v>0</v>
      </c>
      <c r="M70" s="484"/>
      <c r="N70" s="475">
        <f t="shared" si="33"/>
        <v>0</v>
      </c>
      <c r="O70" s="475">
        <f t="shared" si="34"/>
        <v>0</v>
      </c>
      <c r="P70" s="241"/>
    </row>
    <row r="71" spans="2:16" ht="12.5">
      <c r="B71" s="160" t="str">
        <f t="shared" si="6"/>
        <v/>
      </c>
      <c r="C71" s="469">
        <f>IF(D11="","-",+C70+1)</f>
        <v>2063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28"/>
        <v>0</v>
      </c>
      <c r="G71" s="483">
        <f t="shared" si="29"/>
        <v>0</v>
      </c>
      <c r="H71" s="452">
        <f t="shared" si="30"/>
        <v>0</v>
      </c>
      <c r="I71" s="472">
        <f t="shared" si="31"/>
        <v>0</v>
      </c>
      <c r="J71" s="472"/>
      <c r="K71" s="484"/>
      <c r="L71" s="475">
        <f t="shared" si="32"/>
        <v>0</v>
      </c>
      <c r="M71" s="484"/>
      <c r="N71" s="475">
        <f t="shared" si="33"/>
        <v>0</v>
      </c>
      <c r="O71" s="475">
        <f t="shared" si="34"/>
        <v>0</v>
      </c>
      <c r="P71" s="241"/>
    </row>
    <row r="72" spans="2:16" ht="13" thickBot="1">
      <c r="B72" s="160" t="str">
        <f t="shared" si="6"/>
        <v/>
      </c>
      <c r="C72" s="486">
        <f>IF(D11="","-",+C71+1)</f>
        <v>2064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28"/>
        <v>0</v>
      </c>
      <c r="G72" s="487">
        <f t="shared" si="29"/>
        <v>0</v>
      </c>
      <c r="H72" s="487">
        <f t="shared" si="30"/>
        <v>0</v>
      </c>
      <c r="I72" s="490">
        <f t="shared" si="31"/>
        <v>0</v>
      </c>
      <c r="J72" s="472"/>
      <c r="K72" s="491"/>
      <c r="L72" s="492">
        <f t="shared" si="32"/>
        <v>0</v>
      </c>
      <c r="M72" s="491"/>
      <c r="N72" s="492">
        <f t="shared" si="33"/>
        <v>0</v>
      </c>
      <c r="O72" s="492">
        <f t="shared" si="34"/>
        <v>0</v>
      </c>
      <c r="P72" s="241"/>
    </row>
    <row r="73" spans="2:16" ht="12.5">
      <c r="C73" s="344" t="s">
        <v>77</v>
      </c>
      <c r="D73" s="345"/>
      <c r="E73" s="345">
        <f>SUM(E17:E72)</f>
        <v>11456064.999999994</v>
      </c>
      <c r="F73" s="345"/>
      <c r="G73" s="345">
        <f>SUM(G17:G72)</f>
        <v>41791176.776356548</v>
      </c>
      <c r="H73" s="345">
        <f>SUM(H17:H72)</f>
        <v>41791176.776356548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3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1222201.8409369821</v>
      </c>
      <c r="N87" s="505">
        <f>IF(J92&lt;D11,0,VLOOKUP(J92,C17:O72,11))</f>
        <v>1222201.8409369821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1336789.9814607587</v>
      </c>
      <c r="N88" s="509">
        <f>IF(J92&lt;D11,0,VLOOKUP(J92,C99:P154,7))</f>
        <v>1336789.9814607587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WFEC New 138 kV Ties: Sayre to Erick (WFEC) Line &amp; Atoka and Tupelo station work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114588.14052377664</v>
      </c>
      <c r="N89" s="514">
        <f>+N88-N87</f>
        <v>114588.14052377664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TP2006054</v>
      </c>
      <c r="E91" s="519" t="str">
        <f>E9</f>
        <v>SPP Project ID =</v>
      </c>
      <c r="F91" s="519" t="str">
        <f>F9</f>
        <v>112 &amp; 117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11456065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2009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10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301475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2009</v>
      </c>
      <c r="D99" s="470">
        <v>0</v>
      </c>
      <c r="E99" s="477">
        <v>26281</v>
      </c>
      <c r="F99" s="476">
        <v>8804059</v>
      </c>
      <c r="G99" s="534">
        <v>4402030</v>
      </c>
      <c r="H99" s="535">
        <v>669894</v>
      </c>
      <c r="I99" s="536">
        <v>669894</v>
      </c>
      <c r="J99" s="475">
        <f t="shared" ref="J99:J130" si="35">+I99-H99</f>
        <v>0</v>
      </c>
      <c r="K99" s="475"/>
      <c r="L99" s="551">
        <f t="shared" ref="L99:L104" si="36">H99</f>
        <v>669894</v>
      </c>
      <c r="M99" s="474">
        <f t="shared" ref="M99:M130" si="37">IF(L99&lt;&gt;0,+H99-L99,0)</f>
        <v>0</v>
      </c>
      <c r="N99" s="551">
        <f t="shared" ref="N99:N104" si="38">I99</f>
        <v>669894</v>
      </c>
      <c r="O99" s="474">
        <f t="shared" ref="O99:O130" si="39">IF(N99&lt;&gt;0,+I99-N99,0)</f>
        <v>0</v>
      </c>
      <c r="P99" s="474">
        <f t="shared" ref="P99:P130" si="40">+O99-M99</f>
        <v>0</v>
      </c>
    </row>
    <row r="100" spans="1:16" ht="12.5">
      <c r="B100" s="160" t="str">
        <f>IF(D100=F99,"","IU")</f>
        <v>IU</v>
      </c>
      <c r="C100" s="469">
        <f>IF(D93="","-",+C99+1)</f>
        <v>2010</v>
      </c>
      <c r="D100" s="470">
        <v>12205867</v>
      </c>
      <c r="E100" s="477">
        <v>239846</v>
      </c>
      <c r="F100" s="476">
        <v>11966021</v>
      </c>
      <c r="G100" s="476">
        <v>12085944</v>
      </c>
      <c r="H100" s="477">
        <v>2183449.7644146364</v>
      </c>
      <c r="I100" s="478">
        <v>2183449.7644146364</v>
      </c>
      <c r="J100" s="475">
        <f t="shared" si="35"/>
        <v>0</v>
      </c>
      <c r="K100" s="475"/>
      <c r="L100" s="537">
        <f t="shared" si="36"/>
        <v>2183449.7644146364</v>
      </c>
      <c r="M100" s="538">
        <f t="shared" si="37"/>
        <v>0</v>
      </c>
      <c r="N100" s="537">
        <f t="shared" si="38"/>
        <v>2183449.7644146364</v>
      </c>
      <c r="O100" s="475">
        <f t="shared" si="39"/>
        <v>0</v>
      </c>
      <c r="P100" s="475">
        <f t="shared" si="40"/>
        <v>0</v>
      </c>
    </row>
    <row r="101" spans="1:16" ht="12.5">
      <c r="B101" s="160" t="str">
        <f t="shared" ref="B101:B154" si="41">IF(D101=F100,"","IU")</f>
        <v/>
      </c>
      <c r="C101" s="469">
        <f>IF(D93="","-",+C100+1)</f>
        <v>2011</v>
      </c>
      <c r="D101" s="470">
        <v>11966021</v>
      </c>
      <c r="E101" s="477">
        <v>235234</v>
      </c>
      <c r="F101" s="476">
        <v>11730787</v>
      </c>
      <c r="G101" s="476">
        <v>11848404</v>
      </c>
      <c r="H101" s="477">
        <v>1891800.0972614796</v>
      </c>
      <c r="I101" s="478">
        <v>1891800.0972614796</v>
      </c>
      <c r="J101" s="475">
        <f t="shared" si="35"/>
        <v>0</v>
      </c>
      <c r="K101" s="475"/>
      <c r="L101" s="537">
        <f t="shared" si="36"/>
        <v>1891800.0972614796</v>
      </c>
      <c r="M101" s="538">
        <f t="shared" si="37"/>
        <v>0</v>
      </c>
      <c r="N101" s="537">
        <f t="shared" si="38"/>
        <v>1891800.0972614796</v>
      </c>
      <c r="O101" s="475">
        <f t="shared" si="39"/>
        <v>0</v>
      </c>
      <c r="P101" s="475">
        <f t="shared" si="40"/>
        <v>0</v>
      </c>
    </row>
    <row r="102" spans="1:16" ht="12.5">
      <c r="B102" s="160" t="str">
        <f t="shared" si="41"/>
        <v/>
      </c>
      <c r="C102" s="469">
        <f>IF(D93="","-",+C101+1)</f>
        <v>2012</v>
      </c>
      <c r="D102" s="470">
        <v>11730787</v>
      </c>
      <c r="E102" s="477">
        <v>235234</v>
      </c>
      <c r="F102" s="476">
        <v>11495553</v>
      </c>
      <c r="G102" s="476">
        <v>11613170</v>
      </c>
      <c r="H102" s="477">
        <v>1905852.1655461292</v>
      </c>
      <c r="I102" s="478">
        <v>1905852.1655461292</v>
      </c>
      <c r="J102" s="475">
        <v>0</v>
      </c>
      <c r="K102" s="475"/>
      <c r="L102" s="537">
        <f t="shared" si="36"/>
        <v>1905852.1655461292</v>
      </c>
      <c r="M102" s="538">
        <f t="shared" ref="M102:M107" si="42">IF(L102&lt;&gt;0,+H102-L102,0)</f>
        <v>0</v>
      </c>
      <c r="N102" s="537">
        <f t="shared" si="38"/>
        <v>1905852.1655461292</v>
      </c>
      <c r="O102" s="475">
        <f t="shared" ref="O102:O107" si="43">IF(N102&lt;&gt;0,+I102-N102,0)</f>
        <v>0</v>
      </c>
      <c r="P102" s="475">
        <f t="shared" ref="P102:P107" si="44">+O102-M102</f>
        <v>0</v>
      </c>
    </row>
    <row r="103" spans="1:16" ht="12.5">
      <c r="B103" s="160" t="str">
        <f t="shared" si="41"/>
        <v/>
      </c>
      <c r="C103" s="469">
        <f>IF(D93="","-",+C102+1)</f>
        <v>2013</v>
      </c>
      <c r="D103" s="470">
        <v>11495553</v>
      </c>
      <c r="E103" s="477">
        <v>235234</v>
      </c>
      <c r="F103" s="476">
        <v>11260319</v>
      </c>
      <c r="G103" s="476">
        <v>11377936</v>
      </c>
      <c r="H103" s="477">
        <v>1872969.4877104962</v>
      </c>
      <c r="I103" s="478">
        <v>1872969.4877104962</v>
      </c>
      <c r="J103" s="475">
        <v>0</v>
      </c>
      <c r="K103" s="475"/>
      <c r="L103" s="537">
        <f t="shared" si="36"/>
        <v>1872969.4877104962</v>
      </c>
      <c r="M103" s="538">
        <f t="shared" si="42"/>
        <v>0</v>
      </c>
      <c r="N103" s="537">
        <f t="shared" si="38"/>
        <v>1872969.4877104962</v>
      </c>
      <c r="O103" s="475">
        <f t="shared" si="43"/>
        <v>0</v>
      </c>
      <c r="P103" s="475">
        <f t="shared" si="44"/>
        <v>0</v>
      </c>
    </row>
    <row r="104" spans="1:16" ht="12.5">
      <c r="B104" s="160" t="str">
        <f t="shared" si="41"/>
        <v>IU</v>
      </c>
      <c r="C104" s="469">
        <f>IF(D93="","-",+C103+1)</f>
        <v>2014</v>
      </c>
      <c r="D104" s="470">
        <v>10484236</v>
      </c>
      <c r="E104" s="477">
        <v>220309</v>
      </c>
      <c r="F104" s="476">
        <v>10263927</v>
      </c>
      <c r="G104" s="476">
        <v>10374081.5</v>
      </c>
      <c r="H104" s="477">
        <v>1678862.4521722798</v>
      </c>
      <c r="I104" s="478">
        <v>1678862.4521722798</v>
      </c>
      <c r="J104" s="475">
        <v>0</v>
      </c>
      <c r="K104" s="475"/>
      <c r="L104" s="537">
        <f t="shared" si="36"/>
        <v>1678862.4521722798</v>
      </c>
      <c r="M104" s="538">
        <f t="shared" si="42"/>
        <v>0</v>
      </c>
      <c r="N104" s="537">
        <f t="shared" si="38"/>
        <v>1678862.4521722798</v>
      </c>
      <c r="O104" s="475">
        <f t="shared" si="43"/>
        <v>0</v>
      </c>
      <c r="P104" s="475">
        <f t="shared" si="44"/>
        <v>0</v>
      </c>
    </row>
    <row r="105" spans="1:16" ht="12.5">
      <c r="B105" s="160" t="str">
        <f t="shared" si="41"/>
        <v/>
      </c>
      <c r="C105" s="469">
        <f>IF(D93="","-",+C104+1)</f>
        <v>2015</v>
      </c>
      <c r="D105" s="470">
        <v>10263927</v>
      </c>
      <c r="E105" s="477">
        <v>220309</v>
      </c>
      <c r="F105" s="476">
        <v>10043618</v>
      </c>
      <c r="G105" s="476">
        <v>10153772.5</v>
      </c>
      <c r="H105" s="477">
        <v>1605709.6172709188</v>
      </c>
      <c r="I105" s="478">
        <v>1605709.6172709188</v>
      </c>
      <c r="J105" s="475">
        <f t="shared" si="35"/>
        <v>0</v>
      </c>
      <c r="K105" s="475"/>
      <c r="L105" s="537">
        <f t="shared" ref="L105:L110" si="45">H105</f>
        <v>1605709.6172709188</v>
      </c>
      <c r="M105" s="538">
        <f t="shared" si="42"/>
        <v>0</v>
      </c>
      <c r="N105" s="537">
        <f t="shared" ref="N105:N110" si="46">I105</f>
        <v>1605709.6172709188</v>
      </c>
      <c r="O105" s="475">
        <f t="shared" si="43"/>
        <v>0</v>
      </c>
      <c r="P105" s="475">
        <f t="shared" si="44"/>
        <v>0</v>
      </c>
    </row>
    <row r="106" spans="1:16" ht="12.5">
      <c r="B106" s="160" t="str">
        <f t="shared" si="41"/>
        <v/>
      </c>
      <c r="C106" s="469">
        <f>IF(D93="","-",+C105+1)</f>
        <v>2016</v>
      </c>
      <c r="D106" s="470">
        <v>10043618</v>
      </c>
      <c r="E106" s="477">
        <v>249045</v>
      </c>
      <c r="F106" s="476">
        <v>9794573</v>
      </c>
      <c r="G106" s="476">
        <v>9919095.5</v>
      </c>
      <c r="H106" s="477">
        <v>1527772.6245386968</v>
      </c>
      <c r="I106" s="478">
        <v>1527772.6245386968</v>
      </c>
      <c r="J106" s="475">
        <f t="shared" si="35"/>
        <v>0</v>
      </c>
      <c r="K106" s="475"/>
      <c r="L106" s="537">
        <f t="shared" si="45"/>
        <v>1527772.6245386968</v>
      </c>
      <c r="M106" s="538">
        <f t="shared" si="42"/>
        <v>0</v>
      </c>
      <c r="N106" s="537">
        <f t="shared" si="46"/>
        <v>1527772.6245386968</v>
      </c>
      <c r="O106" s="475">
        <f t="shared" si="43"/>
        <v>0</v>
      </c>
      <c r="P106" s="475">
        <f t="shared" si="44"/>
        <v>0</v>
      </c>
    </row>
    <row r="107" spans="1:16" ht="12.5">
      <c r="B107" s="160" t="str">
        <f t="shared" si="41"/>
        <v/>
      </c>
      <c r="C107" s="469">
        <f>IF(D93="","-",+C106+1)</f>
        <v>2017</v>
      </c>
      <c r="D107" s="470">
        <v>9794573</v>
      </c>
      <c r="E107" s="477">
        <v>249045</v>
      </c>
      <c r="F107" s="476">
        <v>9545528</v>
      </c>
      <c r="G107" s="476">
        <v>9670050.5</v>
      </c>
      <c r="H107" s="477">
        <v>1475715.2889659985</v>
      </c>
      <c r="I107" s="478">
        <v>1475715.2889659985</v>
      </c>
      <c r="J107" s="475">
        <f t="shared" si="35"/>
        <v>0</v>
      </c>
      <c r="K107" s="475"/>
      <c r="L107" s="537">
        <f t="shared" si="45"/>
        <v>1475715.2889659985</v>
      </c>
      <c r="M107" s="538">
        <f t="shared" si="42"/>
        <v>0</v>
      </c>
      <c r="N107" s="537">
        <f t="shared" si="46"/>
        <v>1475715.2889659985</v>
      </c>
      <c r="O107" s="475">
        <f t="shared" si="43"/>
        <v>0</v>
      </c>
      <c r="P107" s="475">
        <f t="shared" si="44"/>
        <v>0</v>
      </c>
    </row>
    <row r="108" spans="1:16" ht="12.5">
      <c r="B108" s="160" t="str">
        <f t="shared" si="41"/>
        <v/>
      </c>
      <c r="C108" s="469">
        <f>IF(D93="","-",+C107+1)</f>
        <v>2018</v>
      </c>
      <c r="D108" s="470">
        <v>9545528</v>
      </c>
      <c r="E108" s="477">
        <v>266420</v>
      </c>
      <c r="F108" s="476">
        <v>9279108</v>
      </c>
      <c r="G108" s="476">
        <v>9412318</v>
      </c>
      <c r="H108" s="477">
        <v>1233399.824885203</v>
      </c>
      <c r="I108" s="478">
        <v>1233399.824885203</v>
      </c>
      <c r="J108" s="475">
        <f t="shared" si="35"/>
        <v>0</v>
      </c>
      <c r="K108" s="475"/>
      <c r="L108" s="537">
        <f t="shared" si="45"/>
        <v>1233399.824885203</v>
      </c>
      <c r="M108" s="538">
        <f t="shared" ref="M108" si="47">IF(L108&lt;&gt;0,+H108-L108,0)</f>
        <v>0</v>
      </c>
      <c r="N108" s="537">
        <f t="shared" si="46"/>
        <v>1233399.824885203</v>
      </c>
      <c r="O108" s="475">
        <f t="shared" ref="O108" si="48">IF(N108&lt;&gt;0,+I108-N108,0)</f>
        <v>0</v>
      </c>
      <c r="P108" s="475">
        <f t="shared" ref="P108" si="49">+O108-M108</f>
        <v>0</v>
      </c>
    </row>
    <row r="109" spans="1:16" ht="12.5">
      <c r="B109" s="160" t="str">
        <f t="shared" si="41"/>
        <v/>
      </c>
      <c r="C109" s="469">
        <f>IF(D93="","-",+C108+1)</f>
        <v>2019</v>
      </c>
      <c r="D109" s="470">
        <v>9279108</v>
      </c>
      <c r="E109" s="477">
        <v>279416</v>
      </c>
      <c r="F109" s="476">
        <v>8999692</v>
      </c>
      <c r="G109" s="476">
        <v>9139400</v>
      </c>
      <c r="H109" s="477">
        <v>1221816.3299613127</v>
      </c>
      <c r="I109" s="478">
        <v>1221816.3299613127</v>
      </c>
      <c r="J109" s="475">
        <f t="shared" si="35"/>
        <v>0</v>
      </c>
      <c r="K109" s="475"/>
      <c r="L109" s="537">
        <f t="shared" si="45"/>
        <v>1221816.3299613127</v>
      </c>
      <c r="M109" s="538">
        <f t="shared" ref="M109" si="50">IF(L109&lt;&gt;0,+H109-L109,0)</f>
        <v>0</v>
      </c>
      <c r="N109" s="537">
        <f t="shared" si="46"/>
        <v>1221816.3299613127</v>
      </c>
      <c r="O109" s="475">
        <f t="shared" si="39"/>
        <v>0</v>
      </c>
      <c r="P109" s="475">
        <f t="shared" si="40"/>
        <v>0</v>
      </c>
    </row>
    <row r="110" spans="1:16" ht="12.5">
      <c r="B110" s="160" t="str">
        <f t="shared" si="41"/>
        <v/>
      </c>
      <c r="C110" s="469">
        <f>IF(D93="","-",+C109+1)</f>
        <v>2020</v>
      </c>
      <c r="D110" s="470">
        <v>8999692</v>
      </c>
      <c r="E110" s="477">
        <v>266420</v>
      </c>
      <c r="F110" s="476">
        <v>8733272</v>
      </c>
      <c r="G110" s="476">
        <v>8866482</v>
      </c>
      <c r="H110" s="477">
        <v>1288700.9982176959</v>
      </c>
      <c r="I110" s="478">
        <v>1288700.9982176959</v>
      </c>
      <c r="J110" s="475">
        <f t="shared" si="35"/>
        <v>0</v>
      </c>
      <c r="K110" s="475"/>
      <c r="L110" s="537">
        <f t="shared" si="45"/>
        <v>1288700.9982176959</v>
      </c>
      <c r="M110" s="538">
        <f t="shared" ref="M110" si="51">IF(L110&lt;&gt;0,+H110-L110,0)</f>
        <v>0</v>
      </c>
      <c r="N110" s="537">
        <f t="shared" si="46"/>
        <v>1288700.9982176959</v>
      </c>
      <c r="O110" s="475">
        <f t="shared" si="39"/>
        <v>0</v>
      </c>
      <c r="P110" s="475">
        <f t="shared" si="40"/>
        <v>0</v>
      </c>
    </row>
    <row r="111" spans="1:16" ht="12.5">
      <c r="B111" s="160" t="str">
        <f t="shared" si="41"/>
        <v/>
      </c>
      <c r="C111" s="469">
        <f>IF(D93="","-",+C110+1)</f>
        <v>2021</v>
      </c>
      <c r="D111" s="470">
        <v>8733272</v>
      </c>
      <c r="E111" s="477">
        <v>279416</v>
      </c>
      <c r="F111" s="476">
        <v>8453856</v>
      </c>
      <c r="G111" s="476">
        <v>8593564</v>
      </c>
      <c r="H111" s="477">
        <v>1257301.6496546383</v>
      </c>
      <c r="I111" s="478">
        <v>1257301.6496546383</v>
      </c>
      <c r="J111" s="475">
        <f t="shared" si="35"/>
        <v>0</v>
      </c>
      <c r="K111" s="475"/>
      <c r="L111" s="537">
        <f t="shared" ref="L111" si="52">H111</f>
        <v>1257301.6496546383</v>
      </c>
      <c r="M111" s="538">
        <f t="shared" ref="M111" si="53">IF(L111&lt;&gt;0,+H111-L111,0)</f>
        <v>0</v>
      </c>
      <c r="N111" s="537">
        <f t="shared" ref="N111" si="54">I111</f>
        <v>1257301.6496546383</v>
      </c>
      <c r="O111" s="475">
        <f t="shared" si="39"/>
        <v>0</v>
      </c>
      <c r="P111" s="475">
        <f t="shared" si="40"/>
        <v>0</v>
      </c>
    </row>
    <row r="112" spans="1:16" ht="12.5">
      <c r="B112" s="160" t="str">
        <f t="shared" si="41"/>
        <v/>
      </c>
      <c r="C112" s="469">
        <f>IF(D93="","-",+C111+1)</f>
        <v>2022</v>
      </c>
      <c r="D112" s="470">
        <v>8453856</v>
      </c>
      <c r="E112" s="477">
        <v>293745</v>
      </c>
      <c r="F112" s="476">
        <v>8160111</v>
      </c>
      <c r="G112" s="476">
        <v>8306983.5</v>
      </c>
      <c r="H112" s="477">
        <v>1209030.4794242503</v>
      </c>
      <c r="I112" s="478">
        <v>1209030.4794242503</v>
      </c>
      <c r="J112" s="475">
        <f t="shared" si="35"/>
        <v>0</v>
      </c>
      <c r="K112" s="475"/>
      <c r="L112" s="537">
        <f t="shared" ref="L112" si="55">H112</f>
        <v>1209030.4794242503</v>
      </c>
      <c r="M112" s="538">
        <f t="shared" ref="M112" si="56">IF(L112&lt;&gt;0,+H112-L112,0)</f>
        <v>0</v>
      </c>
      <c r="N112" s="537">
        <f t="shared" ref="N112" si="57">I112</f>
        <v>1209030.4794242503</v>
      </c>
      <c r="O112" s="475">
        <f t="shared" ref="O112" si="58">IF(N112&lt;&gt;0,+I112-N112,0)</f>
        <v>0</v>
      </c>
      <c r="P112" s="475">
        <f t="shared" ref="P112" si="59">+O112-M112</f>
        <v>0</v>
      </c>
    </row>
    <row r="113" spans="2:16" ht="12.5">
      <c r="B113" s="160" t="str">
        <f t="shared" si="41"/>
        <v/>
      </c>
      <c r="C113" s="469">
        <f>IF(D93="","-",+C112+1)</f>
        <v>2023</v>
      </c>
      <c r="D113" s="470">
        <v>8160111</v>
      </c>
      <c r="E113" s="477">
        <v>301475</v>
      </c>
      <c r="F113" s="476">
        <v>7858636</v>
      </c>
      <c r="G113" s="476">
        <v>8009373.5</v>
      </c>
      <c r="H113" s="477">
        <v>1216362.1317254766</v>
      </c>
      <c r="I113" s="478">
        <v>1216362.1317254766</v>
      </c>
      <c r="J113" s="475">
        <f t="shared" si="35"/>
        <v>0</v>
      </c>
      <c r="K113" s="475"/>
      <c r="L113" s="537">
        <f t="shared" ref="L113" si="60">H113</f>
        <v>1216362.1317254766</v>
      </c>
      <c r="M113" s="538">
        <f t="shared" ref="M113" si="61">IF(L113&lt;&gt;0,+H113-L113,0)</f>
        <v>0</v>
      </c>
      <c r="N113" s="537">
        <f t="shared" ref="N113" si="62">I113</f>
        <v>1216362.1317254766</v>
      </c>
      <c r="O113" s="475">
        <f t="shared" ref="O113" si="63">IF(N113&lt;&gt;0,+I113-N113,0)</f>
        <v>0</v>
      </c>
      <c r="P113" s="475">
        <f t="shared" ref="P113" si="64">+O113-M113</f>
        <v>0</v>
      </c>
    </row>
    <row r="114" spans="2:16" ht="12.5">
      <c r="B114" s="160" t="str">
        <f t="shared" si="41"/>
        <v/>
      </c>
      <c r="C114" s="469">
        <f>IF(D93="","-",+C113+1)</f>
        <v>2024</v>
      </c>
      <c r="D114" s="344">
        <f>IF(F113+SUM(E$99:E113)=D$92,F113,D$92-SUM(E$99:E113))</f>
        <v>7858636</v>
      </c>
      <c r="E114" s="483">
        <f>IF(+J96&lt;F113,J96,D114)</f>
        <v>301475</v>
      </c>
      <c r="F114" s="482">
        <f t="shared" ref="F114:F130" si="65">+D114-E114</f>
        <v>7557161</v>
      </c>
      <c r="G114" s="482">
        <f t="shared" ref="G114:G130" si="66">+(F114+D114)/2</f>
        <v>7707898.5</v>
      </c>
      <c r="H114" s="483">
        <f t="shared" ref="H114:H154" si="67">(D114+F114)/2*J$94+E114</f>
        <v>1336789.9814607587</v>
      </c>
      <c r="I114" s="539">
        <f t="shared" ref="I114:I154" si="68">+J$95*G114+E114</f>
        <v>1336789.9814607587</v>
      </c>
      <c r="J114" s="475">
        <f t="shared" si="35"/>
        <v>0</v>
      </c>
      <c r="K114" s="475"/>
      <c r="L114" s="484"/>
      <c r="M114" s="475">
        <f t="shared" si="37"/>
        <v>0</v>
      </c>
      <c r="N114" s="484"/>
      <c r="O114" s="475">
        <f t="shared" si="39"/>
        <v>0</v>
      </c>
      <c r="P114" s="475">
        <f t="shared" si="40"/>
        <v>0</v>
      </c>
    </row>
    <row r="115" spans="2:16" ht="12.5">
      <c r="B115" s="160" t="str">
        <f t="shared" si="41"/>
        <v/>
      </c>
      <c r="C115" s="469">
        <f>IF(D93="","-",+C114+1)</f>
        <v>2025</v>
      </c>
      <c r="D115" s="344">
        <f>IF(F114+SUM(E$99:E114)=D$92,F114,D$92-SUM(E$99:E114))</f>
        <v>7557161</v>
      </c>
      <c r="E115" s="483">
        <f>IF(+J96&lt;F114,J96,D115)</f>
        <v>301475</v>
      </c>
      <c r="F115" s="482">
        <f t="shared" si="65"/>
        <v>7255686</v>
      </c>
      <c r="G115" s="482">
        <f t="shared" si="66"/>
        <v>7406423.5</v>
      </c>
      <c r="H115" s="483">
        <f t="shared" si="67"/>
        <v>1296296.2484366558</v>
      </c>
      <c r="I115" s="539">
        <f t="shared" si="68"/>
        <v>1296296.2484366558</v>
      </c>
      <c r="J115" s="475">
        <f t="shared" si="35"/>
        <v>0</v>
      </c>
      <c r="K115" s="475"/>
      <c r="L115" s="484"/>
      <c r="M115" s="475">
        <f t="shared" si="37"/>
        <v>0</v>
      </c>
      <c r="N115" s="484"/>
      <c r="O115" s="475">
        <f t="shared" si="39"/>
        <v>0</v>
      </c>
      <c r="P115" s="475">
        <f t="shared" si="40"/>
        <v>0</v>
      </c>
    </row>
    <row r="116" spans="2:16" ht="12.5">
      <c r="B116" s="160" t="str">
        <f t="shared" si="41"/>
        <v/>
      </c>
      <c r="C116" s="469">
        <f>IF(D93="","-",+C115+1)</f>
        <v>2026</v>
      </c>
      <c r="D116" s="344">
        <f>IF(F115+SUM(E$99:E115)=D$92,F115,D$92-SUM(E$99:E115))</f>
        <v>7255686</v>
      </c>
      <c r="E116" s="483">
        <f>IF(+J96&lt;F115,J96,D116)</f>
        <v>301475</v>
      </c>
      <c r="F116" s="482">
        <f t="shared" si="65"/>
        <v>6954211</v>
      </c>
      <c r="G116" s="482">
        <f t="shared" si="66"/>
        <v>7104948.5</v>
      </c>
      <c r="H116" s="483">
        <f t="shared" si="67"/>
        <v>1255802.5154125532</v>
      </c>
      <c r="I116" s="539">
        <f t="shared" si="68"/>
        <v>1255802.5154125532</v>
      </c>
      <c r="J116" s="475">
        <f t="shared" si="35"/>
        <v>0</v>
      </c>
      <c r="K116" s="475"/>
      <c r="L116" s="484"/>
      <c r="M116" s="475">
        <f t="shared" si="37"/>
        <v>0</v>
      </c>
      <c r="N116" s="484"/>
      <c r="O116" s="475">
        <f t="shared" si="39"/>
        <v>0</v>
      </c>
      <c r="P116" s="475">
        <f t="shared" si="40"/>
        <v>0</v>
      </c>
    </row>
    <row r="117" spans="2:16" ht="12.5">
      <c r="B117" s="160" t="str">
        <f t="shared" si="41"/>
        <v/>
      </c>
      <c r="C117" s="469">
        <f>IF(D93="","-",+C116+1)</f>
        <v>2027</v>
      </c>
      <c r="D117" s="344">
        <f>IF(F116+SUM(E$99:E116)=D$92,F116,D$92-SUM(E$99:E116))</f>
        <v>6954211</v>
      </c>
      <c r="E117" s="483">
        <f>IF(+J96&lt;F116,J96,D117)</f>
        <v>301475</v>
      </c>
      <c r="F117" s="482">
        <f t="shared" si="65"/>
        <v>6652736</v>
      </c>
      <c r="G117" s="482">
        <f t="shared" si="66"/>
        <v>6803473.5</v>
      </c>
      <c r="H117" s="483">
        <f t="shared" si="67"/>
        <v>1215308.7823884503</v>
      </c>
      <c r="I117" s="539">
        <f t="shared" si="68"/>
        <v>1215308.7823884503</v>
      </c>
      <c r="J117" s="475">
        <f t="shared" si="35"/>
        <v>0</v>
      </c>
      <c r="K117" s="475"/>
      <c r="L117" s="484"/>
      <c r="M117" s="475">
        <f t="shared" si="37"/>
        <v>0</v>
      </c>
      <c r="N117" s="484"/>
      <c r="O117" s="475">
        <f t="shared" si="39"/>
        <v>0</v>
      </c>
      <c r="P117" s="475">
        <f t="shared" si="40"/>
        <v>0</v>
      </c>
    </row>
    <row r="118" spans="2:16" ht="12.5">
      <c r="B118" s="160" t="str">
        <f t="shared" si="41"/>
        <v/>
      </c>
      <c r="C118" s="469">
        <f>IF(D93="","-",+C117+1)</f>
        <v>2028</v>
      </c>
      <c r="D118" s="344">
        <f>IF(F117+SUM(E$99:E117)=D$92,F117,D$92-SUM(E$99:E117))</f>
        <v>6652736</v>
      </c>
      <c r="E118" s="483">
        <f>IF(+J96&lt;F117,J96,D118)</f>
        <v>301475</v>
      </c>
      <c r="F118" s="482">
        <f t="shared" si="65"/>
        <v>6351261</v>
      </c>
      <c r="G118" s="482">
        <f t="shared" si="66"/>
        <v>6501998.5</v>
      </c>
      <c r="H118" s="483">
        <f t="shared" si="67"/>
        <v>1174815.0493643475</v>
      </c>
      <c r="I118" s="539">
        <f t="shared" si="68"/>
        <v>1174815.0493643475</v>
      </c>
      <c r="J118" s="475">
        <f t="shared" si="35"/>
        <v>0</v>
      </c>
      <c r="K118" s="475"/>
      <c r="L118" s="484"/>
      <c r="M118" s="475">
        <f t="shared" si="37"/>
        <v>0</v>
      </c>
      <c r="N118" s="484"/>
      <c r="O118" s="475">
        <f t="shared" si="39"/>
        <v>0</v>
      </c>
      <c r="P118" s="475">
        <f t="shared" si="40"/>
        <v>0</v>
      </c>
    </row>
    <row r="119" spans="2:16" ht="12.5">
      <c r="B119" s="160" t="str">
        <f t="shared" si="41"/>
        <v/>
      </c>
      <c r="C119" s="469">
        <f>IF(D93="","-",+C118+1)</f>
        <v>2029</v>
      </c>
      <c r="D119" s="344">
        <f>IF(F118+SUM(E$99:E118)=D$92,F118,D$92-SUM(E$99:E118))</f>
        <v>6351261</v>
      </c>
      <c r="E119" s="483">
        <f>IF(+J96&lt;F118,J96,D119)</f>
        <v>301475</v>
      </c>
      <c r="F119" s="482">
        <f t="shared" si="65"/>
        <v>6049786</v>
      </c>
      <c r="G119" s="482">
        <f t="shared" si="66"/>
        <v>6200523.5</v>
      </c>
      <c r="H119" s="483">
        <f t="shared" si="67"/>
        <v>1134321.3163402448</v>
      </c>
      <c r="I119" s="539">
        <f t="shared" si="68"/>
        <v>1134321.3163402448</v>
      </c>
      <c r="J119" s="475">
        <f t="shared" si="35"/>
        <v>0</v>
      </c>
      <c r="K119" s="475"/>
      <c r="L119" s="484"/>
      <c r="M119" s="475">
        <f t="shared" si="37"/>
        <v>0</v>
      </c>
      <c r="N119" s="484"/>
      <c r="O119" s="475">
        <f t="shared" si="39"/>
        <v>0</v>
      </c>
      <c r="P119" s="475">
        <f t="shared" si="40"/>
        <v>0</v>
      </c>
    </row>
    <row r="120" spans="2:16" ht="12.5">
      <c r="B120" s="160" t="str">
        <f t="shared" si="41"/>
        <v/>
      </c>
      <c r="C120" s="469">
        <f>IF(D93="","-",+C119+1)</f>
        <v>2030</v>
      </c>
      <c r="D120" s="344">
        <f>IF(F119+SUM(E$99:E119)=D$92,F119,D$92-SUM(E$99:E119))</f>
        <v>6049786</v>
      </c>
      <c r="E120" s="483">
        <f>IF(+J96&lt;F119,J96,D120)</f>
        <v>301475</v>
      </c>
      <c r="F120" s="482">
        <f t="shared" si="65"/>
        <v>5748311</v>
      </c>
      <c r="G120" s="482">
        <f t="shared" si="66"/>
        <v>5899048.5</v>
      </c>
      <c r="H120" s="483">
        <f t="shared" si="67"/>
        <v>1093827.5833161422</v>
      </c>
      <c r="I120" s="539">
        <f t="shared" si="68"/>
        <v>1093827.5833161422</v>
      </c>
      <c r="J120" s="475">
        <f t="shared" si="35"/>
        <v>0</v>
      </c>
      <c r="K120" s="475"/>
      <c r="L120" s="484"/>
      <c r="M120" s="475">
        <f t="shared" si="37"/>
        <v>0</v>
      </c>
      <c r="N120" s="484"/>
      <c r="O120" s="475">
        <f t="shared" si="39"/>
        <v>0</v>
      </c>
      <c r="P120" s="475">
        <f t="shared" si="40"/>
        <v>0</v>
      </c>
    </row>
    <row r="121" spans="2:16" ht="12.5">
      <c r="B121" s="160" t="str">
        <f t="shared" si="41"/>
        <v/>
      </c>
      <c r="C121" s="469">
        <f>IF(D93="","-",+C120+1)</f>
        <v>2031</v>
      </c>
      <c r="D121" s="344">
        <f>IF(F120+SUM(E$99:E120)=D$92,F120,D$92-SUM(E$99:E120))</f>
        <v>5748311</v>
      </c>
      <c r="E121" s="483">
        <f>IF(+J96&lt;F120,J96,D121)</f>
        <v>301475</v>
      </c>
      <c r="F121" s="482">
        <f t="shared" si="65"/>
        <v>5446836</v>
      </c>
      <c r="G121" s="482">
        <f t="shared" si="66"/>
        <v>5597573.5</v>
      </c>
      <c r="H121" s="483">
        <f t="shared" si="67"/>
        <v>1053333.8502920391</v>
      </c>
      <c r="I121" s="539">
        <f t="shared" si="68"/>
        <v>1053333.8502920391</v>
      </c>
      <c r="J121" s="475">
        <f t="shared" si="35"/>
        <v>0</v>
      </c>
      <c r="K121" s="475"/>
      <c r="L121" s="484"/>
      <c r="M121" s="475">
        <f t="shared" si="37"/>
        <v>0</v>
      </c>
      <c r="N121" s="484"/>
      <c r="O121" s="475">
        <f t="shared" si="39"/>
        <v>0</v>
      </c>
      <c r="P121" s="475">
        <f t="shared" si="40"/>
        <v>0</v>
      </c>
    </row>
    <row r="122" spans="2:16" ht="12.5">
      <c r="B122" s="160" t="str">
        <f t="shared" si="41"/>
        <v/>
      </c>
      <c r="C122" s="469">
        <f>IF(D93="","-",+C121+1)</f>
        <v>2032</v>
      </c>
      <c r="D122" s="344">
        <f>IF(F121+SUM(E$99:E121)=D$92,F121,D$92-SUM(E$99:E121))</f>
        <v>5446836</v>
      </c>
      <c r="E122" s="483">
        <f>IF(+J96&lt;F121,J96,D122)</f>
        <v>301475</v>
      </c>
      <c r="F122" s="482">
        <f t="shared" si="65"/>
        <v>5145361</v>
      </c>
      <c r="G122" s="482">
        <f t="shared" si="66"/>
        <v>5296098.5</v>
      </c>
      <c r="H122" s="483">
        <f t="shared" si="67"/>
        <v>1012840.1172679365</v>
      </c>
      <c r="I122" s="539">
        <f t="shared" si="68"/>
        <v>1012840.1172679365</v>
      </c>
      <c r="J122" s="475">
        <f t="shared" si="35"/>
        <v>0</v>
      </c>
      <c r="K122" s="475"/>
      <c r="L122" s="484"/>
      <c r="M122" s="475">
        <f t="shared" si="37"/>
        <v>0</v>
      </c>
      <c r="N122" s="484"/>
      <c r="O122" s="475">
        <f t="shared" si="39"/>
        <v>0</v>
      </c>
      <c r="P122" s="475">
        <f t="shared" si="40"/>
        <v>0</v>
      </c>
    </row>
    <row r="123" spans="2:16" ht="12.5">
      <c r="B123" s="160" t="str">
        <f t="shared" si="41"/>
        <v/>
      </c>
      <c r="C123" s="469">
        <f>IF(D93="","-",+C122+1)</f>
        <v>2033</v>
      </c>
      <c r="D123" s="344">
        <f>IF(F122+SUM(E$99:E122)=D$92,F122,D$92-SUM(E$99:E122))</f>
        <v>5145361</v>
      </c>
      <c r="E123" s="483">
        <f>IF(+J96&lt;F122,J96,D123)</f>
        <v>301475</v>
      </c>
      <c r="F123" s="482">
        <f t="shared" si="65"/>
        <v>4843886</v>
      </c>
      <c r="G123" s="482">
        <f t="shared" si="66"/>
        <v>4994623.5</v>
      </c>
      <c r="H123" s="483">
        <f t="shared" si="67"/>
        <v>972346.38424383372</v>
      </c>
      <c r="I123" s="539">
        <f t="shared" si="68"/>
        <v>972346.38424383372</v>
      </c>
      <c r="J123" s="475">
        <f t="shared" si="35"/>
        <v>0</v>
      </c>
      <c r="K123" s="475"/>
      <c r="L123" s="484"/>
      <c r="M123" s="475">
        <f t="shared" si="37"/>
        <v>0</v>
      </c>
      <c r="N123" s="484"/>
      <c r="O123" s="475">
        <f t="shared" si="39"/>
        <v>0</v>
      </c>
      <c r="P123" s="475">
        <f t="shared" si="40"/>
        <v>0</v>
      </c>
    </row>
    <row r="124" spans="2:16" ht="12.5">
      <c r="B124" s="160" t="str">
        <f t="shared" si="41"/>
        <v/>
      </c>
      <c r="C124" s="469">
        <f>IF(D93="","-",+C123+1)</f>
        <v>2034</v>
      </c>
      <c r="D124" s="344">
        <f>IF(F123+SUM(E$99:E123)=D$92,F123,D$92-SUM(E$99:E123))</f>
        <v>4843886</v>
      </c>
      <c r="E124" s="483">
        <f>IF(+J96&lt;F123,J96,D124)</f>
        <v>301475</v>
      </c>
      <c r="F124" s="482">
        <f t="shared" si="65"/>
        <v>4542411</v>
      </c>
      <c r="G124" s="482">
        <f t="shared" si="66"/>
        <v>4693148.5</v>
      </c>
      <c r="H124" s="483">
        <f t="shared" si="67"/>
        <v>931852.65121973096</v>
      </c>
      <c r="I124" s="539">
        <f t="shared" si="68"/>
        <v>931852.65121973096</v>
      </c>
      <c r="J124" s="475">
        <f t="shared" si="35"/>
        <v>0</v>
      </c>
      <c r="K124" s="475"/>
      <c r="L124" s="484"/>
      <c r="M124" s="475">
        <f t="shared" si="37"/>
        <v>0</v>
      </c>
      <c r="N124" s="484"/>
      <c r="O124" s="475">
        <f t="shared" si="39"/>
        <v>0</v>
      </c>
      <c r="P124" s="475">
        <f t="shared" si="40"/>
        <v>0</v>
      </c>
    </row>
    <row r="125" spans="2:16" ht="12.5">
      <c r="B125" s="160" t="str">
        <f t="shared" si="41"/>
        <v/>
      </c>
      <c r="C125" s="469">
        <f>IF(D93="","-",+C124+1)</f>
        <v>2035</v>
      </c>
      <c r="D125" s="344">
        <f>IF(F124+SUM(E$99:E124)=D$92,F124,D$92-SUM(E$99:E124))</f>
        <v>4542411</v>
      </c>
      <c r="E125" s="483">
        <f>IF(+J96&lt;F124,J96,D125)</f>
        <v>301475</v>
      </c>
      <c r="F125" s="482">
        <f t="shared" si="65"/>
        <v>4240936</v>
      </c>
      <c r="G125" s="482">
        <f t="shared" si="66"/>
        <v>4391673.5</v>
      </c>
      <c r="H125" s="483">
        <f t="shared" si="67"/>
        <v>891358.91819562821</v>
      </c>
      <c r="I125" s="539">
        <f t="shared" si="68"/>
        <v>891358.91819562821</v>
      </c>
      <c r="J125" s="475">
        <f t="shared" si="35"/>
        <v>0</v>
      </c>
      <c r="K125" s="475"/>
      <c r="L125" s="484"/>
      <c r="M125" s="475">
        <f t="shared" si="37"/>
        <v>0</v>
      </c>
      <c r="N125" s="484"/>
      <c r="O125" s="475">
        <f t="shared" si="39"/>
        <v>0</v>
      </c>
      <c r="P125" s="475">
        <f t="shared" si="40"/>
        <v>0</v>
      </c>
    </row>
    <row r="126" spans="2:16" ht="12.5">
      <c r="B126" s="160" t="str">
        <f t="shared" si="41"/>
        <v/>
      </c>
      <c r="C126" s="469">
        <f>IF(D93="","-",+C125+1)</f>
        <v>2036</v>
      </c>
      <c r="D126" s="344">
        <f>IF(F125+SUM(E$99:E125)=D$92,F125,D$92-SUM(E$99:E125))</f>
        <v>4240936</v>
      </c>
      <c r="E126" s="483">
        <f>IF(+J96&lt;F125,J96,D126)</f>
        <v>301475</v>
      </c>
      <c r="F126" s="482">
        <f t="shared" si="65"/>
        <v>3939461</v>
      </c>
      <c r="G126" s="482">
        <f t="shared" si="66"/>
        <v>4090198.5</v>
      </c>
      <c r="H126" s="483">
        <f t="shared" si="67"/>
        <v>850865.18517152546</v>
      </c>
      <c r="I126" s="539">
        <f t="shared" si="68"/>
        <v>850865.18517152546</v>
      </c>
      <c r="J126" s="475">
        <f t="shared" si="35"/>
        <v>0</v>
      </c>
      <c r="K126" s="475"/>
      <c r="L126" s="484"/>
      <c r="M126" s="475">
        <f t="shared" si="37"/>
        <v>0</v>
      </c>
      <c r="N126" s="484"/>
      <c r="O126" s="475">
        <f t="shared" si="39"/>
        <v>0</v>
      </c>
      <c r="P126" s="475">
        <f t="shared" si="40"/>
        <v>0</v>
      </c>
    </row>
    <row r="127" spans="2:16" ht="12.5">
      <c r="B127" s="160" t="str">
        <f t="shared" si="41"/>
        <v/>
      </c>
      <c r="C127" s="469">
        <f>IF(D93="","-",+C126+1)</f>
        <v>2037</v>
      </c>
      <c r="D127" s="344">
        <f>IF(F126+SUM(E$99:E126)=D$92,F126,D$92-SUM(E$99:E126))</f>
        <v>3939461</v>
      </c>
      <c r="E127" s="483">
        <f>IF(+J96&lt;F126,J96,D127)</f>
        <v>301475</v>
      </c>
      <c r="F127" s="482">
        <f t="shared" si="65"/>
        <v>3637986</v>
      </c>
      <c r="G127" s="482">
        <f t="shared" si="66"/>
        <v>3788723.5</v>
      </c>
      <c r="H127" s="483">
        <f t="shared" si="67"/>
        <v>810371.45214742259</v>
      </c>
      <c r="I127" s="539">
        <f t="shared" si="68"/>
        <v>810371.45214742259</v>
      </c>
      <c r="J127" s="475">
        <f t="shared" si="35"/>
        <v>0</v>
      </c>
      <c r="K127" s="475"/>
      <c r="L127" s="484"/>
      <c r="M127" s="475">
        <f t="shared" si="37"/>
        <v>0</v>
      </c>
      <c r="N127" s="484"/>
      <c r="O127" s="475">
        <f t="shared" si="39"/>
        <v>0</v>
      </c>
      <c r="P127" s="475">
        <f t="shared" si="40"/>
        <v>0</v>
      </c>
    </row>
    <row r="128" spans="2:16" ht="12.5">
      <c r="B128" s="160" t="str">
        <f t="shared" si="41"/>
        <v/>
      </c>
      <c r="C128" s="469">
        <f>IF(D93="","-",+C127+1)</f>
        <v>2038</v>
      </c>
      <c r="D128" s="344">
        <f>IF(F127+SUM(E$99:E127)=D$92,F127,D$92-SUM(E$99:E127))</f>
        <v>3637986</v>
      </c>
      <c r="E128" s="483">
        <f>IF(+J96&lt;F127,J96,D128)</f>
        <v>301475</v>
      </c>
      <c r="F128" s="482">
        <f t="shared" si="65"/>
        <v>3336511</v>
      </c>
      <c r="G128" s="482">
        <f t="shared" si="66"/>
        <v>3487248.5</v>
      </c>
      <c r="H128" s="483">
        <f t="shared" si="67"/>
        <v>769877.71912331984</v>
      </c>
      <c r="I128" s="539">
        <f t="shared" si="68"/>
        <v>769877.71912331984</v>
      </c>
      <c r="J128" s="475">
        <f t="shared" si="35"/>
        <v>0</v>
      </c>
      <c r="K128" s="475"/>
      <c r="L128" s="484"/>
      <c r="M128" s="475">
        <f t="shared" si="37"/>
        <v>0</v>
      </c>
      <c r="N128" s="484"/>
      <c r="O128" s="475">
        <f t="shared" si="39"/>
        <v>0</v>
      </c>
      <c r="P128" s="475">
        <f t="shared" si="40"/>
        <v>0</v>
      </c>
    </row>
    <row r="129" spans="2:16" ht="12.5">
      <c r="B129" s="160" t="str">
        <f t="shared" si="41"/>
        <v/>
      </c>
      <c r="C129" s="469">
        <f>IF(D93="","-",+C128+1)</f>
        <v>2039</v>
      </c>
      <c r="D129" s="344">
        <f>IF(F128+SUM(E$99:E128)=D$92,F128,D$92-SUM(E$99:E128))</f>
        <v>3336511</v>
      </c>
      <c r="E129" s="483">
        <f>IF(+J96&lt;F128,J96,D129)</f>
        <v>301475</v>
      </c>
      <c r="F129" s="482">
        <f t="shared" si="65"/>
        <v>3035036</v>
      </c>
      <c r="G129" s="482">
        <f t="shared" si="66"/>
        <v>3185773.5</v>
      </c>
      <c r="H129" s="483">
        <f t="shared" si="67"/>
        <v>729383.98609921709</v>
      </c>
      <c r="I129" s="539">
        <f t="shared" si="68"/>
        <v>729383.98609921709</v>
      </c>
      <c r="J129" s="475">
        <f t="shared" si="35"/>
        <v>0</v>
      </c>
      <c r="K129" s="475"/>
      <c r="L129" s="484"/>
      <c r="M129" s="475">
        <f t="shared" si="37"/>
        <v>0</v>
      </c>
      <c r="N129" s="484"/>
      <c r="O129" s="475">
        <f t="shared" si="39"/>
        <v>0</v>
      </c>
      <c r="P129" s="475">
        <f t="shared" si="40"/>
        <v>0</v>
      </c>
    </row>
    <row r="130" spans="2:16" ht="12.5">
      <c r="B130" s="160" t="str">
        <f t="shared" si="41"/>
        <v/>
      </c>
      <c r="C130" s="469">
        <f>IF(D93="","-",+C129+1)</f>
        <v>2040</v>
      </c>
      <c r="D130" s="344">
        <f>IF(F129+SUM(E$99:E129)=D$92,F129,D$92-SUM(E$99:E129))</f>
        <v>3035036</v>
      </c>
      <c r="E130" s="483">
        <f>IF(+J96&lt;F129,J96,D130)</f>
        <v>301475</v>
      </c>
      <c r="F130" s="482">
        <f t="shared" si="65"/>
        <v>2733561</v>
      </c>
      <c r="G130" s="482">
        <f t="shared" si="66"/>
        <v>2884298.5</v>
      </c>
      <c r="H130" s="483">
        <f t="shared" si="67"/>
        <v>688890.25307511433</v>
      </c>
      <c r="I130" s="539">
        <f t="shared" si="68"/>
        <v>688890.25307511433</v>
      </c>
      <c r="J130" s="475">
        <f t="shared" si="35"/>
        <v>0</v>
      </c>
      <c r="K130" s="475"/>
      <c r="L130" s="484"/>
      <c r="M130" s="475">
        <f t="shared" si="37"/>
        <v>0</v>
      </c>
      <c r="N130" s="484"/>
      <c r="O130" s="475">
        <f t="shared" si="39"/>
        <v>0</v>
      </c>
      <c r="P130" s="475">
        <f t="shared" si="40"/>
        <v>0</v>
      </c>
    </row>
    <row r="131" spans="2:16" ht="12.5">
      <c r="B131" s="160" t="str">
        <f t="shared" si="41"/>
        <v/>
      </c>
      <c r="C131" s="469">
        <f>IF(D93="","-",+C130+1)</f>
        <v>2041</v>
      </c>
      <c r="D131" s="344">
        <f>IF(F130+SUM(E$99:E130)=D$92,F130,D$92-SUM(E$99:E130))</f>
        <v>2733561</v>
      </c>
      <c r="E131" s="483">
        <f>IF(+J96&lt;F130,J96,D131)</f>
        <v>301475</v>
      </c>
      <c r="F131" s="482">
        <f t="shared" ref="F131:F154" si="69">+D131-E131</f>
        <v>2432086</v>
      </c>
      <c r="G131" s="482">
        <f t="shared" ref="G131:G154" si="70">+(F131+D131)/2</f>
        <v>2582823.5</v>
      </c>
      <c r="H131" s="483">
        <f t="shared" si="67"/>
        <v>648396.52005101158</v>
      </c>
      <c r="I131" s="539">
        <f t="shared" si="68"/>
        <v>648396.52005101158</v>
      </c>
      <c r="J131" s="475">
        <f t="shared" ref="J131:J154" si="71">+I131-H131</f>
        <v>0</v>
      </c>
      <c r="K131" s="475"/>
      <c r="L131" s="484"/>
      <c r="M131" s="475">
        <f t="shared" ref="M131:M154" si="72">IF(L131&lt;&gt;0,+H131-L131,0)</f>
        <v>0</v>
      </c>
      <c r="N131" s="484"/>
      <c r="O131" s="475">
        <f t="shared" ref="O131:O154" si="73">IF(N131&lt;&gt;0,+I131-N131,0)</f>
        <v>0</v>
      </c>
      <c r="P131" s="475">
        <f t="shared" ref="P131:P154" si="74">+O131-M131</f>
        <v>0</v>
      </c>
    </row>
    <row r="132" spans="2:16" ht="12.5">
      <c r="B132" s="160" t="str">
        <f t="shared" si="41"/>
        <v/>
      </c>
      <c r="C132" s="469">
        <f>IF(D93="","-",+C131+1)</f>
        <v>2042</v>
      </c>
      <c r="D132" s="344">
        <f>IF(F131+SUM(E$99:E131)=D$92,F131,D$92-SUM(E$99:E131))</f>
        <v>2432086</v>
      </c>
      <c r="E132" s="483">
        <f>IF(+J96&lt;F131,J96,D132)</f>
        <v>301475</v>
      </c>
      <c r="F132" s="482">
        <f t="shared" si="69"/>
        <v>2130611</v>
      </c>
      <c r="G132" s="482">
        <f t="shared" si="70"/>
        <v>2281348.5</v>
      </c>
      <c r="H132" s="483">
        <f t="shared" si="67"/>
        <v>607902.78702690871</v>
      </c>
      <c r="I132" s="539">
        <f t="shared" si="68"/>
        <v>607902.78702690871</v>
      </c>
      <c r="J132" s="475">
        <f t="shared" si="71"/>
        <v>0</v>
      </c>
      <c r="K132" s="475"/>
      <c r="L132" s="484"/>
      <c r="M132" s="475">
        <f t="shared" si="72"/>
        <v>0</v>
      </c>
      <c r="N132" s="484"/>
      <c r="O132" s="475">
        <f t="shared" si="73"/>
        <v>0</v>
      </c>
      <c r="P132" s="475">
        <f t="shared" si="74"/>
        <v>0</v>
      </c>
    </row>
    <row r="133" spans="2:16" ht="12.5">
      <c r="B133" s="160" t="str">
        <f t="shared" si="41"/>
        <v/>
      </c>
      <c r="C133" s="469">
        <f>IF(D93="","-",+C132+1)</f>
        <v>2043</v>
      </c>
      <c r="D133" s="344">
        <f>IF(F132+SUM(E$99:E132)=D$92,F132,D$92-SUM(E$99:E132))</f>
        <v>2130611</v>
      </c>
      <c r="E133" s="483">
        <f>IF(+J96&lt;F132,J96,D133)</f>
        <v>301475</v>
      </c>
      <c r="F133" s="482">
        <f t="shared" si="69"/>
        <v>1829136</v>
      </c>
      <c r="G133" s="482">
        <f t="shared" si="70"/>
        <v>1979873.5</v>
      </c>
      <c r="H133" s="483">
        <f t="shared" si="67"/>
        <v>567409.05400280608</v>
      </c>
      <c r="I133" s="539">
        <f t="shared" si="68"/>
        <v>567409.05400280608</v>
      </c>
      <c r="J133" s="475">
        <f t="shared" si="71"/>
        <v>0</v>
      </c>
      <c r="K133" s="475"/>
      <c r="L133" s="484"/>
      <c r="M133" s="475">
        <f t="shared" si="72"/>
        <v>0</v>
      </c>
      <c r="N133" s="484"/>
      <c r="O133" s="475">
        <f t="shared" si="73"/>
        <v>0</v>
      </c>
      <c r="P133" s="475">
        <f t="shared" si="74"/>
        <v>0</v>
      </c>
    </row>
    <row r="134" spans="2:16" ht="12.5">
      <c r="B134" s="160" t="str">
        <f t="shared" si="41"/>
        <v/>
      </c>
      <c r="C134" s="469">
        <f>IF(D93="","-",+C133+1)</f>
        <v>2044</v>
      </c>
      <c r="D134" s="344">
        <f>IF(F133+SUM(E$99:E133)=D$92,F133,D$92-SUM(E$99:E133))</f>
        <v>1829136</v>
      </c>
      <c r="E134" s="483">
        <f>IF(+J96&lt;F133,J96,D134)</f>
        <v>301475</v>
      </c>
      <c r="F134" s="482">
        <f t="shared" si="69"/>
        <v>1527661</v>
      </c>
      <c r="G134" s="482">
        <f t="shared" si="70"/>
        <v>1678398.5</v>
      </c>
      <c r="H134" s="483">
        <f t="shared" si="67"/>
        <v>526915.32097870321</v>
      </c>
      <c r="I134" s="539">
        <f t="shared" si="68"/>
        <v>526915.32097870321</v>
      </c>
      <c r="J134" s="475">
        <f t="shared" si="71"/>
        <v>0</v>
      </c>
      <c r="K134" s="475"/>
      <c r="L134" s="484"/>
      <c r="M134" s="475">
        <f t="shared" si="72"/>
        <v>0</v>
      </c>
      <c r="N134" s="484"/>
      <c r="O134" s="475">
        <f t="shared" si="73"/>
        <v>0</v>
      </c>
      <c r="P134" s="475">
        <f t="shared" si="74"/>
        <v>0</v>
      </c>
    </row>
    <row r="135" spans="2:16" ht="12.5">
      <c r="B135" s="160" t="str">
        <f t="shared" si="41"/>
        <v/>
      </c>
      <c r="C135" s="469">
        <f>IF(D93="","-",+C134+1)</f>
        <v>2045</v>
      </c>
      <c r="D135" s="344">
        <f>IF(F134+SUM(E$99:E134)=D$92,F134,D$92-SUM(E$99:E134))</f>
        <v>1527661</v>
      </c>
      <c r="E135" s="483">
        <f>IF(+J96&lt;F134,J96,D135)</f>
        <v>301475</v>
      </c>
      <c r="F135" s="482">
        <f t="shared" si="69"/>
        <v>1226186</v>
      </c>
      <c r="G135" s="482">
        <f t="shared" si="70"/>
        <v>1376923.5</v>
      </c>
      <c r="H135" s="483">
        <f t="shared" si="67"/>
        <v>486421.58795460046</v>
      </c>
      <c r="I135" s="539">
        <f t="shared" si="68"/>
        <v>486421.58795460046</v>
      </c>
      <c r="J135" s="475">
        <f t="shared" si="71"/>
        <v>0</v>
      </c>
      <c r="K135" s="475"/>
      <c r="L135" s="484"/>
      <c r="M135" s="475">
        <f t="shared" si="72"/>
        <v>0</v>
      </c>
      <c r="N135" s="484"/>
      <c r="O135" s="475">
        <f t="shared" si="73"/>
        <v>0</v>
      </c>
      <c r="P135" s="475">
        <f t="shared" si="74"/>
        <v>0</v>
      </c>
    </row>
    <row r="136" spans="2:16" ht="12.5">
      <c r="B136" s="160" t="str">
        <f t="shared" si="41"/>
        <v/>
      </c>
      <c r="C136" s="469">
        <f>IF(D93="","-",+C135+1)</f>
        <v>2046</v>
      </c>
      <c r="D136" s="344">
        <f>IF(F135+SUM(E$99:E135)=D$92,F135,D$92-SUM(E$99:E135))</f>
        <v>1226186</v>
      </c>
      <c r="E136" s="483">
        <f>IF(+J96&lt;F135,J96,D136)</f>
        <v>301475</v>
      </c>
      <c r="F136" s="482">
        <f t="shared" si="69"/>
        <v>924711</v>
      </c>
      <c r="G136" s="482">
        <f t="shared" si="70"/>
        <v>1075448.5</v>
      </c>
      <c r="H136" s="483">
        <f t="shared" si="67"/>
        <v>445927.85493049771</v>
      </c>
      <c r="I136" s="539">
        <f t="shared" si="68"/>
        <v>445927.85493049771</v>
      </c>
      <c r="J136" s="475">
        <f t="shared" si="71"/>
        <v>0</v>
      </c>
      <c r="K136" s="475"/>
      <c r="L136" s="484"/>
      <c r="M136" s="475">
        <f t="shared" si="72"/>
        <v>0</v>
      </c>
      <c r="N136" s="484"/>
      <c r="O136" s="475">
        <f t="shared" si="73"/>
        <v>0</v>
      </c>
      <c r="P136" s="475">
        <f t="shared" si="74"/>
        <v>0</v>
      </c>
    </row>
    <row r="137" spans="2:16" ht="12.5">
      <c r="B137" s="160" t="str">
        <f t="shared" si="41"/>
        <v/>
      </c>
      <c r="C137" s="469">
        <f>IF(D93="","-",+C136+1)</f>
        <v>2047</v>
      </c>
      <c r="D137" s="344">
        <f>IF(F136+SUM(E$99:E136)=D$92,F136,D$92-SUM(E$99:E136))</f>
        <v>924711</v>
      </c>
      <c r="E137" s="483">
        <f>IF(+J96&lt;F136,J96,D137)</f>
        <v>301475</v>
      </c>
      <c r="F137" s="482">
        <f t="shared" si="69"/>
        <v>623236</v>
      </c>
      <c r="G137" s="482">
        <f t="shared" si="70"/>
        <v>773973.5</v>
      </c>
      <c r="H137" s="483">
        <f t="shared" si="67"/>
        <v>405434.1219063949</v>
      </c>
      <c r="I137" s="539">
        <f t="shared" si="68"/>
        <v>405434.1219063949</v>
      </c>
      <c r="J137" s="475">
        <f t="shared" si="71"/>
        <v>0</v>
      </c>
      <c r="K137" s="475"/>
      <c r="L137" s="484"/>
      <c r="M137" s="475">
        <f t="shared" si="72"/>
        <v>0</v>
      </c>
      <c r="N137" s="484"/>
      <c r="O137" s="475">
        <f t="shared" si="73"/>
        <v>0</v>
      </c>
      <c r="P137" s="475">
        <f t="shared" si="74"/>
        <v>0</v>
      </c>
    </row>
    <row r="138" spans="2:16" ht="12.5">
      <c r="B138" s="160" t="str">
        <f t="shared" si="41"/>
        <v/>
      </c>
      <c r="C138" s="469">
        <f>IF(D93="","-",+C137+1)</f>
        <v>2048</v>
      </c>
      <c r="D138" s="344">
        <f>IF(F137+SUM(E$99:E137)=D$92,F137,D$92-SUM(E$99:E137))</f>
        <v>623236</v>
      </c>
      <c r="E138" s="483">
        <f>IF(+J96&lt;F137,J96,D138)</f>
        <v>301475</v>
      </c>
      <c r="F138" s="482">
        <f t="shared" si="69"/>
        <v>321761</v>
      </c>
      <c r="G138" s="482">
        <f t="shared" si="70"/>
        <v>472498.5</v>
      </c>
      <c r="H138" s="483">
        <f t="shared" si="67"/>
        <v>364940.38888229214</v>
      </c>
      <c r="I138" s="539">
        <f t="shared" si="68"/>
        <v>364940.38888229214</v>
      </c>
      <c r="J138" s="475">
        <f t="shared" si="71"/>
        <v>0</v>
      </c>
      <c r="K138" s="475"/>
      <c r="L138" s="484"/>
      <c r="M138" s="475">
        <f t="shared" si="72"/>
        <v>0</v>
      </c>
      <c r="N138" s="484"/>
      <c r="O138" s="475">
        <f t="shared" si="73"/>
        <v>0</v>
      </c>
      <c r="P138" s="475">
        <f t="shared" si="74"/>
        <v>0</v>
      </c>
    </row>
    <row r="139" spans="2:16" ht="12.5">
      <c r="B139" s="160" t="str">
        <f t="shared" si="41"/>
        <v/>
      </c>
      <c r="C139" s="469">
        <f>IF(D93="","-",+C138+1)</f>
        <v>2049</v>
      </c>
      <c r="D139" s="344">
        <f>IF(F138+SUM(E$99:E138)=D$92,F138,D$92-SUM(E$99:E138))</f>
        <v>321761</v>
      </c>
      <c r="E139" s="483">
        <f>IF(+J96&lt;F138,J96,D139)</f>
        <v>301475</v>
      </c>
      <c r="F139" s="482">
        <f t="shared" si="69"/>
        <v>20286</v>
      </c>
      <c r="G139" s="482">
        <f t="shared" si="70"/>
        <v>171023.5</v>
      </c>
      <c r="H139" s="483">
        <f t="shared" si="67"/>
        <v>324446.65585818939</v>
      </c>
      <c r="I139" s="539">
        <f t="shared" si="68"/>
        <v>324446.65585818939</v>
      </c>
      <c r="J139" s="475">
        <f t="shared" si="71"/>
        <v>0</v>
      </c>
      <c r="K139" s="475"/>
      <c r="L139" s="484"/>
      <c r="M139" s="475">
        <f t="shared" si="72"/>
        <v>0</v>
      </c>
      <c r="N139" s="484"/>
      <c r="O139" s="475">
        <f t="shared" si="73"/>
        <v>0</v>
      </c>
      <c r="P139" s="475">
        <f t="shared" si="74"/>
        <v>0</v>
      </c>
    </row>
    <row r="140" spans="2:16" ht="12.5">
      <c r="B140" s="160" t="str">
        <f t="shared" si="41"/>
        <v/>
      </c>
      <c r="C140" s="469">
        <f>IF(D93="","-",+C139+1)</f>
        <v>2050</v>
      </c>
      <c r="D140" s="344">
        <f>IF(F139+SUM(E$99:E139)=D$92,F139,D$92-SUM(E$99:E139))</f>
        <v>20286</v>
      </c>
      <c r="E140" s="483">
        <f>IF(+J96&lt;F139,J96,D140)</f>
        <v>20286</v>
      </c>
      <c r="F140" s="482">
        <f t="shared" si="69"/>
        <v>0</v>
      </c>
      <c r="G140" s="482">
        <f t="shared" si="70"/>
        <v>10143</v>
      </c>
      <c r="H140" s="483">
        <f t="shared" si="67"/>
        <v>21648.394673068993</v>
      </c>
      <c r="I140" s="539">
        <f t="shared" si="68"/>
        <v>21648.394673068993</v>
      </c>
      <c r="J140" s="475">
        <f t="shared" si="71"/>
        <v>0</v>
      </c>
      <c r="K140" s="475"/>
      <c r="L140" s="484"/>
      <c r="M140" s="475">
        <f t="shared" si="72"/>
        <v>0</v>
      </c>
      <c r="N140" s="484"/>
      <c r="O140" s="475">
        <f t="shared" si="73"/>
        <v>0</v>
      </c>
      <c r="P140" s="475">
        <f t="shared" si="74"/>
        <v>0</v>
      </c>
    </row>
    <row r="141" spans="2:16" ht="12.5">
      <c r="B141" s="160" t="str">
        <f t="shared" si="41"/>
        <v/>
      </c>
      <c r="C141" s="469">
        <f>IF(D93="","-",+C140+1)</f>
        <v>2051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69"/>
        <v>0</v>
      </c>
      <c r="G141" s="482">
        <f t="shared" si="70"/>
        <v>0</v>
      </c>
      <c r="H141" s="483">
        <f t="shared" si="67"/>
        <v>0</v>
      </c>
      <c r="I141" s="539">
        <f t="shared" si="68"/>
        <v>0</v>
      </c>
      <c r="J141" s="475">
        <f t="shared" si="71"/>
        <v>0</v>
      </c>
      <c r="K141" s="475"/>
      <c r="L141" s="484"/>
      <c r="M141" s="475">
        <f t="shared" si="72"/>
        <v>0</v>
      </c>
      <c r="N141" s="484"/>
      <c r="O141" s="475">
        <f t="shared" si="73"/>
        <v>0</v>
      </c>
      <c r="P141" s="475">
        <f t="shared" si="74"/>
        <v>0</v>
      </c>
    </row>
    <row r="142" spans="2:16" ht="12.5">
      <c r="B142" s="160" t="str">
        <f t="shared" si="41"/>
        <v/>
      </c>
      <c r="C142" s="469">
        <f>IF(D93="","-",+C141+1)</f>
        <v>2052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69"/>
        <v>0</v>
      </c>
      <c r="G142" s="482">
        <f t="shared" si="70"/>
        <v>0</v>
      </c>
      <c r="H142" s="483">
        <f t="shared" si="67"/>
        <v>0</v>
      </c>
      <c r="I142" s="539">
        <f t="shared" si="68"/>
        <v>0</v>
      </c>
      <c r="J142" s="475">
        <f t="shared" si="71"/>
        <v>0</v>
      </c>
      <c r="K142" s="475"/>
      <c r="L142" s="484"/>
      <c r="M142" s="475">
        <f t="shared" si="72"/>
        <v>0</v>
      </c>
      <c r="N142" s="484"/>
      <c r="O142" s="475">
        <f t="shared" si="73"/>
        <v>0</v>
      </c>
      <c r="P142" s="475">
        <f t="shared" si="74"/>
        <v>0</v>
      </c>
    </row>
    <row r="143" spans="2:16" ht="12.5">
      <c r="B143" s="160" t="str">
        <f t="shared" si="41"/>
        <v/>
      </c>
      <c r="C143" s="469">
        <f>IF(D93="","-",+C142+1)</f>
        <v>2053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69"/>
        <v>0</v>
      </c>
      <c r="G143" s="482">
        <f t="shared" si="70"/>
        <v>0</v>
      </c>
      <c r="H143" s="483">
        <f t="shared" si="67"/>
        <v>0</v>
      </c>
      <c r="I143" s="539">
        <f t="shared" si="68"/>
        <v>0</v>
      </c>
      <c r="J143" s="475">
        <f t="shared" si="71"/>
        <v>0</v>
      </c>
      <c r="K143" s="475"/>
      <c r="L143" s="484"/>
      <c r="M143" s="475">
        <f t="shared" si="72"/>
        <v>0</v>
      </c>
      <c r="N143" s="484"/>
      <c r="O143" s="475">
        <f t="shared" si="73"/>
        <v>0</v>
      </c>
      <c r="P143" s="475">
        <f t="shared" si="74"/>
        <v>0</v>
      </c>
    </row>
    <row r="144" spans="2:16" ht="12.5">
      <c r="B144" s="160" t="str">
        <f t="shared" si="41"/>
        <v/>
      </c>
      <c r="C144" s="469">
        <f>IF(D93="","-",+C143+1)</f>
        <v>2054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69"/>
        <v>0</v>
      </c>
      <c r="G144" s="482">
        <f t="shared" si="70"/>
        <v>0</v>
      </c>
      <c r="H144" s="483">
        <f t="shared" si="67"/>
        <v>0</v>
      </c>
      <c r="I144" s="539">
        <f t="shared" si="68"/>
        <v>0</v>
      </c>
      <c r="J144" s="475">
        <f t="shared" si="71"/>
        <v>0</v>
      </c>
      <c r="K144" s="475"/>
      <c r="L144" s="484"/>
      <c r="M144" s="475">
        <f t="shared" si="72"/>
        <v>0</v>
      </c>
      <c r="N144" s="484"/>
      <c r="O144" s="475">
        <f t="shared" si="73"/>
        <v>0</v>
      </c>
      <c r="P144" s="475">
        <f t="shared" si="74"/>
        <v>0</v>
      </c>
    </row>
    <row r="145" spans="2:16" ht="12.5">
      <c r="B145" s="160" t="str">
        <f t="shared" si="41"/>
        <v/>
      </c>
      <c r="C145" s="469">
        <f>IF(D93="","-",+C144+1)</f>
        <v>2055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69"/>
        <v>0</v>
      </c>
      <c r="G145" s="482">
        <f t="shared" si="70"/>
        <v>0</v>
      </c>
      <c r="H145" s="483">
        <f t="shared" si="67"/>
        <v>0</v>
      </c>
      <c r="I145" s="539">
        <f t="shared" si="68"/>
        <v>0</v>
      </c>
      <c r="J145" s="475">
        <f t="shared" si="71"/>
        <v>0</v>
      </c>
      <c r="K145" s="475"/>
      <c r="L145" s="484"/>
      <c r="M145" s="475">
        <f t="shared" si="72"/>
        <v>0</v>
      </c>
      <c r="N145" s="484"/>
      <c r="O145" s="475">
        <f t="shared" si="73"/>
        <v>0</v>
      </c>
      <c r="P145" s="475">
        <f t="shared" si="74"/>
        <v>0</v>
      </c>
    </row>
    <row r="146" spans="2:16" ht="12.5">
      <c r="B146" s="160" t="str">
        <f t="shared" si="41"/>
        <v/>
      </c>
      <c r="C146" s="469">
        <f>IF(D93="","-",+C145+1)</f>
        <v>2056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69"/>
        <v>0</v>
      </c>
      <c r="G146" s="482">
        <f t="shared" si="70"/>
        <v>0</v>
      </c>
      <c r="H146" s="483">
        <f t="shared" si="67"/>
        <v>0</v>
      </c>
      <c r="I146" s="539">
        <f t="shared" si="68"/>
        <v>0</v>
      </c>
      <c r="J146" s="475">
        <f t="shared" si="71"/>
        <v>0</v>
      </c>
      <c r="K146" s="475"/>
      <c r="L146" s="484"/>
      <c r="M146" s="475">
        <f t="shared" si="72"/>
        <v>0</v>
      </c>
      <c r="N146" s="484"/>
      <c r="O146" s="475">
        <f t="shared" si="73"/>
        <v>0</v>
      </c>
      <c r="P146" s="475">
        <f t="shared" si="74"/>
        <v>0</v>
      </c>
    </row>
    <row r="147" spans="2:16" ht="12.5">
      <c r="B147" s="160" t="str">
        <f t="shared" si="41"/>
        <v/>
      </c>
      <c r="C147" s="469">
        <f>IF(D93="","-",+C146+1)</f>
        <v>2057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69"/>
        <v>0</v>
      </c>
      <c r="G147" s="482">
        <f t="shared" si="70"/>
        <v>0</v>
      </c>
      <c r="H147" s="483">
        <f t="shared" si="67"/>
        <v>0</v>
      </c>
      <c r="I147" s="539">
        <f t="shared" si="68"/>
        <v>0</v>
      </c>
      <c r="J147" s="475">
        <f t="shared" si="71"/>
        <v>0</v>
      </c>
      <c r="K147" s="475"/>
      <c r="L147" s="484"/>
      <c r="M147" s="475">
        <f t="shared" si="72"/>
        <v>0</v>
      </c>
      <c r="N147" s="484"/>
      <c r="O147" s="475">
        <f t="shared" si="73"/>
        <v>0</v>
      </c>
      <c r="P147" s="475">
        <f t="shared" si="74"/>
        <v>0</v>
      </c>
    </row>
    <row r="148" spans="2:16" ht="12.5">
      <c r="B148" s="160" t="str">
        <f t="shared" si="41"/>
        <v/>
      </c>
      <c r="C148" s="469">
        <f>IF(D93="","-",+C147+1)</f>
        <v>2058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69"/>
        <v>0</v>
      </c>
      <c r="G148" s="482">
        <f t="shared" si="70"/>
        <v>0</v>
      </c>
      <c r="H148" s="483">
        <f t="shared" si="67"/>
        <v>0</v>
      </c>
      <c r="I148" s="539">
        <f t="shared" si="68"/>
        <v>0</v>
      </c>
      <c r="J148" s="475">
        <f t="shared" si="71"/>
        <v>0</v>
      </c>
      <c r="K148" s="475"/>
      <c r="L148" s="484"/>
      <c r="M148" s="475">
        <f t="shared" si="72"/>
        <v>0</v>
      </c>
      <c r="N148" s="484"/>
      <c r="O148" s="475">
        <f t="shared" si="73"/>
        <v>0</v>
      </c>
      <c r="P148" s="475">
        <f t="shared" si="74"/>
        <v>0</v>
      </c>
    </row>
    <row r="149" spans="2:16" ht="12.5">
      <c r="B149" s="160" t="str">
        <f t="shared" si="41"/>
        <v/>
      </c>
      <c r="C149" s="469">
        <f>IF(D93="","-",+C148+1)</f>
        <v>2059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69"/>
        <v>0</v>
      </c>
      <c r="G149" s="482">
        <f t="shared" si="70"/>
        <v>0</v>
      </c>
      <c r="H149" s="483">
        <f t="shared" si="67"/>
        <v>0</v>
      </c>
      <c r="I149" s="539">
        <f t="shared" si="68"/>
        <v>0</v>
      </c>
      <c r="J149" s="475">
        <f t="shared" si="71"/>
        <v>0</v>
      </c>
      <c r="K149" s="475"/>
      <c r="L149" s="484"/>
      <c r="M149" s="475">
        <f t="shared" si="72"/>
        <v>0</v>
      </c>
      <c r="N149" s="484"/>
      <c r="O149" s="475">
        <f t="shared" si="73"/>
        <v>0</v>
      </c>
      <c r="P149" s="475">
        <f t="shared" si="74"/>
        <v>0</v>
      </c>
    </row>
    <row r="150" spans="2:16" ht="12.5">
      <c r="B150" s="160" t="str">
        <f t="shared" si="41"/>
        <v/>
      </c>
      <c r="C150" s="469">
        <f>IF(D93="","-",+C149+1)</f>
        <v>2060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69"/>
        <v>0</v>
      </c>
      <c r="G150" s="482">
        <f t="shared" si="70"/>
        <v>0</v>
      </c>
      <c r="H150" s="483">
        <f t="shared" si="67"/>
        <v>0</v>
      </c>
      <c r="I150" s="539">
        <f t="shared" si="68"/>
        <v>0</v>
      </c>
      <c r="J150" s="475">
        <f t="shared" si="71"/>
        <v>0</v>
      </c>
      <c r="K150" s="475"/>
      <c r="L150" s="484"/>
      <c r="M150" s="475">
        <f t="shared" si="72"/>
        <v>0</v>
      </c>
      <c r="N150" s="484"/>
      <c r="O150" s="475">
        <f t="shared" si="73"/>
        <v>0</v>
      </c>
      <c r="P150" s="475">
        <f t="shared" si="74"/>
        <v>0</v>
      </c>
    </row>
    <row r="151" spans="2:16" ht="12.5">
      <c r="B151" s="160" t="str">
        <f t="shared" si="41"/>
        <v/>
      </c>
      <c r="C151" s="469">
        <f>IF(D93="","-",+C150+1)</f>
        <v>2061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69"/>
        <v>0</v>
      </c>
      <c r="G151" s="482">
        <f t="shared" si="70"/>
        <v>0</v>
      </c>
      <c r="H151" s="483">
        <f t="shared" si="67"/>
        <v>0</v>
      </c>
      <c r="I151" s="539">
        <f t="shared" si="68"/>
        <v>0</v>
      </c>
      <c r="J151" s="475">
        <f t="shared" si="71"/>
        <v>0</v>
      </c>
      <c r="K151" s="475"/>
      <c r="L151" s="484"/>
      <c r="M151" s="475">
        <f t="shared" si="72"/>
        <v>0</v>
      </c>
      <c r="N151" s="484"/>
      <c r="O151" s="475">
        <f t="shared" si="73"/>
        <v>0</v>
      </c>
      <c r="P151" s="475">
        <f t="shared" si="74"/>
        <v>0</v>
      </c>
    </row>
    <row r="152" spans="2:16" ht="12.5">
      <c r="B152" s="160" t="str">
        <f t="shared" si="41"/>
        <v/>
      </c>
      <c r="C152" s="469">
        <f>IF(D93="","-",+C151+1)</f>
        <v>2062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69"/>
        <v>0</v>
      </c>
      <c r="G152" s="482">
        <f t="shared" si="70"/>
        <v>0</v>
      </c>
      <c r="H152" s="483">
        <f t="shared" si="67"/>
        <v>0</v>
      </c>
      <c r="I152" s="539">
        <f t="shared" si="68"/>
        <v>0</v>
      </c>
      <c r="J152" s="475">
        <f t="shared" si="71"/>
        <v>0</v>
      </c>
      <c r="K152" s="475"/>
      <c r="L152" s="484"/>
      <c r="M152" s="475">
        <f t="shared" si="72"/>
        <v>0</v>
      </c>
      <c r="N152" s="484"/>
      <c r="O152" s="475">
        <f t="shared" si="73"/>
        <v>0</v>
      </c>
      <c r="P152" s="475">
        <f t="shared" si="74"/>
        <v>0</v>
      </c>
    </row>
    <row r="153" spans="2:16" ht="12.5">
      <c r="B153" s="160" t="str">
        <f t="shared" si="41"/>
        <v/>
      </c>
      <c r="C153" s="469">
        <f>IF(D93="","-",+C152+1)</f>
        <v>2063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69"/>
        <v>0</v>
      </c>
      <c r="G153" s="482">
        <f t="shared" si="70"/>
        <v>0</v>
      </c>
      <c r="H153" s="483">
        <f t="shared" si="67"/>
        <v>0</v>
      </c>
      <c r="I153" s="539">
        <f t="shared" si="68"/>
        <v>0</v>
      </c>
      <c r="J153" s="475">
        <f t="shared" si="71"/>
        <v>0</v>
      </c>
      <c r="K153" s="475"/>
      <c r="L153" s="484"/>
      <c r="M153" s="475">
        <f t="shared" si="72"/>
        <v>0</v>
      </c>
      <c r="N153" s="484"/>
      <c r="O153" s="475">
        <f t="shared" si="73"/>
        <v>0</v>
      </c>
      <c r="P153" s="475">
        <f t="shared" si="74"/>
        <v>0</v>
      </c>
    </row>
    <row r="154" spans="2:16" ht="13" thickBot="1">
      <c r="B154" s="160" t="str">
        <f t="shared" si="41"/>
        <v/>
      </c>
      <c r="C154" s="486">
        <f>IF(D93="","-",+C153+1)</f>
        <v>2064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69"/>
        <v>0</v>
      </c>
      <c r="G154" s="487">
        <f t="shared" si="70"/>
        <v>0</v>
      </c>
      <c r="H154" s="487">
        <f t="shared" si="67"/>
        <v>0</v>
      </c>
      <c r="I154" s="542">
        <f t="shared" si="68"/>
        <v>0</v>
      </c>
      <c r="J154" s="492">
        <f t="shared" si="71"/>
        <v>0</v>
      </c>
      <c r="K154" s="475"/>
      <c r="L154" s="491"/>
      <c r="M154" s="492">
        <f t="shared" si="72"/>
        <v>0</v>
      </c>
      <c r="N154" s="491"/>
      <c r="O154" s="492">
        <f t="shared" si="73"/>
        <v>0</v>
      </c>
      <c r="P154" s="492">
        <f t="shared" si="74"/>
        <v>0</v>
      </c>
    </row>
    <row r="155" spans="2:16" ht="12.5">
      <c r="C155" s="344" t="s">
        <v>77</v>
      </c>
      <c r="D155" s="345"/>
      <c r="E155" s="345">
        <f>SUM(E99:E154)</f>
        <v>11456065</v>
      </c>
      <c r="F155" s="345"/>
      <c r="G155" s="345"/>
      <c r="H155" s="345">
        <f>SUM(H99:H154)</f>
        <v>43856361.591568604</v>
      </c>
      <c r="I155" s="345">
        <f>SUM(I99:I154)</f>
        <v>43856361.591568604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 t="s">
        <v>100</v>
      </c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93" t="s">
        <v>107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78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 t="s">
        <v>79</v>
      </c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67" priority="1" stopIfTrue="1" operator="equal">
      <formula>$I$10</formula>
    </cfRule>
  </conditionalFormatting>
  <conditionalFormatting sqref="C99:C154">
    <cfRule type="cellIs" dxfId="66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2"/>
  <dimension ref="A1:P1048576"/>
  <sheetViews>
    <sheetView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4 of 35</v>
      </c>
    </row>
    <row r="2" spans="1:16" ht="20">
      <c r="A2" s="552"/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 t="str">
        <f>"For Calendar Year "&amp;V1-1&amp;" and Projected Year "&amp;V1</f>
        <v xml:space="preserve">For Calendar Year -1 and Projected Year </v>
      </c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 t="s">
        <v>248</v>
      </c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VLOOKUP(I10,C17:I72,5)-O5</f>
        <v>1523932.332802302</v>
      </c>
      <c r="O5" s="553">
        <f>1307.4*12</f>
        <v>15688.800000000001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VLOOKUP(I10,C17:I72,6)-O5</f>
        <v>1523932.332802302</v>
      </c>
      <c r="O6" s="231"/>
      <c r="P6" s="231"/>
    </row>
    <row r="7" spans="1:16" ht="13.5" thickBot="1">
      <c r="C7" s="428" t="s">
        <v>46</v>
      </c>
      <c r="D7" s="429" t="s">
        <v>207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82</v>
      </c>
      <c r="E9" s="519" t="s">
        <v>374</v>
      </c>
      <c r="F9" s="439" t="s">
        <v>376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14615636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2008</v>
      </c>
      <c r="E11" s="447" t="s">
        <v>54</v>
      </c>
      <c r="F11" s="445"/>
      <c r="G11" s="194"/>
      <c r="H11" s="194"/>
      <c r="I11" s="449"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7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384622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554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2008</v>
      </c>
      <c r="D17" s="555">
        <v>2264444</v>
      </c>
      <c r="E17" s="471">
        <v>21774</v>
      </c>
      <c r="F17" s="470">
        <v>2242670</v>
      </c>
      <c r="G17" s="471">
        <v>215833</v>
      </c>
      <c r="H17" s="471">
        <v>215833</v>
      </c>
      <c r="I17" s="472">
        <f t="shared" ref="I17:I48" si="0">H17-G17</f>
        <v>0</v>
      </c>
      <c r="J17" s="346"/>
      <c r="K17" s="473">
        <v>215833</v>
      </c>
      <c r="L17" s="556">
        <f t="shared" ref="L17:L48" si="1">IF(K17&lt;&gt;0,+G17-K17,0)</f>
        <v>0</v>
      </c>
      <c r="M17" s="551">
        <v>215833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>IU</v>
      </c>
      <c r="C18" s="469">
        <f>IF(D11="","-",+C17+1)</f>
        <v>2009</v>
      </c>
      <c r="D18" s="470">
        <v>14429811</v>
      </c>
      <c r="E18" s="477">
        <v>274418</v>
      </c>
      <c r="F18" s="470">
        <v>14155393</v>
      </c>
      <c r="G18" s="477">
        <v>2443110</v>
      </c>
      <c r="H18" s="477">
        <v>2443110</v>
      </c>
      <c r="I18" s="472">
        <f t="shared" si="0"/>
        <v>0</v>
      </c>
      <c r="J18" s="472"/>
      <c r="K18" s="473">
        <v>2443110</v>
      </c>
      <c r="L18" s="475">
        <f t="shared" si="1"/>
        <v>0</v>
      </c>
      <c r="M18" s="473">
        <v>2443110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2010</v>
      </c>
      <c r="D19" s="476">
        <v>14390719</v>
      </c>
      <c r="E19" s="477">
        <v>262266.26785714284</v>
      </c>
      <c r="F19" s="476">
        <v>14128452.732142856</v>
      </c>
      <c r="G19" s="477">
        <v>2300952.2678571427</v>
      </c>
      <c r="H19" s="478">
        <v>2300952.2678571427</v>
      </c>
      <c r="I19" s="472">
        <f t="shared" si="0"/>
        <v>0</v>
      </c>
      <c r="J19" s="472"/>
      <c r="K19" s="473">
        <f t="shared" ref="K19:K24" si="4">G19</f>
        <v>2300952.2678571427</v>
      </c>
      <c r="L19" s="547">
        <f t="shared" si="1"/>
        <v>0</v>
      </c>
      <c r="M19" s="473">
        <f t="shared" ref="M19:M24" si="5">H19</f>
        <v>2300952.2678571427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6">IF(D20=F19,"","IU")</f>
        <v>IU</v>
      </c>
      <c r="C20" s="469">
        <f>IF(D11="","-",+C19+1)</f>
        <v>2011</v>
      </c>
      <c r="D20" s="476">
        <v>14057177.732142856</v>
      </c>
      <c r="E20" s="477">
        <v>286581.09803921566</v>
      </c>
      <c r="F20" s="476">
        <v>13770596.634103641</v>
      </c>
      <c r="G20" s="477">
        <v>2442276.0980392154</v>
      </c>
      <c r="H20" s="478">
        <v>2442276.0980392154</v>
      </c>
      <c r="I20" s="472">
        <f t="shared" si="0"/>
        <v>0</v>
      </c>
      <c r="J20" s="472"/>
      <c r="K20" s="473">
        <f t="shared" si="4"/>
        <v>2442276.0980392154</v>
      </c>
      <c r="L20" s="547">
        <f t="shared" si="1"/>
        <v>0</v>
      </c>
      <c r="M20" s="473">
        <f t="shared" si="5"/>
        <v>2442276.0980392154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6"/>
        <v/>
      </c>
      <c r="C21" s="469">
        <f>IF(D12="","-",+C20+1)</f>
        <v>2012</v>
      </c>
      <c r="D21" s="476">
        <v>13770596.634103641</v>
      </c>
      <c r="E21" s="477">
        <v>281069.92307692306</v>
      </c>
      <c r="F21" s="476">
        <v>13489526.711026717</v>
      </c>
      <c r="G21" s="477">
        <v>2158902.923076923</v>
      </c>
      <c r="H21" s="478">
        <v>2158902.923076923</v>
      </c>
      <c r="I21" s="472">
        <f t="shared" si="0"/>
        <v>0</v>
      </c>
      <c r="J21" s="472"/>
      <c r="K21" s="473">
        <f t="shared" si="4"/>
        <v>2158902.923076923</v>
      </c>
      <c r="L21" s="547">
        <f t="shared" si="1"/>
        <v>0</v>
      </c>
      <c r="M21" s="473">
        <f t="shared" si="5"/>
        <v>2158902.923076923</v>
      </c>
      <c r="N21" s="475">
        <f t="shared" si="2"/>
        <v>0</v>
      </c>
      <c r="O21" s="475">
        <f t="shared" si="3"/>
        <v>0</v>
      </c>
      <c r="P21" s="241"/>
    </row>
    <row r="22" spans="2:16" ht="12.5">
      <c r="B22" s="160" t="str">
        <f t="shared" si="6"/>
        <v/>
      </c>
      <c r="C22" s="469">
        <f>IF(D11="","-",+C21+1)</f>
        <v>2013</v>
      </c>
      <c r="D22" s="476">
        <v>13489526.711026717</v>
      </c>
      <c r="E22" s="477">
        <v>281069.92307692306</v>
      </c>
      <c r="F22" s="476">
        <v>13208456.787949793</v>
      </c>
      <c r="G22" s="477">
        <v>2167326.923076923</v>
      </c>
      <c r="H22" s="478">
        <v>2167326.923076923</v>
      </c>
      <c r="I22" s="472">
        <v>0</v>
      </c>
      <c r="J22" s="472"/>
      <c r="K22" s="473">
        <f t="shared" si="4"/>
        <v>2167326.923076923</v>
      </c>
      <c r="L22" s="547">
        <f t="shared" ref="L22:L27" si="7">IF(K22&lt;&gt;0,+G22-K22,0)</f>
        <v>0</v>
      </c>
      <c r="M22" s="473">
        <f t="shared" si="5"/>
        <v>2167326.923076923</v>
      </c>
      <c r="N22" s="475">
        <f t="shared" ref="N22:N27" si="8">IF(M22&lt;&gt;0,+H22-M22,0)</f>
        <v>0</v>
      </c>
      <c r="O22" s="475">
        <f t="shared" ref="O22:O27" si="9">+N22-L22</f>
        <v>0</v>
      </c>
      <c r="P22" s="241"/>
    </row>
    <row r="23" spans="2:16" ht="12.5">
      <c r="B23" s="160" t="str">
        <f t="shared" si="6"/>
        <v/>
      </c>
      <c r="C23" s="469">
        <f>IF(D11="","-",+C22+1)</f>
        <v>2014</v>
      </c>
      <c r="D23" s="476">
        <v>13208456.787949793</v>
      </c>
      <c r="E23" s="477">
        <v>281069.92307692306</v>
      </c>
      <c r="F23" s="476">
        <v>12927386.864872869</v>
      </c>
      <c r="G23" s="477">
        <v>2060637.923076923</v>
      </c>
      <c r="H23" s="478">
        <v>2060637.923076923</v>
      </c>
      <c r="I23" s="472">
        <v>0</v>
      </c>
      <c r="J23" s="472"/>
      <c r="K23" s="473">
        <f t="shared" si="4"/>
        <v>2060637.923076923</v>
      </c>
      <c r="L23" s="547">
        <f t="shared" si="7"/>
        <v>0</v>
      </c>
      <c r="M23" s="473">
        <f t="shared" si="5"/>
        <v>2060637.923076923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2015</v>
      </c>
      <c r="D24" s="476">
        <v>12927386.864872869</v>
      </c>
      <c r="E24" s="477">
        <v>281069.92307692306</v>
      </c>
      <c r="F24" s="476">
        <v>12646316.941795945</v>
      </c>
      <c r="G24" s="477">
        <v>2024638.923076923</v>
      </c>
      <c r="H24" s="478">
        <v>2024638.923076923</v>
      </c>
      <c r="I24" s="472">
        <v>0</v>
      </c>
      <c r="J24" s="472"/>
      <c r="K24" s="473">
        <f t="shared" si="4"/>
        <v>2024638.923076923</v>
      </c>
      <c r="L24" s="547">
        <f t="shared" si="7"/>
        <v>0</v>
      </c>
      <c r="M24" s="473">
        <f t="shared" si="5"/>
        <v>2024638.923076923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6"/>
        <v/>
      </c>
      <c r="C25" s="469">
        <f>IF(D11="","-",+C24+1)</f>
        <v>2016</v>
      </c>
      <c r="D25" s="476">
        <v>12646316.941795945</v>
      </c>
      <c r="E25" s="477">
        <v>281069.92307692306</v>
      </c>
      <c r="F25" s="476">
        <v>12365247.018719021</v>
      </c>
      <c r="G25" s="477">
        <v>1902890.923076923</v>
      </c>
      <c r="H25" s="478">
        <v>1902890.923076923</v>
      </c>
      <c r="I25" s="472">
        <f t="shared" si="0"/>
        <v>0</v>
      </c>
      <c r="J25" s="472"/>
      <c r="K25" s="473">
        <f t="shared" ref="K25:K30" si="10">G25</f>
        <v>1902890.923076923</v>
      </c>
      <c r="L25" s="547">
        <f t="shared" si="7"/>
        <v>0</v>
      </c>
      <c r="M25" s="473">
        <f t="shared" ref="M25:M30" si="11">H25</f>
        <v>1902890.923076923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2017</v>
      </c>
      <c r="D26" s="476">
        <v>12365247.018719021</v>
      </c>
      <c r="E26" s="477">
        <v>317731.21739130432</v>
      </c>
      <c r="F26" s="476">
        <v>12047515.801327717</v>
      </c>
      <c r="G26" s="477">
        <v>1850906.2173913042</v>
      </c>
      <c r="H26" s="478">
        <v>1850906.2173913042</v>
      </c>
      <c r="I26" s="472">
        <f t="shared" si="0"/>
        <v>0</v>
      </c>
      <c r="J26" s="472"/>
      <c r="K26" s="473">
        <f t="shared" si="10"/>
        <v>1850906.2173913042</v>
      </c>
      <c r="L26" s="547">
        <f t="shared" si="7"/>
        <v>0</v>
      </c>
      <c r="M26" s="473">
        <f t="shared" si="11"/>
        <v>1850906.2173913042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6"/>
        <v/>
      </c>
      <c r="C27" s="469">
        <f>IF(D11="","-",+C26+1)</f>
        <v>2018</v>
      </c>
      <c r="D27" s="476">
        <v>12047515.801327717</v>
      </c>
      <c r="E27" s="477">
        <v>324791.91111111111</v>
      </c>
      <c r="F27" s="476">
        <v>11722723.890216606</v>
      </c>
      <c r="G27" s="477">
        <v>1748141.2740256879</v>
      </c>
      <c r="H27" s="478">
        <v>1748141.2740256879</v>
      </c>
      <c r="I27" s="472">
        <f t="shared" si="0"/>
        <v>0</v>
      </c>
      <c r="J27" s="472"/>
      <c r="K27" s="473">
        <f t="shared" si="10"/>
        <v>1748141.2740256879</v>
      </c>
      <c r="L27" s="547">
        <f t="shared" si="7"/>
        <v>0</v>
      </c>
      <c r="M27" s="473">
        <f t="shared" si="11"/>
        <v>1748141.2740256879</v>
      </c>
      <c r="N27" s="475">
        <f t="shared" si="8"/>
        <v>0</v>
      </c>
      <c r="O27" s="475">
        <f t="shared" si="9"/>
        <v>0</v>
      </c>
      <c r="P27" s="241"/>
    </row>
    <row r="28" spans="2:16" ht="12.5">
      <c r="B28" s="160" t="str">
        <f t="shared" si="6"/>
        <v/>
      </c>
      <c r="C28" s="469">
        <f>IF(D11="","-",+C27+1)</f>
        <v>2019</v>
      </c>
      <c r="D28" s="476">
        <v>11722723.890216606</v>
      </c>
      <c r="E28" s="477">
        <v>365390.9</v>
      </c>
      <c r="F28" s="476">
        <v>11357332.990216605</v>
      </c>
      <c r="G28" s="477">
        <v>1653911.6007125233</v>
      </c>
      <c r="H28" s="478">
        <v>1653911.6007125233</v>
      </c>
      <c r="I28" s="472">
        <f t="shared" si="0"/>
        <v>0</v>
      </c>
      <c r="J28" s="472"/>
      <c r="K28" s="473">
        <f t="shared" si="10"/>
        <v>1653911.6007125233</v>
      </c>
      <c r="L28" s="547">
        <f t="shared" ref="L28" si="12">IF(K28&lt;&gt;0,+G28-K28,0)</f>
        <v>0</v>
      </c>
      <c r="M28" s="473">
        <f t="shared" si="11"/>
        <v>1653911.6007125233</v>
      </c>
      <c r="N28" s="475">
        <f t="shared" ref="N28" si="13">IF(M28&lt;&gt;0,+H28-M28,0)</f>
        <v>0</v>
      </c>
      <c r="O28" s="475">
        <f t="shared" ref="O28" si="14">+N28-L28</f>
        <v>0</v>
      </c>
      <c r="P28" s="241"/>
    </row>
    <row r="29" spans="2:16" ht="12.5">
      <c r="B29" s="160" t="str">
        <f t="shared" si="6"/>
        <v>IU</v>
      </c>
      <c r="C29" s="469">
        <f>IF(D11="","-",+C28+1)</f>
        <v>2020</v>
      </c>
      <c r="D29" s="476">
        <v>11397931.979105495</v>
      </c>
      <c r="E29" s="477">
        <v>347991.33333333331</v>
      </c>
      <c r="F29" s="476">
        <v>11049940.645772161</v>
      </c>
      <c r="G29" s="477">
        <v>1560230.0708098114</v>
      </c>
      <c r="H29" s="478">
        <v>1560230.0708098114</v>
      </c>
      <c r="I29" s="472">
        <f t="shared" si="0"/>
        <v>0</v>
      </c>
      <c r="J29" s="472"/>
      <c r="K29" s="473">
        <f t="shared" si="10"/>
        <v>1560230.0708098114</v>
      </c>
      <c r="L29" s="547">
        <f t="shared" ref="L29" si="15">IF(K29&lt;&gt;0,+G29-K29,0)</f>
        <v>0</v>
      </c>
      <c r="M29" s="473">
        <f t="shared" si="11"/>
        <v>1560230.0708098114</v>
      </c>
      <c r="N29" s="475">
        <f t="shared" si="2"/>
        <v>0</v>
      </c>
      <c r="O29" s="475">
        <f t="shared" si="3"/>
        <v>0</v>
      </c>
      <c r="P29" s="241"/>
    </row>
    <row r="30" spans="2:16" ht="12.5">
      <c r="B30" s="160" t="str">
        <f t="shared" si="6"/>
        <v>IU</v>
      </c>
      <c r="C30" s="469">
        <f>IF(D11="","-",+C29+1)</f>
        <v>2021</v>
      </c>
      <c r="D30" s="476">
        <v>11009341.656883277</v>
      </c>
      <c r="E30" s="477">
        <v>339898.51162790699</v>
      </c>
      <c r="F30" s="476">
        <v>10669443.14525537</v>
      </c>
      <c r="G30" s="477">
        <v>1490295.5116279069</v>
      </c>
      <c r="H30" s="478">
        <v>1490295.5116279069</v>
      </c>
      <c r="I30" s="472">
        <f t="shared" si="0"/>
        <v>0</v>
      </c>
      <c r="J30" s="472"/>
      <c r="K30" s="473">
        <f t="shared" si="10"/>
        <v>1490295.5116279069</v>
      </c>
      <c r="L30" s="547">
        <f t="shared" ref="L30" si="16">IF(K30&lt;&gt;0,+G30-K30,0)</f>
        <v>0</v>
      </c>
      <c r="M30" s="473">
        <f t="shared" si="11"/>
        <v>1490295.5116279069</v>
      </c>
      <c r="N30" s="475">
        <f t="shared" si="2"/>
        <v>0</v>
      </c>
      <c r="O30" s="475">
        <f t="shared" si="3"/>
        <v>0</v>
      </c>
      <c r="P30" s="241"/>
    </row>
    <row r="31" spans="2:16" ht="12.5">
      <c r="B31" s="160" t="str">
        <f t="shared" si="6"/>
        <v/>
      </c>
      <c r="C31" s="469">
        <f>IF(D11="","-",+C30+1)</f>
        <v>2022</v>
      </c>
      <c r="D31" s="476">
        <v>10669443.14525537</v>
      </c>
      <c r="E31" s="477">
        <v>347991.33333333331</v>
      </c>
      <c r="F31" s="476">
        <v>10321451.811922036</v>
      </c>
      <c r="G31" s="477">
        <v>1460760.3333333333</v>
      </c>
      <c r="H31" s="478">
        <v>1460760.3333333333</v>
      </c>
      <c r="I31" s="472">
        <f t="shared" si="0"/>
        <v>0</v>
      </c>
      <c r="J31" s="472"/>
      <c r="K31" s="473">
        <f t="shared" ref="K31" si="17">G31</f>
        <v>1460760.3333333333</v>
      </c>
      <c r="L31" s="547">
        <f t="shared" ref="L31" si="18">IF(K31&lt;&gt;0,+G31-K31,0)</f>
        <v>0</v>
      </c>
      <c r="M31" s="473">
        <f t="shared" ref="M31" si="19">H31</f>
        <v>1460760.3333333333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6"/>
        <v/>
      </c>
      <c r="C32" s="469">
        <f>IF(D11="","-",+C31+1)</f>
        <v>2023</v>
      </c>
      <c r="D32" s="476">
        <v>10321451.811922036</v>
      </c>
      <c r="E32" s="477">
        <v>374759.89743589744</v>
      </c>
      <c r="F32" s="476">
        <v>9946691.9144861382</v>
      </c>
      <c r="G32" s="477">
        <v>1561986.8974358975</v>
      </c>
      <c r="H32" s="478">
        <v>1561986.8974358975</v>
      </c>
      <c r="I32" s="472">
        <f t="shared" si="0"/>
        <v>0</v>
      </c>
      <c r="J32" s="472"/>
      <c r="K32" s="473">
        <f t="shared" ref="K32" si="20">G32</f>
        <v>1561986.8974358975</v>
      </c>
      <c r="L32" s="547">
        <f t="shared" ref="L32" si="21">IF(K32&lt;&gt;0,+G32-K32,0)</f>
        <v>0</v>
      </c>
      <c r="M32" s="473">
        <f t="shared" ref="M32" si="22">H32</f>
        <v>1561986.8974358975</v>
      </c>
      <c r="N32" s="475">
        <f t="shared" si="2"/>
        <v>0</v>
      </c>
      <c r="O32" s="475">
        <f t="shared" si="3"/>
        <v>0</v>
      </c>
      <c r="P32" s="241"/>
    </row>
    <row r="33" spans="2:16" ht="12.5">
      <c r="B33" s="160" t="str">
        <f t="shared" si="6"/>
        <v/>
      </c>
      <c r="C33" s="469">
        <f>IF(D11="","-",+C32+1)</f>
        <v>2024</v>
      </c>
      <c r="D33" s="476">
        <v>9946691.9144861382</v>
      </c>
      <c r="E33" s="477">
        <v>374759.89743589744</v>
      </c>
      <c r="F33" s="476">
        <v>9571932.0170502402</v>
      </c>
      <c r="G33" s="477">
        <v>1539621.132802302</v>
      </c>
      <c r="H33" s="478">
        <v>1539621.132802302</v>
      </c>
      <c r="I33" s="472">
        <f t="shared" si="0"/>
        <v>0</v>
      </c>
      <c r="J33" s="472"/>
      <c r="K33" s="473">
        <f t="shared" ref="K33" si="23">G33</f>
        <v>1539621.132802302</v>
      </c>
      <c r="L33" s="547">
        <f t="shared" ref="L33" si="24">IF(K33&lt;&gt;0,+G33-K33,0)</f>
        <v>0</v>
      </c>
      <c r="M33" s="473">
        <f t="shared" ref="M33" si="25">H33</f>
        <v>1539621.132802302</v>
      </c>
      <c r="N33" s="475">
        <f t="shared" ref="N33" si="26">IF(M33&lt;&gt;0,+H33-M33,0)</f>
        <v>0</v>
      </c>
      <c r="O33" s="475">
        <f t="shared" ref="O33" si="27">+N33-L33</f>
        <v>0</v>
      </c>
      <c r="P33" s="241"/>
    </row>
    <row r="34" spans="2:16" ht="12.5">
      <c r="B34" s="160" t="str">
        <f t="shared" si="6"/>
        <v/>
      </c>
      <c r="C34" s="469">
        <f>IF(D11="","-",+C33+1)</f>
        <v>2025</v>
      </c>
      <c r="D34" s="482">
        <f>IF(F33+SUM(E$17:E33)=D$10,F33,D$10-SUM(E$17:E33))</f>
        <v>9571932.0170502402</v>
      </c>
      <c r="E34" s="481">
        <f>IF(+I14&lt;F33,I14,D34)</f>
        <v>384622</v>
      </c>
      <c r="F34" s="482">
        <f t="shared" ref="F34:F72" si="28">+D34-E34</f>
        <v>9187310.0170502402</v>
      </c>
      <c r="G34" s="483">
        <f t="shared" ref="G34:G72" si="29">(D34+F34)/2*I$12+E34</f>
        <v>1451461.8539047497</v>
      </c>
      <c r="H34" s="452">
        <f t="shared" ref="H34:H72" si="30">+(D34+F34)/2*I$13+E34</f>
        <v>1451461.8539047497</v>
      </c>
      <c r="I34" s="472">
        <f t="shared" si="0"/>
        <v>0</v>
      </c>
      <c r="J34" s="472"/>
      <c r="K34" s="484"/>
      <c r="L34" s="475">
        <f t="shared" si="1"/>
        <v>0</v>
      </c>
      <c r="M34" s="484"/>
      <c r="N34" s="475">
        <f t="shared" si="2"/>
        <v>0</v>
      </c>
      <c r="O34" s="475">
        <f t="shared" si="3"/>
        <v>0</v>
      </c>
      <c r="P34" s="241"/>
    </row>
    <row r="35" spans="2:16" ht="12.5">
      <c r="B35" s="160" t="str">
        <f t="shared" si="6"/>
        <v/>
      </c>
      <c r="C35" s="469">
        <f>IF(D11="","-",+C34+1)</f>
        <v>2026</v>
      </c>
      <c r="D35" s="482">
        <f>IF(F34+SUM(E$17:E34)=D$10,F34,D$10-SUM(E$17:E34))</f>
        <v>9187310.0170502402</v>
      </c>
      <c r="E35" s="481">
        <f>IF(+I14&lt;F34,I14,D35)</f>
        <v>384622</v>
      </c>
      <c r="F35" s="482">
        <f t="shared" si="28"/>
        <v>8802688.0170502402</v>
      </c>
      <c r="G35" s="483">
        <f t="shared" si="29"/>
        <v>1407714.8754775131</v>
      </c>
      <c r="H35" s="452">
        <f t="shared" si="30"/>
        <v>1407714.8754775131</v>
      </c>
      <c r="I35" s="472">
        <f t="shared" si="0"/>
        <v>0</v>
      </c>
      <c r="J35" s="472"/>
      <c r="K35" s="484"/>
      <c r="L35" s="475">
        <f t="shared" si="1"/>
        <v>0</v>
      </c>
      <c r="M35" s="484"/>
      <c r="N35" s="475">
        <f t="shared" si="2"/>
        <v>0</v>
      </c>
      <c r="O35" s="475">
        <f t="shared" si="3"/>
        <v>0</v>
      </c>
      <c r="P35" s="241"/>
    </row>
    <row r="36" spans="2:16" ht="12.5">
      <c r="B36" s="160" t="str">
        <f t="shared" si="6"/>
        <v/>
      </c>
      <c r="C36" s="469">
        <f>IF(D11="","-",+C35+1)</f>
        <v>2027</v>
      </c>
      <c r="D36" s="482">
        <f>IF(F35+SUM(E$17:E35)=D$10,F35,D$10-SUM(E$17:E35))</f>
        <v>8802688.0170502402</v>
      </c>
      <c r="E36" s="481">
        <f>IF(+I14&lt;F35,I14,D36)</f>
        <v>384622</v>
      </c>
      <c r="F36" s="482">
        <f t="shared" si="28"/>
        <v>8418066.0170502402</v>
      </c>
      <c r="G36" s="483">
        <f t="shared" si="29"/>
        <v>1363967.8970502764</v>
      </c>
      <c r="H36" s="452">
        <f t="shared" si="30"/>
        <v>1363967.8970502764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6"/>
        <v/>
      </c>
      <c r="C37" s="469">
        <f>IF(D11="","-",+C36+1)</f>
        <v>2028</v>
      </c>
      <c r="D37" s="482">
        <f>IF(F36+SUM(E$17:E36)=D$10,F36,D$10-SUM(E$17:E36))</f>
        <v>8418066.0170502402</v>
      </c>
      <c r="E37" s="481">
        <f>IF(+I14&lt;F36,I14,D37)</f>
        <v>384622</v>
      </c>
      <c r="F37" s="482">
        <f t="shared" si="28"/>
        <v>8033444.0170502402</v>
      </c>
      <c r="G37" s="483">
        <f t="shared" si="29"/>
        <v>1320220.9186230397</v>
      </c>
      <c r="H37" s="452">
        <f t="shared" si="30"/>
        <v>1320220.9186230397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6"/>
        <v/>
      </c>
      <c r="C38" s="469">
        <f>IF(D11="","-",+C37+1)</f>
        <v>2029</v>
      </c>
      <c r="D38" s="482">
        <f>IF(F37+SUM(E$17:E37)=D$10,F37,D$10-SUM(E$17:E37))</f>
        <v>8033444.0170502402</v>
      </c>
      <c r="E38" s="481">
        <f>IF(+I14&lt;F37,I14,D38)</f>
        <v>384622</v>
      </c>
      <c r="F38" s="482">
        <f t="shared" si="28"/>
        <v>7648822.0170502402</v>
      </c>
      <c r="G38" s="483">
        <f t="shared" si="29"/>
        <v>1276473.9401958031</v>
      </c>
      <c r="H38" s="452">
        <f t="shared" si="30"/>
        <v>1276473.9401958031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6"/>
        <v/>
      </c>
      <c r="C39" s="469">
        <f>IF(D11="","-",+C38+1)</f>
        <v>2030</v>
      </c>
      <c r="D39" s="482">
        <f>IF(F38+SUM(E$17:E38)=D$10,F38,D$10-SUM(E$17:E38))</f>
        <v>7648822.0170502402</v>
      </c>
      <c r="E39" s="481">
        <f>IF(+I14&lt;F38,I14,D39)</f>
        <v>384622</v>
      </c>
      <c r="F39" s="482">
        <f t="shared" si="28"/>
        <v>7264200.0170502402</v>
      </c>
      <c r="G39" s="483">
        <f t="shared" si="29"/>
        <v>1232726.9617685662</v>
      </c>
      <c r="H39" s="452">
        <f t="shared" si="30"/>
        <v>1232726.9617685662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6"/>
        <v/>
      </c>
      <c r="C40" s="469">
        <f>IF(D11="","-",+C39+1)</f>
        <v>2031</v>
      </c>
      <c r="D40" s="482">
        <f>IF(F39+SUM(E$17:E39)=D$10,F39,D$10-SUM(E$17:E39))</f>
        <v>7264200.0170502402</v>
      </c>
      <c r="E40" s="481">
        <f>IF(+I14&lt;F39,I14,D40)</f>
        <v>384622</v>
      </c>
      <c r="F40" s="482">
        <f t="shared" si="28"/>
        <v>6879578.0170502402</v>
      </c>
      <c r="G40" s="483">
        <f t="shared" si="29"/>
        <v>1188979.9833413297</v>
      </c>
      <c r="H40" s="452">
        <f t="shared" si="30"/>
        <v>1188979.9833413297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6"/>
        <v/>
      </c>
      <c r="C41" s="469">
        <f>IF(D11="","-",+C40+1)</f>
        <v>2032</v>
      </c>
      <c r="D41" s="482">
        <f>IF(F40+SUM(E$17:E40)=D$10,F40,D$10-SUM(E$17:E40))</f>
        <v>6879578.0170502402</v>
      </c>
      <c r="E41" s="481">
        <f>IF(+I14&lt;F40,I14,D41)</f>
        <v>384622</v>
      </c>
      <c r="F41" s="482">
        <f t="shared" si="28"/>
        <v>6494956.0170502402</v>
      </c>
      <c r="G41" s="483">
        <f t="shared" si="29"/>
        <v>1145233.0049140928</v>
      </c>
      <c r="H41" s="452">
        <f t="shared" si="30"/>
        <v>1145233.0049140928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6"/>
        <v/>
      </c>
      <c r="C42" s="469">
        <f>IF(D11="","-",+C41+1)</f>
        <v>2033</v>
      </c>
      <c r="D42" s="482">
        <f>IF(F41+SUM(E$17:E41)=D$10,F41,D$10-SUM(E$17:E41))</f>
        <v>6494956.0170502402</v>
      </c>
      <c r="E42" s="481">
        <f>IF(+I14&lt;F41,I14,D42)</f>
        <v>384622</v>
      </c>
      <c r="F42" s="482">
        <f t="shared" si="28"/>
        <v>6110334.0170502402</v>
      </c>
      <c r="G42" s="483">
        <f t="shared" si="29"/>
        <v>1101486.0264868564</v>
      </c>
      <c r="H42" s="452">
        <f t="shared" si="30"/>
        <v>1101486.0264868564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6"/>
        <v/>
      </c>
      <c r="C43" s="469">
        <f>IF(D11="","-",+C42+1)</f>
        <v>2034</v>
      </c>
      <c r="D43" s="482">
        <f>IF(F42+SUM(E$17:E42)=D$10,F42,D$10-SUM(E$17:E42))</f>
        <v>6110334.0170502402</v>
      </c>
      <c r="E43" s="481">
        <f>IF(+I14&lt;F42,I14,D43)</f>
        <v>384622</v>
      </c>
      <c r="F43" s="482">
        <f t="shared" si="28"/>
        <v>5725712.0170502402</v>
      </c>
      <c r="G43" s="483">
        <f t="shared" si="29"/>
        <v>1057739.0480596195</v>
      </c>
      <c r="H43" s="452">
        <f t="shared" si="30"/>
        <v>1057739.0480596195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6"/>
        <v/>
      </c>
      <c r="C44" s="469">
        <f>IF(D11="","-",+C43+1)</f>
        <v>2035</v>
      </c>
      <c r="D44" s="482">
        <f>IF(F43+SUM(E$17:E43)=D$10,F43,D$10-SUM(E$17:E43))</f>
        <v>5725712.0170502402</v>
      </c>
      <c r="E44" s="481">
        <f>IF(+I14&lt;F43,I14,D44)</f>
        <v>384622</v>
      </c>
      <c r="F44" s="482">
        <f t="shared" si="28"/>
        <v>5341090.0170502402</v>
      </c>
      <c r="G44" s="483">
        <f t="shared" si="29"/>
        <v>1013992.0696323829</v>
      </c>
      <c r="H44" s="452">
        <f t="shared" si="30"/>
        <v>1013992.0696323829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6"/>
        <v/>
      </c>
      <c r="C45" s="469">
        <f>IF(D11="","-",+C44+1)</f>
        <v>2036</v>
      </c>
      <c r="D45" s="482">
        <f>IF(F44+SUM(E$17:E44)=D$10,F44,D$10-SUM(E$17:E44))</f>
        <v>5341090.0170502402</v>
      </c>
      <c r="E45" s="481">
        <f>IF(+I14&lt;F44,I14,D45)</f>
        <v>384622</v>
      </c>
      <c r="F45" s="482">
        <f t="shared" si="28"/>
        <v>4956468.0170502402</v>
      </c>
      <c r="G45" s="483">
        <f t="shared" si="29"/>
        <v>970245.09120514628</v>
      </c>
      <c r="H45" s="452">
        <f t="shared" si="30"/>
        <v>970245.09120514628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6"/>
        <v/>
      </c>
      <c r="C46" s="469">
        <f>IF(D11="","-",+C45+1)</f>
        <v>2037</v>
      </c>
      <c r="D46" s="482">
        <f>IF(F45+SUM(E$17:E45)=D$10,F45,D$10-SUM(E$17:E45))</f>
        <v>4956468.0170502402</v>
      </c>
      <c r="E46" s="481">
        <f>IF(+I14&lt;F45,I14,D46)</f>
        <v>384622</v>
      </c>
      <c r="F46" s="482">
        <f t="shared" si="28"/>
        <v>4571846.0170502402</v>
      </c>
      <c r="G46" s="483">
        <f t="shared" si="29"/>
        <v>926498.1127779095</v>
      </c>
      <c r="H46" s="452">
        <f t="shared" si="30"/>
        <v>926498.1127779095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6"/>
        <v/>
      </c>
      <c r="C47" s="469">
        <f>IF(D11="","-",+C46+1)</f>
        <v>2038</v>
      </c>
      <c r="D47" s="482">
        <f>IF(F46+SUM(E$17:E46)=D$10,F46,D$10-SUM(E$17:E46))</f>
        <v>4571846.0170502402</v>
      </c>
      <c r="E47" s="481">
        <f>IF(+I14&lt;F46,I14,D47)</f>
        <v>384622</v>
      </c>
      <c r="F47" s="482">
        <f t="shared" si="28"/>
        <v>4187224.0170502402</v>
      </c>
      <c r="G47" s="483">
        <f t="shared" si="29"/>
        <v>882751.13435067283</v>
      </c>
      <c r="H47" s="452">
        <f t="shared" si="30"/>
        <v>882751.13435067283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6"/>
        <v/>
      </c>
      <c r="C48" s="469">
        <f>IF(D11="","-",+C47+1)</f>
        <v>2039</v>
      </c>
      <c r="D48" s="482">
        <f>IF(F47+SUM(E$17:E47)=D$10,F47,D$10-SUM(E$17:E47))</f>
        <v>4187224.0170502402</v>
      </c>
      <c r="E48" s="481">
        <f>IF(+I14&lt;F47,I14,D48)</f>
        <v>384622</v>
      </c>
      <c r="F48" s="482">
        <f t="shared" si="28"/>
        <v>3802602.0170502402</v>
      </c>
      <c r="G48" s="483">
        <f t="shared" si="29"/>
        <v>839004.15592343616</v>
      </c>
      <c r="H48" s="452">
        <f t="shared" si="30"/>
        <v>839004.15592343616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6"/>
        <v/>
      </c>
      <c r="C49" s="469">
        <f>IF(D11="","-",+C48+1)</f>
        <v>2040</v>
      </c>
      <c r="D49" s="482">
        <f>IF(F48+SUM(E$17:E48)=D$10,F48,D$10-SUM(E$17:E48))</f>
        <v>3802602.0170502402</v>
      </c>
      <c r="E49" s="481">
        <f>IF(+I14&lt;F48,I14,D49)</f>
        <v>384622</v>
      </c>
      <c r="F49" s="482">
        <f t="shared" si="28"/>
        <v>3417980.0170502402</v>
      </c>
      <c r="G49" s="483">
        <f t="shared" si="29"/>
        <v>795257.1774961995</v>
      </c>
      <c r="H49" s="452">
        <f t="shared" si="30"/>
        <v>795257.1774961995</v>
      </c>
      <c r="I49" s="472">
        <f t="shared" ref="I49:I72" si="31">H49-G49</f>
        <v>0</v>
      </c>
      <c r="J49" s="472"/>
      <c r="K49" s="484"/>
      <c r="L49" s="475">
        <f t="shared" ref="L49:L72" si="32">IF(K49&lt;&gt;0,+G49-K49,0)</f>
        <v>0</v>
      </c>
      <c r="M49" s="484"/>
      <c r="N49" s="475">
        <f t="shared" ref="N49:N72" si="33">IF(M49&lt;&gt;0,+H49-M49,0)</f>
        <v>0</v>
      </c>
      <c r="O49" s="475">
        <f t="shared" ref="O49:O72" si="34">+N49-L49</f>
        <v>0</v>
      </c>
      <c r="P49" s="241"/>
    </row>
    <row r="50" spans="2:16" ht="12.5">
      <c r="B50" s="160" t="str">
        <f t="shared" si="6"/>
        <v/>
      </c>
      <c r="C50" s="469">
        <f>IF(D11="","-",+C49+1)</f>
        <v>2041</v>
      </c>
      <c r="D50" s="482">
        <f>IF(F49+SUM(E$17:E49)=D$10,F49,D$10-SUM(E$17:E49))</f>
        <v>3417980.0170502402</v>
      </c>
      <c r="E50" s="481">
        <f>IF(+I14&lt;F49,I14,D50)</f>
        <v>384622</v>
      </c>
      <c r="F50" s="482">
        <f t="shared" si="28"/>
        <v>3033358.0170502402</v>
      </c>
      <c r="G50" s="483">
        <f t="shared" si="29"/>
        <v>751510.19906896283</v>
      </c>
      <c r="H50" s="452">
        <f t="shared" si="30"/>
        <v>751510.19906896283</v>
      </c>
      <c r="I50" s="472">
        <f t="shared" si="31"/>
        <v>0</v>
      </c>
      <c r="J50" s="472"/>
      <c r="K50" s="484"/>
      <c r="L50" s="475">
        <f t="shared" si="32"/>
        <v>0</v>
      </c>
      <c r="M50" s="484"/>
      <c r="N50" s="475">
        <f t="shared" si="33"/>
        <v>0</v>
      </c>
      <c r="O50" s="475">
        <f t="shared" si="34"/>
        <v>0</v>
      </c>
      <c r="P50" s="241"/>
    </row>
    <row r="51" spans="2:16" ht="12.5">
      <c r="B51" s="160" t="str">
        <f t="shared" si="6"/>
        <v/>
      </c>
      <c r="C51" s="469">
        <f>IF(D11="","-",+C50+1)</f>
        <v>2042</v>
      </c>
      <c r="D51" s="482">
        <f>IF(F50+SUM(E$17:E50)=D$10,F50,D$10-SUM(E$17:E50))</f>
        <v>3033358.0170502402</v>
      </c>
      <c r="E51" s="481">
        <f>IF(+I14&lt;F50,I14,D51)</f>
        <v>384622</v>
      </c>
      <c r="F51" s="482">
        <f t="shared" si="28"/>
        <v>2648736.0170502402</v>
      </c>
      <c r="G51" s="483">
        <f t="shared" si="29"/>
        <v>707763.22064172616</v>
      </c>
      <c r="H51" s="452">
        <f t="shared" si="30"/>
        <v>707763.22064172616</v>
      </c>
      <c r="I51" s="472">
        <f t="shared" si="31"/>
        <v>0</v>
      </c>
      <c r="J51" s="472"/>
      <c r="K51" s="484"/>
      <c r="L51" s="475">
        <f t="shared" si="32"/>
        <v>0</v>
      </c>
      <c r="M51" s="484"/>
      <c r="N51" s="475">
        <f t="shared" si="33"/>
        <v>0</v>
      </c>
      <c r="O51" s="475">
        <f t="shared" si="34"/>
        <v>0</v>
      </c>
      <c r="P51" s="241"/>
    </row>
    <row r="52" spans="2:16" ht="12.5">
      <c r="B52" s="160" t="str">
        <f t="shared" si="6"/>
        <v/>
      </c>
      <c r="C52" s="469">
        <f>IF(D11="","-",+C51+1)</f>
        <v>2043</v>
      </c>
      <c r="D52" s="482">
        <f>IF(F51+SUM(E$17:E51)=D$10,F51,D$10-SUM(E$17:E51))</f>
        <v>2648736.0170502402</v>
      </c>
      <c r="E52" s="481">
        <f>IF(+I14&lt;F51,I14,D52)</f>
        <v>384622</v>
      </c>
      <c r="F52" s="482">
        <f t="shared" si="28"/>
        <v>2264114.0170502402</v>
      </c>
      <c r="G52" s="483">
        <f t="shared" si="29"/>
        <v>664016.2422144895</v>
      </c>
      <c r="H52" s="452">
        <f t="shared" si="30"/>
        <v>664016.2422144895</v>
      </c>
      <c r="I52" s="472">
        <f t="shared" si="31"/>
        <v>0</v>
      </c>
      <c r="J52" s="472"/>
      <c r="K52" s="484"/>
      <c r="L52" s="475">
        <f t="shared" si="32"/>
        <v>0</v>
      </c>
      <c r="M52" s="484"/>
      <c r="N52" s="475">
        <f t="shared" si="33"/>
        <v>0</v>
      </c>
      <c r="O52" s="475">
        <f t="shared" si="34"/>
        <v>0</v>
      </c>
      <c r="P52" s="241"/>
    </row>
    <row r="53" spans="2:16" ht="12.5">
      <c r="B53" s="160" t="str">
        <f t="shared" si="6"/>
        <v/>
      </c>
      <c r="C53" s="469">
        <f>IF(D11="","-",+C52+1)</f>
        <v>2044</v>
      </c>
      <c r="D53" s="482">
        <f>IF(F52+SUM(E$17:E52)=D$10,F52,D$10-SUM(E$17:E52))</f>
        <v>2264114.0170502402</v>
      </c>
      <c r="E53" s="481">
        <f>IF(+I14&lt;F52,I14,D53)</f>
        <v>384622</v>
      </c>
      <c r="F53" s="482">
        <f t="shared" si="28"/>
        <v>1879492.0170502402</v>
      </c>
      <c r="G53" s="483">
        <f t="shared" si="29"/>
        <v>620269.26378725283</v>
      </c>
      <c r="H53" s="452">
        <f t="shared" si="30"/>
        <v>620269.26378725283</v>
      </c>
      <c r="I53" s="472">
        <f t="shared" si="31"/>
        <v>0</v>
      </c>
      <c r="J53" s="472"/>
      <c r="K53" s="484"/>
      <c r="L53" s="475">
        <f t="shared" si="32"/>
        <v>0</v>
      </c>
      <c r="M53" s="484"/>
      <c r="N53" s="475">
        <f t="shared" si="33"/>
        <v>0</v>
      </c>
      <c r="O53" s="475">
        <f t="shared" si="34"/>
        <v>0</v>
      </c>
      <c r="P53" s="241"/>
    </row>
    <row r="54" spans="2:16" ht="12.5">
      <c r="B54" s="160" t="str">
        <f t="shared" si="6"/>
        <v/>
      </c>
      <c r="C54" s="469">
        <f>IF(D11="","-",+C53+1)</f>
        <v>2045</v>
      </c>
      <c r="D54" s="482">
        <f>IF(F53+SUM(E$17:E53)=D$10,F53,D$10-SUM(E$17:E53))</f>
        <v>1879492.0170502402</v>
      </c>
      <c r="E54" s="481">
        <f>IF(+I14&lt;F53,I14,D54)</f>
        <v>384622</v>
      </c>
      <c r="F54" s="482">
        <f t="shared" si="28"/>
        <v>1494870.0170502402</v>
      </c>
      <c r="G54" s="483">
        <f t="shared" si="29"/>
        <v>576522.28536001605</v>
      </c>
      <c r="H54" s="452">
        <f t="shared" si="30"/>
        <v>576522.28536001605</v>
      </c>
      <c r="I54" s="472">
        <f t="shared" si="31"/>
        <v>0</v>
      </c>
      <c r="J54" s="472"/>
      <c r="K54" s="484"/>
      <c r="L54" s="475">
        <f t="shared" si="32"/>
        <v>0</v>
      </c>
      <c r="M54" s="484"/>
      <c r="N54" s="475">
        <f t="shared" si="33"/>
        <v>0</v>
      </c>
      <c r="O54" s="475">
        <f t="shared" si="34"/>
        <v>0</v>
      </c>
      <c r="P54" s="241"/>
    </row>
    <row r="55" spans="2:16" ht="12.5">
      <c r="B55" s="160" t="str">
        <f t="shared" si="6"/>
        <v/>
      </c>
      <c r="C55" s="469">
        <f>IF(D11="","-",+C54+1)</f>
        <v>2046</v>
      </c>
      <c r="D55" s="482">
        <f>IF(F54+SUM(E$17:E54)=D$10,F54,D$10-SUM(E$17:E54))</f>
        <v>1494870.0170502402</v>
      </c>
      <c r="E55" s="481">
        <f>IF(+I14&lt;F54,I14,D55)</f>
        <v>384622</v>
      </c>
      <c r="F55" s="482">
        <f t="shared" si="28"/>
        <v>1110248.0170502402</v>
      </c>
      <c r="G55" s="483">
        <f t="shared" si="29"/>
        <v>532775.30693277938</v>
      </c>
      <c r="H55" s="452">
        <f t="shared" si="30"/>
        <v>532775.30693277938</v>
      </c>
      <c r="I55" s="472">
        <f t="shared" si="31"/>
        <v>0</v>
      </c>
      <c r="J55" s="472"/>
      <c r="K55" s="484"/>
      <c r="L55" s="475">
        <f t="shared" si="32"/>
        <v>0</v>
      </c>
      <c r="M55" s="484"/>
      <c r="N55" s="475">
        <f t="shared" si="33"/>
        <v>0</v>
      </c>
      <c r="O55" s="475">
        <f t="shared" si="34"/>
        <v>0</v>
      </c>
      <c r="P55" s="241"/>
    </row>
    <row r="56" spans="2:16" ht="12.5">
      <c r="B56" s="160" t="str">
        <f t="shared" si="6"/>
        <v/>
      </c>
      <c r="C56" s="469">
        <f>IF(D11="","-",+C55+1)</f>
        <v>2047</v>
      </c>
      <c r="D56" s="482">
        <f>IF(F55+SUM(E$17:E55)=D$10,F55,D$10-SUM(E$17:E55))</f>
        <v>1110248.0170502402</v>
      </c>
      <c r="E56" s="481">
        <f>IF(+I14&lt;F55,I14,D56)</f>
        <v>384622</v>
      </c>
      <c r="F56" s="482">
        <f t="shared" si="28"/>
        <v>725626.01705024019</v>
      </c>
      <c r="G56" s="483">
        <f t="shared" si="29"/>
        <v>489028.32850554271</v>
      </c>
      <c r="H56" s="452">
        <f t="shared" si="30"/>
        <v>489028.32850554271</v>
      </c>
      <c r="I56" s="472">
        <f t="shared" si="31"/>
        <v>0</v>
      </c>
      <c r="J56" s="472"/>
      <c r="K56" s="484"/>
      <c r="L56" s="475">
        <f t="shared" si="32"/>
        <v>0</v>
      </c>
      <c r="M56" s="484"/>
      <c r="N56" s="475">
        <f t="shared" si="33"/>
        <v>0</v>
      </c>
      <c r="O56" s="475">
        <f t="shared" si="34"/>
        <v>0</v>
      </c>
      <c r="P56" s="241"/>
    </row>
    <row r="57" spans="2:16" ht="12.5">
      <c r="B57" s="160" t="str">
        <f t="shared" si="6"/>
        <v/>
      </c>
      <c r="C57" s="469">
        <f>IF(D11="","-",+C56+1)</f>
        <v>2048</v>
      </c>
      <c r="D57" s="482">
        <f>IF(F56+SUM(E$17:E56)=D$10,F56,D$10-SUM(E$17:E56))</f>
        <v>725626.01705024019</v>
      </c>
      <c r="E57" s="481">
        <f>IF(+I14&lt;F56,I14,D57)</f>
        <v>384622</v>
      </c>
      <c r="F57" s="482">
        <f t="shared" si="28"/>
        <v>341004.01705024019</v>
      </c>
      <c r="G57" s="483">
        <f t="shared" si="29"/>
        <v>445281.35007830604</v>
      </c>
      <c r="H57" s="452">
        <f t="shared" si="30"/>
        <v>445281.35007830604</v>
      </c>
      <c r="I57" s="472">
        <f t="shared" si="31"/>
        <v>0</v>
      </c>
      <c r="J57" s="472"/>
      <c r="K57" s="484"/>
      <c r="L57" s="475">
        <f t="shared" si="32"/>
        <v>0</v>
      </c>
      <c r="M57" s="484"/>
      <c r="N57" s="475">
        <f t="shared" si="33"/>
        <v>0</v>
      </c>
      <c r="O57" s="475">
        <f t="shared" si="34"/>
        <v>0</v>
      </c>
      <c r="P57" s="241"/>
    </row>
    <row r="58" spans="2:16" ht="12.5">
      <c r="B58" s="160" t="str">
        <f t="shared" si="6"/>
        <v/>
      </c>
      <c r="C58" s="469">
        <f>IF(D11="","-",+C57+1)</f>
        <v>2049</v>
      </c>
      <c r="D58" s="482">
        <f>IF(F57+SUM(E$17:E57)=D$10,F57,D$10-SUM(E$17:E57))</f>
        <v>341004.01705024019</v>
      </c>
      <c r="E58" s="481">
        <f>IF(+I14&lt;F57,I14,D58)</f>
        <v>341004.01705024019</v>
      </c>
      <c r="F58" s="482">
        <f t="shared" si="28"/>
        <v>0</v>
      </c>
      <c r="G58" s="483">
        <f t="shared" si="29"/>
        <v>360396.94748258404</v>
      </c>
      <c r="H58" s="452">
        <f t="shared" si="30"/>
        <v>360396.94748258404</v>
      </c>
      <c r="I58" s="472">
        <f t="shared" si="31"/>
        <v>0</v>
      </c>
      <c r="J58" s="472"/>
      <c r="K58" s="484"/>
      <c r="L58" s="475">
        <f t="shared" si="32"/>
        <v>0</v>
      </c>
      <c r="M58" s="484"/>
      <c r="N58" s="475">
        <f t="shared" si="33"/>
        <v>0</v>
      </c>
      <c r="O58" s="475">
        <f t="shared" si="34"/>
        <v>0</v>
      </c>
      <c r="P58" s="241"/>
    </row>
    <row r="59" spans="2:16" ht="12.5">
      <c r="B59" s="160" t="str">
        <f t="shared" si="6"/>
        <v/>
      </c>
      <c r="C59" s="469">
        <f>IF(D11="","-",+C58+1)</f>
        <v>2050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28"/>
        <v>0</v>
      </c>
      <c r="G59" s="483">
        <f t="shared" si="29"/>
        <v>0</v>
      </c>
      <c r="H59" s="452">
        <f t="shared" si="30"/>
        <v>0</v>
      </c>
      <c r="I59" s="472">
        <f t="shared" si="31"/>
        <v>0</v>
      </c>
      <c r="J59" s="472"/>
      <c r="K59" s="484"/>
      <c r="L59" s="475">
        <f t="shared" si="32"/>
        <v>0</v>
      </c>
      <c r="M59" s="484"/>
      <c r="N59" s="475">
        <f t="shared" si="33"/>
        <v>0</v>
      </c>
      <c r="O59" s="475">
        <f t="shared" si="34"/>
        <v>0</v>
      </c>
      <c r="P59" s="241"/>
    </row>
    <row r="60" spans="2:16" ht="12.5">
      <c r="B60" s="160" t="str">
        <f t="shared" si="6"/>
        <v/>
      </c>
      <c r="C60" s="469">
        <f>IF(D11="","-",+C59+1)</f>
        <v>2051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28"/>
        <v>0</v>
      </c>
      <c r="G60" s="483">
        <f t="shared" si="29"/>
        <v>0</v>
      </c>
      <c r="H60" s="452">
        <f t="shared" si="30"/>
        <v>0</v>
      </c>
      <c r="I60" s="472">
        <f t="shared" si="31"/>
        <v>0</v>
      </c>
      <c r="J60" s="472"/>
      <c r="K60" s="484"/>
      <c r="L60" s="475">
        <f t="shared" si="32"/>
        <v>0</v>
      </c>
      <c r="M60" s="484"/>
      <c r="N60" s="475">
        <f t="shared" si="33"/>
        <v>0</v>
      </c>
      <c r="O60" s="475">
        <f t="shared" si="34"/>
        <v>0</v>
      </c>
      <c r="P60" s="241"/>
    </row>
    <row r="61" spans="2:16" ht="12.5">
      <c r="B61" s="160" t="str">
        <f t="shared" si="6"/>
        <v/>
      </c>
      <c r="C61" s="469">
        <f>IF(D11="","-",+C60+1)</f>
        <v>2052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28"/>
        <v>0</v>
      </c>
      <c r="G61" s="483">
        <f t="shared" si="29"/>
        <v>0</v>
      </c>
      <c r="H61" s="452">
        <f t="shared" si="30"/>
        <v>0</v>
      </c>
      <c r="I61" s="472">
        <f t="shared" si="31"/>
        <v>0</v>
      </c>
      <c r="J61" s="472"/>
      <c r="K61" s="484"/>
      <c r="L61" s="475">
        <f t="shared" si="32"/>
        <v>0</v>
      </c>
      <c r="M61" s="484"/>
      <c r="N61" s="475">
        <f t="shared" si="33"/>
        <v>0</v>
      </c>
      <c r="O61" s="475">
        <f t="shared" si="34"/>
        <v>0</v>
      </c>
      <c r="P61" s="241"/>
    </row>
    <row r="62" spans="2:16" ht="12.5">
      <c r="B62" s="160" t="str">
        <f t="shared" si="6"/>
        <v/>
      </c>
      <c r="C62" s="469">
        <f>IF(D11="","-",+C61+1)</f>
        <v>2053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28"/>
        <v>0</v>
      </c>
      <c r="G62" s="483">
        <f t="shared" si="29"/>
        <v>0</v>
      </c>
      <c r="H62" s="452">
        <f t="shared" si="30"/>
        <v>0</v>
      </c>
      <c r="I62" s="472">
        <f t="shared" si="31"/>
        <v>0</v>
      </c>
      <c r="J62" s="472"/>
      <c r="K62" s="484"/>
      <c r="L62" s="475">
        <f t="shared" si="32"/>
        <v>0</v>
      </c>
      <c r="M62" s="484"/>
      <c r="N62" s="475">
        <f t="shared" si="33"/>
        <v>0</v>
      </c>
      <c r="O62" s="475">
        <f t="shared" si="34"/>
        <v>0</v>
      </c>
      <c r="P62" s="241"/>
    </row>
    <row r="63" spans="2:16" ht="12.5">
      <c r="B63" s="160" t="str">
        <f t="shared" si="6"/>
        <v/>
      </c>
      <c r="C63" s="469">
        <f>IF(D11="","-",+C62+1)</f>
        <v>2054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28"/>
        <v>0</v>
      </c>
      <c r="G63" s="483">
        <f t="shared" si="29"/>
        <v>0</v>
      </c>
      <c r="H63" s="452">
        <f t="shared" si="30"/>
        <v>0</v>
      </c>
      <c r="I63" s="472">
        <f t="shared" si="31"/>
        <v>0</v>
      </c>
      <c r="J63" s="472"/>
      <c r="K63" s="484"/>
      <c r="L63" s="475">
        <f t="shared" si="32"/>
        <v>0</v>
      </c>
      <c r="M63" s="484"/>
      <c r="N63" s="475">
        <f t="shared" si="33"/>
        <v>0</v>
      </c>
      <c r="O63" s="475">
        <f t="shared" si="34"/>
        <v>0</v>
      </c>
      <c r="P63" s="241"/>
    </row>
    <row r="64" spans="2:16" ht="12.5">
      <c r="B64" s="160" t="str">
        <f t="shared" si="6"/>
        <v/>
      </c>
      <c r="C64" s="469">
        <f>IF(D11="","-",+C63+1)</f>
        <v>2055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28"/>
        <v>0</v>
      </c>
      <c r="G64" s="483">
        <f t="shared" si="29"/>
        <v>0</v>
      </c>
      <c r="H64" s="452">
        <f t="shared" si="30"/>
        <v>0</v>
      </c>
      <c r="I64" s="472">
        <f t="shared" si="31"/>
        <v>0</v>
      </c>
      <c r="J64" s="472"/>
      <c r="K64" s="484"/>
      <c r="L64" s="475">
        <f t="shared" si="32"/>
        <v>0</v>
      </c>
      <c r="M64" s="484"/>
      <c r="N64" s="475">
        <f t="shared" si="33"/>
        <v>0</v>
      </c>
      <c r="O64" s="475">
        <f t="shared" si="34"/>
        <v>0</v>
      </c>
      <c r="P64" s="241"/>
    </row>
    <row r="65" spans="2:16" ht="12.5">
      <c r="B65" s="160" t="str">
        <f t="shared" si="6"/>
        <v/>
      </c>
      <c r="C65" s="469">
        <f>IF(D11="","-",+C64+1)</f>
        <v>2056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28"/>
        <v>0</v>
      </c>
      <c r="G65" s="483">
        <f t="shared" si="29"/>
        <v>0</v>
      </c>
      <c r="H65" s="452">
        <f t="shared" si="30"/>
        <v>0</v>
      </c>
      <c r="I65" s="472">
        <f t="shared" si="31"/>
        <v>0</v>
      </c>
      <c r="J65" s="472"/>
      <c r="K65" s="484"/>
      <c r="L65" s="475">
        <f t="shared" si="32"/>
        <v>0</v>
      </c>
      <c r="M65" s="484"/>
      <c r="N65" s="475">
        <f t="shared" si="33"/>
        <v>0</v>
      </c>
      <c r="O65" s="475">
        <f t="shared" si="34"/>
        <v>0</v>
      </c>
      <c r="P65" s="241"/>
    </row>
    <row r="66" spans="2:16" ht="12.5">
      <c r="B66" s="160" t="str">
        <f t="shared" si="6"/>
        <v/>
      </c>
      <c r="C66" s="469">
        <f>IF(D11="","-",+C65+1)</f>
        <v>2057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28"/>
        <v>0</v>
      </c>
      <c r="G66" s="483">
        <f t="shared" si="29"/>
        <v>0</v>
      </c>
      <c r="H66" s="452">
        <f t="shared" si="30"/>
        <v>0</v>
      </c>
      <c r="I66" s="472">
        <f t="shared" si="31"/>
        <v>0</v>
      </c>
      <c r="J66" s="472"/>
      <c r="K66" s="484"/>
      <c r="L66" s="475">
        <f t="shared" si="32"/>
        <v>0</v>
      </c>
      <c r="M66" s="484"/>
      <c r="N66" s="475">
        <f t="shared" si="33"/>
        <v>0</v>
      </c>
      <c r="O66" s="475">
        <f t="shared" si="34"/>
        <v>0</v>
      </c>
      <c r="P66" s="241"/>
    </row>
    <row r="67" spans="2:16" ht="12.5">
      <c r="B67" s="160" t="str">
        <f t="shared" si="6"/>
        <v/>
      </c>
      <c r="C67" s="469">
        <f>IF(D11="","-",+C66+1)</f>
        <v>2058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28"/>
        <v>0</v>
      </c>
      <c r="G67" s="483">
        <f t="shared" si="29"/>
        <v>0</v>
      </c>
      <c r="H67" s="452">
        <f t="shared" si="30"/>
        <v>0</v>
      </c>
      <c r="I67" s="472">
        <f t="shared" si="31"/>
        <v>0</v>
      </c>
      <c r="J67" s="472"/>
      <c r="K67" s="484"/>
      <c r="L67" s="475">
        <f t="shared" si="32"/>
        <v>0</v>
      </c>
      <c r="M67" s="484"/>
      <c r="N67" s="475">
        <f t="shared" si="33"/>
        <v>0</v>
      </c>
      <c r="O67" s="475">
        <f t="shared" si="34"/>
        <v>0</v>
      </c>
      <c r="P67" s="241"/>
    </row>
    <row r="68" spans="2:16" ht="12.5">
      <c r="B68" s="160" t="str">
        <f t="shared" si="6"/>
        <v/>
      </c>
      <c r="C68" s="469">
        <f>IF(D11="","-",+C67+1)</f>
        <v>2059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28"/>
        <v>0</v>
      </c>
      <c r="G68" s="483">
        <f t="shared" si="29"/>
        <v>0</v>
      </c>
      <c r="H68" s="452">
        <f t="shared" si="30"/>
        <v>0</v>
      </c>
      <c r="I68" s="472">
        <f t="shared" si="31"/>
        <v>0</v>
      </c>
      <c r="J68" s="472"/>
      <c r="K68" s="484"/>
      <c r="L68" s="475">
        <f t="shared" si="32"/>
        <v>0</v>
      </c>
      <c r="M68" s="484"/>
      <c r="N68" s="475">
        <f t="shared" si="33"/>
        <v>0</v>
      </c>
      <c r="O68" s="475">
        <f t="shared" si="34"/>
        <v>0</v>
      </c>
      <c r="P68" s="241"/>
    </row>
    <row r="69" spans="2:16" ht="12.5">
      <c r="B69" s="160" t="str">
        <f t="shared" si="6"/>
        <v/>
      </c>
      <c r="C69" s="469">
        <f>IF(D11="","-",+C68+1)</f>
        <v>2060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28"/>
        <v>0</v>
      </c>
      <c r="G69" s="483">
        <f t="shared" si="29"/>
        <v>0</v>
      </c>
      <c r="H69" s="452">
        <f t="shared" si="30"/>
        <v>0</v>
      </c>
      <c r="I69" s="472">
        <f t="shared" si="31"/>
        <v>0</v>
      </c>
      <c r="J69" s="472"/>
      <c r="K69" s="484"/>
      <c r="L69" s="475">
        <f t="shared" si="32"/>
        <v>0</v>
      </c>
      <c r="M69" s="484"/>
      <c r="N69" s="475">
        <f t="shared" si="33"/>
        <v>0</v>
      </c>
      <c r="O69" s="475">
        <f t="shared" si="34"/>
        <v>0</v>
      </c>
      <c r="P69" s="241"/>
    </row>
    <row r="70" spans="2:16" ht="12.5">
      <c r="B70" s="160" t="str">
        <f t="shared" si="6"/>
        <v/>
      </c>
      <c r="C70" s="469">
        <f>IF(D11="","-",+C69+1)</f>
        <v>2061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28"/>
        <v>0</v>
      </c>
      <c r="G70" s="483">
        <f t="shared" si="29"/>
        <v>0</v>
      </c>
      <c r="H70" s="452">
        <f t="shared" si="30"/>
        <v>0</v>
      </c>
      <c r="I70" s="472">
        <f t="shared" si="31"/>
        <v>0</v>
      </c>
      <c r="J70" s="472"/>
      <c r="K70" s="484"/>
      <c r="L70" s="475">
        <f t="shared" si="32"/>
        <v>0</v>
      </c>
      <c r="M70" s="484"/>
      <c r="N70" s="475">
        <f t="shared" si="33"/>
        <v>0</v>
      </c>
      <c r="O70" s="475">
        <f t="shared" si="34"/>
        <v>0</v>
      </c>
      <c r="P70" s="241"/>
    </row>
    <row r="71" spans="2:16" ht="12.5">
      <c r="B71" s="160" t="str">
        <f t="shared" si="6"/>
        <v/>
      </c>
      <c r="C71" s="469">
        <f>IF(D11="","-",+C70+1)</f>
        <v>2062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28"/>
        <v>0</v>
      </c>
      <c r="G71" s="483">
        <f t="shared" si="29"/>
        <v>0</v>
      </c>
      <c r="H71" s="452">
        <f t="shared" si="30"/>
        <v>0</v>
      </c>
      <c r="I71" s="472">
        <f t="shared" si="31"/>
        <v>0</v>
      </c>
      <c r="J71" s="472"/>
      <c r="K71" s="484"/>
      <c r="L71" s="475">
        <f t="shared" si="32"/>
        <v>0</v>
      </c>
      <c r="M71" s="484"/>
      <c r="N71" s="475">
        <f t="shared" si="33"/>
        <v>0</v>
      </c>
      <c r="O71" s="475">
        <f t="shared" si="34"/>
        <v>0</v>
      </c>
      <c r="P71" s="241"/>
    </row>
    <row r="72" spans="2:16" ht="13" thickBot="1">
      <c r="B72" s="160" t="str">
        <f t="shared" si="6"/>
        <v/>
      </c>
      <c r="C72" s="486">
        <f>IF(D11="","-",+C71+1)</f>
        <v>2063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28"/>
        <v>0</v>
      </c>
      <c r="G72" s="487">
        <f t="shared" si="29"/>
        <v>0</v>
      </c>
      <c r="H72" s="487">
        <f t="shared" si="30"/>
        <v>0</v>
      </c>
      <c r="I72" s="490">
        <f t="shared" si="31"/>
        <v>0</v>
      </c>
      <c r="J72" s="472"/>
      <c r="K72" s="491"/>
      <c r="L72" s="492">
        <f t="shared" si="32"/>
        <v>0</v>
      </c>
      <c r="M72" s="491"/>
      <c r="N72" s="492">
        <f t="shared" si="33"/>
        <v>0</v>
      </c>
      <c r="O72" s="492">
        <f t="shared" si="34"/>
        <v>0</v>
      </c>
      <c r="P72" s="241"/>
    </row>
    <row r="73" spans="2:16" ht="12.5">
      <c r="C73" s="344" t="s">
        <v>77</v>
      </c>
      <c r="D73" s="345"/>
      <c r="E73" s="345">
        <f>SUM(E17:E72)</f>
        <v>14615635.999999996</v>
      </c>
      <c r="F73" s="345"/>
      <c r="G73" s="345">
        <f>SUM(G17:G72)</f>
        <v>53703737.414698996</v>
      </c>
      <c r="H73" s="345">
        <f>SUM(H17:H72)</f>
        <v>53703737.414698996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4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 t="str">
        <f>O4</f>
        <v>WFEC DA Adjustment</v>
      </c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IF(J92&lt;D11,0,VLOOKUP(J92,C17:O72,9))-P87</f>
        <v>1523932.332802302</v>
      </c>
      <c r="N87" s="505">
        <f>IF(J92&lt;D11,0,VLOOKUP(J92,C17:O72,11))-P87</f>
        <v>1523932.332802302</v>
      </c>
      <c r="O87" s="506">
        <f>+N87-M87</f>
        <v>0</v>
      </c>
      <c r="P87" s="340">
        <f>O5</f>
        <v>15688.800000000001</v>
      </c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IF(J92&lt;D11,0,VLOOKUP(J92,C99:P154,6))-P87</f>
        <v>1653993.4729700577</v>
      </c>
      <c r="N88" s="509">
        <f>IF(J92&lt;D11,0,VLOOKUP(J92,C99:P154,7))-P87</f>
        <v>1653993.4729700577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Cache-Snyder to Altus Jct. 138 kV line (w/2 ring bus stations)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130061.14016775577</v>
      </c>
      <c r="N89" s="514">
        <f>+N88-N87</f>
        <v>130061.14016775577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TP2004147</v>
      </c>
      <c r="E91" s="519" t="s">
        <v>374</v>
      </c>
      <c r="F91" s="519" t="str">
        <f>F9</f>
        <v>106 &amp; 119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+D10</f>
        <v>14615636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2008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7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384622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97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557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2008</v>
      </c>
      <c r="D99" s="470">
        <v>0</v>
      </c>
      <c r="E99" s="477">
        <v>114341</v>
      </c>
      <c r="F99" s="476">
        <v>14429811</v>
      </c>
      <c r="G99" s="534">
        <f t="shared" ref="G99:G130" si="35">+(F99+D99)/2</f>
        <v>7214905.5</v>
      </c>
      <c r="H99" s="535">
        <v>1260396</v>
      </c>
      <c r="I99" s="536">
        <v>1260396</v>
      </c>
      <c r="J99" s="475">
        <f t="shared" ref="J99:J131" si="36">+I99-H99</f>
        <v>0</v>
      </c>
      <c r="K99" s="475"/>
      <c r="L99" s="551">
        <v>1260396</v>
      </c>
      <c r="M99" s="474">
        <f t="shared" ref="M99:M130" si="37">IF(L99&lt;&gt;0,+H99-L99,0)</f>
        <v>0</v>
      </c>
      <c r="N99" s="551">
        <f>+L99</f>
        <v>1260396</v>
      </c>
      <c r="O99" s="474">
        <f t="shared" ref="O99:O130" si="38">IF(N99&lt;&gt;0,+I99-N99,0)</f>
        <v>0</v>
      </c>
      <c r="P99" s="474">
        <f t="shared" ref="P99:P130" si="39">+O99-M99</f>
        <v>0</v>
      </c>
    </row>
    <row r="100" spans="1:16" ht="12.5">
      <c r="B100" s="160" t="str">
        <f>IF(D100=F99,"","IU")</f>
        <v>IU</v>
      </c>
      <c r="C100" s="469">
        <f>IF(D93="","-",+C99+1)</f>
        <v>2009</v>
      </c>
      <c r="D100" s="470">
        <v>14569170</v>
      </c>
      <c r="E100" s="477">
        <v>262206</v>
      </c>
      <c r="F100" s="476">
        <v>14306964</v>
      </c>
      <c r="G100" s="476">
        <v>14438067</v>
      </c>
      <c r="H100" s="477">
        <v>2373171</v>
      </c>
      <c r="I100" s="478">
        <v>2373171</v>
      </c>
      <c r="J100" s="475">
        <f t="shared" si="36"/>
        <v>0</v>
      </c>
      <c r="K100" s="475"/>
      <c r="L100" s="473">
        <f t="shared" ref="L100:L105" si="40">H100</f>
        <v>2373171</v>
      </c>
      <c r="M100" s="475">
        <f t="shared" si="37"/>
        <v>0</v>
      </c>
      <c r="N100" s="473">
        <f t="shared" ref="N100:N105" si="41">I100</f>
        <v>2373171</v>
      </c>
      <c r="O100" s="475">
        <f t="shared" si="38"/>
        <v>0</v>
      </c>
      <c r="P100" s="475">
        <f t="shared" si="39"/>
        <v>0</v>
      </c>
    </row>
    <row r="101" spans="1:16" ht="12.5">
      <c r="B101" s="160" t="str">
        <f t="shared" ref="B101:B154" si="42">IF(D101=F100,"","IU")</f>
        <v>IU</v>
      </c>
      <c r="C101" s="469">
        <f>IF(D93="","-",+C100+1)</f>
        <v>2010</v>
      </c>
      <c r="D101" s="470">
        <v>14239089</v>
      </c>
      <c r="E101" s="477">
        <v>286581</v>
      </c>
      <c r="F101" s="476">
        <v>13952508</v>
      </c>
      <c r="G101" s="476">
        <v>14095798.5</v>
      </c>
      <c r="H101" s="477">
        <v>2553400</v>
      </c>
      <c r="I101" s="478">
        <v>2553400</v>
      </c>
      <c r="J101" s="475">
        <f t="shared" si="36"/>
        <v>0</v>
      </c>
      <c r="K101" s="475"/>
      <c r="L101" s="537">
        <f t="shared" si="40"/>
        <v>2553400</v>
      </c>
      <c r="M101" s="538">
        <f t="shared" si="37"/>
        <v>0</v>
      </c>
      <c r="N101" s="537">
        <f t="shared" si="41"/>
        <v>2553400</v>
      </c>
      <c r="O101" s="475">
        <f t="shared" si="38"/>
        <v>0</v>
      </c>
      <c r="P101" s="475">
        <f t="shared" si="39"/>
        <v>0</v>
      </c>
    </row>
    <row r="102" spans="1:16" ht="12.5">
      <c r="B102" s="160" t="str">
        <f t="shared" si="42"/>
        <v/>
      </c>
      <c r="C102" s="469">
        <f>IF(D93="","-",+C101+1)</f>
        <v>2011</v>
      </c>
      <c r="D102" s="470">
        <v>13952508</v>
      </c>
      <c r="E102" s="477">
        <v>281070</v>
      </c>
      <c r="F102" s="476">
        <v>13671438</v>
      </c>
      <c r="G102" s="476">
        <v>13811973</v>
      </c>
      <c r="H102" s="477">
        <v>2212169</v>
      </c>
      <c r="I102" s="478">
        <v>2212169</v>
      </c>
      <c r="J102" s="475">
        <f t="shared" si="36"/>
        <v>0</v>
      </c>
      <c r="K102" s="475"/>
      <c r="L102" s="537">
        <f t="shared" si="40"/>
        <v>2212169</v>
      </c>
      <c r="M102" s="538">
        <f t="shared" si="37"/>
        <v>0</v>
      </c>
      <c r="N102" s="537">
        <f t="shared" si="41"/>
        <v>2212169</v>
      </c>
      <c r="O102" s="475">
        <f t="shared" si="38"/>
        <v>0</v>
      </c>
      <c r="P102" s="475">
        <f t="shared" si="39"/>
        <v>0</v>
      </c>
    </row>
    <row r="103" spans="1:16" ht="12.5">
      <c r="B103" s="160" t="str">
        <f t="shared" si="42"/>
        <v/>
      </c>
      <c r="C103" s="469">
        <f>IF(D93="","-",+C102+1)</f>
        <v>2012</v>
      </c>
      <c r="D103" s="470">
        <v>13671438</v>
      </c>
      <c r="E103" s="477">
        <v>281070</v>
      </c>
      <c r="F103" s="476">
        <v>13390368</v>
      </c>
      <c r="G103" s="476">
        <v>13530903</v>
      </c>
      <c r="H103" s="477">
        <v>2227565</v>
      </c>
      <c r="I103" s="478">
        <v>2227565</v>
      </c>
      <c r="J103" s="475">
        <v>0</v>
      </c>
      <c r="K103" s="475"/>
      <c r="L103" s="537">
        <f t="shared" si="40"/>
        <v>2227565</v>
      </c>
      <c r="M103" s="538">
        <f t="shared" ref="M103:M108" si="43">IF(L103&lt;&gt;0,+H103-L103,0)</f>
        <v>0</v>
      </c>
      <c r="N103" s="537">
        <f t="shared" si="41"/>
        <v>2227565</v>
      </c>
      <c r="O103" s="475">
        <f t="shared" ref="O103:O108" si="44">IF(N103&lt;&gt;0,+I103-N103,0)</f>
        <v>0</v>
      </c>
      <c r="P103" s="475">
        <f t="shared" ref="P103:P108" si="45">+O103-M103</f>
        <v>0</v>
      </c>
    </row>
    <row r="104" spans="1:16" ht="12.5">
      <c r="B104" s="160" t="str">
        <f t="shared" si="42"/>
        <v/>
      </c>
      <c r="C104" s="469">
        <f>IF(D93="","-",+C103+1)</f>
        <v>2013</v>
      </c>
      <c r="D104" s="470">
        <v>13390368</v>
      </c>
      <c r="E104" s="477">
        <v>281070</v>
      </c>
      <c r="F104" s="476">
        <v>13109298</v>
      </c>
      <c r="G104" s="476">
        <v>13249833</v>
      </c>
      <c r="H104" s="477">
        <v>2188246</v>
      </c>
      <c r="I104" s="478">
        <v>2188246</v>
      </c>
      <c r="J104" s="475">
        <v>0</v>
      </c>
      <c r="K104" s="475"/>
      <c r="L104" s="537">
        <f t="shared" si="40"/>
        <v>2188246</v>
      </c>
      <c r="M104" s="538">
        <f t="shared" si="43"/>
        <v>0</v>
      </c>
      <c r="N104" s="537">
        <f t="shared" si="41"/>
        <v>2188246</v>
      </c>
      <c r="O104" s="475">
        <f t="shared" si="44"/>
        <v>0</v>
      </c>
      <c r="P104" s="475">
        <f t="shared" si="45"/>
        <v>0</v>
      </c>
    </row>
    <row r="105" spans="1:16" ht="12.5">
      <c r="B105" s="160" t="str">
        <f t="shared" si="42"/>
        <v/>
      </c>
      <c r="C105" s="469">
        <f>IF(D93="","-",+C104+1)</f>
        <v>2014</v>
      </c>
      <c r="D105" s="470">
        <v>13109298</v>
      </c>
      <c r="E105" s="477">
        <v>281070</v>
      </c>
      <c r="F105" s="476">
        <v>12828228</v>
      </c>
      <c r="G105" s="476">
        <v>12968763</v>
      </c>
      <c r="H105" s="477">
        <v>2104425</v>
      </c>
      <c r="I105" s="478">
        <v>2104425</v>
      </c>
      <c r="J105" s="475">
        <v>0</v>
      </c>
      <c r="K105" s="475"/>
      <c r="L105" s="537">
        <f t="shared" si="40"/>
        <v>2104425</v>
      </c>
      <c r="M105" s="538">
        <f t="shared" si="43"/>
        <v>0</v>
      </c>
      <c r="N105" s="537">
        <f t="shared" si="41"/>
        <v>2104425</v>
      </c>
      <c r="O105" s="475">
        <f t="shared" si="44"/>
        <v>0</v>
      </c>
      <c r="P105" s="475">
        <f t="shared" si="45"/>
        <v>0</v>
      </c>
    </row>
    <row r="106" spans="1:16" ht="12.5">
      <c r="B106" s="160" t="str">
        <f t="shared" si="42"/>
        <v/>
      </c>
      <c r="C106" s="469">
        <f>IF(D93="","-",+C105+1)</f>
        <v>2015</v>
      </c>
      <c r="D106" s="470">
        <v>12828228</v>
      </c>
      <c r="E106" s="477">
        <v>281070</v>
      </c>
      <c r="F106" s="476">
        <v>12547158</v>
      </c>
      <c r="G106" s="476">
        <v>12687693</v>
      </c>
      <c r="H106" s="477">
        <v>2012204</v>
      </c>
      <c r="I106" s="478">
        <v>2012204</v>
      </c>
      <c r="J106" s="475">
        <f t="shared" si="36"/>
        <v>0</v>
      </c>
      <c r="K106" s="475"/>
      <c r="L106" s="537">
        <f t="shared" ref="L106:L111" si="46">H106</f>
        <v>2012204</v>
      </c>
      <c r="M106" s="538">
        <f t="shared" si="43"/>
        <v>0</v>
      </c>
      <c r="N106" s="537">
        <f t="shared" ref="N106:N111" si="47">I106</f>
        <v>2012204</v>
      </c>
      <c r="O106" s="475">
        <f t="shared" si="44"/>
        <v>0</v>
      </c>
      <c r="P106" s="475">
        <f t="shared" si="45"/>
        <v>0</v>
      </c>
    </row>
    <row r="107" spans="1:16" ht="12.5">
      <c r="B107" s="160" t="str">
        <f t="shared" si="42"/>
        <v/>
      </c>
      <c r="C107" s="469">
        <f>IF(D93="","-",+C106+1)</f>
        <v>2016</v>
      </c>
      <c r="D107" s="470">
        <v>12547158</v>
      </c>
      <c r="E107" s="477">
        <v>317731</v>
      </c>
      <c r="F107" s="476">
        <v>12229427</v>
      </c>
      <c r="G107" s="476">
        <v>12388292.5</v>
      </c>
      <c r="H107" s="477">
        <v>1914777</v>
      </c>
      <c r="I107" s="478">
        <v>1914777</v>
      </c>
      <c r="J107" s="475">
        <f t="shared" si="36"/>
        <v>0</v>
      </c>
      <c r="K107" s="475"/>
      <c r="L107" s="537">
        <f t="shared" si="46"/>
        <v>1914777</v>
      </c>
      <c r="M107" s="538">
        <f t="shared" si="43"/>
        <v>0</v>
      </c>
      <c r="N107" s="537">
        <f t="shared" si="47"/>
        <v>1914777</v>
      </c>
      <c r="O107" s="475">
        <f t="shared" si="44"/>
        <v>0</v>
      </c>
      <c r="P107" s="475">
        <f t="shared" si="45"/>
        <v>0</v>
      </c>
    </row>
    <row r="108" spans="1:16" ht="12.5">
      <c r="B108" s="160" t="str">
        <f t="shared" si="42"/>
        <v/>
      </c>
      <c r="C108" s="469">
        <f>IF(D93="","-",+C107+1)</f>
        <v>2017</v>
      </c>
      <c r="D108" s="470">
        <v>12229427</v>
      </c>
      <c r="E108" s="477">
        <v>317731</v>
      </c>
      <c r="F108" s="476">
        <v>11911696</v>
      </c>
      <c r="G108" s="476">
        <v>12070561.5</v>
      </c>
      <c r="H108" s="477">
        <v>1848912</v>
      </c>
      <c r="I108" s="478">
        <v>1848912</v>
      </c>
      <c r="J108" s="475">
        <f t="shared" si="36"/>
        <v>0</v>
      </c>
      <c r="K108" s="475"/>
      <c r="L108" s="537">
        <f t="shared" si="46"/>
        <v>1848912</v>
      </c>
      <c r="M108" s="538">
        <f t="shared" si="43"/>
        <v>0</v>
      </c>
      <c r="N108" s="537">
        <f t="shared" si="47"/>
        <v>1848912</v>
      </c>
      <c r="O108" s="475">
        <f t="shared" si="44"/>
        <v>0</v>
      </c>
      <c r="P108" s="475">
        <f t="shared" si="45"/>
        <v>0</v>
      </c>
    </row>
    <row r="109" spans="1:16" ht="12.5">
      <c r="B109" s="160" t="str">
        <f t="shared" si="42"/>
        <v/>
      </c>
      <c r="C109" s="469">
        <f>IF(D93="","-",+C108+1)</f>
        <v>2018</v>
      </c>
      <c r="D109" s="470">
        <v>11911696</v>
      </c>
      <c r="E109" s="477">
        <v>339899</v>
      </c>
      <c r="F109" s="476">
        <v>11571797</v>
      </c>
      <c r="G109" s="476">
        <v>11741746.5</v>
      </c>
      <c r="H109" s="477">
        <v>1546194</v>
      </c>
      <c r="I109" s="478">
        <v>1546194</v>
      </c>
      <c r="J109" s="475">
        <f t="shared" si="36"/>
        <v>0</v>
      </c>
      <c r="K109" s="475"/>
      <c r="L109" s="537">
        <f t="shared" si="46"/>
        <v>1546194</v>
      </c>
      <c r="M109" s="538">
        <f t="shared" ref="M109" si="48">IF(L109&lt;&gt;0,+H109-L109,0)</f>
        <v>0</v>
      </c>
      <c r="N109" s="537">
        <f t="shared" si="47"/>
        <v>1546194</v>
      </c>
      <c r="O109" s="475">
        <f t="shared" ref="O109" si="49">IF(N109&lt;&gt;0,+I109-N109,0)</f>
        <v>0</v>
      </c>
      <c r="P109" s="475">
        <f t="shared" ref="P109" si="50">+O109-M109</f>
        <v>0</v>
      </c>
    </row>
    <row r="110" spans="1:16" ht="12.5">
      <c r="B110" s="160" t="str">
        <f t="shared" si="42"/>
        <v/>
      </c>
      <c r="C110" s="469">
        <f>IF(D93="","-",+C109+1)</f>
        <v>2019</v>
      </c>
      <c r="D110" s="470">
        <v>11571797</v>
      </c>
      <c r="E110" s="477">
        <v>356479</v>
      </c>
      <c r="F110" s="476">
        <v>11215318</v>
      </c>
      <c r="G110" s="476">
        <v>11393557.5</v>
      </c>
      <c r="H110" s="477">
        <v>1531315</v>
      </c>
      <c r="I110" s="478">
        <v>1531315</v>
      </c>
      <c r="J110" s="475">
        <f t="shared" si="36"/>
        <v>0</v>
      </c>
      <c r="K110" s="475"/>
      <c r="L110" s="537">
        <f t="shared" si="46"/>
        <v>1531315</v>
      </c>
      <c r="M110" s="538">
        <f t="shared" ref="M110" si="51">IF(L110&lt;&gt;0,+H110-L110,0)</f>
        <v>0</v>
      </c>
      <c r="N110" s="537">
        <f t="shared" si="47"/>
        <v>1531315</v>
      </c>
      <c r="O110" s="475">
        <f t="shared" si="38"/>
        <v>0</v>
      </c>
      <c r="P110" s="475">
        <f t="shared" si="39"/>
        <v>0</v>
      </c>
    </row>
    <row r="111" spans="1:16" ht="12.5">
      <c r="B111" s="160" t="str">
        <f t="shared" si="42"/>
        <v/>
      </c>
      <c r="C111" s="469">
        <f>IF(D93="","-",+C110+1)</f>
        <v>2020</v>
      </c>
      <c r="D111" s="470">
        <v>11215318</v>
      </c>
      <c r="E111" s="477">
        <v>339899</v>
      </c>
      <c r="F111" s="476">
        <v>10875419</v>
      </c>
      <c r="G111" s="476">
        <v>11045368.5</v>
      </c>
      <c r="H111" s="477">
        <v>1613399.6213131989</v>
      </c>
      <c r="I111" s="478">
        <v>1613399.6213131989</v>
      </c>
      <c r="J111" s="475">
        <f t="shared" si="36"/>
        <v>0</v>
      </c>
      <c r="K111" s="475"/>
      <c r="L111" s="537">
        <f t="shared" si="46"/>
        <v>1613399.6213131989</v>
      </c>
      <c r="M111" s="538">
        <f t="shared" ref="M111" si="52">IF(L111&lt;&gt;0,+H111-L111,0)</f>
        <v>0</v>
      </c>
      <c r="N111" s="537">
        <f t="shared" si="47"/>
        <v>1613399.6213131989</v>
      </c>
      <c r="O111" s="475">
        <f t="shared" si="38"/>
        <v>0</v>
      </c>
      <c r="P111" s="475">
        <f t="shared" si="39"/>
        <v>0</v>
      </c>
    </row>
    <row r="112" spans="1:16" ht="12.5">
      <c r="B112" s="160" t="str">
        <f t="shared" si="42"/>
        <v/>
      </c>
      <c r="C112" s="469">
        <f>IF(D93="","-",+C111+1)</f>
        <v>2021</v>
      </c>
      <c r="D112" s="470">
        <v>10875419</v>
      </c>
      <c r="E112" s="477">
        <v>356479</v>
      </c>
      <c r="F112" s="476">
        <v>10518940</v>
      </c>
      <c r="G112" s="476">
        <v>10697179.5</v>
      </c>
      <c r="H112" s="477">
        <v>1573740.9328639174</v>
      </c>
      <c r="I112" s="478">
        <v>1573740.9328639174</v>
      </c>
      <c r="J112" s="475">
        <f t="shared" si="36"/>
        <v>0</v>
      </c>
      <c r="K112" s="475"/>
      <c r="L112" s="537">
        <f t="shared" ref="L112" si="53">H112</f>
        <v>1573740.9328639174</v>
      </c>
      <c r="M112" s="538">
        <f t="shared" ref="M112" si="54">IF(L112&lt;&gt;0,+H112-L112,0)</f>
        <v>0</v>
      </c>
      <c r="N112" s="537">
        <f t="shared" ref="N112" si="55">I112</f>
        <v>1573740.9328639174</v>
      </c>
      <c r="O112" s="475">
        <f t="shared" si="38"/>
        <v>0</v>
      </c>
      <c r="P112" s="475">
        <f t="shared" si="39"/>
        <v>0</v>
      </c>
    </row>
    <row r="113" spans="2:16" ht="12.5">
      <c r="B113" s="160" t="str">
        <f t="shared" si="42"/>
        <v/>
      </c>
      <c r="C113" s="469">
        <f>IF(D93="","-",+C112+1)</f>
        <v>2022</v>
      </c>
      <c r="D113" s="470">
        <v>10518940</v>
      </c>
      <c r="E113" s="477">
        <v>374760</v>
      </c>
      <c r="F113" s="476">
        <v>10144180</v>
      </c>
      <c r="G113" s="476">
        <v>10331560</v>
      </c>
      <c r="H113" s="477">
        <v>1513118.6891439483</v>
      </c>
      <c r="I113" s="478">
        <v>1513118.6891439483</v>
      </c>
      <c r="J113" s="475">
        <f t="shared" si="36"/>
        <v>0</v>
      </c>
      <c r="K113" s="475"/>
      <c r="L113" s="537">
        <f t="shared" ref="L113" si="56">H113</f>
        <v>1513118.6891439483</v>
      </c>
      <c r="M113" s="538">
        <f t="shared" ref="M113" si="57">IF(L113&lt;&gt;0,+H113-L113,0)</f>
        <v>0</v>
      </c>
      <c r="N113" s="537">
        <f t="shared" ref="N113" si="58">I113</f>
        <v>1513118.6891439483</v>
      </c>
      <c r="O113" s="475">
        <f t="shared" ref="O113" si="59">IF(N113&lt;&gt;0,+I113-N113,0)</f>
        <v>0</v>
      </c>
      <c r="P113" s="475">
        <f t="shared" ref="P113" si="60">+O113-M113</f>
        <v>0</v>
      </c>
    </row>
    <row r="114" spans="2:16" ht="12.5">
      <c r="B114" s="160" t="str">
        <f t="shared" si="42"/>
        <v/>
      </c>
      <c r="C114" s="469">
        <f>IF(D93="","-",+C113+1)</f>
        <v>2023</v>
      </c>
      <c r="D114" s="470">
        <v>10144180</v>
      </c>
      <c r="E114" s="477">
        <v>384622</v>
      </c>
      <c r="F114" s="476">
        <v>9759558</v>
      </c>
      <c r="G114" s="476">
        <v>9951869</v>
      </c>
      <c r="H114" s="477">
        <v>1521394.6682639646</v>
      </c>
      <c r="I114" s="478">
        <v>1521394.6682639646</v>
      </c>
      <c r="J114" s="475">
        <f t="shared" si="36"/>
        <v>0</v>
      </c>
      <c r="K114" s="475"/>
      <c r="L114" s="537">
        <f t="shared" ref="L114" si="61">H114</f>
        <v>1521394.6682639646</v>
      </c>
      <c r="M114" s="538">
        <f t="shared" ref="M114" si="62">IF(L114&lt;&gt;0,+H114-L114,0)</f>
        <v>0</v>
      </c>
      <c r="N114" s="537">
        <f t="shared" ref="N114" si="63">I114</f>
        <v>1521394.6682639646</v>
      </c>
      <c r="O114" s="475">
        <f t="shared" ref="O114" si="64">IF(N114&lt;&gt;0,+I114-N114,0)</f>
        <v>0</v>
      </c>
      <c r="P114" s="475">
        <f t="shared" ref="P114" si="65">+O114-M114</f>
        <v>0</v>
      </c>
    </row>
    <row r="115" spans="2:16" ht="12.5">
      <c r="B115" s="160" t="str">
        <f t="shared" si="42"/>
        <v/>
      </c>
      <c r="C115" s="469">
        <f>IF(D93="","-",+C114+1)</f>
        <v>2024</v>
      </c>
      <c r="D115" s="344">
        <f>IF(F114+SUM(E$99:E114)=D$92,F114,D$92-SUM(E$99:E114))</f>
        <v>9759558</v>
      </c>
      <c r="E115" s="483">
        <f>IF(+J96&lt;F114,J96,D115)</f>
        <v>384622</v>
      </c>
      <c r="F115" s="482">
        <f t="shared" ref="F115:F130" si="66">+D115-E115</f>
        <v>9374936</v>
      </c>
      <c r="G115" s="482">
        <f t="shared" si="35"/>
        <v>9567247</v>
      </c>
      <c r="H115" s="483">
        <f t="shared" ref="H115:H154" si="67">(D115+F115)/2*J$94+E115</f>
        <v>1669682.2729700578</v>
      </c>
      <c r="I115" s="539">
        <f t="shared" ref="I115:I153" si="68">+J$95*G115+E115</f>
        <v>1669682.2729700578</v>
      </c>
      <c r="J115" s="475">
        <f t="shared" si="36"/>
        <v>0</v>
      </c>
      <c r="K115" s="475"/>
      <c r="L115" s="484"/>
      <c r="M115" s="475">
        <f t="shared" si="37"/>
        <v>0</v>
      </c>
      <c r="N115" s="484"/>
      <c r="O115" s="475">
        <f t="shared" si="38"/>
        <v>0</v>
      </c>
      <c r="P115" s="475">
        <f t="shared" si="39"/>
        <v>0</v>
      </c>
    </row>
    <row r="116" spans="2:16" ht="12.5">
      <c r="B116" s="160" t="str">
        <f t="shared" si="42"/>
        <v/>
      </c>
      <c r="C116" s="469">
        <f>IF(D93="","-",+C115+1)</f>
        <v>2025</v>
      </c>
      <c r="D116" s="344">
        <f>IF(F115+SUM(E$99:E115)=D$92,F115,D$92-SUM(E$99:E115))</f>
        <v>9374936</v>
      </c>
      <c r="E116" s="483">
        <f>IF(+J96&lt;F115,J96,D116)</f>
        <v>384622</v>
      </c>
      <c r="F116" s="482">
        <f t="shared" si="66"/>
        <v>8990314</v>
      </c>
      <c r="G116" s="482">
        <f t="shared" si="35"/>
        <v>9182625</v>
      </c>
      <c r="H116" s="483">
        <f t="shared" si="67"/>
        <v>1618020.342185759</v>
      </c>
      <c r="I116" s="539">
        <f t="shared" si="68"/>
        <v>1618020.342185759</v>
      </c>
      <c r="J116" s="475">
        <f t="shared" si="36"/>
        <v>0</v>
      </c>
      <c r="K116" s="475"/>
      <c r="L116" s="484"/>
      <c r="M116" s="475">
        <f t="shared" si="37"/>
        <v>0</v>
      </c>
      <c r="N116" s="484"/>
      <c r="O116" s="475">
        <f t="shared" si="38"/>
        <v>0</v>
      </c>
      <c r="P116" s="475">
        <f t="shared" si="39"/>
        <v>0</v>
      </c>
    </row>
    <row r="117" spans="2:16" ht="12.5">
      <c r="B117" s="160" t="str">
        <f t="shared" si="42"/>
        <v/>
      </c>
      <c r="C117" s="469">
        <f>IF(D93="","-",+C116+1)</f>
        <v>2026</v>
      </c>
      <c r="D117" s="344">
        <f>IF(F116+SUM(E$99:E116)=D$92,F116,D$92-SUM(E$99:E116))</f>
        <v>8990314</v>
      </c>
      <c r="E117" s="483">
        <f>IF(+J96&lt;F116,J96,D117)</f>
        <v>384622</v>
      </c>
      <c r="F117" s="482">
        <f t="shared" si="66"/>
        <v>8605692</v>
      </c>
      <c r="G117" s="482">
        <f t="shared" si="35"/>
        <v>8798003</v>
      </c>
      <c r="H117" s="483">
        <f t="shared" si="67"/>
        <v>1566358.4114014604</v>
      </c>
      <c r="I117" s="539">
        <f t="shared" si="68"/>
        <v>1566358.4114014604</v>
      </c>
      <c r="J117" s="475">
        <f t="shared" si="36"/>
        <v>0</v>
      </c>
      <c r="K117" s="475"/>
      <c r="L117" s="484"/>
      <c r="M117" s="475">
        <f t="shared" si="37"/>
        <v>0</v>
      </c>
      <c r="N117" s="484"/>
      <c r="O117" s="475">
        <f t="shared" si="38"/>
        <v>0</v>
      </c>
      <c r="P117" s="475">
        <f t="shared" si="39"/>
        <v>0</v>
      </c>
    </row>
    <row r="118" spans="2:16" ht="12.5">
      <c r="B118" s="160" t="str">
        <f t="shared" si="42"/>
        <v/>
      </c>
      <c r="C118" s="469">
        <f>IF(D93="","-",+C117+1)</f>
        <v>2027</v>
      </c>
      <c r="D118" s="344">
        <f>IF(F117+SUM(E$99:E117)=D$92,F117,D$92-SUM(E$99:E117))</f>
        <v>8605692</v>
      </c>
      <c r="E118" s="483">
        <f>IF(+J96&lt;F117,J96,D118)</f>
        <v>384622</v>
      </c>
      <c r="F118" s="482">
        <f t="shared" si="66"/>
        <v>8221070</v>
      </c>
      <c r="G118" s="482">
        <f t="shared" si="35"/>
        <v>8413381</v>
      </c>
      <c r="H118" s="483">
        <f t="shared" si="67"/>
        <v>1514696.4806171616</v>
      </c>
      <c r="I118" s="539">
        <f t="shared" si="68"/>
        <v>1514696.4806171616</v>
      </c>
      <c r="J118" s="475">
        <f t="shared" si="36"/>
        <v>0</v>
      </c>
      <c r="K118" s="475"/>
      <c r="L118" s="484"/>
      <c r="M118" s="475">
        <f t="shared" si="37"/>
        <v>0</v>
      </c>
      <c r="N118" s="484"/>
      <c r="O118" s="475">
        <f t="shared" si="38"/>
        <v>0</v>
      </c>
      <c r="P118" s="475">
        <f t="shared" si="39"/>
        <v>0</v>
      </c>
    </row>
    <row r="119" spans="2:16" ht="12.5">
      <c r="B119" s="160" t="str">
        <f t="shared" si="42"/>
        <v/>
      </c>
      <c r="C119" s="469">
        <f>IF(D93="","-",+C118+1)</f>
        <v>2028</v>
      </c>
      <c r="D119" s="344">
        <f>IF(F118+SUM(E$99:E118)=D$92,F118,D$92-SUM(E$99:E118))</f>
        <v>8221070</v>
      </c>
      <c r="E119" s="483">
        <f>IF(+J96&lt;F118,J96,D119)</f>
        <v>384622</v>
      </c>
      <c r="F119" s="482">
        <f t="shared" si="66"/>
        <v>7836448</v>
      </c>
      <c r="G119" s="482">
        <f t="shared" si="35"/>
        <v>8028759</v>
      </c>
      <c r="H119" s="483">
        <f t="shared" si="67"/>
        <v>1463034.5498328628</v>
      </c>
      <c r="I119" s="539">
        <f t="shared" si="68"/>
        <v>1463034.5498328628</v>
      </c>
      <c r="J119" s="475">
        <f t="shared" si="36"/>
        <v>0</v>
      </c>
      <c r="K119" s="475"/>
      <c r="L119" s="484"/>
      <c r="M119" s="475">
        <f t="shared" si="37"/>
        <v>0</v>
      </c>
      <c r="N119" s="484"/>
      <c r="O119" s="475">
        <f t="shared" si="38"/>
        <v>0</v>
      </c>
      <c r="P119" s="475">
        <f t="shared" si="39"/>
        <v>0</v>
      </c>
    </row>
    <row r="120" spans="2:16" ht="12.5">
      <c r="B120" s="160" t="str">
        <f t="shared" si="42"/>
        <v/>
      </c>
      <c r="C120" s="469">
        <f>IF(D93="","-",+C119+1)</f>
        <v>2029</v>
      </c>
      <c r="D120" s="344">
        <f>IF(F119+SUM(E$99:E119)=D$92,F119,D$92-SUM(E$99:E119))</f>
        <v>7836448</v>
      </c>
      <c r="E120" s="483">
        <f>IF(+J96&lt;F119,J96,D120)</f>
        <v>384622</v>
      </c>
      <c r="F120" s="482">
        <f t="shared" si="66"/>
        <v>7451826</v>
      </c>
      <c r="G120" s="482">
        <f t="shared" si="35"/>
        <v>7644137</v>
      </c>
      <c r="H120" s="483">
        <f t="shared" si="67"/>
        <v>1411372.6190485642</v>
      </c>
      <c r="I120" s="539">
        <f t="shared" si="68"/>
        <v>1411372.6190485642</v>
      </c>
      <c r="J120" s="475">
        <f t="shared" si="36"/>
        <v>0</v>
      </c>
      <c r="K120" s="475"/>
      <c r="L120" s="484"/>
      <c r="M120" s="475">
        <f t="shared" si="37"/>
        <v>0</v>
      </c>
      <c r="N120" s="484"/>
      <c r="O120" s="475">
        <f t="shared" si="38"/>
        <v>0</v>
      </c>
      <c r="P120" s="475">
        <f t="shared" si="39"/>
        <v>0</v>
      </c>
    </row>
    <row r="121" spans="2:16" ht="12.5">
      <c r="B121" s="160" t="str">
        <f t="shared" si="42"/>
        <v/>
      </c>
      <c r="C121" s="469">
        <f>IF(D93="","-",+C120+1)</f>
        <v>2030</v>
      </c>
      <c r="D121" s="344">
        <f>IF(F120+SUM(E$99:E120)=D$92,F120,D$92-SUM(E$99:E120))</f>
        <v>7451826</v>
      </c>
      <c r="E121" s="483">
        <f>IF(+J96&lt;F120,J96,D121)</f>
        <v>384622</v>
      </c>
      <c r="F121" s="482">
        <f t="shared" si="66"/>
        <v>7067204</v>
      </c>
      <c r="G121" s="482">
        <f t="shared" si="35"/>
        <v>7259515</v>
      </c>
      <c r="H121" s="483">
        <f t="shared" si="67"/>
        <v>1359710.6882642654</v>
      </c>
      <c r="I121" s="539">
        <f t="shared" si="68"/>
        <v>1359710.6882642654</v>
      </c>
      <c r="J121" s="475">
        <f t="shared" si="36"/>
        <v>0</v>
      </c>
      <c r="K121" s="475"/>
      <c r="L121" s="484"/>
      <c r="M121" s="475">
        <f t="shared" si="37"/>
        <v>0</v>
      </c>
      <c r="N121" s="484"/>
      <c r="O121" s="475">
        <f t="shared" si="38"/>
        <v>0</v>
      </c>
      <c r="P121" s="475">
        <f t="shared" si="39"/>
        <v>0</v>
      </c>
    </row>
    <row r="122" spans="2:16" ht="12.5">
      <c r="B122" s="160" t="str">
        <f t="shared" si="42"/>
        <v/>
      </c>
      <c r="C122" s="469">
        <f>IF(D93="","-",+C121+1)</f>
        <v>2031</v>
      </c>
      <c r="D122" s="344">
        <f>IF(F121+SUM(E$99:E121)=D$92,F121,D$92-SUM(E$99:E121))</f>
        <v>7067204</v>
      </c>
      <c r="E122" s="483">
        <f>IF(+J96&lt;F121,J96,D122)</f>
        <v>384622</v>
      </c>
      <c r="F122" s="482">
        <f t="shared" si="66"/>
        <v>6682582</v>
      </c>
      <c r="G122" s="482">
        <f t="shared" si="35"/>
        <v>6874893</v>
      </c>
      <c r="H122" s="483">
        <f t="shared" si="67"/>
        <v>1308048.7574799666</v>
      </c>
      <c r="I122" s="539">
        <f t="shared" si="68"/>
        <v>1308048.7574799666</v>
      </c>
      <c r="J122" s="475">
        <f t="shared" si="36"/>
        <v>0</v>
      </c>
      <c r="K122" s="475"/>
      <c r="L122" s="484"/>
      <c r="M122" s="475">
        <f t="shared" si="37"/>
        <v>0</v>
      </c>
      <c r="N122" s="484"/>
      <c r="O122" s="475">
        <f t="shared" si="38"/>
        <v>0</v>
      </c>
      <c r="P122" s="475">
        <f t="shared" si="39"/>
        <v>0</v>
      </c>
    </row>
    <row r="123" spans="2:16" ht="12.5">
      <c r="B123" s="160" t="str">
        <f t="shared" si="42"/>
        <v/>
      </c>
      <c r="C123" s="469">
        <f>IF(D93="","-",+C122+1)</f>
        <v>2032</v>
      </c>
      <c r="D123" s="344">
        <f>IF(F122+SUM(E$99:E122)=D$92,F122,D$92-SUM(E$99:E122))</f>
        <v>6682582</v>
      </c>
      <c r="E123" s="483">
        <f>IF(+J96&lt;F122,J96,D123)</f>
        <v>384622</v>
      </c>
      <c r="F123" s="482">
        <f t="shared" si="66"/>
        <v>6297960</v>
      </c>
      <c r="G123" s="482">
        <f t="shared" si="35"/>
        <v>6490271</v>
      </c>
      <c r="H123" s="483">
        <f t="shared" si="67"/>
        <v>1256386.826695668</v>
      </c>
      <c r="I123" s="539">
        <f t="shared" si="68"/>
        <v>1256386.826695668</v>
      </c>
      <c r="J123" s="475">
        <f t="shared" si="36"/>
        <v>0</v>
      </c>
      <c r="K123" s="475"/>
      <c r="L123" s="484"/>
      <c r="M123" s="475">
        <f t="shared" si="37"/>
        <v>0</v>
      </c>
      <c r="N123" s="484"/>
      <c r="O123" s="475">
        <f t="shared" si="38"/>
        <v>0</v>
      </c>
      <c r="P123" s="475">
        <f t="shared" si="39"/>
        <v>0</v>
      </c>
    </row>
    <row r="124" spans="2:16" ht="12.5">
      <c r="B124" s="160" t="str">
        <f t="shared" si="42"/>
        <v/>
      </c>
      <c r="C124" s="469">
        <f>IF(D93="","-",+C123+1)</f>
        <v>2033</v>
      </c>
      <c r="D124" s="344">
        <f>IF(F123+SUM(E$99:E123)=D$92,F123,D$92-SUM(E$99:E123))</f>
        <v>6297960</v>
      </c>
      <c r="E124" s="483">
        <f>IF(+J96&lt;F123,J96,D124)</f>
        <v>384622</v>
      </c>
      <c r="F124" s="482">
        <f t="shared" si="66"/>
        <v>5913338</v>
      </c>
      <c r="G124" s="482">
        <f t="shared" si="35"/>
        <v>6105649</v>
      </c>
      <c r="H124" s="483">
        <f t="shared" si="67"/>
        <v>1204724.8959113695</v>
      </c>
      <c r="I124" s="539">
        <f t="shared" si="68"/>
        <v>1204724.8959113695</v>
      </c>
      <c r="J124" s="475">
        <f t="shared" si="36"/>
        <v>0</v>
      </c>
      <c r="K124" s="475"/>
      <c r="L124" s="484"/>
      <c r="M124" s="475">
        <f t="shared" si="37"/>
        <v>0</v>
      </c>
      <c r="N124" s="484"/>
      <c r="O124" s="475">
        <f t="shared" si="38"/>
        <v>0</v>
      </c>
      <c r="P124" s="475">
        <f t="shared" si="39"/>
        <v>0</v>
      </c>
    </row>
    <row r="125" spans="2:16" ht="12.5">
      <c r="B125" s="160" t="str">
        <f t="shared" si="42"/>
        <v/>
      </c>
      <c r="C125" s="469">
        <f>IF(D93="","-",+C124+1)</f>
        <v>2034</v>
      </c>
      <c r="D125" s="344">
        <f>IF(F124+SUM(E$99:E124)=D$92,F124,D$92-SUM(E$99:E124))</f>
        <v>5913338</v>
      </c>
      <c r="E125" s="483">
        <f>IF(+J96&lt;F124,J96,D125)</f>
        <v>384622</v>
      </c>
      <c r="F125" s="482">
        <f t="shared" si="66"/>
        <v>5528716</v>
      </c>
      <c r="G125" s="482">
        <f t="shared" si="35"/>
        <v>5721027</v>
      </c>
      <c r="H125" s="483">
        <f t="shared" si="67"/>
        <v>1153062.9651270704</v>
      </c>
      <c r="I125" s="539">
        <f t="shared" si="68"/>
        <v>1153062.9651270704</v>
      </c>
      <c r="J125" s="475">
        <f t="shared" si="36"/>
        <v>0</v>
      </c>
      <c r="K125" s="475"/>
      <c r="L125" s="484"/>
      <c r="M125" s="475">
        <f t="shared" si="37"/>
        <v>0</v>
      </c>
      <c r="N125" s="484"/>
      <c r="O125" s="475">
        <f t="shared" si="38"/>
        <v>0</v>
      </c>
      <c r="P125" s="475">
        <f t="shared" si="39"/>
        <v>0</v>
      </c>
    </row>
    <row r="126" spans="2:16" ht="12.5">
      <c r="B126" s="160" t="str">
        <f t="shared" si="42"/>
        <v/>
      </c>
      <c r="C126" s="469">
        <f>IF(D93="","-",+C125+1)</f>
        <v>2035</v>
      </c>
      <c r="D126" s="344">
        <f>IF(F125+SUM(E$99:E125)=D$92,F125,D$92-SUM(E$99:E125))</f>
        <v>5528716</v>
      </c>
      <c r="E126" s="483">
        <f>IF(+J96&lt;F125,J96,D126)</f>
        <v>384622</v>
      </c>
      <c r="F126" s="482">
        <f t="shared" si="66"/>
        <v>5144094</v>
      </c>
      <c r="G126" s="482">
        <f t="shared" si="35"/>
        <v>5336405</v>
      </c>
      <c r="H126" s="483">
        <f t="shared" si="67"/>
        <v>1101401.0343427719</v>
      </c>
      <c r="I126" s="539">
        <f t="shared" si="68"/>
        <v>1101401.0343427719</v>
      </c>
      <c r="J126" s="475">
        <f t="shared" si="36"/>
        <v>0</v>
      </c>
      <c r="K126" s="475"/>
      <c r="L126" s="484"/>
      <c r="M126" s="475">
        <f t="shared" si="37"/>
        <v>0</v>
      </c>
      <c r="N126" s="484"/>
      <c r="O126" s="475">
        <f t="shared" si="38"/>
        <v>0</v>
      </c>
      <c r="P126" s="475">
        <f t="shared" si="39"/>
        <v>0</v>
      </c>
    </row>
    <row r="127" spans="2:16" ht="12.5">
      <c r="B127" s="160" t="str">
        <f t="shared" si="42"/>
        <v/>
      </c>
      <c r="C127" s="469">
        <f>IF(D93="","-",+C126+1)</f>
        <v>2036</v>
      </c>
      <c r="D127" s="344">
        <f>IF(F126+SUM(E$99:E126)=D$92,F126,D$92-SUM(E$99:E126))</f>
        <v>5144094</v>
      </c>
      <c r="E127" s="483">
        <f>IF(+J96&lt;F126,J96,D127)</f>
        <v>384622</v>
      </c>
      <c r="F127" s="482">
        <f t="shared" si="66"/>
        <v>4759472</v>
      </c>
      <c r="G127" s="482">
        <f t="shared" si="35"/>
        <v>4951783</v>
      </c>
      <c r="H127" s="483">
        <f t="shared" si="67"/>
        <v>1049739.1035584733</v>
      </c>
      <c r="I127" s="539">
        <f t="shared" si="68"/>
        <v>1049739.1035584733</v>
      </c>
      <c r="J127" s="475">
        <f t="shared" si="36"/>
        <v>0</v>
      </c>
      <c r="K127" s="475"/>
      <c r="L127" s="484"/>
      <c r="M127" s="475">
        <f t="shared" si="37"/>
        <v>0</v>
      </c>
      <c r="N127" s="484"/>
      <c r="O127" s="475">
        <f t="shared" si="38"/>
        <v>0</v>
      </c>
      <c r="P127" s="475">
        <f t="shared" si="39"/>
        <v>0</v>
      </c>
    </row>
    <row r="128" spans="2:16" ht="12.5">
      <c r="B128" s="160" t="str">
        <f t="shared" si="42"/>
        <v/>
      </c>
      <c r="C128" s="469">
        <f>IF(D93="","-",+C127+1)</f>
        <v>2037</v>
      </c>
      <c r="D128" s="344">
        <f>IF(F127+SUM(E$99:E127)=D$92,F127,D$92-SUM(E$99:E127))</f>
        <v>4759472</v>
      </c>
      <c r="E128" s="483">
        <f>IF(+J96&lt;F127,J96,D128)</f>
        <v>384622</v>
      </c>
      <c r="F128" s="482">
        <f t="shared" si="66"/>
        <v>4374850</v>
      </c>
      <c r="G128" s="482">
        <f t="shared" si="35"/>
        <v>4567161</v>
      </c>
      <c r="H128" s="483">
        <f t="shared" si="67"/>
        <v>998077.17277417448</v>
      </c>
      <c r="I128" s="539">
        <f t="shared" si="68"/>
        <v>998077.17277417448</v>
      </c>
      <c r="J128" s="475">
        <f t="shared" si="36"/>
        <v>0</v>
      </c>
      <c r="K128" s="475"/>
      <c r="L128" s="484"/>
      <c r="M128" s="475">
        <f t="shared" si="37"/>
        <v>0</v>
      </c>
      <c r="N128" s="484"/>
      <c r="O128" s="475">
        <f t="shared" si="38"/>
        <v>0</v>
      </c>
      <c r="P128" s="475">
        <f t="shared" si="39"/>
        <v>0</v>
      </c>
    </row>
    <row r="129" spans="2:16" ht="12.5">
      <c r="B129" s="160" t="str">
        <f t="shared" si="42"/>
        <v/>
      </c>
      <c r="C129" s="469">
        <f>IF(D93="","-",+C128+1)</f>
        <v>2038</v>
      </c>
      <c r="D129" s="344">
        <f>IF(F128+SUM(E$99:E128)=D$92,F128,D$92-SUM(E$99:E128))</f>
        <v>4374850</v>
      </c>
      <c r="E129" s="483">
        <f>IF(+J96&lt;F128,J96,D129)</f>
        <v>384622</v>
      </c>
      <c r="F129" s="482">
        <f t="shared" si="66"/>
        <v>3990228</v>
      </c>
      <c r="G129" s="482">
        <f t="shared" si="35"/>
        <v>4182539</v>
      </c>
      <c r="H129" s="483">
        <f t="shared" si="67"/>
        <v>946415.24198987568</v>
      </c>
      <c r="I129" s="539">
        <f t="shared" si="68"/>
        <v>946415.24198987568</v>
      </c>
      <c r="J129" s="475">
        <f t="shared" si="36"/>
        <v>0</v>
      </c>
      <c r="K129" s="475"/>
      <c r="L129" s="484"/>
      <c r="M129" s="475">
        <f t="shared" si="37"/>
        <v>0</v>
      </c>
      <c r="N129" s="484"/>
      <c r="O129" s="475">
        <f t="shared" si="38"/>
        <v>0</v>
      </c>
      <c r="P129" s="475">
        <f t="shared" si="39"/>
        <v>0</v>
      </c>
    </row>
    <row r="130" spans="2:16" ht="12.5">
      <c r="B130" s="160" t="str">
        <f t="shared" si="42"/>
        <v/>
      </c>
      <c r="C130" s="469">
        <f>IF(D93="","-",+C129+1)</f>
        <v>2039</v>
      </c>
      <c r="D130" s="344">
        <f>IF(F129+SUM(E$99:E129)=D$92,F129,D$92-SUM(E$99:E129))</f>
        <v>3990228</v>
      </c>
      <c r="E130" s="483">
        <f>IF(+J96&lt;F129,J96,D130)</f>
        <v>384622</v>
      </c>
      <c r="F130" s="482">
        <f t="shared" si="66"/>
        <v>3605606</v>
      </c>
      <c r="G130" s="482">
        <f t="shared" si="35"/>
        <v>3797917</v>
      </c>
      <c r="H130" s="483">
        <f t="shared" si="67"/>
        <v>894753.31120557699</v>
      </c>
      <c r="I130" s="539">
        <f t="shared" si="68"/>
        <v>894753.31120557699</v>
      </c>
      <c r="J130" s="475">
        <f t="shared" si="36"/>
        <v>0</v>
      </c>
      <c r="K130" s="475"/>
      <c r="L130" s="484"/>
      <c r="M130" s="475">
        <f t="shared" si="37"/>
        <v>0</v>
      </c>
      <c r="N130" s="484"/>
      <c r="O130" s="475">
        <f t="shared" si="38"/>
        <v>0</v>
      </c>
      <c r="P130" s="475">
        <f t="shared" si="39"/>
        <v>0</v>
      </c>
    </row>
    <row r="131" spans="2:16" ht="12.5">
      <c r="B131" s="160" t="str">
        <f t="shared" si="42"/>
        <v/>
      </c>
      <c r="C131" s="469">
        <f>IF(D93="","-",+C130+1)</f>
        <v>2040</v>
      </c>
      <c r="D131" s="344">
        <f>IF(F130+SUM(E$99:E130)=D$92,F130,D$92-SUM(E$99:E130))</f>
        <v>3605606</v>
      </c>
      <c r="E131" s="483">
        <f>IF(+J96&lt;F130,J96,D131)</f>
        <v>384622</v>
      </c>
      <c r="F131" s="482">
        <f t="shared" ref="F131:F154" si="69">+D131-E131</f>
        <v>3220984</v>
      </c>
      <c r="G131" s="482">
        <f t="shared" ref="G131:G154" si="70">+(F131+D131)/2</f>
        <v>3413295</v>
      </c>
      <c r="H131" s="483">
        <f t="shared" si="67"/>
        <v>843091.3804212783</v>
      </c>
      <c r="I131" s="539">
        <f t="shared" si="68"/>
        <v>843091.3804212783</v>
      </c>
      <c r="J131" s="475">
        <f t="shared" si="36"/>
        <v>0</v>
      </c>
      <c r="K131" s="475"/>
      <c r="L131" s="484"/>
      <c r="M131" s="475">
        <f t="shared" ref="M131:M154" si="71">IF(L131&lt;&gt;0,+H131-L131,0)</f>
        <v>0</v>
      </c>
      <c r="N131" s="484"/>
      <c r="O131" s="475">
        <f t="shared" ref="O131:O154" si="72">IF(N131&lt;&gt;0,+I131-N131,0)</f>
        <v>0</v>
      </c>
      <c r="P131" s="475">
        <f t="shared" ref="P131:P154" si="73">+O131-M131</f>
        <v>0</v>
      </c>
    </row>
    <row r="132" spans="2:16" ht="12.5">
      <c r="B132" s="160" t="str">
        <f t="shared" si="42"/>
        <v/>
      </c>
      <c r="C132" s="469">
        <f>IF(D93="","-",+C131+1)</f>
        <v>2041</v>
      </c>
      <c r="D132" s="344">
        <f>IF(F131+SUM(E$99:E131)=D$92,F131,D$92-SUM(E$99:E131))</f>
        <v>3220984</v>
      </c>
      <c r="E132" s="483">
        <f>IF(+J96&lt;F131,J96,D132)</f>
        <v>384622</v>
      </c>
      <c r="F132" s="482">
        <f t="shared" si="69"/>
        <v>2836362</v>
      </c>
      <c r="G132" s="482">
        <f t="shared" si="70"/>
        <v>3028673</v>
      </c>
      <c r="H132" s="483">
        <f t="shared" si="67"/>
        <v>791429.44963697949</v>
      </c>
      <c r="I132" s="539">
        <f t="shared" si="68"/>
        <v>791429.44963697949</v>
      </c>
      <c r="J132" s="475">
        <f t="shared" ref="J132:J154" si="74">+I132-H132</f>
        <v>0</v>
      </c>
      <c r="K132" s="475"/>
      <c r="L132" s="484"/>
      <c r="M132" s="475">
        <f t="shared" si="71"/>
        <v>0</v>
      </c>
      <c r="N132" s="484"/>
      <c r="O132" s="475">
        <f t="shared" si="72"/>
        <v>0</v>
      </c>
      <c r="P132" s="475">
        <f t="shared" si="73"/>
        <v>0</v>
      </c>
    </row>
    <row r="133" spans="2:16" ht="12.5">
      <c r="B133" s="160" t="str">
        <f t="shared" si="42"/>
        <v/>
      </c>
      <c r="C133" s="469">
        <f>IF(D93="","-",+C132+1)</f>
        <v>2042</v>
      </c>
      <c r="D133" s="344">
        <f>IF(F132+SUM(E$99:E132)=D$92,F132,D$92-SUM(E$99:E132))</f>
        <v>2836362</v>
      </c>
      <c r="E133" s="483">
        <f>IF(+J96&lt;F132,J96,D133)</f>
        <v>384622</v>
      </c>
      <c r="F133" s="482">
        <f t="shared" si="69"/>
        <v>2451740</v>
      </c>
      <c r="G133" s="482">
        <f t="shared" si="70"/>
        <v>2644051</v>
      </c>
      <c r="H133" s="483">
        <f t="shared" si="67"/>
        <v>739767.51885268092</v>
      </c>
      <c r="I133" s="539">
        <f t="shared" si="68"/>
        <v>739767.51885268092</v>
      </c>
      <c r="J133" s="475">
        <f t="shared" si="74"/>
        <v>0</v>
      </c>
      <c r="K133" s="475"/>
      <c r="L133" s="484"/>
      <c r="M133" s="475">
        <f t="shared" si="71"/>
        <v>0</v>
      </c>
      <c r="N133" s="484"/>
      <c r="O133" s="475">
        <f t="shared" si="72"/>
        <v>0</v>
      </c>
      <c r="P133" s="475">
        <f t="shared" si="73"/>
        <v>0</v>
      </c>
    </row>
    <row r="134" spans="2:16" ht="12.5">
      <c r="B134" s="160" t="str">
        <f t="shared" si="42"/>
        <v/>
      </c>
      <c r="C134" s="469">
        <f>IF(D93="","-",+C133+1)</f>
        <v>2043</v>
      </c>
      <c r="D134" s="344">
        <f>IF(F133+SUM(E$99:E133)=D$92,F133,D$92-SUM(E$99:E133))</f>
        <v>2451740</v>
      </c>
      <c r="E134" s="483">
        <f>IF(+J96&lt;F133,J96,D134)</f>
        <v>384622</v>
      </c>
      <c r="F134" s="482">
        <f t="shared" si="69"/>
        <v>2067118</v>
      </c>
      <c r="G134" s="482">
        <f t="shared" si="70"/>
        <v>2259429</v>
      </c>
      <c r="H134" s="483">
        <f t="shared" si="67"/>
        <v>688105.58806838212</v>
      </c>
      <c r="I134" s="539">
        <f t="shared" si="68"/>
        <v>688105.58806838212</v>
      </c>
      <c r="J134" s="475">
        <f t="shared" si="74"/>
        <v>0</v>
      </c>
      <c r="K134" s="475"/>
      <c r="L134" s="484"/>
      <c r="M134" s="475">
        <f t="shared" si="71"/>
        <v>0</v>
      </c>
      <c r="N134" s="484"/>
      <c r="O134" s="475">
        <f t="shared" si="72"/>
        <v>0</v>
      </c>
      <c r="P134" s="475">
        <f t="shared" si="73"/>
        <v>0</v>
      </c>
    </row>
    <row r="135" spans="2:16" ht="12.5">
      <c r="B135" s="160" t="str">
        <f t="shared" si="42"/>
        <v/>
      </c>
      <c r="C135" s="469">
        <f>IF(D93="","-",+C134+1)</f>
        <v>2044</v>
      </c>
      <c r="D135" s="344">
        <f>IF(F134+SUM(E$99:E134)=D$92,F134,D$92-SUM(E$99:E134))</f>
        <v>2067118</v>
      </c>
      <c r="E135" s="483">
        <f>IF(+J96&lt;F134,J96,D135)</f>
        <v>384622</v>
      </c>
      <c r="F135" s="482">
        <f t="shared" si="69"/>
        <v>1682496</v>
      </c>
      <c r="G135" s="482">
        <f t="shared" si="70"/>
        <v>1874807</v>
      </c>
      <c r="H135" s="483">
        <f t="shared" si="67"/>
        <v>636443.65728408343</v>
      </c>
      <c r="I135" s="539">
        <f t="shared" si="68"/>
        <v>636443.65728408343</v>
      </c>
      <c r="J135" s="475">
        <f t="shared" si="74"/>
        <v>0</v>
      </c>
      <c r="K135" s="475"/>
      <c r="L135" s="484"/>
      <c r="M135" s="475">
        <f t="shared" si="71"/>
        <v>0</v>
      </c>
      <c r="N135" s="484"/>
      <c r="O135" s="475">
        <f t="shared" si="72"/>
        <v>0</v>
      </c>
      <c r="P135" s="475">
        <f t="shared" si="73"/>
        <v>0</v>
      </c>
    </row>
    <row r="136" spans="2:16" ht="12.5">
      <c r="B136" s="160" t="str">
        <f t="shared" si="42"/>
        <v/>
      </c>
      <c r="C136" s="469">
        <f>IF(D93="","-",+C135+1)</f>
        <v>2045</v>
      </c>
      <c r="D136" s="344">
        <f>IF(F135+SUM(E$99:E135)=D$92,F135,D$92-SUM(E$99:E135))</f>
        <v>1682496</v>
      </c>
      <c r="E136" s="483">
        <f>IF(+J96&lt;F135,J96,D136)</f>
        <v>384622</v>
      </c>
      <c r="F136" s="482">
        <f t="shared" si="69"/>
        <v>1297874</v>
      </c>
      <c r="G136" s="482">
        <f t="shared" si="70"/>
        <v>1490185</v>
      </c>
      <c r="H136" s="483">
        <f t="shared" si="67"/>
        <v>584781.72649978474</v>
      </c>
      <c r="I136" s="539">
        <f t="shared" si="68"/>
        <v>584781.72649978474</v>
      </c>
      <c r="J136" s="475">
        <f t="shared" si="74"/>
        <v>0</v>
      </c>
      <c r="K136" s="475"/>
      <c r="L136" s="484"/>
      <c r="M136" s="475">
        <f t="shared" si="71"/>
        <v>0</v>
      </c>
      <c r="N136" s="484"/>
      <c r="O136" s="475">
        <f t="shared" si="72"/>
        <v>0</v>
      </c>
      <c r="P136" s="475">
        <f t="shared" si="73"/>
        <v>0</v>
      </c>
    </row>
    <row r="137" spans="2:16" ht="12.5">
      <c r="B137" s="160" t="str">
        <f t="shared" si="42"/>
        <v/>
      </c>
      <c r="C137" s="469">
        <f>IF(D93="","-",+C136+1)</f>
        <v>2046</v>
      </c>
      <c r="D137" s="344">
        <f>IF(F136+SUM(E$99:E136)=D$92,F136,D$92-SUM(E$99:E136))</f>
        <v>1297874</v>
      </c>
      <c r="E137" s="483">
        <f>IF(+J96&lt;F136,J96,D137)</f>
        <v>384622</v>
      </c>
      <c r="F137" s="482">
        <f t="shared" si="69"/>
        <v>913252</v>
      </c>
      <c r="G137" s="482">
        <f t="shared" si="70"/>
        <v>1105563</v>
      </c>
      <c r="H137" s="483">
        <f t="shared" si="67"/>
        <v>533119.79571548593</v>
      </c>
      <c r="I137" s="539">
        <f t="shared" si="68"/>
        <v>533119.79571548593</v>
      </c>
      <c r="J137" s="475">
        <f t="shared" si="74"/>
        <v>0</v>
      </c>
      <c r="K137" s="475"/>
      <c r="L137" s="484"/>
      <c r="M137" s="475">
        <f t="shared" si="71"/>
        <v>0</v>
      </c>
      <c r="N137" s="484"/>
      <c r="O137" s="475">
        <f t="shared" si="72"/>
        <v>0</v>
      </c>
      <c r="P137" s="475">
        <f t="shared" si="73"/>
        <v>0</v>
      </c>
    </row>
    <row r="138" spans="2:16" ht="12.5">
      <c r="B138" s="160" t="str">
        <f t="shared" si="42"/>
        <v/>
      </c>
      <c r="C138" s="469">
        <f>IF(D93="","-",+C137+1)</f>
        <v>2047</v>
      </c>
      <c r="D138" s="344">
        <f>IF(F137+SUM(E$99:E137)=D$92,F137,D$92-SUM(E$99:E137))</f>
        <v>913252</v>
      </c>
      <c r="E138" s="483">
        <f>IF(+J96&lt;F137,J96,D138)</f>
        <v>384622</v>
      </c>
      <c r="F138" s="482">
        <f t="shared" si="69"/>
        <v>528630</v>
      </c>
      <c r="G138" s="482">
        <f t="shared" si="70"/>
        <v>720941</v>
      </c>
      <c r="H138" s="483">
        <f t="shared" si="67"/>
        <v>481457.86493118724</v>
      </c>
      <c r="I138" s="539">
        <f t="shared" si="68"/>
        <v>481457.86493118724</v>
      </c>
      <c r="J138" s="475">
        <f t="shared" si="74"/>
        <v>0</v>
      </c>
      <c r="K138" s="475"/>
      <c r="L138" s="484"/>
      <c r="M138" s="475">
        <f t="shared" si="71"/>
        <v>0</v>
      </c>
      <c r="N138" s="484"/>
      <c r="O138" s="475">
        <f t="shared" si="72"/>
        <v>0</v>
      </c>
      <c r="P138" s="475">
        <f t="shared" si="73"/>
        <v>0</v>
      </c>
    </row>
    <row r="139" spans="2:16" ht="12.5">
      <c r="B139" s="160" t="str">
        <f t="shared" si="42"/>
        <v/>
      </c>
      <c r="C139" s="469">
        <f>IF(D93="","-",+C138+1)</f>
        <v>2048</v>
      </c>
      <c r="D139" s="344">
        <f>IF(F138+SUM(E$99:E138)=D$92,F138,D$92-SUM(E$99:E138))</f>
        <v>528630</v>
      </c>
      <c r="E139" s="483">
        <f>IF(+J96&lt;F138,J96,D139)</f>
        <v>384622</v>
      </c>
      <c r="F139" s="482">
        <f t="shared" si="69"/>
        <v>144008</v>
      </c>
      <c r="G139" s="482">
        <f t="shared" si="70"/>
        <v>336319</v>
      </c>
      <c r="H139" s="483">
        <f t="shared" si="67"/>
        <v>429795.93414688855</v>
      </c>
      <c r="I139" s="539">
        <f t="shared" si="68"/>
        <v>429795.93414688855</v>
      </c>
      <c r="J139" s="475">
        <f t="shared" si="74"/>
        <v>0</v>
      </c>
      <c r="K139" s="475"/>
      <c r="L139" s="484"/>
      <c r="M139" s="475">
        <f t="shared" si="71"/>
        <v>0</v>
      </c>
      <c r="N139" s="484"/>
      <c r="O139" s="475">
        <f t="shared" si="72"/>
        <v>0</v>
      </c>
      <c r="P139" s="475">
        <f t="shared" si="73"/>
        <v>0</v>
      </c>
    </row>
    <row r="140" spans="2:16" ht="12.5">
      <c r="B140" s="160" t="str">
        <f t="shared" si="42"/>
        <v/>
      </c>
      <c r="C140" s="469">
        <f>IF(D93="","-",+C139+1)</f>
        <v>2049</v>
      </c>
      <c r="D140" s="344">
        <f>IF(F139+SUM(E$99:E139)=D$92,F139,D$92-SUM(E$99:E139))</f>
        <v>144008</v>
      </c>
      <c r="E140" s="483">
        <f>IF(+J96&lt;F139,J96,D140)</f>
        <v>144008</v>
      </c>
      <c r="F140" s="482">
        <f t="shared" si="69"/>
        <v>0</v>
      </c>
      <c r="G140" s="482">
        <f t="shared" si="70"/>
        <v>72004</v>
      </c>
      <c r="H140" s="483">
        <f t="shared" si="67"/>
        <v>153679.48437736958</v>
      </c>
      <c r="I140" s="539">
        <f t="shared" si="68"/>
        <v>153679.48437736958</v>
      </c>
      <c r="J140" s="475">
        <f t="shared" si="74"/>
        <v>0</v>
      </c>
      <c r="K140" s="475"/>
      <c r="L140" s="484"/>
      <c r="M140" s="475">
        <f t="shared" si="71"/>
        <v>0</v>
      </c>
      <c r="N140" s="484"/>
      <c r="O140" s="475">
        <f t="shared" si="72"/>
        <v>0</v>
      </c>
      <c r="P140" s="475">
        <f t="shared" si="73"/>
        <v>0</v>
      </c>
    </row>
    <row r="141" spans="2:16" ht="12.5">
      <c r="B141" s="160" t="str">
        <f t="shared" si="42"/>
        <v/>
      </c>
      <c r="C141" s="469">
        <f>IF(D93="","-",+C140+1)</f>
        <v>2050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69"/>
        <v>0</v>
      </c>
      <c r="G141" s="482">
        <f t="shared" si="70"/>
        <v>0</v>
      </c>
      <c r="H141" s="483">
        <f t="shared" si="67"/>
        <v>0</v>
      </c>
      <c r="I141" s="539">
        <f t="shared" si="68"/>
        <v>0</v>
      </c>
      <c r="J141" s="475">
        <f t="shared" si="74"/>
        <v>0</v>
      </c>
      <c r="K141" s="475"/>
      <c r="L141" s="484"/>
      <c r="M141" s="475">
        <f t="shared" si="71"/>
        <v>0</v>
      </c>
      <c r="N141" s="484"/>
      <c r="O141" s="475">
        <f t="shared" si="72"/>
        <v>0</v>
      </c>
      <c r="P141" s="475">
        <f t="shared" si="73"/>
        <v>0</v>
      </c>
    </row>
    <row r="142" spans="2:16" ht="12.5">
      <c r="B142" s="160" t="str">
        <f t="shared" si="42"/>
        <v/>
      </c>
      <c r="C142" s="469">
        <f>IF(D93="","-",+C141+1)</f>
        <v>2051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69"/>
        <v>0</v>
      </c>
      <c r="G142" s="482">
        <f t="shared" si="70"/>
        <v>0</v>
      </c>
      <c r="H142" s="483">
        <f t="shared" si="67"/>
        <v>0</v>
      </c>
      <c r="I142" s="539">
        <f t="shared" si="68"/>
        <v>0</v>
      </c>
      <c r="J142" s="475">
        <f t="shared" si="74"/>
        <v>0</v>
      </c>
      <c r="K142" s="475"/>
      <c r="L142" s="484"/>
      <c r="M142" s="475">
        <f t="shared" si="71"/>
        <v>0</v>
      </c>
      <c r="N142" s="484"/>
      <c r="O142" s="475">
        <f t="shared" si="72"/>
        <v>0</v>
      </c>
      <c r="P142" s="475">
        <f t="shared" si="73"/>
        <v>0</v>
      </c>
    </row>
    <row r="143" spans="2:16" ht="12.5">
      <c r="B143" s="160" t="str">
        <f t="shared" si="42"/>
        <v/>
      </c>
      <c r="C143" s="469">
        <f>IF(D93="","-",+C142+1)</f>
        <v>2052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69"/>
        <v>0</v>
      </c>
      <c r="G143" s="482">
        <f t="shared" si="70"/>
        <v>0</v>
      </c>
      <c r="H143" s="483">
        <f t="shared" si="67"/>
        <v>0</v>
      </c>
      <c r="I143" s="539">
        <f t="shared" si="68"/>
        <v>0</v>
      </c>
      <c r="J143" s="475">
        <f t="shared" si="74"/>
        <v>0</v>
      </c>
      <c r="K143" s="475"/>
      <c r="L143" s="484"/>
      <c r="M143" s="475">
        <f t="shared" si="71"/>
        <v>0</v>
      </c>
      <c r="N143" s="484"/>
      <c r="O143" s="475">
        <f t="shared" si="72"/>
        <v>0</v>
      </c>
      <c r="P143" s="475">
        <f t="shared" si="73"/>
        <v>0</v>
      </c>
    </row>
    <row r="144" spans="2:16" ht="12.5">
      <c r="B144" s="160" t="str">
        <f t="shared" si="42"/>
        <v/>
      </c>
      <c r="C144" s="469">
        <f>IF(D93="","-",+C143+1)</f>
        <v>2053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69"/>
        <v>0</v>
      </c>
      <c r="G144" s="482">
        <f t="shared" si="70"/>
        <v>0</v>
      </c>
      <c r="H144" s="483">
        <f t="shared" si="67"/>
        <v>0</v>
      </c>
      <c r="I144" s="539">
        <f t="shared" si="68"/>
        <v>0</v>
      </c>
      <c r="J144" s="475">
        <f t="shared" si="74"/>
        <v>0</v>
      </c>
      <c r="K144" s="475"/>
      <c r="L144" s="484"/>
      <c r="M144" s="475">
        <f t="shared" si="71"/>
        <v>0</v>
      </c>
      <c r="N144" s="484"/>
      <c r="O144" s="475">
        <f t="shared" si="72"/>
        <v>0</v>
      </c>
      <c r="P144" s="475">
        <f t="shared" si="73"/>
        <v>0</v>
      </c>
    </row>
    <row r="145" spans="2:16" ht="12.5">
      <c r="B145" s="160" t="str">
        <f t="shared" si="42"/>
        <v/>
      </c>
      <c r="C145" s="469">
        <f>IF(D93="","-",+C144+1)</f>
        <v>2054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69"/>
        <v>0</v>
      </c>
      <c r="G145" s="482">
        <f t="shared" si="70"/>
        <v>0</v>
      </c>
      <c r="H145" s="483">
        <f t="shared" si="67"/>
        <v>0</v>
      </c>
      <c r="I145" s="539">
        <f t="shared" si="68"/>
        <v>0</v>
      </c>
      <c r="J145" s="475">
        <f t="shared" si="74"/>
        <v>0</v>
      </c>
      <c r="K145" s="475"/>
      <c r="L145" s="484"/>
      <c r="M145" s="475">
        <f t="shared" si="71"/>
        <v>0</v>
      </c>
      <c r="N145" s="484"/>
      <c r="O145" s="475">
        <f t="shared" si="72"/>
        <v>0</v>
      </c>
      <c r="P145" s="475">
        <f t="shared" si="73"/>
        <v>0</v>
      </c>
    </row>
    <row r="146" spans="2:16" ht="12.5">
      <c r="B146" s="160" t="str">
        <f t="shared" si="42"/>
        <v/>
      </c>
      <c r="C146" s="469">
        <f>IF(D93="","-",+C145+1)</f>
        <v>2055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69"/>
        <v>0</v>
      </c>
      <c r="G146" s="482">
        <f t="shared" si="70"/>
        <v>0</v>
      </c>
      <c r="H146" s="483">
        <f t="shared" si="67"/>
        <v>0</v>
      </c>
      <c r="I146" s="539">
        <f t="shared" si="68"/>
        <v>0</v>
      </c>
      <c r="J146" s="475">
        <f t="shared" si="74"/>
        <v>0</v>
      </c>
      <c r="K146" s="475"/>
      <c r="L146" s="484"/>
      <c r="M146" s="475">
        <f t="shared" si="71"/>
        <v>0</v>
      </c>
      <c r="N146" s="484"/>
      <c r="O146" s="475">
        <f t="shared" si="72"/>
        <v>0</v>
      </c>
      <c r="P146" s="475">
        <f t="shared" si="73"/>
        <v>0</v>
      </c>
    </row>
    <row r="147" spans="2:16" ht="12.5">
      <c r="B147" s="160" t="str">
        <f t="shared" si="42"/>
        <v/>
      </c>
      <c r="C147" s="469">
        <f>IF(D93="","-",+C146+1)</f>
        <v>2056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69"/>
        <v>0</v>
      </c>
      <c r="G147" s="482">
        <f t="shared" si="70"/>
        <v>0</v>
      </c>
      <c r="H147" s="483">
        <f t="shared" si="67"/>
        <v>0</v>
      </c>
      <c r="I147" s="539">
        <f t="shared" si="68"/>
        <v>0</v>
      </c>
      <c r="J147" s="475">
        <f t="shared" si="74"/>
        <v>0</v>
      </c>
      <c r="K147" s="475"/>
      <c r="L147" s="484"/>
      <c r="M147" s="475">
        <f t="shared" si="71"/>
        <v>0</v>
      </c>
      <c r="N147" s="484"/>
      <c r="O147" s="475">
        <f t="shared" si="72"/>
        <v>0</v>
      </c>
      <c r="P147" s="475">
        <f t="shared" si="73"/>
        <v>0</v>
      </c>
    </row>
    <row r="148" spans="2:16" ht="12.5">
      <c r="B148" s="160" t="str">
        <f t="shared" si="42"/>
        <v/>
      </c>
      <c r="C148" s="469">
        <f>IF(D93="","-",+C147+1)</f>
        <v>2057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69"/>
        <v>0</v>
      </c>
      <c r="G148" s="482">
        <f t="shared" si="70"/>
        <v>0</v>
      </c>
      <c r="H148" s="483">
        <f t="shared" si="67"/>
        <v>0</v>
      </c>
      <c r="I148" s="539">
        <f t="shared" si="68"/>
        <v>0</v>
      </c>
      <c r="J148" s="475">
        <f t="shared" si="74"/>
        <v>0</v>
      </c>
      <c r="K148" s="475"/>
      <c r="L148" s="484"/>
      <c r="M148" s="475">
        <f t="shared" si="71"/>
        <v>0</v>
      </c>
      <c r="N148" s="484"/>
      <c r="O148" s="475">
        <f t="shared" si="72"/>
        <v>0</v>
      </c>
      <c r="P148" s="475">
        <f t="shared" si="73"/>
        <v>0</v>
      </c>
    </row>
    <row r="149" spans="2:16" ht="12.5">
      <c r="B149" s="160" t="str">
        <f t="shared" si="42"/>
        <v/>
      </c>
      <c r="C149" s="469">
        <f>IF(D93="","-",+C148+1)</f>
        <v>2058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69"/>
        <v>0</v>
      </c>
      <c r="G149" s="482">
        <f t="shared" si="70"/>
        <v>0</v>
      </c>
      <c r="H149" s="483">
        <f t="shared" si="67"/>
        <v>0</v>
      </c>
      <c r="I149" s="539">
        <f t="shared" si="68"/>
        <v>0</v>
      </c>
      <c r="J149" s="475">
        <f t="shared" si="74"/>
        <v>0</v>
      </c>
      <c r="K149" s="475"/>
      <c r="L149" s="484"/>
      <c r="M149" s="475">
        <f t="shared" si="71"/>
        <v>0</v>
      </c>
      <c r="N149" s="484"/>
      <c r="O149" s="475">
        <f t="shared" si="72"/>
        <v>0</v>
      </c>
      <c r="P149" s="475">
        <f t="shared" si="73"/>
        <v>0</v>
      </c>
    </row>
    <row r="150" spans="2:16" ht="12.5">
      <c r="B150" s="160" t="str">
        <f t="shared" si="42"/>
        <v/>
      </c>
      <c r="C150" s="469">
        <f>IF(D93="","-",+C149+1)</f>
        <v>2059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69"/>
        <v>0</v>
      </c>
      <c r="G150" s="482">
        <f t="shared" si="70"/>
        <v>0</v>
      </c>
      <c r="H150" s="483">
        <f t="shared" si="67"/>
        <v>0</v>
      </c>
      <c r="I150" s="539">
        <f t="shared" si="68"/>
        <v>0</v>
      </c>
      <c r="J150" s="475">
        <f t="shared" si="74"/>
        <v>0</v>
      </c>
      <c r="K150" s="475"/>
      <c r="L150" s="484"/>
      <c r="M150" s="475">
        <f t="shared" si="71"/>
        <v>0</v>
      </c>
      <c r="N150" s="484"/>
      <c r="O150" s="475">
        <f t="shared" si="72"/>
        <v>0</v>
      </c>
      <c r="P150" s="475">
        <f t="shared" si="73"/>
        <v>0</v>
      </c>
    </row>
    <row r="151" spans="2:16" ht="12.5">
      <c r="B151" s="160" t="str">
        <f t="shared" si="42"/>
        <v/>
      </c>
      <c r="C151" s="469">
        <f>IF(D93="","-",+C150+1)</f>
        <v>2060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69"/>
        <v>0</v>
      </c>
      <c r="G151" s="482">
        <f t="shared" si="70"/>
        <v>0</v>
      </c>
      <c r="H151" s="483">
        <f t="shared" si="67"/>
        <v>0</v>
      </c>
      <c r="I151" s="539">
        <f t="shared" si="68"/>
        <v>0</v>
      </c>
      <c r="J151" s="475">
        <f t="shared" si="74"/>
        <v>0</v>
      </c>
      <c r="K151" s="475"/>
      <c r="L151" s="484"/>
      <c r="M151" s="475">
        <f t="shared" si="71"/>
        <v>0</v>
      </c>
      <c r="N151" s="484"/>
      <c r="O151" s="475">
        <f t="shared" si="72"/>
        <v>0</v>
      </c>
      <c r="P151" s="475">
        <f t="shared" si="73"/>
        <v>0</v>
      </c>
    </row>
    <row r="152" spans="2:16" ht="12.5">
      <c r="B152" s="160" t="str">
        <f t="shared" si="42"/>
        <v/>
      </c>
      <c r="C152" s="469">
        <f>IF(D93="","-",+C151+1)</f>
        <v>2061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69"/>
        <v>0</v>
      </c>
      <c r="G152" s="482">
        <f t="shared" si="70"/>
        <v>0</v>
      </c>
      <c r="H152" s="483">
        <f t="shared" si="67"/>
        <v>0</v>
      </c>
      <c r="I152" s="539">
        <f t="shared" si="68"/>
        <v>0</v>
      </c>
      <c r="J152" s="475">
        <f t="shared" si="74"/>
        <v>0</v>
      </c>
      <c r="K152" s="475"/>
      <c r="L152" s="484"/>
      <c r="M152" s="475">
        <f t="shared" si="71"/>
        <v>0</v>
      </c>
      <c r="N152" s="484"/>
      <c r="O152" s="475">
        <f t="shared" si="72"/>
        <v>0</v>
      </c>
      <c r="P152" s="475">
        <f t="shared" si="73"/>
        <v>0</v>
      </c>
    </row>
    <row r="153" spans="2:16" ht="12.5">
      <c r="B153" s="160" t="str">
        <f t="shared" si="42"/>
        <v/>
      </c>
      <c r="C153" s="469">
        <f>IF(D93="","-",+C152+1)</f>
        <v>2062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69"/>
        <v>0</v>
      </c>
      <c r="G153" s="482">
        <f t="shared" si="70"/>
        <v>0</v>
      </c>
      <c r="H153" s="483">
        <f t="shared" si="67"/>
        <v>0</v>
      </c>
      <c r="I153" s="539">
        <f t="shared" si="68"/>
        <v>0</v>
      </c>
      <c r="J153" s="475">
        <f t="shared" si="74"/>
        <v>0</v>
      </c>
      <c r="K153" s="475"/>
      <c r="L153" s="484"/>
      <c r="M153" s="475">
        <f t="shared" si="71"/>
        <v>0</v>
      </c>
      <c r="N153" s="484"/>
      <c r="O153" s="475">
        <f t="shared" si="72"/>
        <v>0</v>
      </c>
      <c r="P153" s="475">
        <f t="shared" si="73"/>
        <v>0</v>
      </c>
    </row>
    <row r="154" spans="2:16" ht="13" thickBot="1">
      <c r="B154" s="160" t="str">
        <f t="shared" si="42"/>
        <v/>
      </c>
      <c r="C154" s="486">
        <f>IF(D93="","-",+C153+1)</f>
        <v>2063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69"/>
        <v>0</v>
      </c>
      <c r="G154" s="487">
        <f t="shared" si="70"/>
        <v>0</v>
      </c>
      <c r="H154" s="487">
        <f t="shared" si="67"/>
        <v>0</v>
      </c>
      <c r="I154" s="542">
        <f t="shared" ref="I154" si="75">ROUND(J$95*G154,0)+E154</f>
        <v>0</v>
      </c>
      <c r="J154" s="492">
        <f t="shared" si="74"/>
        <v>0</v>
      </c>
      <c r="K154" s="475"/>
      <c r="L154" s="491"/>
      <c r="M154" s="492">
        <f t="shared" si="71"/>
        <v>0</v>
      </c>
      <c r="N154" s="491"/>
      <c r="O154" s="492">
        <f t="shared" si="72"/>
        <v>0</v>
      </c>
      <c r="P154" s="492">
        <f t="shared" si="73"/>
        <v>0</v>
      </c>
    </row>
    <row r="155" spans="2:16" ht="12.5">
      <c r="C155" s="344" t="s">
        <v>77</v>
      </c>
      <c r="D155" s="345"/>
      <c r="E155" s="345">
        <f>SUM(E99:E154)</f>
        <v>14615636</v>
      </c>
      <c r="F155" s="345"/>
      <c r="G155" s="345"/>
      <c r="H155" s="345">
        <f>SUM(H99:H154)</f>
        <v>56391584.98492422</v>
      </c>
      <c r="I155" s="345">
        <f>SUM(I99:I154)</f>
        <v>56391584.98492422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 t="s">
        <v>100</v>
      </c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2.5"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93" t="s">
        <v>107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78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 t="s">
        <v>79</v>
      </c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  <row r="1048576" spans="11:13" ht="12.75" customHeight="1">
      <c r="K1048576" s="473">
        <f>G1048576</f>
        <v>0</v>
      </c>
      <c r="L1048576" s="547">
        <f t="shared" ref="L1048576" si="76">IF(K1048576&lt;&gt;0,+G1048576-K1048576,0)</f>
        <v>0</v>
      </c>
      <c r="M1048576" s="473">
        <f>H1048576</f>
        <v>0</v>
      </c>
    </row>
  </sheetData>
  <phoneticPr fontId="0" type="noConversion"/>
  <conditionalFormatting sqref="C17:C72">
    <cfRule type="cellIs" dxfId="65" priority="1" stopIfTrue="1" operator="equal">
      <formula>$I$10</formula>
    </cfRule>
  </conditionalFormatting>
  <conditionalFormatting sqref="C99:C154">
    <cfRule type="cellIs" dxfId="64" priority="2" stopIfTrue="1" operator="equal">
      <formula>$J$92</formula>
    </cfRule>
  </conditionalFormatting>
  <pageMargins left="0.5" right="0.25" top="1" bottom="0.25" header="0.25" footer="0.5"/>
  <pageSetup scale="47" fitToHeight="0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53"/>
  <dimension ref="A1:P162"/>
  <sheetViews>
    <sheetView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5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38635.258998489306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38635.258998489306</v>
      </c>
      <c r="O6" s="231"/>
      <c r="P6" s="231"/>
    </row>
    <row r="7" spans="1:16" ht="13.5" thickBot="1">
      <c r="C7" s="428" t="s">
        <v>46</v>
      </c>
      <c r="D7" s="429" t="s">
        <v>206</v>
      </c>
      <c r="E7" s="327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83</v>
      </c>
      <c r="E9" s="519" t="s">
        <v>374</v>
      </c>
      <c r="F9" s="719">
        <v>30001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387742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2006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5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10203.736842105263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2006</v>
      </c>
      <c r="D17" s="470">
        <v>387742</v>
      </c>
      <c r="E17" s="471">
        <v>3877</v>
      </c>
      <c r="F17" s="470">
        <v>383865</v>
      </c>
      <c r="G17" s="471">
        <v>0</v>
      </c>
      <c r="H17" s="478">
        <v>0</v>
      </c>
      <c r="I17" s="472">
        <f t="shared" ref="I17:I48" si="0">H17-G17</f>
        <v>0</v>
      </c>
      <c r="J17" s="472"/>
      <c r="K17" s="551">
        <v>0</v>
      </c>
      <c r="L17" s="474">
        <f t="shared" ref="L17:L48" si="1">IF(K17&lt;&gt;0,+G17-K17,0)</f>
        <v>0</v>
      </c>
      <c r="M17" s="551">
        <v>0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/>
      <c r="C18" s="469">
        <f>IF(D11="","-",+C17+1)</f>
        <v>2007</v>
      </c>
      <c r="D18" s="476">
        <v>383865</v>
      </c>
      <c r="E18" s="477">
        <v>7755</v>
      </c>
      <c r="F18" s="476">
        <v>376110</v>
      </c>
      <c r="G18" s="476">
        <v>59847</v>
      </c>
      <c r="H18" s="476">
        <v>59847</v>
      </c>
      <c r="I18" s="472">
        <f t="shared" si="0"/>
        <v>0</v>
      </c>
      <c r="J18" s="472"/>
      <c r="K18" s="473">
        <v>59847</v>
      </c>
      <c r="L18" s="475">
        <f t="shared" si="1"/>
        <v>0</v>
      </c>
      <c r="M18" s="473">
        <v>59847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/>
      <c r="C19" s="469">
        <f>IF(D11="","-",+C18+1)</f>
        <v>2008</v>
      </c>
      <c r="D19" s="476">
        <v>376557</v>
      </c>
      <c r="E19" s="558">
        <v>7457</v>
      </c>
      <c r="F19" s="476">
        <v>369100</v>
      </c>
      <c r="G19" s="476">
        <v>62208</v>
      </c>
      <c r="H19" s="476">
        <v>62208</v>
      </c>
      <c r="I19" s="472">
        <f t="shared" si="0"/>
        <v>0</v>
      </c>
      <c r="J19" s="472"/>
      <c r="K19" s="473">
        <v>62208</v>
      </c>
      <c r="L19" s="475">
        <f t="shared" si="1"/>
        <v>0</v>
      </c>
      <c r="M19" s="473">
        <v>62208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/>
      <c r="C20" s="469">
        <f>IF(D11="","-",+C19+1)</f>
        <v>2009</v>
      </c>
      <c r="D20" s="476">
        <v>368843</v>
      </c>
      <c r="E20" s="558">
        <v>7316</v>
      </c>
      <c r="F20" s="476">
        <v>361527</v>
      </c>
      <c r="G20" s="476">
        <v>62704</v>
      </c>
      <c r="H20" s="476">
        <v>62704</v>
      </c>
      <c r="I20" s="472">
        <f t="shared" si="0"/>
        <v>0</v>
      </c>
      <c r="J20" s="472"/>
      <c r="K20" s="473">
        <v>62704</v>
      </c>
      <c r="L20" s="475">
        <f t="shared" si="1"/>
        <v>0</v>
      </c>
      <c r="M20" s="473">
        <v>62704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/>
      <c r="C21" s="469">
        <f>IF(D12="","-",+C20+1)</f>
        <v>2010</v>
      </c>
      <c r="D21" s="476">
        <v>361337</v>
      </c>
      <c r="E21" s="477">
        <v>6923.9642857142853</v>
      </c>
      <c r="F21" s="476">
        <v>354413.03571428574</v>
      </c>
      <c r="G21" s="477">
        <v>58064.529944767884</v>
      </c>
      <c r="H21" s="478">
        <v>58064.529944767884</v>
      </c>
      <c r="I21" s="472">
        <f t="shared" si="0"/>
        <v>0</v>
      </c>
      <c r="J21" s="472"/>
      <c r="K21" s="537">
        <f t="shared" ref="K21:K26" si="4">G21</f>
        <v>58064.529944767884</v>
      </c>
      <c r="L21" s="475">
        <f t="shared" si="1"/>
        <v>0</v>
      </c>
      <c r="M21" s="537">
        <f t="shared" ref="M21:M26" si="5">H21</f>
        <v>58064.529944767884</v>
      </c>
      <c r="N21" s="475">
        <f t="shared" si="2"/>
        <v>0</v>
      </c>
      <c r="O21" s="475">
        <f t="shared" si="3"/>
        <v>0</v>
      </c>
      <c r="P21" s="241"/>
    </row>
    <row r="22" spans="2:16" ht="12.5">
      <c r="B22" s="160" t="str">
        <f t="shared" ref="B22:B72" si="6">IF(D22=F21,"","IU")</f>
        <v/>
      </c>
      <c r="C22" s="469">
        <f>IF(D11="","-",+C21+1)</f>
        <v>2011</v>
      </c>
      <c r="D22" s="476">
        <v>354413.03571428574</v>
      </c>
      <c r="E22" s="477">
        <v>7602.7843137254904</v>
      </c>
      <c r="F22" s="476">
        <v>346810.25140056026</v>
      </c>
      <c r="G22" s="477">
        <v>61893.620096156621</v>
      </c>
      <c r="H22" s="478">
        <v>61893.620096156621</v>
      </c>
      <c r="I22" s="472">
        <f t="shared" si="0"/>
        <v>0</v>
      </c>
      <c r="J22" s="472"/>
      <c r="K22" s="473">
        <f t="shared" si="4"/>
        <v>61893.620096156621</v>
      </c>
      <c r="L22" s="547">
        <f t="shared" si="1"/>
        <v>0</v>
      </c>
      <c r="M22" s="473">
        <f t="shared" si="5"/>
        <v>61893.620096156621</v>
      </c>
      <c r="N22" s="475">
        <f t="shared" si="2"/>
        <v>0</v>
      </c>
      <c r="O22" s="475">
        <f t="shared" si="3"/>
        <v>0</v>
      </c>
      <c r="P22" s="241"/>
    </row>
    <row r="23" spans="2:16" ht="12.5">
      <c r="B23" s="160" t="str">
        <f t="shared" si="6"/>
        <v/>
      </c>
      <c r="C23" s="469">
        <f>IF(D11="","-",+C22+1)</f>
        <v>2012</v>
      </c>
      <c r="D23" s="476">
        <v>346810.25140056026</v>
      </c>
      <c r="E23" s="477">
        <v>7456.5769230769229</v>
      </c>
      <c r="F23" s="476">
        <v>339353.67447748332</v>
      </c>
      <c r="G23" s="477">
        <v>54696.893588724874</v>
      </c>
      <c r="H23" s="478">
        <v>54696.893588724874</v>
      </c>
      <c r="I23" s="472">
        <f t="shared" si="0"/>
        <v>0</v>
      </c>
      <c r="J23" s="472"/>
      <c r="K23" s="473">
        <f t="shared" si="4"/>
        <v>54696.893588724874</v>
      </c>
      <c r="L23" s="547">
        <f t="shared" si="1"/>
        <v>0</v>
      </c>
      <c r="M23" s="473">
        <f t="shared" si="5"/>
        <v>54696.893588724874</v>
      </c>
      <c r="N23" s="475">
        <f t="shared" si="2"/>
        <v>0</v>
      </c>
      <c r="O23" s="475">
        <f t="shared" si="3"/>
        <v>0</v>
      </c>
      <c r="P23" s="241"/>
    </row>
    <row r="24" spans="2:16" ht="12.5">
      <c r="B24" s="160" t="str">
        <f t="shared" si="6"/>
        <v/>
      </c>
      <c r="C24" s="469">
        <f>IF(D11="","-",+C23+1)</f>
        <v>2013</v>
      </c>
      <c r="D24" s="476">
        <v>339353.67447748332</v>
      </c>
      <c r="E24" s="477">
        <v>7456.5769230769229</v>
      </c>
      <c r="F24" s="476">
        <v>331897.09755440638</v>
      </c>
      <c r="G24" s="477">
        <v>54853.72619811543</v>
      </c>
      <c r="H24" s="478">
        <v>54853.72619811543</v>
      </c>
      <c r="I24" s="472">
        <v>0</v>
      </c>
      <c r="J24" s="472"/>
      <c r="K24" s="473">
        <f t="shared" si="4"/>
        <v>54853.72619811543</v>
      </c>
      <c r="L24" s="547">
        <f t="shared" ref="L24:L29" si="7">IF(K24&lt;&gt;0,+G24-K24,0)</f>
        <v>0</v>
      </c>
      <c r="M24" s="473">
        <f t="shared" si="5"/>
        <v>54853.72619811543</v>
      </c>
      <c r="N24" s="475">
        <f t="shared" ref="N24:N29" si="8">IF(M24&lt;&gt;0,+H24-M24,0)</f>
        <v>0</v>
      </c>
      <c r="O24" s="475">
        <f t="shared" ref="O24:O29" si="9">+N24-L24</f>
        <v>0</v>
      </c>
      <c r="P24" s="241"/>
    </row>
    <row r="25" spans="2:16" ht="12.5">
      <c r="B25" s="160" t="str">
        <f t="shared" si="6"/>
        <v/>
      </c>
      <c r="C25" s="469">
        <f>IF(D11="","-",+C24+1)</f>
        <v>2014</v>
      </c>
      <c r="D25" s="476">
        <v>331897.09755440638</v>
      </c>
      <c r="E25" s="477">
        <v>7456.5769230769229</v>
      </c>
      <c r="F25" s="476">
        <v>324440.52063132945</v>
      </c>
      <c r="G25" s="477">
        <v>52118.659182147123</v>
      </c>
      <c r="H25" s="478">
        <v>52118.659182147123</v>
      </c>
      <c r="I25" s="472">
        <v>0</v>
      </c>
      <c r="J25" s="472"/>
      <c r="K25" s="473">
        <f t="shared" si="4"/>
        <v>52118.659182147123</v>
      </c>
      <c r="L25" s="547">
        <f t="shared" si="7"/>
        <v>0</v>
      </c>
      <c r="M25" s="473">
        <f t="shared" si="5"/>
        <v>52118.659182147123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2015</v>
      </c>
      <c r="D26" s="476">
        <v>324440.52063132945</v>
      </c>
      <c r="E26" s="477">
        <v>7456.5769230769229</v>
      </c>
      <c r="F26" s="476">
        <v>316983.94370825251</v>
      </c>
      <c r="G26" s="477">
        <v>51159.678410482353</v>
      </c>
      <c r="H26" s="478">
        <v>51159.678410482353</v>
      </c>
      <c r="I26" s="472">
        <v>0</v>
      </c>
      <c r="J26" s="472"/>
      <c r="K26" s="473">
        <f t="shared" si="4"/>
        <v>51159.678410482353</v>
      </c>
      <c r="L26" s="547">
        <f t="shared" si="7"/>
        <v>0</v>
      </c>
      <c r="M26" s="473">
        <f t="shared" si="5"/>
        <v>51159.678410482353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6"/>
        <v/>
      </c>
      <c r="C27" s="469">
        <f>IF(D11="","-",+C26+1)</f>
        <v>2016</v>
      </c>
      <c r="D27" s="476">
        <v>316983.94370825251</v>
      </c>
      <c r="E27" s="477">
        <v>7456.5769230769229</v>
      </c>
      <c r="F27" s="476">
        <v>309527.36678517557</v>
      </c>
      <c r="G27" s="477">
        <v>48054.073071867475</v>
      </c>
      <c r="H27" s="478">
        <v>48054.073071867475</v>
      </c>
      <c r="I27" s="472">
        <f t="shared" si="0"/>
        <v>0</v>
      </c>
      <c r="J27" s="472"/>
      <c r="K27" s="473">
        <f t="shared" ref="K27:K32" si="10">G27</f>
        <v>48054.073071867475</v>
      </c>
      <c r="L27" s="547">
        <f t="shared" si="7"/>
        <v>0</v>
      </c>
      <c r="M27" s="473">
        <f t="shared" ref="M27:M32" si="11">H27</f>
        <v>48054.073071867475</v>
      </c>
      <c r="N27" s="475">
        <f t="shared" si="8"/>
        <v>0</v>
      </c>
      <c r="O27" s="475">
        <f t="shared" si="9"/>
        <v>0</v>
      </c>
      <c r="P27" s="241"/>
    </row>
    <row r="28" spans="2:16" ht="12.5">
      <c r="B28" s="160" t="str">
        <f t="shared" si="6"/>
        <v/>
      </c>
      <c r="C28" s="469">
        <f>IF(D11="","-",+C27+1)</f>
        <v>2017</v>
      </c>
      <c r="D28" s="476">
        <v>309527.36678517557</v>
      </c>
      <c r="E28" s="477">
        <v>8429.173913043478</v>
      </c>
      <c r="F28" s="476">
        <v>301098.19287213212</v>
      </c>
      <c r="G28" s="477">
        <v>46747.12706959022</v>
      </c>
      <c r="H28" s="478">
        <v>46747.12706959022</v>
      </c>
      <c r="I28" s="472">
        <f t="shared" si="0"/>
        <v>0</v>
      </c>
      <c r="J28" s="472"/>
      <c r="K28" s="473">
        <f t="shared" si="10"/>
        <v>46747.12706959022</v>
      </c>
      <c r="L28" s="547">
        <f t="shared" si="7"/>
        <v>0</v>
      </c>
      <c r="M28" s="473">
        <f t="shared" si="11"/>
        <v>46747.12706959022</v>
      </c>
      <c r="N28" s="475">
        <f t="shared" si="8"/>
        <v>0</v>
      </c>
      <c r="O28" s="475">
        <f t="shared" si="9"/>
        <v>0</v>
      </c>
      <c r="P28" s="241"/>
    </row>
    <row r="29" spans="2:16" ht="12.5">
      <c r="B29" s="160" t="str">
        <f t="shared" si="6"/>
        <v/>
      </c>
      <c r="C29" s="469">
        <f>IF(D11="","-",+C28+1)</f>
        <v>2018</v>
      </c>
      <c r="D29" s="476">
        <v>301098.19287213212</v>
      </c>
      <c r="E29" s="477">
        <v>8616.4888888888891</v>
      </c>
      <c r="F29" s="476">
        <v>292481.70398324321</v>
      </c>
      <c r="G29" s="477">
        <v>44159.738725302646</v>
      </c>
      <c r="H29" s="478">
        <v>44159.738725302646</v>
      </c>
      <c r="I29" s="472">
        <f t="shared" si="0"/>
        <v>0</v>
      </c>
      <c r="J29" s="472"/>
      <c r="K29" s="473">
        <f t="shared" si="10"/>
        <v>44159.738725302646</v>
      </c>
      <c r="L29" s="547">
        <f t="shared" si="7"/>
        <v>0</v>
      </c>
      <c r="M29" s="473">
        <f t="shared" si="11"/>
        <v>44159.738725302646</v>
      </c>
      <c r="N29" s="475">
        <f t="shared" si="8"/>
        <v>0</v>
      </c>
      <c r="O29" s="475">
        <f t="shared" si="9"/>
        <v>0</v>
      </c>
      <c r="P29" s="241"/>
    </row>
    <row r="30" spans="2:16" ht="12.5">
      <c r="B30" s="160" t="str">
        <f t="shared" si="6"/>
        <v/>
      </c>
      <c r="C30" s="469">
        <f>IF(D11="","-",+C29+1)</f>
        <v>2019</v>
      </c>
      <c r="D30" s="476">
        <v>292481.70398324321</v>
      </c>
      <c r="E30" s="477">
        <v>9693.5499999999993</v>
      </c>
      <c r="F30" s="476">
        <v>282788.15398324322</v>
      </c>
      <c r="G30" s="477">
        <v>41809.897213779383</v>
      </c>
      <c r="H30" s="478">
        <v>41809.897213779383</v>
      </c>
      <c r="I30" s="472">
        <f t="shared" si="0"/>
        <v>0</v>
      </c>
      <c r="J30" s="472"/>
      <c r="K30" s="473">
        <f t="shared" si="10"/>
        <v>41809.897213779383</v>
      </c>
      <c r="L30" s="547">
        <f t="shared" ref="L30" si="12">IF(K30&lt;&gt;0,+G30-K30,0)</f>
        <v>0</v>
      </c>
      <c r="M30" s="473">
        <f t="shared" si="11"/>
        <v>41809.897213779383</v>
      </c>
      <c r="N30" s="475">
        <f t="shared" ref="N30" si="13">IF(M30&lt;&gt;0,+H30-M30,0)</f>
        <v>0</v>
      </c>
      <c r="O30" s="475">
        <f t="shared" ref="O30" si="14">+N30-L30</f>
        <v>0</v>
      </c>
      <c r="P30" s="241"/>
    </row>
    <row r="31" spans="2:16" ht="12.5">
      <c r="B31" s="160" t="str">
        <f t="shared" si="6"/>
        <v>IU</v>
      </c>
      <c r="C31" s="469">
        <f>IF(D11="","-",+C30+1)</f>
        <v>2020</v>
      </c>
      <c r="D31" s="476">
        <v>283865.21509435429</v>
      </c>
      <c r="E31" s="477">
        <v>9231.9523809523816</v>
      </c>
      <c r="F31" s="476">
        <v>274633.26271340193</v>
      </c>
      <c r="G31" s="477">
        <v>39392.204131039958</v>
      </c>
      <c r="H31" s="478">
        <v>39392.204131039958</v>
      </c>
      <c r="I31" s="472">
        <f t="shared" si="0"/>
        <v>0</v>
      </c>
      <c r="J31" s="472"/>
      <c r="K31" s="473">
        <f t="shared" si="10"/>
        <v>39392.204131039958</v>
      </c>
      <c r="L31" s="547">
        <f t="shared" ref="L31" si="15">IF(K31&lt;&gt;0,+G31-K31,0)</f>
        <v>0</v>
      </c>
      <c r="M31" s="473">
        <f t="shared" si="11"/>
        <v>39392.204131039958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6"/>
        <v>IU</v>
      </c>
      <c r="C32" s="469">
        <f>IF(D11="","-",+C31+1)</f>
        <v>2021</v>
      </c>
      <c r="D32" s="476">
        <v>273556.20160229085</v>
      </c>
      <c r="E32" s="477">
        <v>9017.2558139534885</v>
      </c>
      <c r="F32" s="476">
        <v>264538.94578833738</v>
      </c>
      <c r="G32" s="477">
        <v>37540.281940264002</v>
      </c>
      <c r="H32" s="478">
        <v>37540.281940264002</v>
      </c>
      <c r="I32" s="472">
        <f t="shared" si="0"/>
        <v>0</v>
      </c>
      <c r="J32" s="472"/>
      <c r="K32" s="473">
        <f t="shared" si="10"/>
        <v>37540.281940264002</v>
      </c>
      <c r="L32" s="547">
        <f t="shared" ref="L32" si="16">IF(K32&lt;&gt;0,+G32-K32,0)</f>
        <v>0</v>
      </c>
      <c r="M32" s="473">
        <f t="shared" si="11"/>
        <v>37540.281940264002</v>
      </c>
      <c r="N32" s="475">
        <f t="shared" si="2"/>
        <v>0</v>
      </c>
      <c r="O32" s="475">
        <f t="shared" si="3"/>
        <v>0</v>
      </c>
      <c r="P32" s="241"/>
    </row>
    <row r="33" spans="2:16" ht="12.5">
      <c r="B33" s="160" t="str">
        <f t="shared" si="6"/>
        <v/>
      </c>
      <c r="C33" s="469">
        <f>IF(D11="","-",+C32+1)</f>
        <v>2022</v>
      </c>
      <c r="D33" s="476">
        <v>264538.94578833738</v>
      </c>
      <c r="E33" s="477">
        <v>9231.9523809523816</v>
      </c>
      <c r="F33" s="476">
        <v>255306.99340738502</v>
      </c>
      <c r="G33" s="477">
        <v>36756.917403506392</v>
      </c>
      <c r="H33" s="478">
        <v>36756.917403506392</v>
      </c>
      <c r="I33" s="472">
        <f t="shared" si="0"/>
        <v>0</v>
      </c>
      <c r="J33" s="472"/>
      <c r="K33" s="473">
        <f t="shared" ref="K33" si="17">G33</f>
        <v>36756.917403506392</v>
      </c>
      <c r="L33" s="547">
        <f t="shared" ref="L33" si="18">IF(K33&lt;&gt;0,+G33-K33,0)</f>
        <v>0</v>
      </c>
      <c r="M33" s="473">
        <f t="shared" ref="M33" si="19">H33</f>
        <v>36756.917403506392</v>
      </c>
      <c r="N33" s="475">
        <f t="shared" si="2"/>
        <v>0</v>
      </c>
      <c r="O33" s="475">
        <f t="shared" si="3"/>
        <v>0</v>
      </c>
      <c r="P33" s="241"/>
    </row>
    <row r="34" spans="2:16" ht="12.5">
      <c r="B34" s="160" t="str">
        <f t="shared" si="6"/>
        <v/>
      </c>
      <c r="C34" s="469">
        <f>IF(D11="","-",+C33+1)</f>
        <v>2023</v>
      </c>
      <c r="D34" s="476">
        <v>255306.99340738502</v>
      </c>
      <c r="E34" s="477">
        <v>9942.1025641025644</v>
      </c>
      <c r="F34" s="476">
        <v>245364.89084328245</v>
      </c>
      <c r="G34" s="477">
        <v>39228.598463176066</v>
      </c>
      <c r="H34" s="478">
        <v>39228.598463176066</v>
      </c>
      <c r="I34" s="472">
        <f t="shared" si="0"/>
        <v>0</v>
      </c>
      <c r="J34" s="472"/>
      <c r="K34" s="473">
        <f t="shared" ref="K34" si="20">G34</f>
        <v>39228.598463176066</v>
      </c>
      <c r="L34" s="547">
        <f t="shared" ref="L34" si="21">IF(K34&lt;&gt;0,+G34-K34,0)</f>
        <v>0</v>
      </c>
      <c r="M34" s="473">
        <f t="shared" ref="M34" si="22">H34</f>
        <v>39228.598463176066</v>
      </c>
      <c r="N34" s="475">
        <f t="shared" si="2"/>
        <v>0</v>
      </c>
      <c r="O34" s="475">
        <f t="shared" si="3"/>
        <v>0</v>
      </c>
      <c r="P34" s="241"/>
    </row>
    <row r="35" spans="2:16" ht="12.5">
      <c r="B35" s="160" t="str">
        <f t="shared" si="6"/>
        <v/>
      </c>
      <c r="C35" s="469">
        <f>IF(D11="","-",+C34+1)</f>
        <v>2024</v>
      </c>
      <c r="D35" s="476">
        <v>245364.89084328245</v>
      </c>
      <c r="E35" s="477">
        <v>9942.1025641025644</v>
      </c>
      <c r="F35" s="476">
        <v>235422.78827917989</v>
      </c>
      <c r="G35" s="477">
        <v>38635.258998489306</v>
      </c>
      <c r="H35" s="478">
        <v>38635.258998489306</v>
      </c>
      <c r="I35" s="472">
        <f t="shared" si="0"/>
        <v>0</v>
      </c>
      <c r="J35" s="472"/>
      <c r="K35" s="473">
        <f t="shared" ref="K35" si="23">G35</f>
        <v>38635.258998489306</v>
      </c>
      <c r="L35" s="547">
        <f t="shared" ref="L35" si="24">IF(K35&lt;&gt;0,+G35-K35,0)</f>
        <v>0</v>
      </c>
      <c r="M35" s="473">
        <f t="shared" ref="M35" si="25">H35</f>
        <v>38635.258998489306</v>
      </c>
      <c r="N35" s="475">
        <f t="shared" ref="N35" si="26">IF(M35&lt;&gt;0,+H35-M35,0)</f>
        <v>0</v>
      </c>
      <c r="O35" s="475">
        <f t="shared" ref="O35" si="27">+N35-L35</f>
        <v>0</v>
      </c>
      <c r="P35" s="241"/>
    </row>
    <row r="36" spans="2:16" ht="12.5">
      <c r="B36" s="160" t="str">
        <f t="shared" si="6"/>
        <v/>
      </c>
      <c r="C36" s="469">
        <f>IF(D11="","-",+C35+1)</f>
        <v>2025</v>
      </c>
      <c r="D36" s="482">
        <f>IF(F35+SUM(E$17:E35)=D$10,F35,D$10-SUM(E$17:E35))</f>
        <v>235422.78827917989</v>
      </c>
      <c r="E36" s="481">
        <f>IF(+I14&lt;F35,I14,D36)</f>
        <v>10203.736842105263</v>
      </c>
      <c r="F36" s="482">
        <f t="shared" ref="F36:F72" si="28">+D36-E36</f>
        <v>225219.05143707464</v>
      </c>
      <c r="G36" s="483">
        <f t="shared" ref="G36:G72" si="29">(D36+F36)/2*I$12+E36</f>
        <v>36400.481470272149</v>
      </c>
      <c r="H36" s="452">
        <f t="shared" ref="H36:H72" si="30">+(D36+F36)/2*I$13+E36</f>
        <v>36400.481470272149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6"/>
        <v/>
      </c>
      <c r="C37" s="469">
        <f>IF(D11="","-",+C36+1)</f>
        <v>2026</v>
      </c>
      <c r="D37" s="482">
        <f>IF(F36+SUM(E$17:E36)=D$10,F36,D$10-SUM(E$17:E36))</f>
        <v>225219.05143707464</v>
      </c>
      <c r="E37" s="481">
        <f>IF(+I14&lt;F36,I14,D37)</f>
        <v>10203.736842105263</v>
      </c>
      <c r="F37" s="482">
        <f t="shared" si="28"/>
        <v>215015.31459496939</v>
      </c>
      <c r="G37" s="483">
        <f t="shared" si="29"/>
        <v>35239.906527838335</v>
      </c>
      <c r="H37" s="452">
        <f t="shared" si="30"/>
        <v>35239.906527838335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6"/>
        <v/>
      </c>
      <c r="C38" s="469">
        <f>IF(D11="","-",+C37+1)</f>
        <v>2027</v>
      </c>
      <c r="D38" s="482">
        <f>IF(F37+SUM(E$17:E37)=D$10,F37,D$10-SUM(E$17:E37))</f>
        <v>215015.31459496939</v>
      </c>
      <c r="E38" s="481">
        <f>IF(+I14&lt;F37,I14,D38)</f>
        <v>10203.736842105263</v>
      </c>
      <c r="F38" s="482">
        <f t="shared" si="28"/>
        <v>204811.57775286413</v>
      </c>
      <c r="G38" s="483">
        <f t="shared" si="29"/>
        <v>34079.331585404514</v>
      </c>
      <c r="H38" s="452">
        <f t="shared" si="30"/>
        <v>34079.331585404514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6"/>
        <v/>
      </c>
      <c r="C39" s="469">
        <f>IF(D11="","-",+C38+1)</f>
        <v>2028</v>
      </c>
      <c r="D39" s="482">
        <f>IF(F38+SUM(E$17:E38)=D$10,F38,D$10-SUM(E$17:E38))</f>
        <v>204811.57775286413</v>
      </c>
      <c r="E39" s="481">
        <f>IF(+I14&lt;F38,I14,D39)</f>
        <v>10203.736842105263</v>
      </c>
      <c r="F39" s="482">
        <f t="shared" si="28"/>
        <v>194607.84091075888</v>
      </c>
      <c r="G39" s="483">
        <f t="shared" si="29"/>
        <v>32918.756642970708</v>
      </c>
      <c r="H39" s="452">
        <f t="shared" si="30"/>
        <v>32918.756642970708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6"/>
        <v/>
      </c>
      <c r="C40" s="469">
        <f>IF(D11="","-",+C39+1)</f>
        <v>2029</v>
      </c>
      <c r="D40" s="482">
        <f>IF(F39+SUM(E$17:E39)=D$10,F39,D$10-SUM(E$17:E39))</f>
        <v>194607.84091075888</v>
      </c>
      <c r="E40" s="481">
        <f>IF(+I14&lt;F39,I14,D40)</f>
        <v>10203.736842105263</v>
      </c>
      <c r="F40" s="482">
        <f t="shared" si="28"/>
        <v>184404.10406865363</v>
      </c>
      <c r="G40" s="483">
        <f t="shared" si="29"/>
        <v>31758.181700536887</v>
      </c>
      <c r="H40" s="452">
        <f t="shared" si="30"/>
        <v>31758.181700536887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6"/>
        <v/>
      </c>
      <c r="C41" s="469">
        <f>IF(D11="","-",+C40+1)</f>
        <v>2030</v>
      </c>
      <c r="D41" s="482">
        <f>IF(F40+SUM(E$17:E40)=D$10,F40,D$10-SUM(E$17:E40))</f>
        <v>184404.10406865363</v>
      </c>
      <c r="E41" s="481">
        <f>IF(+I14&lt;F40,I14,D41)</f>
        <v>10203.736842105263</v>
      </c>
      <c r="F41" s="482">
        <f t="shared" si="28"/>
        <v>174200.36722654838</v>
      </c>
      <c r="G41" s="483">
        <f t="shared" si="29"/>
        <v>30597.606758103073</v>
      </c>
      <c r="H41" s="452">
        <f t="shared" si="30"/>
        <v>30597.606758103073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6"/>
        <v/>
      </c>
      <c r="C42" s="469">
        <f>IF(D11="","-",+C41+1)</f>
        <v>2031</v>
      </c>
      <c r="D42" s="482">
        <f>IF(F41+SUM(E$17:E41)=D$10,F41,D$10-SUM(E$17:E41))</f>
        <v>174200.36722654838</v>
      </c>
      <c r="E42" s="481">
        <f>IF(+I14&lt;F41,I14,D42)</f>
        <v>10203.736842105263</v>
      </c>
      <c r="F42" s="482">
        <f t="shared" si="28"/>
        <v>163996.63038444312</v>
      </c>
      <c r="G42" s="483">
        <f t="shared" si="29"/>
        <v>29437.031815669256</v>
      </c>
      <c r="H42" s="452">
        <f t="shared" si="30"/>
        <v>29437.031815669256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6"/>
        <v/>
      </c>
      <c r="C43" s="469">
        <f>IF(D11="","-",+C42+1)</f>
        <v>2032</v>
      </c>
      <c r="D43" s="482">
        <f>IF(F42+SUM(E$17:E42)=D$10,F42,D$10-SUM(E$17:E42))</f>
        <v>163996.63038444312</v>
      </c>
      <c r="E43" s="481">
        <f>IF(+I14&lt;F42,I14,D43)</f>
        <v>10203.736842105263</v>
      </c>
      <c r="F43" s="482">
        <f t="shared" si="28"/>
        <v>153792.89354233787</v>
      </c>
      <c r="G43" s="483">
        <f t="shared" si="29"/>
        <v>28276.456873235446</v>
      </c>
      <c r="H43" s="452">
        <f t="shared" si="30"/>
        <v>28276.456873235446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6"/>
        <v/>
      </c>
      <c r="C44" s="469">
        <f>IF(D11="","-",+C43+1)</f>
        <v>2033</v>
      </c>
      <c r="D44" s="482">
        <f>IF(F43+SUM(E$17:E43)=D$10,F43,D$10-SUM(E$17:E43))</f>
        <v>153792.89354233787</v>
      </c>
      <c r="E44" s="481">
        <f>IF(+I14&lt;F43,I14,D44)</f>
        <v>10203.736842105263</v>
      </c>
      <c r="F44" s="482">
        <f t="shared" si="28"/>
        <v>143589.15670023262</v>
      </c>
      <c r="G44" s="483">
        <f t="shared" si="29"/>
        <v>27115.881930801628</v>
      </c>
      <c r="H44" s="452">
        <f t="shared" si="30"/>
        <v>27115.881930801628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6"/>
        <v/>
      </c>
      <c r="C45" s="469">
        <f>IF(D11="","-",+C44+1)</f>
        <v>2034</v>
      </c>
      <c r="D45" s="482">
        <f>IF(F44+SUM(E$17:E44)=D$10,F44,D$10-SUM(E$17:E44))</f>
        <v>143589.15670023262</v>
      </c>
      <c r="E45" s="481">
        <f>IF(+I14&lt;F44,I14,D45)</f>
        <v>10203.736842105263</v>
      </c>
      <c r="F45" s="482">
        <f t="shared" si="28"/>
        <v>133385.41985812737</v>
      </c>
      <c r="G45" s="483">
        <f t="shared" si="29"/>
        <v>25955.306988367818</v>
      </c>
      <c r="H45" s="452">
        <f t="shared" si="30"/>
        <v>25955.306988367818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6"/>
        <v/>
      </c>
      <c r="C46" s="469">
        <f>IF(D11="","-",+C45+1)</f>
        <v>2035</v>
      </c>
      <c r="D46" s="482">
        <f>IF(F45+SUM(E$17:E45)=D$10,F45,D$10-SUM(E$17:E45))</f>
        <v>133385.41985812737</v>
      </c>
      <c r="E46" s="481">
        <f>IF(+I14&lt;F45,I14,D46)</f>
        <v>10203.736842105263</v>
      </c>
      <c r="F46" s="482">
        <f t="shared" si="28"/>
        <v>123181.6830160221</v>
      </c>
      <c r="G46" s="483">
        <f t="shared" si="29"/>
        <v>24794.732045933997</v>
      </c>
      <c r="H46" s="452">
        <f t="shared" si="30"/>
        <v>24794.732045933997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6"/>
        <v/>
      </c>
      <c r="C47" s="469">
        <f>IF(D11="","-",+C46+1)</f>
        <v>2036</v>
      </c>
      <c r="D47" s="482">
        <f>IF(F46+SUM(E$17:E46)=D$10,F46,D$10-SUM(E$17:E46))</f>
        <v>123181.6830160221</v>
      </c>
      <c r="E47" s="481">
        <f>IF(+I14&lt;F46,I14,D47)</f>
        <v>10203.736842105263</v>
      </c>
      <c r="F47" s="482">
        <f t="shared" si="28"/>
        <v>112977.94617391683</v>
      </c>
      <c r="G47" s="483">
        <f t="shared" si="29"/>
        <v>23634.157103500183</v>
      </c>
      <c r="H47" s="452">
        <f t="shared" si="30"/>
        <v>23634.157103500183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6"/>
        <v/>
      </c>
      <c r="C48" s="469">
        <f>IF(D11="","-",+C47+1)</f>
        <v>2037</v>
      </c>
      <c r="D48" s="482">
        <f>IF(F47+SUM(E$17:E47)=D$10,F47,D$10-SUM(E$17:E47))</f>
        <v>112977.94617391683</v>
      </c>
      <c r="E48" s="481">
        <f>IF(+I14&lt;F47,I14,D48)</f>
        <v>10203.736842105263</v>
      </c>
      <c r="F48" s="482">
        <f t="shared" si="28"/>
        <v>102774.20933181157</v>
      </c>
      <c r="G48" s="483">
        <f t="shared" si="29"/>
        <v>22473.582161066366</v>
      </c>
      <c r="H48" s="452">
        <f t="shared" si="30"/>
        <v>22473.582161066366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6"/>
        <v/>
      </c>
      <c r="C49" s="469">
        <f>IF(D11="","-",+C48+1)</f>
        <v>2038</v>
      </c>
      <c r="D49" s="482">
        <f>IF(F48+SUM(E$17:E48)=D$10,F48,D$10-SUM(E$17:E48))</f>
        <v>102774.20933181157</v>
      </c>
      <c r="E49" s="481">
        <f>IF(+I14&lt;F48,I14,D49)</f>
        <v>10203.736842105263</v>
      </c>
      <c r="F49" s="482">
        <f t="shared" si="28"/>
        <v>92570.472489706299</v>
      </c>
      <c r="G49" s="483">
        <f t="shared" si="29"/>
        <v>21313.007218632549</v>
      </c>
      <c r="H49" s="452">
        <f t="shared" si="30"/>
        <v>21313.007218632549</v>
      </c>
      <c r="I49" s="472">
        <f t="shared" ref="I49:I72" si="31">H49-G49</f>
        <v>0</v>
      </c>
      <c r="J49" s="472"/>
      <c r="K49" s="484"/>
      <c r="L49" s="475">
        <f t="shared" ref="L49:L72" si="32">IF(K49&lt;&gt;0,+G49-K49,0)</f>
        <v>0</v>
      </c>
      <c r="M49" s="484"/>
      <c r="N49" s="475">
        <f t="shared" ref="N49:N72" si="33">IF(M49&lt;&gt;0,+H49-M49,0)</f>
        <v>0</v>
      </c>
      <c r="O49" s="475">
        <f t="shared" ref="O49:O72" si="34">+N49-L49</f>
        <v>0</v>
      </c>
      <c r="P49" s="241"/>
    </row>
    <row r="50" spans="2:16" ht="12.5">
      <c r="B50" s="160" t="str">
        <f t="shared" si="6"/>
        <v/>
      </c>
      <c r="C50" s="469">
        <f>IF(D11="","-",+C49+1)</f>
        <v>2039</v>
      </c>
      <c r="D50" s="482">
        <f>IF(F49+SUM(E$17:E49)=D$10,F49,D$10-SUM(E$17:E49))</f>
        <v>92570.472489706299</v>
      </c>
      <c r="E50" s="481">
        <f>IF(+I14&lt;F49,I14,D50)</f>
        <v>10203.736842105263</v>
      </c>
      <c r="F50" s="482">
        <f t="shared" si="28"/>
        <v>82366.735647601032</v>
      </c>
      <c r="G50" s="483">
        <f t="shared" si="29"/>
        <v>20152.432276198735</v>
      </c>
      <c r="H50" s="452">
        <f t="shared" si="30"/>
        <v>20152.432276198735</v>
      </c>
      <c r="I50" s="472">
        <f t="shared" si="31"/>
        <v>0</v>
      </c>
      <c r="J50" s="472"/>
      <c r="K50" s="484"/>
      <c r="L50" s="475">
        <f t="shared" si="32"/>
        <v>0</v>
      </c>
      <c r="M50" s="484"/>
      <c r="N50" s="475">
        <f t="shared" si="33"/>
        <v>0</v>
      </c>
      <c r="O50" s="475">
        <f t="shared" si="34"/>
        <v>0</v>
      </c>
      <c r="P50" s="241"/>
    </row>
    <row r="51" spans="2:16" ht="12.5">
      <c r="B51" s="160" t="str">
        <f t="shared" si="6"/>
        <v/>
      </c>
      <c r="C51" s="469">
        <f>IF(D11="","-",+C50+1)</f>
        <v>2040</v>
      </c>
      <c r="D51" s="482">
        <f>IF(F50+SUM(E$17:E50)=D$10,F50,D$10-SUM(E$17:E50))</f>
        <v>82366.735647601032</v>
      </c>
      <c r="E51" s="481">
        <f>IF(+I14&lt;F50,I14,D51)</f>
        <v>10203.736842105263</v>
      </c>
      <c r="F51" s="482">
        <f t="shared" si="28"/>
        <v>72162.998805495765</v>
      </c>
      <c r="G51" s="483">
        <f t="shared" si="29"/>
        <v>18991.857333764918</v>
      </c>
      <c r="H51" s="452">
        <f t="shared" si="30"/>
        <v>18991.857333764918</v>
      </c>
      <c r="I51" s="472">
        <f t="shared" si="31"/>
        <v>0</v>
      </c>
      <c r="J51" s="472"/>
      <c r="K51" s="484"/>
      <c r="L51" s="475">
        <f t="shared" si="32"/>
        <v>0</v>
      </c>
      <c r="M51" s="484"/>
      <c r="N51" s="475">
        <f t="shared" si="33"/>
        <v>0</v>
      </c>
      <c r="O51" s="475">
        <f t="shared" si="34"/>
        <v>0</v>
      </c>
      <c r="P51" s="241"/>
    </row>
    <row r="52" spans="2:16" ht="12.5">
      <c r="B52" s="160" t="str">
        <f t="shared" si="6"/>
        <v/>
      </c>
      <c r="C52" s="469">
        <f>IF(D11="","-",+C51+1)</f>
        <v>2041</v>
      </c>
      <c r="D52" s="482">
        <f>IF(F51+SUM(E$17:E51)=D$10,F51,D$10-SUM(E$17:E51))</f>
        <v>72162.998805495765</v>
      </c>
      <c r="E52" s="481">
        <f>IF(+I14&lt;F51,I14,D52)</f>
        <v>10203.736842105263</v>
      </c>
      <c r="F52" s="482">
        <f t="shared" si="28"/>
        <v>61959.261963390498</v>
      </c>
      <c r="G52" s="483">
        <f t="shared" si="29"/>
        <v>17831.2823913311</v>
      </c>
      <c r="H52" s="452">
        <f t="shared" si="30"/>
        <v>17831.2823913311</v>
      </c>
      <c r="I52" s="472">
        <f t="shared" si="31"/>
        <v>0</v>
      </c>
      <c r="J52" s="472"/>
      <c r="K52" s="484"/>
      <c r="L52" s="475">
        <f t="shared" si="32"/>
        <v>0</v>
      </c>
      <c r="M52" s="484"/>
      <c r="N52" s="475">
        <f t="shared" si="33"/>
        <v>0</v>
      </c>
      <c r="O52" s="475">
        <f t="shared" si="34"/>
        <v>0</v>
      </c>
      <c r="P52" s="241"/>
    </row>
    <row r="53" spans="2:16" ht="12.5">
      <c r="B53" s="160" t="str">
        <f t="shared" si="6"/>
        <v/>
      </c>
      <c r="C53" s="469">
        <f>IF(D11="","-",+C52+1)</f>
        <v>2042</v>
      </c>
      <c r="D53" s="482">
        <f>IF(F52+SUM(E$17:E52)=D$10,F52,D$10-SUM(E$17:E52))</f>
        <v>61959.261963390498</v>
      </c>
      <c r="E53" s="481">
        <f>IF(+I14&lt;F52,I14,D53)</f>
        <v>10203.736842105263</v>
      </c>
      <c r="F53" s="482">
        <f t="shared" si="28"/>
        <v>51755.525121285231</v>
      </c>
      <c r="G53" s="483">
        <f t="shared" si="29"/>
        <v>16670.707448897287</v>
      </c>
      <c r="H53" s="452">
        <f t="shared" si="30"/>
        <v>16670.707448897287</v>
      </c>
      <c r="I53" s="472">
        <f t="shared" si="31"/>
        <v>0</v>
      </c>
      <c r="J53" s="472"/>
      <c r="K53" s="484"/>
      <c r="L53" s="475">
        <f t="shared" si="32"/>
        <v>0</v>
      </c>
      <c r="M53" s="484"/>
      <c r="N53" s="475">
        <f t="shared" si="33"/>
        <v>0</v>
      </c>
      <c r="O53" s="475">
        <f t="shared" si="34"/>
        <v>0</v>
      </c>
      <c r="P53" s="241"/>
    </row>
    <row r="54" spans="2:16" ht="12.5">
      <c r="B54" s="160" t="str">
        <f t="shared" si="6"/>
        <v/>
      </c>
      <c r="C54" s="469">
        <f>IF(D11="","-",+C53+1)</f>
        <v>2043</v>
      </c>
      <c r="D54" s="482">
        <f>IF(F53+SUM(E$17:E53)=D$10,F53,D$10-SUM(E$17:E53))</f>
        <v>51755.525121285231</v>
      </c>
      <c r="E54" s="481">
        <f>IF(+I14&lt;F53,I14,D54)</f>
        <v>10203.736842105263</v>
      </c>
      <c r="F54" s="482">
        <f t="shared" si="28"/>
        <v>41551.788279179964</v>
      </c>
      <c r="G54" s="483">
        <f t="shared" si="29"/>
        <v>15510.132506463469</v>
      </c>
      <c r="H54" s="452">
        <f t="shared" si="30"/>
        <v>15510.132506463469</v>
      </c>
      <c r="I54" s="472">
        <f t="shared" si="31"/>
        <v>0</v>
      </c>
      <c r="J54" s="472"/>
      <c r="K54" s="484"/>
      <c r="L54" s="475">
        <f t="shared" si="32"/>
        <v>0</v>
      </c>
      <c r="M54" s="484"/>
      <c r="N54" s="475">
        <f t="shared" si="33"/>
        <v>0</v>
      </c>
      <c r="O54" s="475">
        <f t="shared" si="34"/>
        <v>0</v>
      </c>
      <c r="P54" s="241"/>
    </row>
    <row r="55" spans="2:16" ht="12.5">
      <c r="B55" s="160" t="str">
        <f t="shared" si="6"/>
        <v/>
      </c>
      <c r="C55" s="469">
        <f>IF(D11="","-",+C54+1)</f>
        <v>2044</v>
      </c>
      <c r="D55" s="482">
        <f>IF(F54+SUM(E$17:E54)=D$10,F54,D$10-SUM(E$17:E54))</f>
        <v>41551.788279179964</v>
      </c>
      <c r="E55" s="481">
        <f>IF(+I14&lt;F54,I14,D55)</f>
        <v>10203.736842105263</v>
      </c>
      <c r="F55" s="482">
        <f t="shared" si="28"/>
        <v>31348.051437074701</v>
      </c>
      <c r="G55" s="483">
        <f t="shared" si="29"/>
        <v>14349.557564029652</v>
      </c>
      <c r="H55" s="452">
        <f t="shared" si="30"/>
        <v>14349.557564029652</v>
      </c>
      <c r="I55" s="472">
        <f t="shared" si="31"/>
        <v>0</v>
      </c>
      <c r="J55" s="472"/>
      <c r="K55" s="484"/>
      <c r="L55" s="475">
        <f t="shared" si="32"/>
        <v>0</v>
      </c>
      <c r="M55" s="484"/>
      <c r="N55" s="475">
        <f t="shared" si="33"/>
        <v>0</v>
      </c>
      <c r="O55" s="475">
        <f t="shared" si="34"/>
        <v>0</v>
      </c>
      <c r="P55" s="241"/>
    </row>
    <row r="56" spans="2:16" ht="12.5">
      <c r="B56" s="160" t="str">
        <f t="shared" si="6"/>
        <v/>
      </c>
      <c r="C56" s="469">
        <f>IF(D11="","-",+C55+1)</f>
        <v>2045</v>
      </c>
      <c r="D56" s="482">
        <f>IF(F55+SUM(E$17:E55)=D$10,F55,D$10-SUM(E$17:E55))</f>
        <v>31348.051437074701</v>
      </c>
      <c r="E56" s="481">
        <f>IF(+I14&lt;F55,I14,D56)</f>
        <v>10203.736842105263</v>
      </c>
      <c r="F56" s="482">
        <f t="shared" si="28"/>
        <v>21144.314594969437</v>
      </c>
      <c r="G56" s="483">
        <f t="shared" si="29"/>
        <v>13188.982621595836</v>
      </c>
      <c r="H56" s="452">
        <f t="shared" si="30"/>
        <v>13188.982621595836</v>
      </c>
      <c r="I56" s="472">
        <f t="shared" si="31"/>
        <v>0</v>
      </c>
      <c r="J56" s="472"/>
      <c r="K56" s="484"/>
      <c r="L56" s="475">
        <f t="shared" si="32"/>
        <v>0</v>
      </c>
      <c r="M56" s="484"/>
      <c r="N56" s="475">
        <f t="shared" si="33"/>
        <v>0</v>
      </c>
      <c r="O56" s="475">
        <f t="shared" si="34"/>
        <v>0</v>
      </c>
      <c r="P56" s="241"/>
    </row>
    <row r="57" spans="2:16" ht="12.5">
      <c r="B57" s="160" t="str">
        <f t="shared" si="6"/>
        <v/>
      </c>
      <c r="C57" s="469">
        <f>IF(D11="","-",+C56+1)</f>
        <v>2046</v>
      </c>
      <c r="D57" s="482">
        <f>IF(F56+SUM(E$17:E56)=D$10,F56,D$10-SUM(E$17:E56))</f>
        <v>21144.314594969437</v>
      </c>
      <c r="E57" s="481">
        <f>IF(+I14&lt;F56,I14,D57)</f>
        <v>10203.736842105263</v>
      </c>
      <c r="F57" s="482">
        <f t="shared" si="28"/>
        <v>10940.577752864174</v>
      </c>
      <c r="G57" s="483">
        <f t="shared" si="29"/>
        <v>12028.407679162021</v>
      </c>
      <c r="H57" s="452">
        <f t="shared" si="30"/>
        <v>12028.407679162021</v>
      </c>
      <c r="I57" s="472">
        <f t="shared" si="31"/>
        <v>0</v>
      </c>
      <c r="J57" s="472"/>
      <c r="K57" s="484"/>
      <c r="L57" s="475">
        <f t="shared" si="32"/>
        <v>0</v>
      </c>
      <c r="M57" s="484"/>
      <c r="N57" s="475">
        <f t="shared" si="33"/>
        <v>0</v>
      </c>
      <c r="O57" s="475">
        <f t="shared" si="34"/>
        <v>0</v>
      </c>
      <c r="P57" s="241"/>
    </row>
    <row r="58" spans="2:16" ht="12.5">
      <c r="B58" s="160" t="str">
        <f t="shared" si="6"/>
        <v/>
      </c>
      <c r="C58" s="469">
        <f>IF(D11="","-",+C57+1)</f>
        <v>2047</v>
      </c>
      <c r="D58" s="482">
        <f>IF(F57+SUM(E$17:E57)=D$10,F57,D$10-SUM(E$17:E57))</f>
        <v>10940.577752864174</v>
      </c>
      <c r="E58" s="481">
        <f>IF(+I14&lt;F57,I14,D58)</f>
        <v>10203.736842105263</v>
      </c>
      <c r="F58" s="482">
        <f t="shared" si="28"/>
        <v>736.84091075891047</v>
      </c>
      <c r="G58" s="483">
        <f t="shared" si="29"/>
        <v>10867.832736728205</v>
      </c>
      <c r="H58" s="452">
        <f t="shared" si="30"/>
        <v>10867.832736728205</v>
      </c>
      <c r="I58" s="472">
        <f t="shared" si="31"/>
        <v>0</v>
      </c>
      <c r="J58" s="472"/>
      <c r="K58" s="484"/>
      <c r="L58" s="475">
        <f t="shared" si="32"/>
        <v>0</v>
      </c>
      <c r="M58" s="484"/>
      <c r="N58" s="475">
        <f t="shared" si="33"/>
        <v>0</v>
      </c>
      <c r="O58" s="475">
        <f t="shared" si="34"/>
        <v>0</v>
      </c>
      <c r="P58" s="241"/>
    </row>
    <row r="59" spans="2:16" ht="12.5">
      <c r="B59" s="160" t="str">
        <f t="shared" si="6"/>
        <v/>
      </c>
      <c r="C59" s="469">
        <f>IF(D11="","-",+C58+1)</f>
        <v>2048</v>
      </c>
      <c r="D59" s="482">
        <f>IF(F58+SUM(E$17:E58)=D$10,F58,D$10-SUM(E$17:E58))</f>
        <v>736.84091075891047</v>
      </c>
      <c r="E59" s="481">
        <f>IF(+I14&lt;F58,I14,D59)</f>
        <v>736.84091075891047</v>
      </c>
      <c r="F59" s="482">
        <f t="shared" si="28"/>
        <v>0</v>
      </c>
      <c r="G59" s="483">
        <f t="shared" si="29"/>
        <v>778.74512246192728</v>
      </c>
      <c r="H59" s="452">
        <f t="shared" si="30"/>
        <v>778.74512246192728</v>
      </c>
      <c r="I59" s="472">
        <f t="shared" si="31"/>
        <v>0</v>
      </c>
      <c r="J59" s="472"/>
      <c r="K59" s="484"/>
      <c r="L59" s="475">
        <f t="shared" si="32"/>
        <v>0</v>
      </c>
      <c r="M59" s="484"/>
      <c r="N59" s="475">
        <f t="shared" si="33"/>
        <v>0</v>
      </c>
      <c r="O59" s="475">
        <f t="shared" si="34"/>
        <v>0</v>
      </c>
      <c r="P59" s="241"/>
    </row>
    <row r="60" spans="2:16" ht="12.5">
      <c r="B60" s="160" t="str">
        <f t="shared" si="6"/>
        <v/>
      </c>
      <c r="C60" s="469">
        <f>IF(D11="","-",+C59+1)</f>
        <v>2049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28"/>
        <v>0</v>
      </c>
      <c r="G60" s="483">
        <f t="shared" si="29"/>
        <v>0</v>
      </c>
      <c r="H60" s="452">
        <f t="shared" si="30"/>
        <v>0</v>
      </c>
      <c r="I60" s="472">
        <f t="shared" si="31"/>
        <v>0</v>
      </c>
      <c r="J60" s="472"/>
      <c r="K60" s="484"/>
      <c r="L60" s="475">
        <f t="shared" si="32"/>
        <v>0</v>
      </c>
      <c r="M60" s="484"/>
      <c r="N60" s="475">
        <f t="shared" si="33"/>
        <v>0</v>
      </c>
      <c r="O60" s="475">
        <f t="shared" si="34"/>
        <v>0</v>
      </c>
      <c r="P60" s="241"/>
    </row>
    <row r="61" spans="2:16" ht="12.5">
      <c r="B61" s="160" t="str">
        <f t="shared" si="6"/>
        <v/>
      </c>
      <c r="C61" s="469">
        <f>IF(D11="","-",+C60+1)</f>
        <v>2050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28"/>
        <v>0</v>
      </c>
      <c r="G61" s="483">
        <f t="shared" si="29"/>
        <v>0</v>
      </c>
      <c r="H61" s="452">
        <f t="shared" si="30"/>
        <v>0</v>
      </c>
      <c r="I61" s="472">
        <f t="shared" si="31"/>
        <v>0</v>
      </c>
      <c r="J61" s="472"/>
      <c r="K61" s="484"/>
      <c r="L61" s="475">
        <f t="shared" si="32"/>
        <v>0</v>
      </c>
      <c r="M61" s="484"/>
      <c r="N61" s="475">
        <f t="shared" si="33"/>
        <v>0</v>
      </c>
      <c r="O61" s="475">
        <f t="shared" si="34"/>
        <v>0</v>
      </c>
      <c r="P61" s="241"/>
    </row>
    <row r="62" spans="2:16" ht="12.5">
      <c r="B62" s="160" t="str">
        <f t="shared" si="6"/>
        <v/>
      </c>
      <c r="C62" s="469">
        <f>IF(D11="","-",+C61+1)</f>
        <v>2051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28"/>
        <v>0</v>
      </c>
      <c r="G62" s="483">
        <f t="shared" si="29"/>
        <v>0</v>
      </c>
      <c r="H62" s="452">
        <f t="shared" si="30"/>
        <v>0</v>
      </c>
      <c r="I62" s="472">
        <f t="shared" si="31"/>
        <v>0</v>
      </c>
      <c r="J62" s="472"/>
      <c r="K62" s="484"/>
      <c r="L62" s="475">
        <f t="shared" si="32"/>
        <v>0</v>
      </c>
      <c r="M62" s="484"/>
      <c r="N62" s="475">
        <f t="shared" si="33"/>
        <v>0</v>
      </c>
      <c r="O62" s="475">
        <f t="shared" si="34"/>
        <v>0</v>
      </c>
      <c r="P62" s="241"/>
    </row>
    <row r="63" spans="2:16" ht="12.5">
      <c r="B63" s="160" t="str">
        <f t="shared" si="6"/>
        <v/>
      </c>
      <c r="C63" s="469">
        <f>IF(D11="","-",+C62+1)</f>
        <v>2052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28"/>
        <v>0</v>
      </c>
      <c r="G63" s="483">
        <f t="shared" si="29"/>
        <v>0</v>
      </c>
      <c r="H63" s="452">
        <f t="shared" si="30"/>
        <v>0</v>
      </c>
      <c r="I63" s="472">
        <f t="shared" si="31"/>
        <v>0</v>
      </c>
      <c r="J63" s="472"/>
      <c r="K63" s="484"/>
      <c r="L63" s="475">
        <f t="shared" si="32"/>
        <v>0</v>
      </c>
      <c r="M63" s="484"/>
      <c r="N63" s="475">
        <f t="shared" si="33"/>
        <v>0</v>
      </c>
      <c r="O63" s="475">
        <f t="shared" si="34"/>
        <v>0</v>
      </c>
      <c r="P63" s="241"/>
    </row>
    <row r="64" spans="2:16" ht="12.5">
      <c r="B64" s="160" t="str">
        <f t="shared" si="6"/>
        <v/>
      </c>
      <c r="C64" s="469">
        <f>IF(D11="","-",+C63+1)</f>
        <v>2053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28"/>
        <v>0</v>
      </c>
      <c r="G64" s="483">
        <f t="shared" si="29"/>
        <v>0</v>
      </c>
      <c r="H64" s="452">
        <f t="shared" si="30"/>
        <v>0</v>
      </c>
      <c r="I64" s="472">
        <f t="shared" si="31"/>
        <v>0</v>
      </c>
      <c r="J64" s="472"/>
      <c r="K64" s="484"/>
      <c r="L64" s="475">
        <f t="shared" si="32"/>
        <v>0</v>
      </c>
      <c r="M64" s="484"/>
      <c r="N64" s="475">
        <f t="shared" si="33"/>
        <v>0</v>
      </c>
      <c r="O64" s="475">
        <f t="shared" si="34"/>
        <v>0</v>
      </c>
      <c r="P64" s="241"/>
    </row>
    <row r="65" spans="2:16" ht="12.5">
      <c r="B65" s="160" t="str">
        <f t="shared" si="6"/>
        <v/>
      </c>
      <c r="C65" s="469">
        <f>IF(D11="","-",+C64+1)</f>
        <v>2054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28"/>
        <v>0</v>
      </c>
      <c r="G65" s="483">
        <f t="shared" si="29"/>
        <v>0</v>
      </c>
      <c r="H65" s="452">
        <f t="shared" si="30"/>
        <v>0</v>
      </c>
      <c r="I65" s="472">
        <f t="shared" si="31"/>
        <v>0</v>
      </c>
      <c r="J65" s="472"/>
      <c r="K65" s="484"/>
      <c r="L65" s="475">
        <f t="shared" si="32"/>
        <v>0</v>
      </c>
      <c r="M65" s="484"/>
      <c r="N65" s="475">
        <f t="shared" si="33"/>
        <v>0</v>
      </c>
      <c r="O65" s="475">
        <f t="shared" si="34"/>
        <v>0</v>
      </c>
      <c r="P65" s="241"/>
    </row>
    <row r="66" spans="2:16" ht="12.5">
      <c r="B66" s="160" t="str">
        <f t="shared" si="6"/>
        <v/>
      </c>
      <c r="C66" s="469">
        <f>IF(D11="","-",+C65+1)</f>
        <v>2055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28"/>
        <v>0</v>
      </c>
      <c r="G66" s="483">
        <f t="shared" si="29"/>
        <v>0</v>
      </c>
      <c r="H66" s="452">
        <f t="shared" si="30"/>
        <v>0</v>
      </c>
      <c r="I66" s="472">
        <f t="shared" si="31"/>
        <v>0</v>
      </c>
      <c r="J66" s="472"/>
      <c r="K66" s="484"/>
      <c r="L66" s="475">
        <f t="shared" si="32"/>
        <v>0</v>
      </c>
      <c r="M66" s="484"/>
      <c r="N66" s="475">
        <f t="shared" si="33"/>
        <v>0</v>
      </c>
      <c r="O66" s="475">
        <f t="shared" si="34"/>
        <v>0</v>
      </c>
      <c r="P66" s="241"/>
    </row>
    <row r="67" spans="2:16" ht="12.5">
      <c r="B67" s="160" t="str">
        <f t="shared" si="6"/>
        <v/>
      </c>
      <c r="C67" s="469">
        <f>IF(D11="","-",+C66+1)</f>
        <v>2056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28"/>
        <v>0</v>
      </c>
      <c r="G67" s="483">
        <f t="shared" si="29"/>
        <v>0</v>
      </c>
      <c r="H67" s="452">
        <f t="shared" si="30"/>
        <v>0</v>
      </c>
      <c r="I67" s="472">
        <f t="shared" si="31"/>
        <v>0</v>
      </c>
      <c r="J67" s="472"/>
      <c r="K67" s="484"/>
      <c r="L67" s="475">
        <f t="shared" si="32"/>
        <v>0</v>
      </c>
      <c r="M67" s="484"/>
      <c r="N67" s="475">
        <f t="shared" si="33"/>
        <v>0</v>
      </c>
      <c r="O67" s="475">
        <f t="shared" si="34"/>
        <v>0</v>
      </c>
      <c r="P67" s="241"/>
    </row>
    <row r="68" spans="2:16" ht="12.5">
      <c r="B68" s="160" t="str">
        <f t="shared" si="6"/>
        <v/>
      </c>
      <c r="C68" s="469">
        <f>IF(D11="","-",+C67+1)</f>
        <v>2057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28"/>
        <v>0</v>
      </c>
      <c r="G68" s="483">
        <f t="shared" si="29"/>
        <v>0</v>
      </c>
      <c r="H68" s="452">
        <f t="shared" si="30"/>
        <v>0</v>
      </c>
      <c r="I68" s="472">
        <f t="shared" si="31"/>
        <v>0</v>
      </c>
      <c r="J68" s="472"/>
      <c r="K68" s="484"/>
      <c r="L68" s="475">
        <f t="shared" si="32"/>
        <v>0</v>
      </c>
      <c r="M68" s="484"/>
      <c r="N68" s="475">
        <f t="shared" si="33"/>
        <v>0</v>
      </c>
      <c r="O68" s="475">
        <f t="shared" si="34"/>
        <v>0</v>
      </c>
      <c r="P68" s="241"/>
    </row>
    <row r="69" spans="2:16" ht="12.5">
      <c r="B69" s="160" t="str">
        <f t="shared" si="6"/>
        <v/>
      </c>
      <c r="C69" s="469">
        <f>IF(D11="","-",+C68+1)</f>
        <v>2058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28"/>
        <v>0</v>
      </c>
      <c r="G69" s="483">
        <f t="shared" si="29"/>
        <v>0</v>
      </c>
      <c r="H69" s="452">
        <f t="shared" si="30"/>
        <v>0</v>
      </c>
      <c r="I69" s="472">
        <f t="shared" si="31"/>
        <v>0</v>
      </c>
      <c r="J69" s="472"/>
      <c r="K69" s="484"/>
      <c r="L69" s="475">
        <f t="shared" si="32"/>
        <v>0</v>
      </c>
      <c r="M69" s="484"/>
      <c r="N69" s="475">
        <f t="shared" si="33"/>
        <v>0</v>
      </c>
      <c r="O69" s="475">
        <f t="shared" si="34"/>
        <v>0</v>
      </c>
      <c r="P69" s="241"/>
    </row>
    <row r="70" spans="2:16" ht="12.5">
      <c r="B70" s="160" t="str">
        <f t="shared" si="6"/>
        <v/>
      </c>
      <c r="C70" s="469">
        <f>IF(D11="","-",+C69+1)</f>
        <v>2059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28"/>
        <v>0</v>
      </c>
      <c r="G70" s="483">
        <f t="shared" si="29"/>
        <v>0</v>
      </c>
      <c r="H70" s="452">
        <f t="shared" si="30"/>
        <v>0</v>
      </c>
      <c r="I70" s="472">
        <f t="shared" si="31"/>
        <v>0</v>
      </c>
      <c r="J70" s="472"/>
      <c r="K70" s="484"/>
      <c r="L70" s="475">
        <f t="shared" si="32"/>
        <v>0</v>
      </c>
      <c r="M70" s="484"/>
      <c r="N70" s="475">
        <f t="shared" si="33"/>
        <v>0</v>
      </c>
      <c r="O70" s="475">
        <f t="shared" si="34"/>
        <v>0</v>
      </c>
      <c r="P70" s="241"/>
    </row>
    <row r="71" spans="2:16" ht="12.5">
      <c r="B71" s="160" t="str">
        <f t="shared" si="6"/>
        <v/>
      </c>
      <c r="C71" s="469">
        <f>IF(D11="","-",+C70+1)</f>
        <v>2060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28"/>
        <v>0</v>
      </c>
      <c r="G71" s="483">
        <f t="shared" si="29"/>
        <v>0</v>
      </c>
      <c r="H71" s="452">
        <f t="shared" si="30"/>
        <v>0</v>
      </c>
      <c r="I71" s="472">
        <f t="shared" si="31"/>
        <v>0</v>
      </c>
      <c r="J71" s="472"/>
      <c r="K71" s="484"/>
      <c r="L71" s="475">
        <f t="shared" si="32"/>
        <v>0</v>
      </c>
      <c r="M71" s="484"/>
      <c r="N71" s="475">
        <f t="shared" si="33"/>
        <v>0</v>
      </c>
      <c r="O71" s="475">
        <f t="shared" si="34"/>
        <v>0</v>
      </c>
      <c r="P71" s="241"/>
    </row>
    <row r="72" spans="2:16" ht="13" thickBot="1">
      <c r="B72" s="160" t="str">
        <f t="shared" si="6"/>
        <v/>
      </c>
      <c r="C72" s="486">
        <f>IF(D11="","-",+C71+1)</f>
        <v>2061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28"/>
        <v>0</v>
      </c>
      <c r="G72" s="487">
        <f t="shared" si="29"/>
        <v>0</v>
      </c>
      <c r="H72" s="487">
        <f t="shared" si="30"/>
        <v>0</v>
      </c>
      <c r="I72" s="490">
        <f t="shared" si="31"/>
        <v>0</v>
      </c>
      <c r="J72" s="472"/>
      <c r="K72" s="491"/>
      <c r="L72" s="492">
        <f t="shared" si="32"/>
        <v>0</v>
      </c>
      <c r="M72" s="491"/>
      <c r="N72" s="492">
        <f t="shared" si="33"/>
        <v>0</v>
      </c>
      <c r="O72" s="492">
        <f t="shared" si="34"/>
        <v>0</v>
      </c>
      <c r="P72" s="241"/>
    </row>
    <row r="73" spans="2:16" ht="12.5">
      <c r="C73" s="344" t="s">
        <v>77</v>
      </c>
      <c r="D73" s="345"/>
      <c r="E73" s="345">
        <f>SUM(E17:E72)</f>
        <v>387742.00000000023</v>
      </c>
      <c r="F73" s="345"/>
      <c r="G73" s="345">
        <f>SUM(G17:G72)</f>
        <v>1434234.5629403754</v>
      </c>
      <c r="H73" s="345">
        <f>SUM(H17:H72)</f>
        <v>1434234.5629403754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5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38635.258998489306</v>
      </c>
      <c r="N87" s="505">
        <f>IF(J92&lt;D11,0,VLOOKUP(J92,C17:O72,11))</f>
        <v>38635.258998489306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42192.806640975934</v>
      </c>
      <c r="N88" s="509">
        <f>IF(J92&lt;D11,0,VLOOKUP(J92,C99:P154,7))</f>
        <v>42192.806640975934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Catoosa 138 kV Device (Cap. Bank)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3557.5476424866283</v>
      </c>
      <c r="N89" s="514">
        <f>+N88-N87</f>
        <v>3557.5476424866283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TP2005006</v>
      </c>
      <c r="E91" s="519" t="str">
        <f>E9</f>
        <v>SPP Project ID =</v>
      </c>
      <c r="F91" s="718">
        <f>F9</f>
        <v>30001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387742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2006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5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10204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101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2006</v>
      </c>
      <c r="D99" s="470">
        <f>IF(D93=C99,0,D92)</f>
        <v>0</v>
      </c>
      <c r="E99" s="477">
        <v>3801</v>
      </c>
      <c r="F99" s="476">
        <v>383941</v>
      </c>
      <c r="G99" s="534">
        <v>385841</v>
      </c>
      <c r="H99" s="535">
        <v>0</v>
      </c>
      <c r="I99" s="536">
        <v>0</v>
      </c>
      <c r="J99" s="475">
        <f t="shared" ref="J99:J130" si="35">+I99-H99</f>
        <v>0</v>
      </c>
      <c r="K99" s="475"/>
      <c r="L99" s="551">
        <v>0</v>
      </c>
      <c r="M99" s="559">
        <f>IF(L99&lt;&gt;0,+H99-L99,0)</f>
        <v>0</v>
      </c>
      <c r="N99" s="551">
        <v>0</v>
      </c>
      <c r="O99" s="474">
        <f>IF(N99&lt;&gt;0,+I99-N99,0)</f>
        <v>0</v>
      </c>
      <c r="P99" s="474">
        <f t="shared" ref="P99:P130" si="36">+O99-M99</f>
        <v>0</v>
      </c>
    </row>
    <row r="100" spans="1:16" ht="12.5">
      <c r="B100" s="160" t="str">
        <f t="shared" ref="B100:B154" si="37">IF(D100=F99,"","IU")</f>
        <v/>
      </c>
      <c r="C100" s="469">
        <f>IF(D93="","-",+C99+1)</f>
        <v>2007</v>
      </c>
      <c r="D100" s="470">
        <v>383941</v>
      </c>
      <c r="E100" s="558">
        <v>7603</v>
      </c>
      <c r="F100" s="476">
        <v>376338</v>
      </c>
      <c r="G100" s="476">
        <v>380140</v>
      </c>
      <c r="H100" s="477">
        <v>66528</v>
      </c>
      <c r="I100" s="478">
        <v>66528</v>
      </c>
      <c r="J100" s="475">
        <f t="shared" si="35"/>
        <v>0</v>
      </c>
      <c r="K100" s="475"/>
      <c r="L100" s="473">
        <v>0</v>
      </c>
      <c r="M100" s="547">
        <f>IF(L100&lt;&gt;0,+H100-L100,0)</f>
        <v>0</v>
      </c>
      <c r="N100" s="473">
        <v>0</v>
      </c>
      <c r="O100" s="475">
        <f>IF(N100&lt;&gt;0,+I100-N100,0)</f>
        <v>0</v>
      </c>
      <c r="P100" s="475">
        <f t="shared" si="36"/>
        <v>0</v>
      </c>
    </row>
    <row r="101" spans="1:16" ht="12.5">
      <c r="B101" s="160"/>
      <c r="C101" s="469">
        <f>IF(D93="","-",+C100+1)</f>
        <v>2008</v>
      </c>
      <c r="D101" s="470">
        <v>376159</v>
      </c>
      <c r="E101" s="558">
        <v>7316</v>
      </c>
      <c r="F101" s="476">
        <v>368843</v>
      </c>
      <c r="G101" s="476">
        <v>372501</v>
      </c>
      <c r="H101" s="477">
        <v>66486</v>
      </c>
      <c r="I101" s="478">
        <v>66486</v>
      </c>
      <c r="J101" s="475">
        <f t="shared" si="35"/>
        <v>0</v>
      </c>
      <c r="K101" s="475"/>
      <c r="L101" s="473">
        <v>66486</v>
      </c>
      <c r="M101" s="475">
        <f>IF(L101&lt;&gt;"",+H101-L101,0)</f>
        <v>0</v>
      </c>
      <c r="N101" s="473">
        <v>66486</v>
      </c>
      <c r="O101" s="475">
        <f>IF(N101&lt;&gt;"",+I101-N101,0)</f>
        <v>0</v>
      </c>
      <c r="P101" s="475">
        <f t="shared" si="36"/>
        <v>0</v>
      </c>
    </row>
    <row r="102" spans="1:16" ht="12.5">
      <c r="B102" s="160"/>
      <c r="C102" s="469">
        <f>IF(D93="","-",+C101+1)</f>
        <v>2009</v>
      </c>
      <c r="D102" s="470">
        <v>369022</v>
      </c>
      <c r="E102" s="477">
        <v>6924</v>
      </c>
      <c r="F102" s="476">
        <v>362098</v>
      </c>
      <c r="G102" s="476">
        <v>365560</v>
      </c>
      <c r="H102" s="477">
        <v>60371.899487403767</v>
      </c>
      <c r="I102" s="478">
        <v>60371.899487403767</v>
      </c>
      <c r="J102" s="475">
        <f t="shared" si="35"/>
        <v>0</v>
      </c>
      <c r="K102" s="475"/>
      <c r="L102" s="473">
        <f t="shared" ref="L102:L107" si="38">H102</f>
        <v>60371.899487403767</v>
      </c>
      <c r="M102" s="547">
        <f t="shared" ref="M102:M133" si="39">IF(L102&lt;&gt;0,+H102-L102,0)</f>
        <v>0</v>
      </c>
      <c r="N102" s="473">
        <f t="shared" ref="N102:N107" si="40">I102</f>
        <v>60371.899487403767</v>
      </c>
      <c r="O102" s="475">
        <f t="shared" ref="O102:O133" si="41">IF(N102&lt;&gt;0,+I102-N102,0)</f>
        <v>0</v>
      </c>
      <c r="P102" s="475">
        <f t="shared" si="36"/>
        <v>0</v>
      </c>
    </row>
    <row r="103" spans="1:16" ht="12.5">
      <c r="B103" s="160" t="str">
        <f t="shared" si="37"/>
        <v/>
      </c>
      <c r="C103" s="469">
        <f>IF(D93="","-",+C102+1)</f>
        <v>2010</v>
      </c>
      <c r="D103" s="470">
        <v>362098</v>
      </c>
      <c r="E103" s="477">
        <v>7603</v>
      </c>
      <c r="F103" s="476">
        <v>354495</v>
      </c>
      <c r="G103" s="476">
        <v>358296.5</v>
      </c>
      <c r="H103" s="477">
        <v>65222.531099646738</v>
      </c>
      <c r="I103" s="478">
        <v>65222.531099646738</v>
      </c>
      <c r="J103" s="475">
        <f t="shared" si="35"/>
        <v>0</v>
      </c>
      <c r="K103" s="475"/>
      <c r="L103" s="537">
        <f t="shared" si="38"/>
        <v>65222.531099646738</v>
      </c>
      <c r="M103" s="538">
        <f t="shared" si="39"/>
        <v>0</v>
      </c>
      <c r="N103" s="537">
        <f t="shared" si="40"/>
        <v>65222.531099646738</v>
      </c>
      <c r="O103" s="475">
        <f t="shared" si="41"/>
        <v>0</v>
      </c>
      <c r="P103" s="475">
        <f t="shared" si="36"/>
        <v>0</v>
      </c>
    </row>
    <row r="104" spans="1:16" ht="12.5">
      <c r="B104" s="160" t="str">
        <f t="shared" si="37"/>
        <v/>
      </c>
      <c r="C104" s="469">
        <f>IF(D93="","-",+C103+1)</f>
        <v>2011</v>
      </c>
      <c r="D104" s="470">
        <v>354495</v>
      </c>
      <c r="E104" s="477">
        <v>7457</v>
      </c>
      <c r="F104" s="476">
        <v>347038</v>
      </c>
      <c r="G104" s="476">
        <v>350766.5</v>
      </c>
      <c r="H104" s="477">
        <v>56498.870276795831</v>
      </c>
      <c r="I104" s="478">
        <v>56498.870276795831</v>
      </c>
      <c r="J104" s="475">
        <f t="shared" si="35"/>
        <v>0</v>
      </c>
      <c r="K104" s="475"/>
      <c r="L104" s="537">
        <f t="shared" si="38"/>
        <v>56498.870276795831</v>
      </c>
      <c r="M104" s="538">
        <f t="shared" si="39"/>
        <v>0</v>
      </c>
      <c r="N104" s="537">
        <f t="shared" si="40"/>
        <v>56498.870276795831</v>
      </c>
      <c r="O104" s="475">
        <f t="shared" si="41"/>
        <v>0</v>
      </c>
      <c r="P104" s="475">
        <f t="shared" si="36"/>
        <v>0</v>
      </c>
    </row>
    <row r="105" spans="1:16" ht="12.5">
      <c r="B105" s="160" t="str">
        <f t="shared" si="37"/>
        <v/>
      </c>
      <c r="C105" s="469">
        <f>IF(D93="","-",+C104+1)</f>
        <v>2012</v>
      </c>
      <c r="D105" s="470">
        <v>347038</v>
      </c>
      <c r="E105" s="477">
        <v>7457</v>
      </c>
      <c r="F105" s="476">
        <v>339581</v>
      </c>
      <c r="G105" s="476">
        <v>343309.5</v>
      </c>
      <c r="H105" s="477">
        <v>56843.953528154576</v>
      </c>
      <c r="I105" s="478">
        <v>56843.953528154576</v>
      </c>
      <c r="J105" s="475">
        <v>0</v>
      </c>
      <c r="K105" s="475"/>
      <c r="L105" s="537">
        <f t="shared" si="38"/>
        <v>56843.953528154576</v>
      </c>
      <c r="M105" s="538">
        <f t="shared" ref="M105:M110" si="42">IF(L105&lt;&gt;0,+H105-L105,0)</f>
        <v>0</v>
      </c>
      <c r="N105" s="537">
        <f t="shared" si="40"/>
        <v>56843.953528154576</v>
      </c>
      <c r="O105" s="475">
        <f t="shared" ref="O105:O110" si="43">IF(N105&lt;&gt;0,+I105-N105,0)</f>
        <v>0</v>
      </c>
      <c r="P105" s="475">
        <f t="shared" ref="P105:P110" si="44">+O105-M105</f>
        <v>0</v>
      </c>
    </row>
    <row r="106" spans="1:16" ht="12.5">
      <c r="B106" s="160" t="str">
        <f t="shared" si="37"/>
        <v/>
      </c>
      <c r="C106" s="469">
        <f>IF(D93="","-",+C105+1)</f>
        <v>2013</v>
      </c>
      <c r="D106" s="470">
        <v>339581</v>
      </c>
      <c r="E106" s="477">
        <v>7457</v>
      </c>
      <c r="F106" s="476">
        <v>332124</v>
      </c>
      <c r="G106" s="476">
        <v>335852.5</v>
      </c>
      <c r="H106" s="477">
        <v>55799.472473591821</v>
      </c>
      <c r="I106" s="478">
        <v>55799.472473591821</v>
      </c>
      <c r="J106" s="475">
        <v>0</v>
      </c>
      <c r="K106" s="475"/>
      <c r="L106" s="537">
        <f t="shared" si="38"/>
        <v>55799.472473591821</v>
      </c>
      <c r="M106" s="538">
        <f t="shared" si="42"/>
        <v>0</v>
      </c>
      <c r="N106" s="537">
        <f t="shared" si="40"/>
        <v>55799.472473591821</v>
      </c>
      <c r="O106" s="475">
        <f t="shared" si="43"/>
        <v>0</v>
      </c>
      <c r="P106" s="475">
        <f t="shared" si="44"/>
        <v>0</v>
      </c>
    </row>
    <row r="107" spans="1:16" ht="12.5">
      <c r="B107" s="160" t="str">
        <f t="shared" si="37"/>
        <v/>
      </c>
      <c r="C107" s="469">
        <f>IF(D93="","-",+C106+1)</f>
        <v>2014</v>
      </c>
      <c r="D107" s="470">
        <v>332124</v>
      </c>
      <c r="E107" s="477">
        <v>7457</v>
      </c>
      <c r="F107" s="476">
        <v>324667</v>
      </c>
      <c r="G107" s="476">
        <v>328395.5</v>
      </c>
      <c r="H107" s="477">
        <v>53628.064898886892</v>
      </c>
      <c r="I107" s="478">
        <v>53628.064898886892</v>
      </c>
      <c r="J107" s="475">
        <v>0</v>
      </c>
      <c r="K107" s="475"/>
      <c r="L107" s="537">
        <f t="shared" si="38"/>
        <v>53628.064898886892</v>
      </c>
      <c r="M107" s="538">
        <f t="shared" si="42"/>
        <v>0</v>
      </c>
      <c r="N107" s="537">
        <f t="shared" si="40"/>
        <v>53628.064898886892</v>
      </c>
      <c r="O107" s="475">
        <f t="shared" si="43"/>
        <v>0</v>
      </c>
      <c r="P107" s="475">
        <f t="shared" si="44"/>
        <v>0</v>
      </c>
    </row>
    <row r="108" spans="1:16" ht="12.5">
      <c r="B108" s="160" t="str">
        <f t="shared" si="37"/>
        <v/>
      </c>
      <c r="C108" s="469">
        <f>IF(D93="","-",+C107+1)</f>
        <v>2015</v>
      </c>
      <c r="D108" s="470">
        <v>324667</v>
      </c>
      <c r="E108" s="477">
        <v>7457</v>
      </c>
      <c r="F108" s="476">
        <v>317210</v>
      </c>
      <c r="G108" s="476">
        <v>320938.5</v>
      </c>
      <c r="H108" s="477">
        <v>51246.477852296055</v>
      </c>
      <c r="I108" s="478">
        <v>51246.477852296055</v>
      </c>
      <c r="J108" s="475">
        <f t="shared" si="35"/>
        <v>0</v>
      </c>
      <c r="K108" s="475"/>
      <c r="L108" s="537">
        <f t="shared" ref="L108:L113" si="45">H108</f>
        <v>51246.477852296055</v>
      </c>
      <c r="M108" s="538">
        <f t="shared" si="42"/>
        <v>0</v>
      </c>
      <c r="N108" s="537">
        <f t="shared" ref="N108:N113" si="46">I108</f>
        <v>51246.477852296055</v>
      </c>
      <c r="O108" s="475">
        <f t="shared" si="43"/>
        <v>0</v>
      </c>
      <c r="P108" s="475">
        <f t="shared" si="44"/>
        <v>0</v>
      </c>
    </row>
    <row r="109" spans="1:16" ht="12.5">
      <c r="B109" s="160" t="str">
        <f t="shared" si="37"/>
        <v/>
      </c>
      <c r="C109" s="469">
        <f>IF(D93="","-",+C108+1)</f>
        <v>2016</v>
      </c>
      <c r="D109" s="470">
        <v>317210</v>
      </c>
      <c r="E109" s="477">
        <v>8429</v>
      </c>
      <c r="F109" s="476">
        <v>308781</v>
      </c>
      <c r="G109" s="476">
        <v>312995.5</v>
      </c>
      <c r="H109" s="477">
        <v>48779.04927680167</v>
      </c>
      <c r="I109" s="478">
        <v>48779.04927680167</v>
      </c>
      <c r="J109" s="475">
        <f t="shared" si="35"/>
        <v>0</v>
      </c>
      <c r="K109" s="475"/>
      <c r="L109" s="537">
        <f t="shared" si="45"/>
        <v>48779.04927680167</v>
      </c>
      <c r="M109" s="538">
        <f t="shared" si="42"/>
        <v>0</v>
      </c>
      <c r="N109" s="537">
        <f t="shared" si="46"/>
        <v>48779.04927680167</v>
      </c>
      <c r="O109" s="475">
        <f t="shared" si="43"/>
        <v>0</v>
      </c>
      <c r="P109" s="475">
        <f t="shared" si="44"/>
        <v>0</v>
      </c>
    </row>
    <row r="110" spans="1:16" ht="12.5">
      <c r="B110" s="160" t="str">
        <f t="shared" si="37"/>
        <v/>
      </c>
      <c r="C110" s="469">
        <f>IF(D93="","-",+C109+1)</f>
        <v>2017</v>
      </c>
      <c r="D110" s="470">
        <v>308781</v>
      </c>
      <c r="E110" s="477">
        <v>8429</v>
      </c>
      <c r="F110" s="476">
        <v>300352</v>
      </c>
      <c r="G110" s="476">
        <v>304566.5</v>
      </c>
      <c r="H110" s="477">
        <v>47064.028489702585</v>
      </c>
      <c r="I110" s="478">
        <v>47064.028489702585</v>
      </c>
      <c r="J110" s="475">
        <f t="shared" si="35"/>
        <v>0</v>
      </c>
      <c r="K110" s="475"/>
      <c r="L110" s="537">
        <f t="shared" si="45"/>
        <v>47064.028489702585</v>
      </c>
      <c r="M110" s="538">
        <f t="shared" si="42"/>
        <v>0</v>
      </c>
      <c r="N110" s="537">
        <f t="shared" si="46"/>
        <v>47064.028489702585</v>
      </c>
      <c r="O110" s="475">
        <f t="shared" si="43"/>
        <v>0</v>
      </c>
      <c r="P110" s="475">
        <f t="shared" si="44"/>
        <v>0</v>
      </c>
    </row>
    <row r="111" spans="1:16" ht="12.5">
      <c r="B111" s="160" t="str">
        <f t="shared" si="37"/>
        <v/>
      </c>
      <c r="C111" s="469">
        <f>IF(D93="","-",+C110+1)</f>
        <v>2018</v>
      </c>
      <c r="D111" s="470">
        <v>300352</v>
      </c>
      <c r="E111" s="477">
        <v>9017</v>
      </c>
      <c r="F111" s="476">
        <v>291335</v>
      </c>
      <c r="G111" s="476">
        <v>295843.5</v>
      </c>
      <c r="H111" s="477">
        <v>39410.649664559314</v>
      </c>
      <c r="I111" s="478">
        <v>39410.649664559314</v>
      </c>
      <c r="J111" s="475">
        <f t="shared" si="35"/>
        <v>0</v>
      </c>
      <c r="K111" s="475"/>
      <c r="L111" s="537">
        <f t="shared" si="45"/>
        <v>39410.649664559314</v>
      </c>
      <c r="M111" s="538">
        <f t="shared" ref="M111" si="47">IF(L111&lt;&gt;0,+H111-L111,0)</f>
        <v>0</v>
      </c>
      <c r="N111" s="537">
        <f t="shared" si="46"/>
        <v>39410.649664559314</v>
      </c>
      <c r="O111" s="475">
        <f t="shared" ref="O111" si="48">IF(N111&lt;&gt;0,+I111-N111,0)</f>
        <v>0</v>
      </c>
      <c r="P111" s="475">
        <f t="shared" ref="P111" si="49">+O111-M111</f>
        <v>0</v>
      </c>
    </row>
    <row r="112" spans="1:16" ht="12.5">
      <c r="B112" s="160" t="str">
        <f t="shared" si="37"/>
        <v/>
      </c>
      <c r="C112" s="469">
        <f>IF(D93="","-",+C111+1)</f>
        <v>2019</v>
      </c>
      <c r="D112" s="470">
        <v>291335</v>
      </c>
      <c r="E112" s="477">
        <v>9457</v>
      </c>
      <c r="F112" s="476">
        <v>281878</v>
      </c>
      <c r="G112" s="476">
        <v>286606.5</v>
      </c>
      <c r="H112" s="477">
        <v>39010.150115878176</v>
      </c>
      <c r="I112" s="478">
        <v>39010.150115878176</v>
      </c>
      <c r="J112" s="475">
        <f t="shared" si="35"/>
        <v>0</v>
      </c>
      <c r="K112" s="475"/>
      <c r="L112" s="537">
        <f t="shared" si="45"/>
        <v>39010.150115878176</v>
      </c>
      <c r="M112" s="538">
        <f t="shared" ref="M112" si="50">IF(L112&lt;&gt;0,+H112-L112,0)</f>
        <v>0</v>
      </c>
      <c r="N112" s="537">
        <f t="shared" si="46"/>
        <v>39010.150115878176</v>
      </c>
      <c r="O112" s="475">
        <f t="shared" si="41"/>
        <v>0</v>
      </c>
      <c r="P112" s="475">
        <f t="shared" si="36"/>
        <v>0</v>
      </c>
    </row>
    <row r="113" spans="2:16" ht="12.5">
      <c r="B113" s="160" t="str">
        <f t="shared" si="37"/>
        <v/>
      </c>
      <c r="C113" s="469">
        <f>IF(D93="","-",+C112+1)</f>
        <v>2020</v>
      </c>
      <c r="D113" s="470">
        <v>281878</v>
      </c>
      <c r="E113" s="477">
        <v>9017</v>
      </c>
      <c r="F113" s="476">
        <v>272861</v>
      </c>
      <c r="G113" s="476">
        <v>277369.5</v>
      </c>
      <c r="H113" s="477">
        <v>40996.940785437022</v>
      </c>
      <c r="I113" s="478">
        <v>40996.940785437022</v>
      </c>
      <c r="J113" s="475">
        <f t="shared" si="35"/>
        <v>0</v>
      </c>
      <c r="K113" s="475"/>
      <c r="L113" s="537">
        <f t="shared" si="45"/>
        <v>40996.940785437022</v>
      </c>
      <c r="M113" s="538">
        <f t="shared" ref="M113" si="51">IF(L113&lt;&gt;0,+H113-L113,0)</f>
        <v>0</v>
      </c>
      <c r="N113" s="537">
        <f t="shared" si="46"/>
        <v>40996.940785437022</v>
      </c>
      <c r="O113" s="475">
        <f t="shared" si="41"/>
        <v>0</v>
      </c>
      <c r="P113" s="475">
        <f t="shared" si="36"/>
        <v>0</v>
      </c>
    </row>
    <row r="114" spans="2:16" ht="12.5">
      <c r="B114" s="160" t="str">
        <f t="shared" si="37"/>
        <v/>
      </c>
      <c r="C114" s="469">
        <f>IF(D93="","-",+C113+1)</f>
        <v>2021</v>
      </c>
      <c r="D114" s="470">
        <v>272861</v>
      </c>
      <c r="E114" s="477">
        <v>9457</v>
      </c>
      <c r="F114" s="476">
        <v>263404</v>
      </c>
      <c r="G114" s="476">
        <v>268132.5</v>
      </c>
      <c r="H114" s="477">
        <v>39968.546077508974</v>
      </c>
      <c r="I114" s="478">
        <v>39968.546077508974</v>
      </c>
      <c r="J114" s="475">
        <f t="shared" si="35"/>
        <v>0</v>
      </c>
      <c r="K114" s="475"/>
      <c r="L114" s="537">
        <f t="shared" ref="L114" si="52">H114</f>
        <v>39968.546077508974</v>
      </c>
      <c r="M114" s="538">
        <f t="shared" ref="M114" si="53">IF(L114&lt;&gt;0,+H114-L114,0)</f>
        <v>0</v>
      </c>
      <c r="N114" s="537">
        <f t="shared" ref="N114" si="54">I114</f>
        <v>39968.546077508974</v>
      </c>
      <c r="O114" s="475">
        <f t="shared" si="41"/>
        <v>0</v>
      </c>
      <c r="P114" s="475">
        <f t="shared" si="36"/>
        <v>0</v>
      </c>
    </row>
    <row r="115" spans="2:16" ht="12.5">
      <c r="B115" s="160" t="str">
        <f t="shared" si="37"/>
        <v/>
      </c>
      <c r="C115" s="469">
        <f>IF(D93="","-",+C114+1)</f>
        <v>2022</v>
      </c>
      <c r="D115" s="470">
        <v>263404</v>
      </c>
      <c r="E115" s="477">
        <v>9942</v>
      </c>
      <c r="F115" s="476">
        <v>253462</v>
      </c>
      <c r="G115" s="476">
        <v>258433</v>
      </c>
      <c r="H115" s="477">
        <v>38416.833530612799</v>
      </c>
      <c r="I115" s="478">
        <v>38416.833530612799</v>
      </c>
      <c r="J115" s="475">
        <f t="shared" si="35"/>
        <v>0</v>
      </c>
      <c r="K115" s="475"/>
      <c r="L115" s="537">
        <f t="shared" ref="L115" si="55">H115</f>
        <v>38416.833530612799</v>
      </c>
      <c r="M115" s="538">
        <f t="shared" ref="M115" si="56">IF(L115&lt;&gt;0,+H115-L115,0)</f>
        <v>0</v>
      </c>
      <c r="N115" s="537">
        <f t="shared" ref="N115" si="57">I115</f>
        <v>38416.833530612799</v>
      </c>
      <c r="O115" s="475">
        <f t="shared" ref="O115" si="58">IF(N115&lt;&gt;0,+I115-N115,0)</f>
        <v>0</v>
      </c>
      <c r="P115" s="475">
        <f t="shared" ref="P115" si="59">+O115-M115</f>
        <v>0</v>
      </c>
    </row>
    <row r="116" spans="2:16" ht="12.5">
      <c r="B116" s="160" t="str">
        <f t="shared" si="37"/>
        <v/>
      </c>
      <c r="C116" s="469">
        <f>IF(D93="","-",+C115+1)</f>
        <v>2023</v>
      </c>
      <c r="D116" s="470">
        <v>253462</v>
      </c>
      <c r="E116" s="477">
        <v>10204</v>
      </c>
      <c r="F116" s="476">
        <v>243258</v>
      </c>
      <c r="G116" s="476">
        <v>248360</v>
      </c>
      <c r="H116" s="477">
        <v>38573.430896853468</v>
      </c>
      <c r="I116" s="478">
        <v>38573.430896853468</v>
      </c>
      <c r="J116" s="475">
        <f t="shared" si="35"/>
        <v>0</v>
      </c>
      <c r="K116" s="475"/>
      <c r="L116" s="537">
        <f t="shared" ref="L116" si="60">H116</f>
        <v>38573.430896853468</v>
      </c>
      <c r="M116" s="538">
        <f t="shared" ref="M116" si="61">IF(L116&lt;&gt;0,+H116-L116,0)</f>
        <v>0</v>
      </c>
      <c r="N116" s="537">
        <f t="shared" ref="N116" si="62">I116</f>
        <v>38573.430896853468</v>
      </c>
      <c r="O116" s="475">
        <f t="shared" ref="O116" si="63">IF(N116&lt;&gt;0,+I116-N116,0)</f>
        <v>0</v>
      </c>
      <c r="P116" s="475">
        <f t="shared" ref="P116" si="64">+O116-M116</f>
        <v>0</v>
      </c>
    </row>
    <row r="117" spans="2:16" ht="12.5">
      <c r="B117" s="160" t="str">
        <f t="shared" si="37"/>
        <v/>
      </c>
      <c r="C117" s="469">
        <f>IF(D93="","-",+C116+1)</f>
        <v>2024</v>
      </c>
      <c r="D117" s="344">
        <f>IF(F116+SUM(E$99:E116)=D$92,F116,D$92-SUM(E$99:E116))</f>
        <v>243258</v>
      </c>
      <c r="E117" s="483">
        <f>IF(+J96&lt;F116,J96,D117)</f>
        <v>10204</v>
      </c>
      <c r="F117" s="482">
        <f t="shared" ref="F117:F130" si="65">+D117-E117</f>
        <v>233054</v>
      </c>
      <c r="G117" s="482">
        <f t="shared" ref="G117:G130" si="66">+(F117+D117)/2</f>
        <v>238156</v>
      </c>
      <c r="H117" s="483">
        <f t="shared" ref="H117:H153" si="67">(D117+F117)/2*J$94+E117</f>
        <v>42192.806640975934</v>
      </c>
      <c r="I117" s="539">
        <f t="shared" ref="I117:I153" si="68">+J$95*G117+E117</f>
        <v>42192.806640975934</v>
      </c>
      <c r="J117" s="475">
        <f t="shared" si="35"/>
        <v>0</v>
      </c>
      <c r="K117" s="475"/>
      <c r="L117" s="484"/>
      <c r="M117" s="475">
        <f t="shared" si="39"/>
        <v>0</v>
      </c>
      <c r="N117" s="484"/>
      <c r="O117" s="475">
        <f t="shared" si="41"/>
        <v>0</v>
      </c>
      <c r="P117" s="475">
        <f t="shared" si="36"/>
        <v>0</v>
      </c>
    </row>
    <row r="118" spans="2:16" ht="12.5">
      <c r="B118" s="160" t="str">
        <f t="shared" si="37"/>
        <v/>
      </c>
      <c r="C118" s="469">
        <f>IF(D93="","-",+C117+1)</f>
        <v>2025</v>
      </c>
      <c r="D118" s="344">
        <f>IF(F117+SUM(E$99:E117)=D$92,F117,D$92-SUM(E$99:E117))</f>
        <v>233054</v>
      </c>
      <c r="E118" s="483">
        <f>IF(+J96&lt;F117,J96,D118)</f>
        <v>10204</v>
      </c>
      <c r="F118" s="482">
        <f t="shared" si="65"/>
        <v>222850</v>
      </c>
      <c r="G118" s="482">
        <f t="shared" si="66"/>
        <v>227952</v>
      </c>
      <c r="H118" s="483">
        <f t="shared" si="67"/>
        <v>40822.218526611745</v>
      </c>
      <c r="I118" s="539">
        <f t="shared" si="68"/>
        <v>40822.218526611745</v>
      </c>
      <c r="J118" s="475">
        <f t="shared" si="35"/>
        <v>0</v>
      </c>
      <c r="K118" s="475"/>
      <c r="L118" s="484"/>
      <c r="M118" s="475">
        <f t="shared" si="39"/>
        <v>0</v>
      </c>
      <c r="N118" s="484"/>
      <c r="O118" s="475">
        <f t="shared" si="41"/>
        <v>0</v>
      </c>
      <c r="P118" s="475">
        <f t="shared" si="36"/>
        <v>0</v>
      </c>
    </row>
    <row r="119" spans="2:16" ht="12.5">
      <c r="B119" s="160" t="str">
        <f t="shared" si="37"/>
        <v/>
      </c>
      <c r="C119" s="469">
        <f>IF(D93="","-",+C118+1)</f>
        <v>2026</v>
      </c>
      <c r="D119" s="344">
        <f>IF(F118+SUM(E$99:E118)=D$92,F118,D$92-SUM(E$99:E118))</f>
        <v>222850</v>
      </c>
      <c r="E119" s="483">
        <f>IF(+J96&lt;F118,J96,D119)</f>
        <v>10204</v>
      </c>
      <c r="F119" s="482">
        <f t="shared" si="65"/>
        <v>212646</v>
      </c>
      <c r="G119" s="482">
        <f t="shared" si="66"/>
        <v>217748</v>
      </c>
      <c r="H119" s="483">
        <f t="shared" si="67"/>
        <v>39451.630412247556</v>
      </c>
      <c r="I119" s="539">
        <f t="shared" si="68"/>
        <v>39451.630412247556</v>
      </c>
      <c r="J119" s="475">
        <f t="shared" si="35"/>
        <v>0</v>
      </c>
      <c r="K119" s="475"/>
      <c r="L119" s="484"/>
      <c r="M119" s="475">
        <f t="shared" si="39"/>
        <v>0</v>
      </c>
      <c r="N119" s="484"/>
      <c r="O119" s="475">
        <f t="shared" si="41"/>
        <v>0</v>
      </c>
      <c r="P119" s="475">
        <f t="shared" si="36"/>
        <v>0</v>
      </c>
    </row>
    <row r="120" spans="2:16" ht="12.5">
      <c r="B120" s="160" t="str">
        <f t="shared" si="37"/>
        <v/>
      </c>
      <c r="C120" s="469">
        <f>IF(D93="","-",+C119+1)</f>
        <v>2027</v>
      </c>
      <c r="D120" s="344">
        <f>IF(F119+SUM(E$99:E119)=D$92,F119,D$92-SUM(E$99:E119))</f>
        <v>212646</v>
      </c>
      <c r="E120" s="483">
        <f>IF(+J96&lt;F119,J96,D120)</f>
        <v>10204</v>
      </c>
      <c r="F120" s="482">
        <f t="shared" si="65"/>
        <v>202442</v>
      </c>
      <c r="G120" s="482">
        <f t="shared" si="66"/>
        <v>207544</v>
      </c>
      <c r="H120" s="483">
        <f t="shared" si="67"/>
        <v>38081.042297883359</v>
      </c>
      <c r="I120" s="539">
        <f t="shared" si="68"/>
        <v>38081.042297883359</v>
      </c>
      <c r="J120" s="475">
        <f t="shared" si="35"/>
        <v>0</v>
      </c>
      <c r="K120" s="475"/>
      <c r="L120" s="484"/>
      <c r="M120" s="475">
        <f t="shared" si="39"/>
        <v>0</v>
      </c>
      <c r="N120" s="484"/>
      <c r="O120" s="475">
        <f t="shared" si="41"/>
        <v>0</v>
      </c>
      <c r="P120" s="475">
        <f t="shared" si="36"/>
        <v>0</v>
      </c>
    </row>
    <row r="121" spans="2:16" ht="12.5">
      <c r="B121" s="160" t="str">
        <f t="shared" si="37"/>
        <v/>
      </c>
      <c r="C121" s="469">
        <f>IF(D93="","-",+C120+1)</f>
        <v>2028</v>
      </c>
      <c r="D121" s="344">
        <f>IF(F120+SUM(E$99:E120)=D$92,F120,D$92-SUM(E$99:E120))</f>
        <v>202442</v>
      </c>
      <c r="E121" s="483">
        <f>IF(+J96&lt;F120,J96,D121)</f>
        <v>10204</v>
      </c>
      <c r="F121" s="482">
        <f t="shared" si="65"/>
        <v>192238</v>
      </c>
      <c r="G121" s="482">
        <f t="shared" si="66"/>
        <v>197340</v>
      </c>
      <c r="H121" s="483">
        <f t="shared" si="67"/>
        <v>36710.454183519163</v>
      </c>
      <c r="I121" s="539">
        <f t="shared" si="68"/>
        <v>36710.454183519163</v>
      </c>
      <c r="J121" s="475">
        <f t="shared" si="35"/>
        <v>0</v>
      </c>
      <c r="K121" s="475"/>
      <c r="L121" s="484"/>
      <c r="M121" s="475">
        <f t="shared" si="39"/>
        <v>0</v>
      </c>
      <c r="N121" s="484"/>
      <c r="O121" s="475">
        <f t="shared" si="41"/>
        <v>0</v>
      </c>
      <c r="P121" s="475">
        <f t="shared" si="36"/>
        <v>0</v>
      </c>
    </row>
    <row r="122" spans="2:16" ht="12.5">
      <c r="B122" s="160" t="str">
        <f t="shared" si="37"/>
        <v/>
      </c>
      <c r="C122" s="469">
        <f>IF(D93="","-",+C121+1)</f>
        <v>2029</v>
      </c>
      <c r="D122" s="344">
        <f>IF(F121+SUM(E$99:E121)=D$92,F121,D$92-SUM(E$99:E121))</f>
        <v>192238</v>
      </c>
      <c r="E122" s="483">
        <f>IF(+J96&lt;F121,J96,D122)</f>
        <v>10204</v>
      </c>
      <c r="F122" s="482">
        <f t="shared" si="65"/>
        <v>182034</v>
      </c>
      <c r="G122" s="482">
        <f t="shared" si="66"/>
        <v>187136</v>
      </c>
      <c r="H122" s="483">
        <f t="shared" si="67"/>
        <v>35339.866069154974</v>
      </c>
      <c r="I122" s="539">
        <f t="shared" si="68"/>
        <v>35339.866069154974</v>
      </c>
      <c r="J122" s="475">
        <f t="shared" si="35"/>
        <v>0</v>
      </c>
      <c r="K122" s="475"/>
      <c r="L122" s="484"/>
      <c r="M122" s="475">
        <f t="shared" si="39"/>
        <v>0</v>
      </c>
      <c r="N122" s="484"/>
      <c r="O122" s="475">
        <f t="shared" si="41"/>
        <v>0</v>
      </c>
      <c r="P122" s="475">
        <f t="shared" si="36"/>
        <v>0</v>
      </c>
    </row>
    <row r="123" spans="2:16" ht="12.5">
      <c r="B123" s="160" t="str">
        <f t="shared" si="37"/>
        <v/>
      </c>
      <c r="C123" s="469">
        <f>IF(D93="","-",+C122+1)</f>
        <v>2030</v>
      </c>
      <c r="D123" s="344">
        <f>IF(F122+SUM(E$99:E122)=D$92,F122,D$92-SUM(E$99:E122))</f>
        <v>182034</v>
      </c>
      <c r="E123" s="483">
        <f>IF(+J96&lt;F122,J96,D123)</f>
        <v>10204</v>
      </c>
      <c r="F123" s="482">
        <f t="shared" si="65"/>
        <v>171830</v>
      </c>
      <c r="G123" s="482">
        <f t="shared" si="66"/>
        <v>176932</v>
      </c>
      <c r="H123" s="483">
        <f t="shared" si="67"/>
        <v>33969.277954790785</v>
      </c>
      <c r="I123" s="539">
        <f t="shared" si="68"/>
        <v>33969.277954790785</v>
      </c>
      <c r="J123" s="475">
        <f t="shared" si="35"/>
        <v>0</v>
      </c>
      <c r="K123" s="475"/>
      <c r="L123" s="484"/>
      <c r="M123" s="475">
        <f t="shared" si="39"/>
        <v>0</v>
      </c>
      <c r="N123" s="484"/>
      <c r="O123" s="475">
        <f t="shared" si="41"/>
        <v>0</v>
      </c>
      <c r="P123" s="475">
        <f t="shared" si="36"/>
        <v>0</v>
      </c>
    </row>
    <row r="124" spans="2:16" ht="12.5">
      <c r="B124" s="160" t="str">
        <f t="shared" si="37"/>
        <v/>
      </c>
      <c r="C124" s="469">
        <f>IF(D93="","-",+C123+1)</f>
        <v>2031</v>
      </c>
      <c r="D124" s="344">
        <f>IF(F123+SUM(E$99:E123)=D$92,F123,D$92-SUM(E$99:E123))</f>
        <v>171830</v>
      </c>
      <c r="E124" s="483">
        <f>IF(+J96&lt;F123,J96,D124)</f>
        <v>10204</v>
      </c>
      <c r="F124" s="482">
        <f t="shared" si="65"/>
        <v>161626</v>
      </c>
      <c r="G124" s="482">
        <f t="shared" si="66"/>
        <v>166728</v>
      </c>
      <c r="H124" s="483">
        <f t="shared" si="67"/>
        <v>32598.689840426592</v>
      </c>
      <c r="I124" s="539">
        <f t="shared" si="68"/>
        <v>32598.689840426592</v>
      </c>
      <c r="J124" s="475">
        <f t="shared" si="35"/>
        <v>0</v>
      </c>
      <c r="K124" s="475"/>
      <c r="L124" s="484"/>
      <c r="M124" s="475">
        <f t="shared" si="39"/>
        <v>0</v>
      </c>
      <c r="N124" s="484"/>
      <c r="O124" s="475">
        <f t="shared" si="41"/>
        <v>0</v>
      </c>
      <c r="P124" s="475">
        <f t="shared" si="36"/>
        <v>0</v>
      </c>
    </row>
    <row r="125" spans="2:16" ht="12.5">
      <c r="B125" s="160" t="str">
        <f t="shared" si="37"/>
        <v/>
      </c>
      <c r="C125" s="469">
        <f>IF(D93="","-",+C124+1)</f>
        <v>2032</v>
      </c>
      <c r="D125" s="344">
        <f>IF(F124+SUM(E$99:E124)=D$92,F124,D$92-SUM(E$99:E124))</f>
        <v>161626</v>
      </c>
      <c r="E125" s="483">
        <f>IF(+J96&lt;F124,J96,D125)</f>
        <v>10204</v>
      </c>
      <c r="F125" s="482">
        <f t="shared" si="65"/>
        <v>151422</v>
      </c>
      <c r="G125" s="482">
        <f t="shared" si="66"/>
        <v>156524</v>
      </c>
      <c r="H125" s="483">
        <f t="shared" si="67"/>
        <v>31228.101726062399</v>
      </c>
      <c r="I125" s="539">
        <f t="shared" si="68"/>
        <v>31228.101726062399</v>
      </c>
      <c r="J125" s="475">
        <f t="shared" si="35"/>
        <v>0</v>
      </c>
      <c r="K125" s="475"/>
      <c r="L125" s="484"/>
      <c r="M125" s="475">
        <f t="shared" si="39"/>
        <v>0</v>
      </c>
      <c r="N125" s="484"/>
      <c r="O125" s="475">
        <f t="shared" si="41"/>
        <v>0</v>
      </c>
      <c r="P125" s="475">
        <f t="shared" si="36"/>
        <v>0</v>
      </c>
    </row>
    <row r="126" spans="2:16" ht="12.5">
      <c r="B126" s="160" t="str">
        <f t="shared" si="37"/>
        <v/>
      </c>
      <c r="C126" s="469">
        <f>IF(D93="","-",+C125+1)</f>
        <v>2033</v>
      </c>
      <c r="D126" s="344">
        <f>IF(F125+SUM(E$99:E125)=D$92,F125,D$92-SUM(E$99:E125))</f>
        <v>151422</v>
      </c>
      <c r="E126" s="483">
        <f>IF(+J96&lt;F125,J96,D126)</f>
        <v>10204</v>
      </c>
      <c r="F126" s="482">
        <f t="shared" si="65"/>
        <v>141218</v>
      </c>
      <c r="G126" s="482">
        <f t="shared" si="66"/>
        <v>146320</v>
      </c>
      <c r="H126" s="483">
        <f t="shared" si="67"/>
        <v>29857.51361169821</v>
      </c>
      <c r="I126" s="539">
        <f t="shared" si="68"/>
        <v>29857.51361169821</v>
      </c>
      <c r="J126" s="475">
        <f t="shared" si="35"/>
        <v>0</v>
      </c>
      <c r="K126" s="475"/>
      <c r="L126" s="484"/>
      <c r="M126" s="475">
        <f t="shared" si="39"/>
        <v>0</v>
      </c>
      <c r="N126" s="484"/>
      <c r="O126" s="475">
        <f t="shared" si="41"/>
        <v>0</v>
      </c>
      <c r="P126" s="475">
        <f t="shared" si="36"/>
        <v>0</v>
      </c>
    </row>
    <row r="127" spans="2:16" ht="12.5">
      <c r="B127" s="160" t="str">
        <f t="shared" si="37"/>
        <v/>
      </c>
      <c r="C127" s="469">
        <f>IF(D93="","-",+C126+1)</f>
        <v>2034</v>
      </c>
      <c r="D127" s="344">
        <f>IF(F126+SUM(E$99:E126)=D$92,F126,D$92-SUM(E$99:E126))</f>
        <v>141218</v>
      </c>
      <c r="E127" s="483">
        <f>IF(+J96&lt;F126,J96,D127)</f>
        <v>10204</v>
      </c>
      <c r="F127" s="482">
        <f t="shared" si="65"/>
        <v>131014</v>
      </c>
      <c r="G127" s="482">
        <f t="shared" si="66"/>
        <v>136116</v>
      </c>
      <c r="H127" s="483">
        <f t="shared" si="67"/>
        <v>28486.925497334018</v>
      </c>
      <c r="I127" s="539">
        <f t="shared" si="68"/>
        <v>28486.925497334018</v>
      </c>
      <c r="J127" s="475">
        <f t="shared" si="35"/>
        <v>0</v>
      </c>
      <c r="K127" s="475"/>
      <c r="L127" s="484"/>
      <c r="M127" s="475">
        <f t="shared" si="39"/>
        <v>0</v>
      </c>
      <c r="N127" s="484"/>
      <c r="O127" s="475">
        <f t="shared" si="41"/>
        <v>0</v>
      </c>
      <c r="P127" s="475">
        <f t="shared" si="36"/>
        <v>0</v>
      </c>
    </row>
    <row r="128" spans="2:16" ht="12.5">
      <c r="B128" s="160" t="str">
        <f t="shared" si="37"/>
        <v/>
      </c>
      <c r="C128" s="469">
        <f>IF(D93="","-",+C127+1)</f>
        <v>2035</v>
      </c>
      <c r="D128" s="344">
        <f>IF(F127+SUM(E$99:E127)=D$92,F127,D$92-SUM(E$99:E127))</f>
        <v>131014</v>
      </c>
      <c r="E128" s="483">
        <f>IF(+J96&lt;F127,J96,D128)</f>
        <v>10204</v>
      </c>
      <c r="F128" s="482">
        <f t="shared" si="65"/>
        <v>120810</v>
      </c>
      <c r="G128" s="482">
        <f t="shared" si="66"/>
        <v>125912</v>
      </c>
      <c r="H128" s="483">
        <f t="shared" si="67"/>
        <v>27116.337382969825</v>
      </c>
      <c r="I128" s="539">
        <f t="shared" si="68"/>
        <v>27116.337382969825</v>
      </c>
      <c r="J128" s="475">
        <f t="shared" si="35"/>
        <v>0</v>
      </c>
      <c r="K128" s="475"/>
      <c r="L128" s="484"/>
      <c r="M128" s="475">
        <f t="shared" si="39"/>
        <v>0</v>
      </c>
      <c r="N128" s="484"/>
      <c r="O128" s="475">
        <f t="shared" si="41"/>
        <v>0</v>
      </c>
      <c r="P128" s="475">
        <f t="shared" si="36"/>
        <v>0</v>
      </c>
    </row>
    <row r="129" spans="2:16" ht="12.5">
      <c r="B129" s="160" t="str">
        <f t="shared" si="37"/>
        <v/>
      </c>
      <c r="C129" s="469">
        <f>IF(D93="","-",+C128+1)</f>
        <v>2036</v>
      </c>
      <c r="D129" s="344">
        <f>IF(F128+SUM(E$99:E128)=D$92,F128,D$92-SUM(E$99:E128))</f>
        <v>120810</v>
      </c>
      <c r="E129" s="483">
        <f>IF(+J96&lt;F128,J96,D129)</f>
        <v>10204</v>
      </c>
      <c r="F129" s="482">
        <f t="shared" si="65"/>
        <v>110606</v>
      </c>
      <c r="G129" s="482">
        <f t="shared" si="66"/>
        <v>115708</v>
      </c>
      <c r="H129" s="483">
        <f t="shared" si="67"/>
        <v>25745.749268605636</v>
      </c>
      <c r="I129" s="539">
        <f t="shared" si="68"/>
        <v>25745.749268605636</v>
      </c>
      <c r="J129" s="475">
        <f t="shared" si="35"/>
        <v>0</v>
      </c>
      <c r="K129" s="475"/>
      <c r="L129" s="484"/>
      <c r="M129" s="475">
        <f t="shared" si="39"/>
        <v>0</v>
      </c>
      <c r="N129" s="484"/>
      <c r="O129" s="475">
        <f t="shared" si="41"/>
        <v>0</v>
      </c>
      <c r="P129" s="475">
        <f t="shared" si="36"/>
        <v>0</v>
      </c>
    </row>
    <row r="130" spans="2:16" ht="12.5">
      <c r="B130" s="160" t="str">
        <f t="shared" si="37"/>
        <v/>
      </c>
      <c r="C130" s="469">
        <f>IF(D93="","-",+C129+1)</f>
        <v>2037</v>
      </c>
      <c r="D130" s="344">
        <f>IF(F129+SUM(E$99:E129)=D$92,F129,D$92-SUM(E$99:E129))</f>
        <v>110606</v>
      </c>
      <c r="E130" s="483">
        <f>IF(+J96&lt;F129,J96,D130)</f>
        <v>10204</v>
      </c>
      <c r="F130" s="482">
        <f t="shared" si="65"/>
        <v>100402</v>
      </c>
      <c r="G130" s="482">
        <f t="shared" si="66"/>
        <v>105504</v>
      </c>
      <c r="H130" s="483">
        <f t="shared" si="67"/>
        <v>24375.161154241443</v>
      </c>
      <c r="I130" s="539">
        <f t="shared" si="68"/>
        <v>24375.161154241443</v>
      </c>
      <c r="J130" s="475">
        <f t="shared" si="35"/>
        <v>0</v>
      </c>
      <c r="K130" s="475"/>
      <c r="L130" s="484"/>
      <c r="M130" s="475">
        <f t="shared" si="39"/>
        <v>0</v>
      </c>
      <c r="N130" s="484"/>
      <c r="O130" s="475">
        <f t="shared" si="41"/>
        <v>0</v>
      </c>
      <c r="P130" s="475">
        <f t="shared" si="36"/>
        <v>0</v>
      </c>
    </row>
    <row r="131" spans="2:16" ht="12.5">
      <c r="B131" s="160" t="str">
        <f t="shared" si="37"/>
        <v/>
      </c>
      <c r="C131" s="469">
        <f>IF(D93="","-",+C130+1)</f>
        <v>2038</v>
      </c>
      <c r="D131" s="344">
        <f>IF(F130+SUM(E$99:E130)=D$92,F130,D$92-SUM(E$99:E130))</f>
        <v>100402</v>
      </c>
      <c r="E131" s="483">
        <f>IF(+J96&lt;F130,J96,D131)</f>
        <v>10204</v>
      </c>
      <c r="F131" s="482">
        <f t="shared" ref="F131:F154" si="69">+D131-E131</f>
        <v>90198</v>
      </c>
      <c r="G131" s="482">
        <f t="shared" ref="G131:G154" si="70">+(F131+D131)/2</f>
        <v>95300</v>
      </c>
      <c r="H131" s="483">
        <f t="shared" si="67"/>
        <v>23004.57303987725</v>
      </c>
      <c r="I131" s="539">
        <f t="shared" si="68"/>
        <v>23004.57303987725</v>
      </c>
      <c r="J131" s="475">
        <f t="shared" ref="J131:J154" si="71">+I131-H131</f>
        <v>0</v>
      </c>
      <c r="K131" s="475"/>
      <c r="L131" s="484"/>
      <c r="M131" s="475">
        <f t="shared" si="39"/>
        <v>0</v>
      </c>
      <c r="N131" s="484"/>
      <c r="O131" s="475">
        <f t="shared" si="41"/>
        <v>0</v>
      </c>
      <c r="P131" s="475">
        <f t="shared" ref="P131:P154" si="72">+O131-M131</f>
        <v>0</v>
      </c>
    </row>
    <row r="132" spans="2:16" ht="12.5">
      <c r="B132" s="160" t="str">
        <f t="shared" si="37"/>
        <v/>
      </c>
      <c r="C132" s="469">
        <f>IF(D93="","-",+C131+1)</f>
        <v>2039</v>
      </c>
      <c r="D132" s="344">
        <f>IF(F131+SUM(E$99:E131)=D$92,F131,D$92-SUM(E$99:E131))</f>
        <v>90198</v>
      </c>
      <c r="E132" s="483">
        <f>IF(+J96&lt;F131,J96,D132)</f>
        <v>10204</v>
      </c>
      <c r="F132" s="482">
        <f t="shared" si="69"/>
        <v>79994</v>
      </c>
      <c r="G132" s="482">
        <f t="shared" si="70"/>
        <v>85096</v>
      </c>
      <c r="H132" s="483">
        <f t="shared" si="67"/>
        <v>21633.984925513061</v>
      </c>
      <c r="I132" s="539">
        <f t="shared" si="68"/>
        <v>21633.984925513061</v>
      </c>
      <c r="J132" s="475">
        <f t="shared" si="71"/>
        <v>0</v>
      </c>
      <c r="K132" s="475"/>
      <c r="L132" s="484"/>
      <c r="M132" s="475">
        <f t="shared" si="39"/>
        <v>0</v>
      </c>
      <c r="N132" s="484"/>
      <c r="O132" s="475">
        <f t="shared" si="41"/>
        <v>0</v>
      </c>
      <c r="P132" s="475">
        <f t="shared" si="72"/>
        <v>0</v>
      </c>
    </row>
    <row r="133" spans="2:16" ht="12.5">
      <c r="B133" s="160" t="str">
        <f t="shared" si="37"/>
        <v/>
      </c>
      <c r="C133" s="469">
        <f>IF(D93="","-",+C132+1)</f>
        <v>2040</v>
      </c>
      <c r="D133" s="344">
        <f>IF(F132+SUM(E$99:E132)=D$92,F132,D$92-SUM(E$99:E132))</f>
        <v>79994</v>
      </c>
      <c r="E133" s="483">
        <f>IF(+J96&lt;F132,J96,D133)</f>
        <v>10204</v>
      </c>
      <c r="F133" s="482">
        <f t="shared" si="69"/>
        <v>69790</v>
      </c>
      <c r="G133" s="482">
        <f t="shared" si="70"/>
        <v>74892</v>
      </c>
      <c r="H133" s="483">
        <f t="shared" si="67"/>
        <v>20263.396811148865</v>
      </c>
      <c r="I133" s="539">
        <f t="shared" si="68"/>
        <v>20263.396811148865</v>
      </c>
      <c r="J133" s="475">
        <f t="shared" si="71"/>
        <v>0</v>
      </c>
      <c r="K133" s="475"/>
      <c r="L133" s="484"/>
      <c r="M133" s="475">
        <f t="shared" si="39"/>
        <v>0</v>
      </c>
      <c r="N133" s="484"/>
      <c r="O133" s="475">
        <f t="shared" si="41"/>
        <v>0</v>
      </c>
      <c r="P133" s="475">
        <f t="shared" si="72"/>
        <v>0</v>
      </c>
    </row>
    <row r="134" spans="2:16" ht="12.5">
      <c r="B134" s="160" t="str">
        <f t="shared" si="37"/>
        <v/>
      </c>
      <c r="C134" s="469">
        <f>IF(D93="","-",+C133+1)</f>
        <v>2041</v>
      </c>
      <c r="D134" s="344">
        <f>IF(F133+SUM(E$99:E133)=D$92,F133,D$92-SUM(E$99:E133))</f>
        <v>69790</v>
      </c>
      <c r="E134" s="483">
        <f>IF(+J96&lt;F133,J96,D134)</f>
        <v>10204</v>
      </c>
      <c r="F134" s="482">
        <f t="shared" si="69"/>
        <v>59586</v>
      </c>
      <c r="G134" s="482">
        <f t="shared" si="70"/>
        <v>64688</v>
      </c>
      <c r="H134" s="483">
        <f t="shared" si="67"/>
        <v>18892.808696784676</v>
      </c>
      <c r="I134" s="539">
        <f t="shared" si="68"/>
        <v>18892.808696784676</v>
      </c>
      <c r="J134" s="475">
        <f t="shared" si="71"/>
        <v>0</v>
      </c>
      <c r="K134" s="475"/>
      <c r="L134" s="484"/>
      <c r="M134" s="475">
        <f t="shared" ref="M134:M154" si="73">IF(L134&lt;&gt;0,+H134-L134,0)</f>
        <v>0</v>
      </c>
      <c r="N134" s="484"/>
      <c r="O134" s="475">
        <f t="shared" ref="O134:O154" si="74">IF(N134&lt;&gt;0,+I134-N134,0)</f>
        <v>0</v>
      </c>
      <c r="P134" s="475">
        <f t="shared" si="72"/>
        <v>0</v>
      </c>
    </row>
    <row r="135" spans="2:16" ht="12.5">
      <c r="B135" s="160" t="str">
        <f t="shared" si="37"/>
        <v/>
      </c>
      <c r="C135" s="469">
        <f>IF(D93="","-",+C134+1)</f>
        <v>2042</v>
      </c>
      <c r="D135" s="344">
        <f>IF(F134+SUM(E$99:E134)=D$92,F134,D$92-SUM(E$99:E134))</f>
        <v>59586</v>
      </c>
      <c r="E135" s="483">
        <f>IF(+J96&lt;F134,J96,D135)</f>
        <v>10204</v>
      </c>
      <c r="F135" s="482">
        <f t="shared" si="69"/>
        <v>49382</v>
      </c>
      <c r="G135" s="482">
        <f t="shared" si="70"/>
        <v>54484</v>
      </c>
      <c r="H135" s="483">
        <f t="shared" si="67"/>
        <v>17522.220582420483</v>
      </c>
      <c r="I135" s="539">
        <f t="shared" si="68"/>
        <v>17522.220582420483</v>
      </c>
      <c r="J135" s="475">
        <f t="shared" si="71"/>
        <v>0</v>
      </c>
      <c r="K135" s="475"/>
      <c r="L135" s="484"/>
      <c r="M135" s="475">
        <f t="shared" si="73"/>
        <v>0</v>
      </c>
      <c r="N135" s="484"/>
      <c r="O135" s="475">
        <f t="shared" si="74"/>
        <v>0</v>
      </c>
      <c r="P135" s="475">
        <f t="shared" si="72"/>
        <v>0</v>
      </c>
    </row>
    <row r="136" spans="2:16" ht="12.5">
      <c r="B136" s="160" t="str">
        <f t="shared" si="37"/>
        <v/>
      </c>
      <c r="C136" s="469">
        <f>IF(D93="","-",+C135+1)</f>
        <v>2043</v>
      </c>
      <c r="D136" s="344">
        <f>IF(F135+SUM(E$99:E135)=D$92,F135,D$92-SUM(E$99:E135))</f>
        <v>49382</v>
      </c>
      <c r="E136" s="483">
        <f>IF(+J96&lt;F135,J96,D136)</f>
        <v>10204</v>
      </c>
      <c r="F136" s="482">
        <f t="shared" si="69"/>
        <v>39178</v>
      </c>
      <c r="G136" s="482">
        <f t="shared" si="70"/>
        <v>44280</v>
      </c>
      <c r="H136" s="483">
        <f t="shared" si="67"/>
        <v>16151.632468056292</v>
      </c>
      <c r="I136" s="539">
        <f t="shared" si="68"/>
        <v>16151.632468056292</v>
      </c>
      <c r="J136" s="475">
        <f t="shared" si="71"/>
        <v>0</v>
      </c>
      <c r="K136" s="475"/>
      <c r="L136" s="484"/>
      <c r="M136" s="475">
        <f t="shared" si="73"/>
        <v>0</v>
      </c>
      <c r="N136" s="484"/>
      <c r="O136" s="475">
        <f t="shared" si="74"/>
        <v>0</v>
      </c>
      <c r="P136" s="475">
        <f t="shared" si="72"/>
        <v>0</v>
      </c>
    </row>
    <row r="137" spans="2:16" ht="12.5">
      <c r="B137" s="160" t="str">
        <f t="shared" si="37"/>
        <v/>
      </c>
      <c r="C137" s="469">
        <f>IF(D93="","-",+C136+1)</f>
        <v>2044</v>
      </c>
      <c r="D137" s="344">
        <f>IF(F136+SUM(E$99:E136)=D$92,F136,D$92-SUM(E$99:E136))</f>
        <v>39178</v>
      </c>
      <c r="E137" s="483">
        <f>IF(+J96&lt;F136,J96,D137)</f>
        <v>10204</v>
      </c>
      <c r="F137" s="482">
        <f t="shared" si="69"/>
        <v>28974</v>
      </c>
      <c r="G137" s="482">
        <f t="shared" si="70"/>
        <v>34076</v>
      </c>
      <c r="H137" s="483">
        <f t="shared" si="67"/>
        <v>14781.044353692101</v>
      </c>
      <c r="I137" s="539">
        <f t="shared" si="68"/>
        <v>14781.044353692101</v>
      </c>
      <c r="J137" s="475">
        <f t="shared" si="71"/>
        <v>0</v>
      </c>
      <c r="K137" s="475"/>
      <c r="L137" s="484"/>
      <c r="M137" s="475">
        <f t="shared" si="73"/>
        <v>0</v>
      </c>
      <c r="N137" s="484"/>
      <c r="O137" s="475">
        <f t="shared" si="74"/>
        <v>0</v>
      </c>
      <c r="P137" s="475">
        <f t="shared" si="72"/>
        <v>0</v>
      </c>
    </row>
    <row r="138" spans="2:16" ht="12.5">
      <c r="B138" s="160" t="str">
        <f t="shared" si="37"/>
        <v/>
      </c>
      <c r="C138" s="469">
        <f>IF(D93="","-",+C137+1)</f>
        <v>2045</v>
      </c>
      <c r="D138" s="344">
        <f>IF(F137+SUM(E$99:E137)=D$92,F137,D$92-SUM(E$99:E137))</f>
        <v>28974</v>
      </c>
      <c r="E138" s="483">
        <f>IF(+J96&lt;F137,J96,D138)</f>
        <v>10204</v>
      </c>
      <c r="F138" s="482">
        <f t="shared" si="69"/>
        <v>18770</v>
      </c>
      <c r="G138" s="482">
        <f t="shared" si="70"/>
        <v>23872</v>
      </c>
      <c r="H138" s="483">
        <f t="shared" si="67"/>
        <v>13410.456239327908</v>
      </c>
      <c r="I138" s="539">
        <f t="shared" si="68"/>
        <v>13410.456239327908</v>
      </c>
      <c r="J138" s="475">
        <f t="shared" si="71"/>
        <v>0</v>
      </c>
      <c r="K138" s="475"/>
      <c r="L138" s="484"/>
      <c r="M138" s="475">
        <f t="shared" si="73"/>
        <v>0</v>
      </c>
      <c r="N138" s="484"/>
      <c r="O138" s="475">
        <f t="shared" si="74"/>
        <v>0</v>
      </c>
      <c r="P138" s="475">
        <f t="shared" si="72"/>
        <v>0</v>
      </c>
    </row>
    <row r="139" spans="2:16" ht="12.5">
      <c r="B139" s="160" t="str">
        <f t="shared" si="37"/>
        <v/>
      </c>
      <c r="C139" s="469">
        <f>IF(D93="","-",+C138+1)</f>
        <v>2046</v>
      </c>
      <c r="D139" s="344">
        <f>IF(F138+SUM(E$99:E138)=D$92,F138,D$92-SUM(E$99:E138))</f>
        <v>18770</v>
      </c>
      <c r="E139" s="483">
        <f>IF(+J96&lt;F138,J96,D139)</f>
        <v>10204</v>
      </c>
      <c r="F139" s="482">
        <f t="shared" si="69"/>
        <v>8566</v>
      </c>
      <c r="G139" s="482">
        <f t="shared" si="70"/>
        <v>13668</v>
      </c>
      <c r="H139" s="483">
        <f t="shared" si="67"/>
        <v>12039.868124963717</v>
      </c>
      <c r="I139" s="539">
        <f t="shared" si="68"/>
        <v>12039.868124963717</v>
      </c>
      <c r="J139" s="475">
        <f t="shared" si="71"/>
        <v>0</v>
      </c>
      <c r="K139" s="475"/>
      <c r="L139" s="484"/>
      <c r="M139" s="475">
        <f t="shared" si="73"/>
        <v>0</v>
      </c>
      <c r="N139" s="484"/>
      <c r="O139" s="475">
        <f t="shared" si="74"/>
        <v>0</v>
      </c>
      <c r="P139" s="475">
        <f t="shared" si="72"/>
        <v>0</v>
      </c>
    </row>
    <row r="140" spans="2:16" ht="12.5">
      <c r="B140" s="160" t="str">
        <f t="shared" si="37"/>
        <v/>
      </c>
      <c r="C140" s="469">
        <f>IF(D93="","-",+C139+1)</f>
        <v>2047</v>
      </c>
      <c r="D140" s="344">
        <f>IF(F139+SUM(E$99:E139)=D$92,F139,D$92-SUM(E$99:E139))</f>
        <v>8566</v>
      </c>
      <c r="E140" s="483">
        <f>IF(+J96&lt;F139,J96,D140)</f>
        <v>8566</v>
      </c>
      <c r="F140" s="482">
        <f t="shared" si="69"/>
        <v>0</v>
      </c>
      <c r="G140" s="482">
        <f t="shared" si="70"/>
        <v>4283</v>
      </c>
      <c r="H140" s="483">
        <f t="shared" si="67"/>
        <v>9141.2870338908106</v>
      </c>
      <c r="I140" s="539">
        <f t="shared" si="68"/>
        <v>9141.2870338908106</v>
      </c>
      <c r="J140" s="475">
        <f t="shared" si="71"/>
        <v>0</v>
      </c>
      <c r="K140" s="475"/>
      <c r="L140" s="484"/>
      <c r="M140" s="475">
        <f t="shared" si="73"/>
        <v>0</v>
      </c>
      <c r="N140" s="484"/>
      <c r="O140" s="475">
        <f t="shared" si="74"/>
        <v>0</v>
      </c>
      <c r="P140" s="475">
        <f t="shared" si="72"/>
        <v>0</v>
      </c>
    </row>
    <row r="141" spans="2:16" ht="12.5">
      <c r="B141" s="160" t="str">
        <f t="shared" si="37"/>
        <v/>
      </c>
      <c r="C141" s="469">
        <f>IF(D93="","-",+C140+1)</f>
        <v>2048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69"/>
        <v>0</v>
      </c>
      <c r="G141" s="482">
        <f t="shared" si="70"/>
        <v>0</v>
      </c>
      <c r="H141" s="483">
        <f t="shared" si="67"/>
        <v>0</v>
      </c>
      <c r="I141" s="539">
        <f t="shared" si="68"/>
        <v>0</v>
      </c>
      <c r="J141" s="475">
        <f t="shared" si="71"/>
        <v>0</v>
      </c>
      <c r="K141" s="475"/>
      <c r="L141" s="484"/>
      <c r="M141" s="475">
        <f t="shared" si="73"/>
        <v>0</v>
      </c>
      <c r="N141" s="484"/>
      <c r="O141" s="475">
        <f t="shared" si="74"/>
        <v>0</v>
      </c>
      <c r="P141" s="475">
        <f t="shared" si="72"/>
        <v>0</v>
      </c>
    </row>
    <row r="142" spans="2:16" ht="12.5">
      <c r="B142" s="160" t="str">
        <f t="shared" si="37"/>
        <v/>
      </c>
      <c r="C142" s="469">
        <f>IF(D93="","-",+C141+1)</f>
        <v>2049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69"/>
        <v>0</v>
      </c>
      <c r="G142" s="482">
        <f t="shared" si="70"/>
        <v>0</v>
      </c>
      <c r="H142" s="483">
        <f t="shared" si="67"/>
        <v>0</v>
      </c>
      <c r="I142" s="539">
        <f t="shared" si="68"/>
        <v>0</v>
      </c>
      <c r="J142" s="475">
        <f t="shared" si="71"/>
        <v>0</v>
      </c>
      <c r="K142" s="475"/>
      <c r="L142" s="484"/>
      <c r="M142" s="475">
        <f t="shared" si="73"/>
        <v>0</v>
      </c>
      <c r="N142" s="484"/>
      <c r="O142" s="475">
        <f t="shared" si="74"/>
        <v>0</v>
      </c>
      <c r="P142" s="475">
        <f t="shared" si="72"/>
        <v>0</v>
      </c>
    </row>
    <row r="143" spans="2:16" ht="12.5">
      <c r="B143" s="160" t="str">
        <f t="shared" si="37"/>
        <v/>
      </c>
      <c r="C143" s="469">
        <f>IF(D93="","-",+C142+1)</f>
        <v>2050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69"/>
        <v>0</v>
      </c>
      <c r="G143" s="482">
        <f t="shared" si="70"/>
        <v>0</v>
      </c>
      <c r="H143" s="483">
        <f t="shared" si="67"/>
        <v>0</v>
      </c>
      <c r="I143" s="539">
        <f t="shared" si="68"/>
        <v>0</v>
      </c>
      <c r="J143" s="475">
        <f t="shared" si="71"/>
        <v>0</v>
      </c>
      <c r="K143" s="475"/>
      <c r="L143" s="484"/>
      <c r="M143" s="475">
        <f t="shared" si="73"/>
        <v>0</v>
      </c>
      <c r="N143" s="484"/>
      <c r="O143" s="475">
        <f t="shared" si="74"/>
        <v>0</v>
      </c>
      <c r="P143" s="475">
        <f t="shared" si="72"/>
        <v>0</v>
      </c>
    </row>
    <row r="144" spans="2:16" ht="12.5">
      <c r="B144" s="160" t="str">
        <f t="shared" si="37"/>
        <v/>
      </c>
      <c r="C144" s="469">
        <f>IF(D93="","-",+C143+1)</f>
        <v>2051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69"/>
        <v>0</v>
      </c>
      <c r="G144" s="482">
        <f t="shared" si="70"/>
        <v>0</v>
      </c>
      <c r="H144" s="483">
        <f t="shared" si="67"/>
        <v>0</v>
      </c>
      <c r="I144" s="539">
        <f t="shared" si="68"/>
        <v>0</v>
      </c>
      <c r="J144" s="475">
        <f t="shared" si="71"/>
        <v>0</v>
      </c>
      <c r="K144" s="475"/>
      <c r="L144" s="484"/>
      <c r="M144" s="475">
        <f t="shared" si="73"/>
        <v>0</v>
      </c>
      <c r="N144" s="484"/>
      <c r="O144" s="475">
        <f t="shared" si="74"/>
        <v>0</v>
      </c>
      <c r="P144" s="475">
        <f t="shared" si="72"/>
        <v>0</v>
      </c>
    </row>
    <row r="145" spans="2:16" ht="12.5">
      <c r="B145" s="160" t="str">
        <f t="shared" si="37"/>
        <v/>
      </c>
      <c r="C145" s="469">
        <f>IF(D93="","-",+C144+1)</f>
        <v>2052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69"/>
        <v>0</v>
      </c>
      <c r="G145" s="482">
        <f t="shared" si="70"/>
        <v>0</v>
      </c>
      <c r="H145" s="483">
        <f t="shared" si="67"/>
        <v>0</v>
      </c>
      <c r="I145" s="539">
        <f t="shared" si="68"/>
        <v>0</v>
      </c>
      <c r="J145" s="475">
        <f t="shared" si="71"/>
        <v>0</v>
      </c>
      <c r="K145" s="475"/>
      <c r="L145" s="484"/>
      <c r="M145" s="475">
        <f t="shared" si="73"/>
        <v>0</v>
      </c>
      <c r="N145" s="484"/>
      <c r="O145" s="475">
        <f t="shared" si="74"/>
        <v>0</v>
      </c>
      <c r="P145" s="475">
        <f t="shared" si="72"/>
        <v>0</v>
      </c>
    </row>
    <row r="146" spans="2:16" ht="12.5">
      <c r="B146" s="160" t="str">
        <f t="shared" si="37"/>
        <v/>
      </c>
      <c r="C146" s="469">
        <f>IF(D93="","-",+C145+1)</f>
        <v>2053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69"/>
        <v>0</v>
      </c>
      <c r="G146" s="482">
        <f t="shared" si="70"/>
        <v>0</v>
      </c>
      <c r="H146" s="483">
        <f t="shared" si="67"/>
        <v>0</v>
      </c>
      <c r="I146" s="539">
        <f t="shared" si="68"/>
        <v>0</v>
      </c>
      <c r="J146" s="475">
        <f t="shared" si="71"/>
        <v>0</v>
      </c>
      <c r="K146" s="475"/>
      <c r="L146" s="484"/>
      <c r="M146" s="475">
        <f t="shared" si="73"/>
        <v>0</v>
      </c>
      <c r="N146" s="484"/>
      <c r="O146" s="475">
        <f t="shared" si="74"/>
        <v>0</v>
      </c>
      <c r="P146" s="475">
        <f t="shared" si="72"/>
        <v>0</v>
      </c>
    </row>
    <row r="147" spans="2:16" ht="12.5">
      <c r="B147" s="160" t="str">
        <f t="shared" si="37"/>
        <v/>
      </c>
      <c r="C147" s="469">
        <f>IF(D93="","-",+C146+1)</f>
        <v>2054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69"/>
        <v>0</v>
      </c>
      <c r="G147" s="482">
        <f t="shared" si="70"/>
        <v>0</v>
      </c>
      <c r="H147" s="483">
        <f t="shared" si="67"/>
        <v>0</v>
      </c>
      <c r="I147" s="539">
        <f t="shared" si="68"/>
        <v>0</v>
      </c>
      <c r="J147" s="475">
        <f t="shared" si="71"/>
        <v>0</v>
      </c>
      <c r="K147" s="475"/>
      <c r="L147" s="484"/>
      <c r="M147" s="475">
        <f t="shared" si="73"/>
        <v>0</v>
      </c>
      <c r="N147" s="484"/>
      <c r="O147" s="475">
        <f t="shared" si="74"/>
        <v>0</v>
      </c>
      <c r="P147" s="475">
        <f t="shared" si="72"/>
        <v>0</v>
      </c>
    </row>
    <row r="148" spans="2:16" ht="12.5">
      <c r="B148" s="160" t="str">
        <f t="shared" si="37"/>
        <v/>
      </c>
      <c r="C148" s="469">
        <f>IF(D93="","-",+C147+1)</f>
        <v>2055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69"/>
        <v>0</v>
      </c>
      <c r="G148" s="482">
        <f t="shared" si="70"/>
        <v>0</v>
      </c>
      <c r="H148" s="483">
        <f t="shared" si="67"/>
        <v>0</v>
      </c>
      <c r="I148" s="539">
        <f t="shared" si="68"/>
        <v>0</v>
      </c>
      <c r="J148" s="475">
        <f t="shared" si="71"/>
        <v>0</v>
      </c>
      <c r="K148" s="475"/>
      <c r="L148" s="484"/>
      <c r="M148" s="475">
        <f t="shared" si="73"/>
        <v>0</v>
      </c>
      <c r="N148" s="484"/>
      <c r="O148" s="475">
        <f t="shared" si="74"/>
        <v>0</v>
      </c>
      <c r="P148" s="475">
        <f t="shared" si="72"/>
        <v>0</v>
      </c>
    </row>
    <row r="149" spans="2:16" ht="12.5">
      <c r="B149" s="160" t="str">
        <f t="shared" si="37"/>
        <v/>
      </c>
      <c r="C149" s="469">
        <f>IF(D93="","-",+C148+1)</f>
        <v>2056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69"/>
        <v>0</v>
      </c>
      <c r="G149" s="482">
        <f t="shared" si="70"/>
        <v>0</v>
      </c>
      <c r="H149" s="483">
        <f t="shared" si="67"/>
        <v>0</v>
      </c>
      <c r="I149" s="539">
        <f t="shared" si="68"/>
        <v>0</v>
      </c>
      <c r="J149" s="475">
        <f t="shared" si="71"/>
        <v>0</v>
      </c>
      <c r="K149" s="475"/>
      <c r="L149" s="484"/>
      <c r="M149" s="475">
        <f t="shared" si="73"/>
        <v>0</v>
      </c>
      <c r="N149" s="484"/>
      <c r="O149" s="475">
        <f t="shared" si="74"/>
        <v>0</v>
      </c>
      <c r="P149" s="475">
        <f t="shared" si="72"/>
        <v>0</v>
      </c>
    </row>
    <row r="150" spans="2:16" ht="12.5">
      <c r="B150" s="160" t="str">
        <f t="shared" si="37"/>
        <v/>
      </c>
      <c r="C150" s="469">
        <f>IF(D93="","-",+C149+1)</f>
        <v>2057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69"/>
        <v>0</v>
      </c>
      <c r="G150" s="482">
        <f t="shared" si="70"/>
        <v>0</v>
      </c>
      <c r="H150" s="483">
        <f t="shared" si="67"/>
        <v>0</v>
      </c>
      <c r="I150" s="539">
        <f t="shared" si="68"/>
        <v>0</v>
      </c>
      <c r="J150" s="475">
        <f t="shared" si="71"/>
        <v>0</v>
      </c>
      <c r="K150" s="475"/>
      <c r="L150" s="484"/>
      <c r="M150" s="475">
        <f t="shared" si="73"/>
        <v>0</v>
      </c>
      <c r="N150" s="484"/>
      <c r="O150" s="475">
        <f t="shared" si="74"/>
        <v>0</v>
      </c>
      <c r="P150" s="475">
        <f t="shared" si="72"/>
        <v>0</v>
      </c>
    </row>
    <row r="151" spans="2:16" ht="12.5">
      <c r="B151" s="160" t="str">
        <f t="shared" si="37"/>
        <v/>
      </c>
      <c r="C151" s="469">
        <f>IF(D93="","-",+C150+1)</f>
        <v>2058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69"/>
        <v>0</v>
      </c>
      <c r="G151" s="482">
        <f t="shared" si="70"/>
        <v>0</v>
      </c>
      <c r="H151" s="483">
        <f t="shared" si="67"/>
        <v>0</v>
      </c>
      <c r="I151" s="539">
        <f t="shared" si="68"/>
        <v>0</v>
      </c>
      <c r="J151" s="475">
        <f t="shared" si="71"/>
        <v>0</v>
      </c>
      <c r="K151" s="475"/>
      <c r="L151" s="484"/>
      <c r="M151" s="475">
        <f t="shared" si="73"/>
        <v>0</v>
      </c>
      <c r="N151" s="484"/>
      <c r="O151" s="475">
        <f t="shared" si="74"/>
        <v>0</v>
      </c>
      <c r="P151" s="475">
        <f t="shared" si="72"/>
        <v>0</v>
      </c>
    </row>
    <row r="152" spans="2:16" ht="12.5">
      <c r="B152" s="160" t="str">
        <f t="shared" si="37"/>
        <v/>
      </c>
      <c r="C152" s="469">
        <f>IF(D93="","-",+C151+1)</f>
        <v>2059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69"/>
        <v>0</v>
      </c>
      <c r="G152" s="482">
        <f t="shared" si="70"/>
        <v>0</v>
      </c>
      <c r="H152" s="483">
        <f t="shared" si="67"/>
        <v>0</v>
      </c>
      <c r="I152" s="539">
        <f t="shared" si="68"/>
        <v>0</v>
      </c>
      <c r="J152" s="475">
        <f t="shared" si="71"/>
        <v>0</v>
      </c>
      <c r="K152" s="475"/>
      <c r="L152" s="484"/>
      <c r="M152" s="475">
        <f t="shared" si="73"/>
        <v>0</v>
      </c>
      <c r="N152" s="484"/>
      <c r="O152" s="475">
        <f t="shared" si="74"/>
        <v>0</v>
      </c>
      <c r="P152" s="475">
        <f t="shared" si="72"/>
        <v>0</v>
      </c>
    </row>
    <row r="153" spans="2:16" ht="12.5">
      <c r="B153" s="160" t="str">
        <f t="shared" si="37"/>
        <v/>
      </c>
      <c r="C153" s="469">
        <f>IF(D93="","-",+C152+1)</f>
        <v>2060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69"/>
        <v>0</v>
      </c>
      <c r="G153" s="482">
        <f t="shared" si="70"/>
        <v>0</v>
      </c>
      <c r="H153" s="483">
        <f t="shared" si="67"/>
        <v>0</v>
      </c>
      <c r="I153" s="539">
        <f t="shared" si="68"/>
        <v>0</v>
      </c>
      <c r="J153" s="475">
        <f t="shared" si="71"/>
        <v>0</v>
      </c>
      <c r="K153" s="475"/>
      <c r="L153" s="484"/>
      <c r="M153" s="475">
        <f t="shared" si="73"/>
        <v>0</v>
      </c>
      <c r="N153" s="484"/>
      <c r="O153" s="475">
        <f t="shared" si="74"/>
        <v>0</v>
      </c>
      <c r="P153" s="475">
        <f t="shared" si="72"/>
        <v>0</v>
      </c>
    </row>
    <row r="154" spans="2:16" ht="13" thickBot="1">
      <c r="B154" s="160" t="str">
        <f t="shared" si="37"/>
        <v/>
      </c>
      <c r="C154" s="486">
        <f>IF(D93="","-",+C153+1)</f>
        <v>2061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69"/>
        <v>0</v>
      </c>
      <c r="G154" s="487">
        <f t="shared" si="70"/>
        <v>0</v>
      </c>
      <c r="H154" s="489">
        <f t="shared" ref="H154" si="75">+J$94*G154+E154</f>
        <v>0</v>
      </c>
      <c r="I154" s="542">
        <f t="shared" ref="I154" si="76">+J$95*G154+E154</f>
        <v>0</v>
      </c>
      <c r="J154" s="492">
        <f t="shared" si="71"/>
        <v>0</v>
      </c>
      <c r="K154" s="475"/>
      <c r="L154" s="491"/>
      <c r="M154" s="492">
        <f t="shared" si="73"/>
        <v>0</v>
      </c>
      <c r="N154" s="491"/>
      <c r="O154" s="492">
        <f t="shared" si="74"/>
        <v>0</v>
      </c>
      <c r="P154" s="492">
        <f t="shared" si="72"/>
        <v>0</v>
      </c>
    </row>
    <row r="155" spans="2:16" ht="12.5">
      <c r="C155" s="344" t="s">
        <v>77</v>
      </c>
      <c r="D155" s="345"/>
      <c r="E155" s="345">
        <f>SUM(E99:E154)</f>
        <v>387742</v>
      </c>
      <c r="F155" s="345"/>
      <c r="G155" s="345"/>
      <c r="H155" s="345">
        <f>SUM(H99:H154)</f>
        <v>1497661.9452963271</v>
      </c>
      <c r="I155" s="345">
        <f>SUM(I99:I154)</f>
        <v>1497661.9452963271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148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63" priority="1" stopIfTrue="1" operator="equal">
      <formula>$I$10</formula>
    </cfRule>
  </conditionalFormatting>
  <conditionalFormatting sqref="C99:C154">
    <cfRule type="cellIs" dxfId="62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ignoredErrors>
    <ignoredError sqref="M101 O101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54"/>
  <dimension ref="A1:P162"/>
  <sheetViews>
    <sheetView zoomScaleNormal="100" zoomScaleSheetLayoutView="75" workbookViewId="0">
      <selection activeCell="Q18" sqref="Q18:V52"/>
    </sheetView>
  </sheetViews>
  <sheetFormatPr defaultColWidth="8.7265625" defaultRowHeight="12.75" customHeight="1"/>
  <cols>
    <col min="1" max="1" width="4.7265625" style="148" customWidth="1"/>
    <col min="2" max="2" width="6.7265625" style="148" customWidth="1"/>
    <col min="3" max="3" width="23.26953125" style="148" customWidth="1"/>
    <col min="4" max="8" width="17.7265625" style="148" customWidth="1"/>
    <col min="9" max="9" width="20.453125" style="148" customWidth="1"/>
    <col min="10" max="10" width="16.453125" style="148" customWidth="1"/>
    <col min="11" max="11" width="17.7265625" style="148" customWidth="1"/>
    <col min="12" max="12" width="16.1796875" style="148" customWidth="1"/>
    <col min="13" max="13" width="17.7265625" style="148" customWidth="1"/>
    <col min="14" max="14" width="16.7265625" style="148" customWidth="1"/>
    <col min="15" max="15" width="16.81640625" style="148" customWidth="1"/>
    <col min="16" max="16" width="24.453125" style="148" customWidth="1"/>
    <col min="17" max="17" width="9.1796875" style="148" customWidth="1"/>
    <col min="18" max="22" width="8.7265625" style="148"/>
    <col min="23" max="23" width="9.1796875" style="148" customWidth="1"/>
    <col min="24" max="16384" width="8.7265625" style="148"/>
  </cols>
  <sheetData>
    <row r="1" spans="1:16" ht="20">
      <c r="A1" s="412" t="s">
        <v>147</v>
      </c>
      <c r="B1" s="231"/>
      <c r="C1" s="309"/>
      <c r="D1" s="239"/>
      <c r="E1" s="231"/>
      <c r="F1" s="336"/>
      <c r="G1" s="231"/>
      <c r="H1" s="240"/>
      <c r="J1" s="194"/>
      <c r="K1" s="413"/>
      <c r="L1" s="413"/>
      <c r="M1" s="413"/>
      <c r="P1" s="414" t="str">
        <f ca="1">"PSO Project "&amp;RIGHT(MID(CELL("filename",$A$1),FIND("]",CELL("filename",$A$1))+1,256),1)&amp;" of "&amp;COUNT('P.001:P.xyz - blank'!$P$3)-1</f>
        <v>PSO Project 6 of 35</v>
      </c>
    </row>
    <row r="2" spans="1:16" ht="17.5">
      <c r="B2" s="231"/>
      <c r="C2" s="231"/>
      <c r="D2" s="239"/>
      <c r="E2" s="231"/>
      <c r="F2" s="231"/>
      <c r="G2" s="231"/>
      <c r="H2" s="240"/>
      <c r="I2" s="231"/>
      <c r="J2" s="241"/>
      <c r="K2" s="231"/>
      <c r="L2" s="231"/>
      <c r="M2" s="231"/>
      <c r="N2" s="231"/>
      <c r="P2" s="415" t="s">
        <v>150</v>
      </c>
    </row>
    <row r="3" spans="1:16" ht="18">
      <c r="B3" s="300" t="s">
        <v>42</v>
      </c>
      <c r="C3" s="301" t="s">
        <v>43</v>
      </c>
      <c r="D3" s="239"/>
      <c r="E3" s="231"/>
      <c r="F3" s="231"/>
      <c r="G3" s="231"/>
      <c r="H3" s="240"/>
      <c r="I3" s="240"/>
      <c r="J3" s="345"/>
      <c r="K3" s="240"/>
      <c r="L3" s="240"/>
      <c r="M3" s="240"/>
      <c r="N3" s="240"/>
      <c r="O3" s="231"/>
      <c r="P3" s="546">
        <v>1</v>
      </c>
    </row>
    <row r="4" spans="1:16" ht="16" thickBot="1">
      <c r="C4" s="299"/>
      <c r="D4" s="239"/>
      <c r="E4" s="231"/>
      <c r="F4" s="231"/>
      <c r="G4" s="231"/>
      <c r="H4" s="240"/>
      <c r="I4" s="240"/>
      <c r="J4" s="345"/>
      <c r="K4" s="240"/>
      <c r="L4" s="240"/>
      <c r="M4" s="240"/>
      <c r="N4" s="240"/>
      <c r="O4" s="231"/>
      <c r="P4" s="231"/>
    </row>
    <row r="5" spans="1:16" ht="15.5">
      <c r="C5" s="417" t="s">
        <v>44</v>
      </c>
      <c r="D5" s="239"/>
      <c r="E5" s="231"/>
      <c r="F5" s="231"/>
      <c r="G5" s="418"/>
      <c r="H5" s="231" t="s">
        <v>45</v>
      </c>
      <c r="I5" s="231"/>
      <c r="J5" s="241"/>
      <c r="K5" s="419" t="s">
        <v>279</v>
      </c>
      <c r="L5" s="420"/>
      <c r="M5" s="421"/>
      <c r="N5" s="422">
        <f>VLOOKUP(I10,C17:I72,5)</f>
        <v>158157.49986134801</v>
      </c>
      <c r="P5" s="231"/>
    </row>
    <row r="6" spans="1:16" ht="15.5">
      <c r="C6" s="243"/>
      <c r="D6" s="239"/>
      <c r="E6" s="231"/>
      <c r="F6" s="231"/>
      <c r="G6" s="231"/>
      <c r="H6" s="423"/>
      <c r="I6" s="423"/>
      <c r="J6" s="424"/>
      <c r="K6" s="425" t="s">
        <v>280</v>
      </c>
      <c r="L6" s="426"/>
      <c r="M6" s="241"/>
      <c r="N6" s="427">
        <f>VLOOKUP(I10,C17:I72,6)</f>
        <v>158157.49986134801</v>
      </c>
      <c r="O6" s="231"/>
      <c r="P6" s="231"/>
    </row>
    <row r="7" spans="1:16" ht="13.5" thickBot="1">
      <c r="C7" s="428" t="s">
        <v>46</v>
      </c>
      <c r="D7" s="561" t="s">
        <v>84</v>
      </c>
      <c r="E7" s="231"/>
      <c r="F7" s="231"/>
      <c r="G7" s="231"/>
      <c r="H7" s="240"/>
      <c r="I7" s="240"/>
      <c r="J7" s="345"/>
      <c r="K7" s="430" t="s">
        <v>47</v>
      </c>
      <c r="L7" s="431"/>
      <c r="M7" s="431"/>
      <c r="N7" s="432">
        <f>+N6-N5</f>
        <v>0</v>
      </c>
      <c r="O7" s="231"/>
      <c r="P7" s="231"/>
    </row>
    <row r="8" spans="1:16" ht="13.5" thickBot="1">
      <c r="C8" s="433"/>
      <c r="D8" s="434"/>
      <c r="E8" s="435"/>
      <c r="F8" s="435"/>
      <c r="G8" s="435"/>
      <c r="H8" s="435"/>
      <c r="I8" s="435"/>
      <c r="J8" s="436"/>
      <c r="K8" s="435"/>
      <c r="L8" s="435"/>
      <c r="M8" s="435"/>
      <c r="N8" s="435"/>
      <c r="O8" s="436"/>
      <c r="P8" s="309"/>
    </row>
    <row r="9" spans="1:16" ht="13.5" thickBot="1">
      <c r="A9" s="155"/>
      <c r="C9" s="437" t="s">
        <v>48</v>
      </c>
      <c r="D9" s="438" t="s">
        <v>85</v>
      </c>
      <c r="E9" s="519" t="s">
        <v>374</v>
      </c>
      <c r="F9" s="719">
        <v>110</v>
      </c>
      <c r="G9" s="439"/>
      <c r="H9" s="439"/>
      <c r="I9" s="440"/>
      <c r="J9" s="441"/>
      <c r="O9" s="442"/>
      <c r="P9" s="241"/>
    </row>
    <row r="10" spans="1:16" ht="13">
      <c r="C10" s="443" t="s">
        <v>226</v>
      </c>
      <c r="D10" s="444">
        <v>1520502</v>
      </c>
      <c r="E10" s="322" t="s">
        <v>51</v>
      </c>
      <c r="F10" s="442"/>
      <c r="G10" s="445"/>
      <c r="H10" s="445"/>
      <c r="I10" s="446">
        <f>+'PSO.WS.F.BPU.ATRR.Projected'!L19</f>
        <v>2024</v>
      </c>
      <c r="J10" s="441"/>
      <c r="K10" s="345" t="s">
        <v>52</v>
      </c>
      <c r="O10" s="241"/>
      <c r="P10" s="241"/>
    </row>
    <row r="11" spans="1:16" ht="12.5">
      <c r="C11" s="447" t="s">
        <v>53</v>
      </c>
      <c r="D11" s="448">
        <v>2008</v>
      </c>
      <c r="E11" s="447" t="s">
        <v>54</v>
      </c>
      <c r="F11" s="445"/>
      <c r="G11" s="194"/>
      <c r="H11" s="194"/>
      <c r="I11" s="449">
        <f>IF(G5="",0,'PSO.WS.F.BPU.ATRR.Projected'!F$13)</f>
        <v>0</v>
      </c>
      <c r="J11" s="450"/>
      <c r="K11" s="148" t="str">
        <f>"          INPUT PROJECTED ARR (WITH &amp; WITHOUT INCENTIVES) FROM EACH PRIOR YEAR"</f>
        <v xml:space="preserve">          INPUT PROJECTED ARR (WITH &amp; WITHOUT INCENTIVES) FROM EACH PRIOR YEAR</v>
      </c>
      <c r="O11" s="241"/>
      <c r="P11" s="241"/>
    </row>
    <row r="12" spans="1:16" ht="12.5">
      <c r="C12" s="447" t="s">
        <v>55</v>
      </c>
      <c r="D12" s="444">
        <v>4</v>
      </c>
      <c r="E12" s="447" t="s">
        <v>56</v>
      </c>
      <c r="F12" s="445"/>
      <c r="G12" s="194"/>
      <c r="H12" s="194"/>
      <c r="I12" s="451">
        <f>'PSO.WS.F.BPU.ATRR.Projected'!$F$81</f>
        <v>0.11374018757958901</v>
      </c>
      <c r="J12" s="394"/>
      <c r="K12" s="148" t="s">
        <v>57</v>
      </c>
      <c r="O12" s="241"/>
      <c r="P12" s="241"/>
    </row>
    <row r="13" spans="1:16" ht="12.5">
      <c r="C13" s="447" t="s">
        <v>58</v>
      </c>
      <c r="D13" s="449">
        <f>+'PSO.WS.F.BPU.ATRR.Projected'!F$93</f>
        <v>38</v>
      </c>
      <c r="E13" s="447" t="s">
        <v>59</v>
      </c>
      <c r="F13" s="445"/>
      <c r="G13" s="194"/>
      <c r="H13" s="194"/>
      <c r="I13" s="451">
        <f>IF(G5="",I12,'PSO.WS.F.BPU.ATRR.Projected'!$F$80)</f>
        <v>0.11374018757958901</v>
      </c>
      <c r="J13" s="394"/>
      <c r="K13" s="345" t="s">
        <v>60</v>
      </c>
      <c r="L13" s="292"/>
      <c r="M13" s="292"/>
      <c r="N13" s="292"/>
      <c r="O13" s="241"/>
      <c r="P13" s="241"/>
    </row>
    <row r="14" spans="1:16" ht="13" thickBot="1">
      <c r="C14" s="447" t="s">
        <v>61</v>
      </c>
      <c r="D14" s="448" t="s">
        <v>62</v>
      </c>
      <c r="E14" s="241" t="s">
        <v>63</v>
      </c>
      <c r="F14" s="445"/>
      <c r="G14" s="194"/>
      <c r="H14" s="194"/>
      <c r="I14" s="452">
        <f>IF(D10=0,0,D10/D13)</f>
        <v>40013.210526315786</v>
      </c>
      <c r="J14" s="345"/>
      <c r="K14" s="345"/>
      <c r="L14" s="345"/>
      <c r="M14" s="345"/>
      <c r="N14" s="345"/>
      <c r="O14" s="241"/>
      <c r="P14" s="241"/>
    </row>
    <row r="15" spans="1:16" ht="39">
      <c r="C15" s="453" t="s">
        <v>50</v>
      </c>
      <c r="D15" s="454" t="s">
        <v>64</v>
      </c>
      <c r="E15" s="454" t="s">
        <v>65</v>
      </c>
      <c r="F15" s="454" t="s">
        <v>66</v>
      </c>
      <c r="G15" s="455" t="s">
        <v>281</v>
      </c>
      <c r="H15" s="456" t="s">
        <v>282</v>
      </c>
      <c r="I15" s="453" t="s">
        <v>67</v>
      </c>
      <c r="J15" s="457"/>
      <c r="K15" s="458" t="s">
        <v>205</v>
      </c>
      <c r="L15" s="459" t="s">
        <v>68</v>
      </c>
      <c r="M15" s="458" t="s">
        <v>205</v>
      </c>
      <c r="N15" s="459" t="s">
        <v>68</v>
      </c>
      <c r="O15" s="460" t="s">
        <v>69</v>
      </c>
      <c r="P15" s="241"/>
    </row>
    <row r="16" spans="1:16" ht="13.5" thickBot="1">
      <c r="C16" s="461" t="s">
        <v>70</v>
      </c>
      <c r="D16" s="461" t="s">
        <v>71</v>
      </c>
      <c r="E16" s="461" t="s">
        <v>72</v>
      </c>
      <c r="F16" s="461" t="s">
        <v>71</v>
      </c>
      <c r="G16" s="462" t="s">
        <v>73</v>
      </c>
      <c r="H16" s="463" t="s">
        <v>74</v>
      </c>
      <c r="I16" s="464" t="s">
        <v>104</v>
      </c>
      <c r="J16" s="465" t="s">
        <v>75</v>
      </c>
      <c r="K16" s="466" t="s">
        <v>76</v>
      </c>
      <c r="L16" s="467" t="s">
        <v>76</v>
      </c>
      <c r="M16" s="466" t="s">
        <v>105</v>
      </c>
      <c r="N16" s="468" t="s">
        <v>105</v>
      </c>
      <c r="O16" s="466" t="s">
        <v>105</v>
      </c>
      <c r="P16" s="241"/>
    </row>
    <row r="17" spans="2:16" ht="12.5">
      <c r="B17" s="160"/>
      <c r="C17" s="469">
        <f>IF(D11= "","-",D11)</f>
        <v>2008</v>
      </c>
      <c r="D17" s="470">
        <v>1520473</v>
      </c>
      <c r="E17" s="471">
        <v>19125</v>
      </c>
      <c r="F17" s="470">
        <v>1501348</v>
      </c>
      <c r="G17" s="471">
        <v>0</v>
      </c>
      <c r="H17" s="478">
        <v>0</v>
      </c>
      <c r="I17" s="472">
        <f t="shared" ref="I17:I48" si="0">H17-G17</f>
        <v>0</v>
      </c>
      <c r="J17" s="472"/>
      <c r="K17" s="551">
        <v>0</v>
      </c>
      <c r="L17" s="474">
        <f t="shared" ref="L17:L48" si="1">IF(K17&lt;&gt;0,+G17-K17,0)</f>
        <v>0</v>
      </c>
      <c r="M17" s="551">
        <v>0</v>
      </c>
      <c r="N17" s="474">
        <f t="shared" ref="N17:N48" si="2">IF(M17&lt;&gt;0,+H17-M17,0)</f>
        <v>0</v>
      </c>
      <c r="O17" s="475">
        <f t="shared" ref="O17:O48" si="3">+N17-L17</f>
        <v>0</v>
      </c>
      <c r="P17" s="241"/>
    </row>
    <row r="18" spans="2:16" ht="12.5">
      <c r="B18" s="160" t="str">
        <f>IF(D18=F17,"","IU")</f>
        <v/>
      </c>
      <c r="C18" s="469">
        <f>IF(D11="","-",+C17+1)</f>
        <v>2009</v>
      </c>
      <c r="D18" s="476">
        <v>1501348</v>
      </c>
      <c r="E18" s="477">
        <v>28688</v>
      </c>
      <c r="F18" s="476">
        <v>1472660</v>
      </c>
      <c r="G18" s="477">
        <v>254309</v>
      </c>
      <c r="H18" s="478">
        <v>254309</v>
      </c>
      <c r="I18" s="472">
        <f t="shared" si="0"/>
        <v>0</v>
      </c>
      <c r="J18" s="472"/>
      <c r="K18" s="473">
        <v>254309</v>
      </c>
      <c r="L18" s="475">
        <f t="shared" si="1"/>
        <v>0</v>
      </c>
      <c r="M18" s="473">
        <v>254309</v>
      </c>
      <c r="N18" s="475">
        <f t="shared" si="2"/>
        <v>0</v>
      </c>
      <c r="O18" s="475">
        <f t="shared" si="3"/>
        <v>0</v>
      </c>
      <c r="P18" s="241"/>
    </row>
    <row r="19" spans="2:16" ht="12.5">
      <c r="B19" s="160" t="str">
        <f>IF(D19=F18,"","IU")</f>
        <v>IU</v>
      </c>
      <c r="C19" s="469">
        <f>IF(D11="","-",+C18+1)</f>
        <v>2010</v>
      </c>
      <c r="D19" s="476">
        <v>1472689</v>
      </c>
      <c r="E19" s="477">
        <v>27151.821428571428</v>
      </c>
      <c r="F19" s="476">
        <v>1445537.1785714286</v>
      </c>
      <c r="G19" s="477">
        <v>235737.79751815079</v>
      </c>
      <c r="H19" s="478">
        <v>235737.79751815079</v>
      </c>
      <c r="I19" s="472">
        <f t="shared" si="0"/>
        <v>0</v>
      </c>
      <c r="J19" s="472"/>
      <c r="K19" s="537">
        <f t="shared" ref="K19:K24" si="4">G19</f>
        <v>235737.79751815079</v>
      </c>
      <c r="L19" s="538">
        <f t="shared" si="1"/>
        <v>0</v>
      </c>
      <c r="M19" s="537">
        <f t="shared" ref="M19:M24" si="5">H19</f>
        <v>235737.79751815079</v>
      </c>
      <c r="N19" s="475">
        <f t="shared" si="2"/>
        <v>0</v>
      </c>
      <c r="O19" s="475">
        <f t="shared" si="3"/>
        <v>0</v>
      </c>
      <c r="P19" s="241"/>
    </row>
    <row r="20" spans="2:16" ht="12.5">
      <c r="B20" s="160" t="str">
        <f t="shared" ref="B20:B72" si="6">IF(D20=F19,"","IU")</f>
        <v/>
      </c>
      <c r="C20" s="469">
        <f>IF(D11="","-",+C19+1)</f>
        <v>2011</v>
      </c>
      <c r="D20" s="476">
        <v>1445537.1785714286</v>
      </c>
      <c r="E20" s="477">
        <v>29813.764705882353</v>
      </c>
      <c r="F20" s="476">
        <v>1415723.4138655462</v>
      </c>
      <c r="G20" s="477">
        <v>251435.83921239444</v>
      </c>
      <c r="H20" s="478">
        <v>251435.83921239444</v>
      </c>
      <c r="I20" s="472">
        <f t="shared" si="0"/>
        <v>0</v>
      </c>
      <c r="J20" s="472"/>
      <c r="K20" s="473">
        <f t="shared" si="4"/>
        <v>251435.83921239444</v>
      </c>
      <c r="L20" s="547">
        <f t="shared" si="1"/>
        <v>0</v>
      </c>
      <c r="M20" s="473">
        <f t="shared" si="5"/>
        <v>251435.83921239444</v>
      </c>
      <c r="N20" s="475">
        <f t="shared" si="2"/>
        <v>0</v>
      </c>
      <c r="O20" s="475">
        <f t="shared" si="3"/>
        <v>0</v>
      </c>
      <c r="P20" s="241"/>
    </row>
    <row r="21" spans="2:16" ht="12.5">
      <c r="B21" s="160" t="str">
        <f t="shared" si="6"/>
        <v/>
      </c>
      <c r="C21" s="469">
        <f>IF(D11="","-",+C20+1)</f>
        <v>2012</v>
      </c>
      <c r="D21" s="476">
        <v>1415723.4138655462</v>
      </c>
      <c r="E21" s="477">
        <v>29240.423076923078</v>
      </c>
      <c r="F21" s="476">
        <v>1386482.9907886232</v>
      </c>
      <c r="G21" s="477">
        <v>222248.1918516063</v>
      </c>
      <c r="H21" s="478">
        <v>222248.1918516063</v>
      </c>
      <c r="I21" s="472">
        <f t="shared" si="0"/>
        <v>0</v>
      </c>
      <c r="J21" s="472"/>
      <c r="K21" s="473">
        <f t="shared" si="4"/>
        <v>222248.1918516063</v>
      </c>
      <c r="L21" s="547">
        <f t="shared" si="1"/>
        <v>0</v>
      </c>
      <c r="M21" s="473">
        <f t="shared" si="5"/>
        <v>222248.1918516063</v>
      </c>
      <c r="N21" s="475">
        <f t="shared" si="2"/>
        <v>0</v>
      </c>
      <c r="O21" s="475">
        <f t="shared" si="3"/>
        <v>0</v>
      </c>
      <c r="P21" s="241"/>
    </row>
    <row r="22" spans="2:16" ht="12.5">
      <c r="B22" s="160" t="str">
        <f t="shared" si="6"/>
        <v/>
      </c>
      <c r="C22" s="469">
        <f>IF(D11="","-",+C21+1)</f>
        <v>2013</v>
      </c>
      <c r="D22" s="476">
        <v>1386482.9907886232</v>
      </c>
      <c r="E22" s="477">
        <v>29240.423076923078</v>
      </c>
      <c r="F22" s="476">
        <v>1357242.5677117002</v>
      </c>
      <c r="G22" s="477">
        <v>223063.83719618269</v>
      </c>
      <c r="H22" s="478">
        <v>223063.83719618269</v>
      </c>
      <c r="I22" s="472">
        <v>0</v>
      </c>
      <c r="J22" s="472"/>
      <c r="K22" s="473">
        <f t="shared" si="4"/>
        <v>223063.83719618269</v>
      </c>
      <c r="L22" s="547">
        <f t="shared" ref="L22:L27" si="7">IF(K22&lt;&gt;0,+G22-K22,0)</f>
        <v>0</v>
      </c>
      <c r="M22" s="473">
        <f t="shared" si="5"/>
        <v>223063.83719618269</v>
      </c>
      <c r="N22" s="475">
        <f t="shared" ref="N22:N27" si="8">IF(M22&lt;&gt;0,+H22-M22,0)</f>
        <v>0</v>
      </c>
      <c r="O22" s="475">
        <f t="shared" ref="O22:O27" si="9">+N22-L22</f>
        <v>0</v>
      </c>
      <c r="P22" s="241"/>
    </row>
    <row r="23" spans="2:16" ht="12.5">
      <c r="B23" s="160" t="str">
        <f t="shared" si="6"/>
        <v/>
      </c>
      <c r="C23" s="469">
        <f>IF(D11="","-",+C22+1)</f>
        <v>2014</v>
      </c>
      <c r="D23" s="476">
        <v>1357242.5677117002</v>
      </c>
      <c r="E23" s="477">
        <v>29240.423076923078</v>
      </c>
      <c r="F23" s="476">
        <v>1328002.1446347772</v>
      </c>
      <c r="G23" s="477">
        <v>212051.56179808528</v>
      </c>
      <c r="H23" s="478">
        <v>212051.56179808528</v>
      </c>
      <c r="I23" s="472">
        <v>0</v>
      </c>
      <c r="J23" s="472"/>
      <c r="K23" s="473">
        <f t="shared" si="4"/>
        <v>212051.56179808528</v>
      </c>
      <c r="L23" s="547">
        <f t="shared" si="7"/>
        <v>0</v>
      </c>
      <c r="M23" s="473">
        <f t="shared" si="5"/>
        <v>212051.56179808528</v>
      </c>
      <c r="N23" s="475">
        <f t="shared" si="8"/>
        <v>0</v>
      </c>
      <c r="O23" s="475">
        <f t="shared" si="9"/>
        <v>0</v>
      </c>
      <c r="P23" s="241"/>
    </row>
    <row r="24" spans="2:16" ht="12.5">
      <c r="B24" s="160" t="str">
        <f t="shared" si="6"/>
        <v/>
      </c>
      <c r="C24" s="469">
        <f>IF(D11="","-",+C23+1)</f>
        <v>2015</v>
      </c>
      <c r="D24" s="476">
        <v>1328002.1446347772</v>
      </c>
      <c r="E24" s="477">
        <v>29240.423076923078</v>
      </c>
      <c r="F24" s="476">
        <v>1298761.7215578542</v>
      </c>
      <c r="G24" s="477">
        <v>208302.85337289202</v>
      </c>
      <c r="H24" s="478">
        <v>208302.85337289202</v>
      </c>
      <c r="I24" s="472">
        <v>0</v>
      </c>
      <c r="J24" s="472"/>
      <c r="K24" s="473">
        <f t="shared" si="4"/>
        <v>208302.85337289202</v>
      </c>
      <c r="L24" s="547">
        <f t="shared" si="7"/>
        <v>0</v>
      </c>
      <c r="M24" s="473">
        <f t="shared" si="5"/>
        <v>208302.85337289202</v>
      </c>
      <c r="N24" s="475">
        <f t="shared" si="8"/>
        <v>0</v>
      </c>
      <c r="O24" s="475">
        <f t="shared" si="9"/>
        <v>0</v>
      </c>
      <c r="P24" s="241"/>
    </row>
    <row r="25" spans="2:16" ht="12.5">
      <c r="B25" s="160" t="str">
        <f t="shared" si="6"/>
        <v/>
      </c>
      <c r="C25" s="469">
        <f>IF(D11="","-",+C24+1)</f>
        <v>2016</v>
      </c>
      <c r="D25" s="476">
        <v>1298761.7215578542</v>
      </c>
      <c r="E25" s="477">
        <v>29240.423076923078</v>
      </c>
      <c r="F25" s="476">
        <v>1269521.2984809312</v>
      </c>
      <c r="G25" s="477">
        <v>195750.37197477801</v>
      </c>
      <c r="H25" s="478">
        <v>195750.37197477801</v>
      </c>
      <c r="I25" s="472">
        <f t="shared" si="0"/>
        <v>0</v>
      </c>
      <c r="J25" s="472"/>
      <c r="K25" s="473">
        <f t="shared" ref="K25:K30" si="10">G25</f>
        <v>195750.37197477801</v>
      </c>
      <c r="L25" s="547">
        <f t="shared" si="7"/>
        <v>0</v>
      </c>
      <c r="M25" s="473">
        <f t="shared" ref="M25:M30" si="11">H25</f>
        <v>195750.37197477801</v>
      </c>
      <c r="N25" s="475">
        <f t="shared" si="8"/>
        <v>0</v>
      </c>
      <c r="O25" s="475">
        <f t="shared" si="9"/>
        <v>0</v>
      </c>
      <c r="P25" s="241"/>
    </row>
    <row r="26" spans="2:16" ht="12.5">
      <c r="B26" s="160" t="str">
        <f t="shared" si="6"/>
        <v/>
      </c>
      <c r="C26" s="469">
        <f>IF(D11="","-",+C25+1)</f>
        <v>2017</v>
      </c>
      <c r="D26" s="476">
        <v>1269521.2984809312</v>
      </c>
      <c r="E26" s="477">
        <v>33054.391304347824</v>
      </c>
      <c r="F26" s="476">
        <v>1236466.9071765833</v>
      </c>
      <c r="G26" s="477">
        <v>190407.97943741584</v>
      </c>
      <c r="H26" s="478">
        <v>190407.97943741584</v>
      </c>
      <c r="I26" s="472">
        <f t="shared" si="0"/>
        <v>0</v>
      </c>
      <c r="J26" s="472"/>
      <c r="K26" s="473">
        <f t="shared" si="10"/>
        <v>190407.97943741584</v>
      </c>
      <c r="L26" s="547">
        <f t="shared" si="7"/>
        <v>0</v>
      </c>
      <c r="M26" s="473">
        <f t="shared" si="11"/>
        <v>190407.97943741584</v>
      </c>
      <c r="N26" s="475">
        <f t="shared" si="8"/>
        <v>0</v>
      </c>
      <c r="O26" s="475">
        <f t="shared" si="9"/>
        <v>0</v>
      </c>
      <c r="P26" s="241"/>
    </row>
    <row r="27" spans="2:16" ht="12.5">
      <c r="B27" s="160" t="str">
        <f t="shared" si="6"/>
        <v/>
      </c>
      <c r="C27" s="469">
        <f>IF(D11="","-",+C26+1)</f>
        <v>2018</v>
      </c>
      <c r="D27" s="476">
        <v>1236466.9071765833</v>
      </c>
      <c r="E27" s="477">
        <v>33788.933333333334</v>
      </c>
      <c r="F27" s="476">
        <v>1202677.97384325</v>
      </c>
      <c r="G27" s="477">
        <v>179843.63692519162</v>
      </c>
      <c r="H27" s="478">
        <v>179843.63692519162</v>
      </c>
      <c r="I27" s="472">
        <f t="shared" si="0"/>
        <v>0</v>
      </c>
      <c r="J27" s="472"/>
      <c r="K27" s="473">
        <f t="shared" si="10"/>
        <v>179843.63692519162</v>
      </c>
      <c r="L27" s="547">
        <f t="shared" si="7"/>
        <v>0</v>
      </c>
      <c r="M27" s="473">
        <f t="shared" si="11"/>
        <v>179843.63692519162</v>
      </c>
      <c r="N27" s="475">
        <f t="shared" si="8"/>
        <v>0</v>
      </c>
      <c r="O27" s="475">
        <f t="shared" si="9"/>
        <v>0</v>
      </c>
      <c r="P27" s="241"/>
    </row>
    <row r="28" spans="2:16" ht="12.5">
      <c r="B28" s="160" t="str">
        <f t="shared" si="6"/>
        <v/>
      </c>
      <c r="C28" s="469">
        <f>IF(D11="","-",+C27+1)</f>
        <v>2019</v>
      </c>
      <c r="D28" s="476">
        <v>1202677.97384325</v>
      </c>
      <c r="E28" s="477">
        <v>38012.550000000003</v>
      </c>
      <c r="F28" s="476">
        <v>1164665.4238432499</v>
      </c>
      <c r="G28" s="477">
        <v>170177.34445508715</v>
      </c>
      <c r="H28" s="478">
        <v>170177.34445508715</v>
      </c>
      <c r="I28" s="472">
        <f t="shared" si="0"/>
        <v>0</v>
      </c>
      <c r="J28" s="472"/>
      <c r="K28" s="473">
        <f t="shared" si="10"/>
        <v>170177.34445508715</v>
      </c>
      <c r="L28" s="547">
        <f t="shared" ref="L28" si="12">IF(K28&lt;&gt;0,+G28-K28,0)</f>
        <v>0</v>
      </c>
      <c r="M28" s="473">
        <f t="shared" si="11"/>
        <v>170177.34445508715</v>
      </c>
      <c r="N28" s="475">
        <f t="shared" ref="N28" si="13">IF(M28&lt;&gt;0,+H28-M28,0)</f>
        <v>0</v>
      </c>
      <c r="O28" s="475">
        <f t="shared" ref="O28" si="14">+N28-L28</f>
        <v>0</v>
      </c>
      <c r="P28" s="241"/>
    </row>
    <row r="29" spans="2:16" ht="12.5">
      <c r="B29" s="160" t="str">
        <f t="shared" si="6"/>
        <v>IU</v>
      </c>
      <c r="C29" s="469">
        <f>IF(D11="","-",+C28+1)</f>
        <v>2020</v>
      </c>
      <c r="D29" s="476">
        <v>1168889.0405099166</v>
      </c>
      <c r="E29" s="477">
        <v>36202.428571428572</v>
      </c>
      <c r="F29" s="476">
        <v>1132686.611938488</v>
      </c>
      <c r="G29" s="477">
        <v>160493.01101346352</v>
      </c>
      <c r="H29" s="478">
        <v>160493.01101346352</v>
      </c>
      <c r="I29" s="472">
        <f t="shared" si="0"/>
        <v>0</v>
      </c>
      <c r="J29" s="472"/>
      <c r="K29" s="473">
        <f t="shared" si="10"/>
        <v>160493.01101346352</v>
      </c>
      <c r="L29" s="547">
        <f t="shared" ref="L29" si="15">IF(K29&lt;&gt;0,+G29-K29,0)</f>
        <v>0</v>
      </c>
      <c r="M29" s="473">
        <f t="shared" si="11"/>
        <v>160493.01101346352</v>
      </c>
      <c r="N29" s="475">
        <f t="shared" si="2"/>
        <v>0</v>
      </c>
      <c r="O29" s="475">
        <f t="shared" si="3"/>
        <v>0</v>
      </c>
      <c r="P29" s="241"/>
    </row>
    <row r="30" spans="2:16" ht="12.5">
      <c r="B30" s="160" t="str">
        <f t="shared" si="6"/>
        <v>IU</v>
      </c>
      <c r="C30" s="469">
        <f>IF(D11="","-",+C29+1)</f>
        <v>2021</v>
      </c>
      <c r="D30" s="476">
        <v>1128462.995271821</v>
      </c>
      <c r="E30" s="477">
        <v>35360.511627906977</v>
      </c>
      <c r="F30" s="476">
        <v>1093102.4836439141</v>
      </c>
      <c r="G30" s="477">
        <v>153220.62710843381</v>
      </c>
      <c r="H30" s="478">
        <v>153220.62710843381</v>
      </c>
      <c r="I30" s="472">
        <f t="shared" si="0"/>
        <v>0</v>
      </c>
      <c r="J30" s="472"/>
      <c r="K30" s="473">
        <f t="shared" si="10"/>
        <v>153220.62710843381</v>
      </c>
      <c r="L30" s="547">
        <f t="shared" ref="L30" si="16">IF(K30&lt;&gt;0,+G30-K30,0)</f>
        <v>0</v>
      </c>
      <c r="M30" s="473">
        <f t="shared" si="11"/>
        <v>153220.62710843381</v>
      </c>
      <c r="N30" s="475">
        <f t="shared" si="2"/>
        <v>0</v>
      </c>
      <c r="O30" s="475">
        <f t="shared" si="3"/>
        <v>0</v>
      </c>
      <c r="P30" s="241"/>
    </row>
    <row r="31" spans="2:16" ht="12.5">
      <c r="B31" s="160" t="str">
        <f t="shared" si="6"/>
        <v/>
      </c>
      <c r="C31" s="469">
        <f>IF(D11="","-",+C30+1)</f>
        <v>2022</v>
      </c>
      <c r="D31" s="476">
        <v>1093102.4836439141</v>
      </c>
      <c r="E31" s="477">
        <v>36202.428571428572</v>
      </c>
      <c r="F31" s="476">
        <v>1056900.0550724855</v>
      </c>
      <c r="G31" s="477">
        <v>150148.14020254629</v>
      </c>
      <c r="H31" s="478">
        <v>150148.14020254629</v>
      </c>
      <c r="I31" s="472">
        <f t="shared" si="0"/>
        <v>0</v>
      </c>
      <c r="J31" s="472"/>
      <c r="K31" s="473">
        <f t="shared" ref="K31" si="17">G31</f>
        <v>150148.14020254629</v>
      </c>
      <c r="L31" s="547">
        <f t="shared" ref="L31" si="18">IF(K31&lt;&gt;0,+G31-K31,0)</f>
        <v>0</v>
      </c>
      <c r="M31" s="473">
        <f t="shared" ref="M31" si="19">H31</f>
        <v>150148.14020254629</v>
      </c>
      <c r="N31" s="475">
        <f t="shared" si="2"/>
        <v>0</v>
      </c>
      <c r="O31" s="475">
        <f t="shared" si="3"/>
        <v>0</v>
      </c>
      <c r="P31" s="241"/>
    </row>
    <row r="32" spans="2:16" ht="12.5">
      <c r="B32" s="160" t="str">
        <f t="shared" si="6"/>
        <v/>
      </c>
      <c r="C32" s="469">
        <f>IF(D11="","-",+C31+1)</f>
        <v>2023</v>
      </c>
      <c r="D32" s="476">
        <v>1056900.0550724855</v>
      </c>
      <c r="E32" s="477">
        <v>38987.230769230766</v>
      </c>
      <c r="F32" s="476">
        <v>1017912.8243032547</v>
      </c>
      <c r="G32" s="477">
        <v>160484.23733816287</v>
      </c>
      <c r="H32" s="478">
        <v>160484.23733816287</v>
      </c>
      <c r="I32" s="472">
        <f t="shared" si="0"/>
        <v>0</v>
      </c>
      <c r="J32" s="472"/>
      <c r="K32" s="473">
        <f t="shared" ref="K32" si="20">G32</f>
        <v>160484.23733816287</v>
      </c>
      <c r="L32" s="547">
        <f t="shared" ref="L32" si="21">IF(K32&lt;&gt;0,+G32-K32,0)</f>
        <v>0</v>
      </c>
      <c r="M32" s="473">
        <f t="shared" ref="M32" si="22">H32</f>
        <v>160484.23733816287</v>
      </c>
      <c r="N32" s="475">
        <f t="shared" si="2"/>
        <v>0</v>
      </c>
      <c r="O32" s="475">
        <f t="shared" si="3"/>
        <v>0</v>
      </c>
      <c r="P32" s="241"/>
    </row>
    <row r="33" spans="2:16" ht="12.5">
      <c r="B33" s="160" t="str">
        <f t="shared" si="6"/>
        <v/>
      </c>
      <c r="C33" s="469">
        <f>IF(D11="","-",+C32+1)</f>
        <v>2024</v>
      </c>
      <c r="D33" s="476">
        <v>1017912.8243032547</v>
      </c>
      <c r="E33" s="477">
        <v>38987.230769230766</v>
      </c>
      <c r="F33" s="476">
        <v>978925.59353402397</v>
      </c>
      <c r="G33" s="477">
        <v>158157.49986134801</v>
      </c>
      <c r="H33" s="478">
        <v>158157.49986134801</v>
      </c>
      <c r="I33" s="472">
        <f t="shared" si="0"/>
        <v>0</v>
      </c>
      <c r="J33" s="472"/>
      <c r="K33" s="473">
        <f t="shared" ref="K33" si="23">G33</f>
        <v>158157.49986134801</v>
      </c>
      <c r="L33" s="547">
        <f t="shared" ref="L33" si="24">IF(K33&lt;&gt;0,+G33-K33,0)</f>
        <v>0</v>
      </c>
      <c r="M33" s="473">
        <f t="shared" ref="M33" si="25">H33</f>
        <v>158157.49986134801</v>
      </c>
      <c r="N33" s="475">
        <f t="shared" ref="N33" si="26">IF(M33&lt;&gt;0,+H33-M33,0)</f>
        <v>0</v>
      </c>
      <c r="O33" s="475">
        <f t="shared" ref="O33" si="27">+N33-L33</f>
        <v>0</v>
      </c>
      <c r="P33" s="241"/>
    </row>
    <row r="34" spans="2:16" ht="12.5">
      <c r="B34" s="160" t="str">
        <f t="shared" si="6"/>
        <v/>
      </c>
      <c r="C34" s="469">
        <f>IF(D11="","-",+C33+1)</f>
        <v>2025</v>
      </c>
      <c r="D34" s="482">
        <f>IF(F33+SUM(E$17:E33)=D$10,F33,D$10-SUM(E$17:E33))</f>
        <v>978925.59353402397</v>
      </c>
      <c r="E34" s="481">
        <f>IF(+I14&lt;F33,I14,D34)</f>
        <v>40013.210526315786</v>
      </c>
      <c r="F34" s="482">
        <f t="shared" ref="F34:F48" si="28">+D34-E34</f>
        <v>938912.38300770824</v>
      </c>
      <c r="G34" s="483">
        <f t="shared" ref="G34:G72" si="29">(D34+F34)/2*I$12+E34</f>
        <v>149080.83612587382</v>
      </c>
      <c r="H34" s="452">
        <f t="shared" ref="H34:H72" si="30">+(D34+F34)/2*I$13+E34</f>
        <v>149080.83612587382</v>
      </c>
      <c r="I34" s="472">
        <f t="shared" si="0"/>
        <v>0</v>
      </c>
      <c r="J34" s="472"/>
      <c r="K34" s="484"/>
      <c r="L34" s="475">
        <f t="shared" si="1"/>
        <v>0</v>
      </c>
      <c r="M34" s="484"/>
      <c r="N34" s="475">
        <f t="shared" si="2"/>
        <v>0</v>
      </c>
      <c r="O34" s="475">
        <f t="shared" si="3"/>
        <v>0</v>
      </c>
      <c r="P34" s="241"/>
    </row>
    <row r="35" spans="2:16" ht="12.5">
      <c r="B35" s="160" t="str">
        <f t="shared" si="6"/>
        <v/>
      </c>
      <c r="C35" s="469">
        <f>IF(D11="","-",+C34+1)</f>
        <v>2026</v>
      </c>
      <c r="D35" s="482">
        <f>IF(F34+SUM(E$17:E34)=D$10,F34,D$10-SUM(E$17:E34))</f>
        <v>938912.38300770824</v>
      </c>
      <c r="E35" s="481">
        <f>IF(+I14&lt;F34,I14,D35)</f>
        <v>40013.210526315786</v>
      </c>
      <c r="F35" s="482">
        <f t="shared" si="28"/>
        <v>898899.17248139251</v>
      </c>
      <c r="G35" s="483">
        <f t="shared" si="29"/>
        <v>144529.72605494907</v>
      </c>
      <c r="H35" s="452">
        <f t="shared" si="30"/>
        <v>144529.72605494907</v>
      </c>
      <c r="I35" s="472">
        <f t="shared" si="0"/>
        <v>0</v>
      </c>
      <c r="J35" s="472"/>
      <c r="K35" s="484"/>
      <c r="L35" s="475">
        <f t="shared" si="1"/>
        <v>0</v>
      </c>
      <c r="M35" s="484"/>
      <c r="N35" s="475">
        <f t="shared" si="2"/>
        <v>0</v>
      </c>
      <c r="O35" s="475">
        <f t="shared" si="3"/>
        <v>0</v>
      </c>
      <c r="P35" s="241"/>
    </row>
    <row r="36" spans="2:16" ht="12.5">
      <c r="B36" s="160" t="str">
        <f t="shared" si="6"/>
        <v/>
      </c>
      <c r="C36" s="469">
        <f>IF(D11="","-",+C35+1)</f>
        <v>2027</v>
      </c>
      <c r="D36" s="482">
        <f>IF(F35+SUM(E$17:E35)=D$10,F35,D$10-SUM(E$17:E35))</f>
        <v>898899.17248139251</v>
      </c>
      <c r="E36" s="481">
        <f>IF(+I14&lt;F35,I14,D36)</f>
        <v>40013.210526315786</v>
      </c>
      <c r="F36" s="482">
        <f t="shared" si="28"/>
        <v>858885.96195507678</v>
      </c>
      <c r="G36" s="483">
        <f t="shared" si="29"/>
        <v>139978.61598402433</v>
      </c>
      <c r="H36" s="452">
        <f t="shared" si="30"/>
        <v>139978.61598402433</v>
      </c>
      <c r="I36" s="472">
        <f t="shared" si="0"/>
        <v>0</v>
      </c>
      <c r="J36" s="472"/>
      <c r="K36" s="484"/>
      <c r="L36" s="475">
        <f t="shared" si="1"/>
        <v>0</v>
      </c>
      <c r="M36" s="484"/>
      <c r="N36" s="475">
        <f t="shared" si="2"/>
        <v>0</v>
      </c>
      <c r="O36" s="475">
        <f t="shared" si="3"/>
        <v>0</v>
      </c>
      <c r="P36" s="241"/>
    </row>
    <row r="37" spans="2:16" ht="12.5">
      <c r="B37" s="160" t="str">
        <f t="shared" si="6"/>
        <v/>
      </c>
      <c r="C37" s="469">
        <f>IF(D11="","-",+C36+1)</f>
        <v>2028</v>
      </c>
      <c r="D37" s="482">
        <f>IF(F36+SUM(E$17:E36)=D$10,F36,D$10-SUM(E$17:E36))</f>
        <v>858885.96195507678</v>
      </c>
      <c r="E37" s="481">
        <f>IF(+I14&lt;F36,I14,D37)</f>
        <v>40013.210526315786</v>
      </c>
      <c r="F37" s="482">
        <f t="shared" si="28"/>
        <v>818872.75142876105</v>
      </c>
      <c r="G37" s="483">
        <f t="shared" si="29"/>
        <v>135427.50591309959</v>
      </c>
      <c r="H37" s="452">
        <f t="shared" si="30"/>
        <v>135427.50591309959</v>
      </c>
      <c r="I37" s="472">
        <f t="shared" si="0"/>
        <v>0</v>
      </c>
      <c r="J37" s="472"/>
      <c r="K37" s="484"/>
      <c r="L37" s="475">
        <f t="shared" si="1"/>
        <v>0</v>
      </c>
      <c r="M37" s="484"/>
      <c r="N37" s="475">
        <f t="shared" si="2"/>
        <v>0</v>
      </c>
      <c r="O37" s="475">
        <f t="shared" si="3"/>
        <v>0</v>
      </c>
      <c r="P37" s="241"/>
    </row>
    <row r="38" spans="2:16" ht="12.5">
      <c r="B38" s="160" t="str">
        <f t="shared" si="6"/>
        <v/>
      </c>
      <c r="C38" s="469">
        <f>IF(D11="","-",+C37+1)</f>
        <v>2029</v>
      </c>
      <c r="D38" s="482">
        <f>IF(F37+SUM(E$17:E37)=D$10,F37,D$10-SUM(E$17:E37))</f>
        <v>818872.75142876105</v>
      </c>
      <c r="E38" s="481">
        <f>IF(+I14&lt;F37,I14,D38)</f>
        <v>40013.210526315786</v>
      </c>
      <c r="F38" s="482">
        <f t="shared" si="28"/>
        <v>778859.54090244533</v>
      </c>
      <c r="G38" s="483">
        <f t="shared" si="29"/>
        <v>130876.39584217487</v>
      </c>
      <c r="H38" s="452">
        <f t="shared" si="30"/>
        <v>130876.39584217487</v>
      </c>
      <c r="I38" s="472">
        <f t="shared" si="0"/>
        <v>0</v>
      </c>
      <c r="J38" s="472"/>
      <c r="K38" s="484"/>
      <c r="L38" s="475">
        <f t="shared" si="1"/>
        <v>0</v>
      </c>
      <c r="M38" s="484"/>
      <c r="N38" s="475">
        <f t="shared" si="2"/>
        <v>0</v>
      </c>
      <c r="O38" s="475">
        <f t="shared" si="3"/>
        <v>0</v>
      </c>
      <c r="P38" s="241"/>
    </row>
    <row r="39" spans="2:16" ht="12.5">
      <c r="B39" s="160" t="str">
        <f t="shared" si="6"/>
        <v/>
      </c>
      <c r="C39" s="469">
        <f>IF(D11="","-",+C38+1)</f>
        <v>2030</v>
      </c>
      <c r="D39" s="482">
        <f>IF(F38+SUM(E$17:E38)=D$10,F38,D$10-SUM(E$17:E38))</f>
        <v>778859.54090244533</v>
      </c>
      <c r="E39" s="481">
        <f>IF(+I14&lt;F38,I14,D39)</f>
        <v>40013.210526315786</v>
      </c>
      <c r="F39" s="482">
        <f t="shared" si="28"/>
        <v>738846.3303761296</v>
      </c>
      <c r="G39" s="483">
        <f t="shared" si="29"/>
        <v>126325.28577125013</v>
      </c>
      <c r="H39" s="452">
        <f t="shared" si="30"/>
        <v>126325.28577125013</v>
      </c>
      <c r="I39" s="472">
        <f t="shared" si="0"/>
        <v>0</v>
      </c>
      <c r="J39" s="472"/>
      <c r="K39" s="484"/>
      <c r="L39" s="475">
        <f t="shared" si="1"/>
        <v>0</v>
      </c>
      <c r="M39" s="484"/>
      <c r="N39" s="475">
        <f t="shared" si="2"/>
        <v>0</v>
      </c>
      <c r="O39" s="475">
        <f t="shared" si="3"/>
        <v>0</v>
      </c>
      <c r="P39" s="241"/>
    </row>
    <row r="40" spans="2:16" ht="12.5">
      <c r="B40" s="160" t="str">
        <f t="shared" si="6"/>
        <v/>
      </c>
      <c r="C40" s="469">
        <f>IF(D11="","-",+C39+1)</f>
        <v>2031</v>
      </c>
      <c r="D40" s="482">
        <f>IF(F39+SUM(E$17:E39)=D$10,F39,D$10-SUM(E$17:E39))</f>
        <v>738846.3303761296</v>
      </c>
      <c r="E40" s="481">
        <f>IF(+I14&lt;F39,I14,D40)</f>
        <v>40013.210526315786</v>
      </c>
      <c r="F40" s="482">
        <f t="shared" si="28"/>
        <v>698833.11984981387</v>
      </c>
      <c r="G40" s="483">
        <f t="shared" si="29"/>
        <v>121774.17570032539</v>
      </c>
      <c r="H40" s="452">
        <f t="shared" si="30"/>
        <v>121774.17570032539</v>
      </c>
      <c r="I40" s="472">
        <f t="shared" si="0"/>
        <v>0</v>
      </c>
      <c r="J40" s="472"/>
      <c r="K40" s="484"/>
      <c r="L40" s="475">
        <f t="shared" si="1"/>
        <v>0</v>
      </c>
      <c r="M40" s="484"/>
      <c r="N40" s="475">
        <f t="shared" si="2"/>
        <v>0</v>
      </c>
      <c r="O40" s="475">
        <f t="shared" si="3"/>
        <v>0</v>
      </c>
      <c r="P40" s="241"/>
    </row>
    <row r="41" spans="2:16" ht="12.5">
      <c r="B41" s="160" t="str">
        <f t="shared" si="6"/>
        <v/>
      </c>
      <c r="C41" s="469">
        <f>IF(D11="","-",+C40+1)</f>
        <v>2032</v>
      </c>
      <c r="D41" s="482">
        <f>IF(F40+SUM(E$17:E40)=D$10,F40,D$10-SUM(E$17:E40))</f>
        <v>698833.11984981387</v>
      </c>
      <c r="E41" s="481">
        <f>IF(+I14&lt;F40,I14,D41)</f>
        <v>40013.210526315786</v>
      </c>
      <c r="F41" s="482">
        <f t="shared" si="28"/>
        <v>658819.90932349814</v>
      </c>
      <c r="G41" s="483">
        <f t="shared" si="29"/>
        <v>117223.06562940065</v>
      </c>
      <c r="H41" s="452">
        <f t="shared" si="30"/>
        <v>117223.06562940065</v>
      </c>
      <c r="I41" s="472">
        <f t="shared" si="0"/>
        <v>0</v>
      </c>
      <c r="J41" s="472"/>
      <c r="K41" s="484"/>
      <c r="L41" s="475">
        <f t="shared" si="1"/>
        <v>0</v>
      </c>
      <c r="M41" s="484"/>
      <c r="N41" s="475">
        <f t="shared" si="2"/>
        <v>0</v>
      </c>
      <c r="O41" s="475">
        <f t="shared" si="3"/>
        <v>0</v>
      </c>
      <c r="P41" s="241"/>
    </row>
    <row r="42" spans="2:16" ht="12.5">
      <c r="B42" s="160" t="str">
        <f t="shared" si="6"/>
        <v/>
      </c>
      <c r="C42" s="469">
        <f>IF(D11="","-",+C41+1)</f>
        <v>2033</v>
      </c>
      <c r="D42" s="482">
        <f>IF(F41+SUM(E$17:E41)=D$10,F41,D$10-SUM(E$17:E41))</f>
        <v>658819.90932349814</v>
      </c>
      <c r="E42" s="481">
        <f>IF(+I14&lt;F41,I14,D42)</f>
        <v>40013.210526315786</v>
      </c>
      <c r="F42" s="482">
        <f t="shared" si="28"/>
        <v>618806.69879718241</v>
      </c>
      <c r="G42" s="483">
        <f t="shared" si="29"/>
        <v>112671.95555847592</v>
      </c>
      <c r="H42" s="452">
        <f t="shared" si="30"/>
        <v>112671.95555847592</v>
      </c>
      <c r="I42" s="472">
        <f t="shared" si="0"/>
        <v>0</v>
      </c>
      <c r="J42" s="472"/>
      <c r="K42" s="484"/>
      <c r="L42" s="475">
        <f t="shared" si="1"/>
        <v>0</v>
      </c>
      <c r="M42" s="484"/>
      <c r="N42" s="475">
        <f t="shared" si="2"/>
        <v>0</v>
      </c>
      <c r="O42" s="475">
        <f t="shared" si="3"/>
        <v>0</v>
      </c>
      <c r="P42" s="241"/>
    </row>
    <row r="43" spans="2:16" ht="12.5">
      <c r="B43" s="160" t="str">
        <f t="shared" si="6"/>
        <v/>
      </c>
      <c r="C43" s="469">
        <f>IF(D11="","-",+C42+1)</f>
        <v>2034</v>
      </c>
      <c r="D43" s="482">
        <f>IF(F42+SUM(E$17:E42)=D$10,F42,D$10-SUM(E$17:E42))</f>
        <v>618806.69879718241</v>
      </c>
      <c r="E43" s="481">
        <f>IF(+I14&lt;F42,I14,D43)</f>
        <v>40013.210526315786</v>
      </c>
      <c r="F43" s="482">
        <f t="shared" si="28"/>
        <v>578793.48827086668</v>
      </c>
      <c r="G43" s="483">
        <f t="shared" si="29"/>
        <v>108120.84548755118</v>
      </c>
      <c r="H43" s="452">
        <f t="shared" si="30"/>
        <v>108120.84548755118</v>
      </c>
      <c r="I43" s="472">
        <f t="shared" si="0"/>
        <v>0</v>
      </c>
      <c r="J43" s="472"/>
      <c r="K43" s="484"/>
      <c r="L43" s="475">
        <f t="shared" si="1"/>
        <v>0</v>
      </c>
      <c r="M43" s="484"/>
      <c r="N43" s="475">
        <f t="shared" si="2"/>
        <v>0</v>
      </c>
      <c r="O43" s="475">
        <f t="shared" si="3"/>
        <v>0</v>
      </c>
      <c r="P43" s="241"/>
    </row>
    <row r="44" spans="2:16" ht="12.5">
      <c r="B44" s="160" t="str">
        <f t="shared" si="6"/>
        <v/>
      </c>
      <c r="C44" s="469">
        <f>IF(D11="","-",+C43+1)</f>
        <v>2035</v>
      </c>
      <c r="D44" s="482">
        <f>IF(F43+SUM(E$17:E43)=D$10,F43,D$10-SUM(E$17:E43))</f>
        <v>578793.48827086668</v>
      </c>
      <c r="E44" s="481">
        <f>IF(+I14&lt;F43,I14,D44)</f>
        <v>40013.210526315786</v>
      </c>
      <c r="F44" s="482">
        <f t="shared" si="28"/>
        <v>538780.27774455096</v>
      </c>
      <c r="G44" s="483">
        <f t="shared" si="29"/>
        <v>103569.73541662644</v>
      </c>
      <c r="H44" s="452">
        <f t="shared" si="30"/>
        <v>103569.73541662644</v>
      </c>
      <c r="I44" s="472">
        <f t="shared" si="0"/>
        <v>0</v>
      </c>
      <c r="J44" s="472"/>
      <c r="K44" s="484"/>
      <c r="L44" s="475">
        <f t="shared" si="1"/>
        <v>0</v>
      </c>
      <c r="M44" s="484"/>
      <c r="N44" s="475">
        <f t="shared" si="2"/>
        <v>0</v>
      </c>
      <c r="O44" s="475">
        <f t="shared" si="3"/>
        <v>0</v>
      </c>
      <c r="P44" s="241"/>
    </row>
    <row r="45" spans="2:16" ht="12.5">
      <c r="B45" s="160" t="str">
        <f t="shared" si="6"/>
        <v/>
      </c>
      <c r="C45" s="469">
        <f>IF(D11="","-",+C44+1)</f>
        <v>2036</v>
      </c>
      <c r="D45" s="482">
        <f>IF(F44+SUM(E$17:E44)=D$10,F44,D$10-SUM(E$17:E44))</f>
        <v>538780.27774455096</v>
      </c>
      <c r="E45" s="481">
        <f>IF(+I14&lt;F44,I14,D45)</f>
        <v>40013.210526315786</v>
      </c>
      <c r="F45" s="482">
        <f t="shared" si="28"/>
        <v>498767.06721823517</v>
      </c>
      <c r="G45" s="483">
        <f t="shared" si="29"/>
        <v>99018.625345701701</v>
      </c>
      <c r="H45" s="452">
        <f t="shared" si="30"/>
        <v>99018.625345701701</v>
      </c>
      <c r="I45" s="472">
        <f t="shared" si="0"/>
        <v>0</v>
      </c>
      <c r="J45" s="472"/>
      <c r="K45" s="484"/>
      <c r="L45" s="475">
        <f t="shared" si="1"/>
        <v>0</v>
      </c>
      <c r="M45" s="484"/>
      <c r="N45" s="475">
        <f t="shared" si="2"/>
        <v>0</v>
      </c>
      <c r="O45" s="475">
        <f t="shared" si="3"/>
        <v>0</v>
      </c>
      <c r="P45" s="241"/>
    </row>
    <row r="46" spans="2:16" ht="12.5">
      <c r="B46" s="160" t="str">
        <f t="shared" si="6"/>
        <v/>
      </c>
      <c r="C46" s="469">
        <f>IF(D11="","-",+C45+1)</f>
        <v>2037</v>
      </c>
      <c r="D46" s="482">
        <f>IF(F45+SUM(E$17:E45)=D$10,F45,D$10-SUM(E$17:E45))</f>
        <v>498767.06721823517</v>
      </c>
      <c r="E46" s="481">
        <f>IF(+I14&lt;F45,I14,D46)</f>
        <v>40013.210526315786</v>
      </c>
      <c r="F46" s="482">
        <f t="shared" si="28"/>
        <v>458753.85669191938</v>
      </c>
      <c r="G46" s="483">
        <f t="shared" si="29"/>
        <v>94467.515274776961</v>
      </c>
      <c r="H46" s="452">
        <f t="shared" si="30"/>
        <v>94467.515274776961</v>
      </c>
      <c r="I46" s="472">
        <f t="shared" si="0"/>
        <v>0</v>
      </c>
      <c r="J46" s="472"/>
      <c r="K46" s="484"/>
      <c r="L46" s="475">
        <f t="shared" si="1"/>
        <v>0</v>
      </c>
      <c r="M46" s="484"/>
      <c r="N46" s="475">
        <f t="shared" si="2"/>
        <v>0</v>
      </c>
      <c r="O46" s="475">
        <f t="shared" si="3"/>
        <v>0</v>
      </c>
      <c r="P46" s="241"/>
    </row>
    <row r="47" spans="2:16" ht="12.5">
      <c r="B47" s="160" t="str">
        <f t="shared" si="6"/>
        <v/>
      </c>
      <c r="C47" s="469">
        <f>IF(D11="","-",+C46+1)</f>
        <v>2038</v>
      </c>
      <c r="D47" s="482">
        <f>IF(F46+SUM(E$17:E46)=D$10,F46,D$10-SUM(E$17:E46))</f>
        <v>458753.85669191938</v>
      </c>
      <c r="E47" s="481">
        <f>IF(+I14&lt;F46,I14,D47)</f>
        <v>40013.210526315786</v>
      </c>
      <c r="F47" s="482">
        <f t="shared" si="28"/>
        <v>418740.6461656036</v>
      </c>
      <c r="G47" s="483">
        <f t="shared" si="29"/>
        <v>89916.40520385222</v>
      </c>
      <c r="H47" s="452">
        <f t="shared" si="30"/>
        <v>89916.40520385222</v>
      </c>
      <c r="I47" s="472">
        <f t="shared" si="0"/>
        <v>0</v>
      </c>
      <c r="J47" s="472"/>
      <c r="K47" s="484"/>
      <c r="L47" s="475">
        <f t="shared" si="1"/>
        <v>0</v>
      </c>
      <c r="M47" s="484"/>
      <c r="N47" s="475">
        <f t="shared" si="2"/>
        <v>0</v>
      </c>
      <c r="O47" s="475">
        <f t="shared" si="3"/>
        <v>0</v>
      </c>
      <c r="P47" s="241"/>
    </row>
    <row r="48" spans="2:16" ht="12.5">
      <c r="B48" s="160" t="str">
        <f t="shared" si="6"/>
        <v/>
      </c>
      <c r="C48" s="469">
        <f>IF(D11="","-",+C47+1)</f>
        <v>2039</v>
      </c>
      <c r="D48" s="482">
        <f>IF(F47+SUM(E$17:E47)=D$10,F47,D$10-SUM(E$17:E47))</f>
        <v>418740.6461656036</v>
      </c>
      <c r="E48" s="481">
        <f>IF(+I14&lt;F47,I14,D48)</f>
        <v>40013.210526315786</v>
      </c>
      <c r="F48" s="482">
        <f t="shared" si="28"/>
        <v>378727.43563928781</v>
      </c>
      <c r="G48" s="483">
        <f t="shared" si="29"/>
        <v>85365.29513292748</v>
      </c>
      <c r="H48" s="452">
        <f t="shared" si="30"/>
        <v>85365.29513292748</v>
      </c>
      <c r="I48" s="472">
        <f t="shared" si="0"/>
        <v>0</v>
      </c>
      <c r="J48" s="472"/>
      <c r="K48" s="484"/>
      <c r="L48" s="475">
        <f t="shared" si="1"/>
        <v>0</v>
      </c>
      <c r="M48" s="484"/>
      <c r="N48" s="475">
        <f t="shared" si="2"/>
        <v>0</v>
      </c>
      <c r="O48" s="475">
        <f t="shared" si="3"/>
        <v>0</v>
      </c>
      <c r="P48" s="241"/>
    </row>
    <row r="49" spans="2:16" ht="12.5">
      <c r="B49" s="160" t="str">
        <f t="shared" si="6"/>
        <v/>
      </c>
      <c r="C49" s="469">
        <f>IF(D11="","-",+C48+1)</f>
        <v>2040</v>
      </c>
      <c r="D49" s="482">
        <f>IF(F48+SUM(E$17:E48)=D$10,F48,D$10-SUM(E$17:E48))</f>
        <v>378727.43563928781</v>
      </c>
      <c r="E49" s="481">
        <f>IF(+I14&lt;F48,I14,D49)</f>
        <v>40013.210526315786</v>
      </c>
      <c r="F49" s="482">
        <f t="shared" ref="F49:F72" si="31">+D49-E49</f>
        <v>338714.22511297202</v>
      </c>
      <c r="G49" s="483">
        <f t="shared" si="29"/>
        <v>80814.18506200274</v>
      </c>
      <c r="H49" s="452">
        <f t="shared" si="30"/>
        <v>80814.18506200274</v>
      </c>
      <c r="I49" s="472">
        <f t="shared" ref="I49:I72" si="32">H49-G49</f>
        <v>0</v>
      </c>
      <c r="J49" s="472"/>
      <c r="K49" s="484"/>
      <c r="L49" s="475">
        <f t="shared" ref="L49:L72" si="33">IF(K49&lt;&gt;0,+G49-K49,0)</f>
        <v>0</v>
      </c>
      <c r="M49" s="484"/>
      <c r="N49" s="475">
        <f t="shared" ref="N49:N72" si="34">IF(M49&lt;&gt;0,+H49-M49,0)</f>
        <v>0</v>
      </c>
      <c r="O49" s="475">
        <f t="shared" ref="O49:O72" si="35">+N49-L49</f>
        <v>0</v>
      </c>
      <c r="P49" s="241"/>
    </row>
    <row r="50" spans="2:16" ht="12.5">
      <c r="B50" s="160" t="str">
        <f t="shared" si="6"/>
        <v/>
      </c>
      <c r="C50" s="469">
        <f>IF(D11="","-",+C49+1)</f>
        <v>2041</v>
      </c>
      <c r="D50" s="482">
        <f>IF(F49+SUM(E$17:E49)=D$10,F49,D$10-SUM(E$17:E49))</f>
        <v>338714.22511297202</v>
      </c>
      <c r="E50" s="481">
        <f>IF(+I14&lt;F49,I14,D50)</f>
        <v>40013.210526315786</v>
      </c>
      <c r="F50" s="482">
        <f t="shared" si="31"/>
        <v>298701.01458665624</v>
      </c>
      <c r="G50" s="483">
        <f t="shared" si="29"/>
        <v>76263.074991077985</v>
      </c>
      <c r="H50" s="452">
        <f t="shared" si="30"/>
        <v>76263.074991077985</v>
      </c>
      <c r="I50" s="472">
        <f t="shared" si="32"/>
        <v>0</v>
      </c>
      <c r="J50" s="472"/>
      <c r="K50" s="484"/>
      <c r="L50" s="475">
        <f t="shared" si="33"/>
        <v>0</v>
      </c>
      <c r="M50" s="484"/>
      <c r="N50" s="475">
        <f t="shared" si="34"/>
        <v>0</v>
      </c>
      <c r="O50" s="475">
        <f t="shared" si="35"/>
        <v>0</v>
      </c>
      <c r="P50" s="241"/>
    </row>
    <row r="51" spans="2:16" ht="12.5">
      <c r="B51" s="160" t="str">
        <f t="shared" si="6"/>
        <v/>
      </c>
      <c r="C51" s="469">
        <f>IF(D11="","-",+C50+1)</f>
        <v>2042</v>
      </c>
      <c r="D51" s="482">
        <f>IF(F50+SUM(E$17:E50)=D$10,F50,D$10-SUM(E$17:E50))</f>
        <v>298701.01458665624</v>
      </c>
      <c r="E51" s="481">
        <f>IF(+I14&lt;F50,I14,D51)</f>
        <v>40013.210526315786</v>
      </c>
      <c r="F51" s="482">
        <f t="shared" si="31"/>
        <v>258687.80406034045</v>
      </c>
      <c r="G51" s="483">
        <f t="shared" si="29"/>
        <v>71711.964920153259</v>
      </c>
      <c r="H51" s="452">
        <f t="shared" si="30"/>
        <v>71711.964920153259</v>
      </c>
      <c r="I51" s="472">
        <f t="shared" si="32"/>
        <v>0</v>
      </c>
      <c r="J51" s="472"/>
      <c r="K51" s="484"/>
      <c r="L51" s="475">
        <f t="shared" si="33"/>
        <v>0</v>
      </c>
      <c r="M51" s="484"/>
      <c r="N51" s="475">
        <f t="shared" si="34"/>
        <v>0</v>
      </c>
      <c r="O51" s="475">
        <f t="shared" si="35"/>
        <v>0</v>
      </c>
      <c r="P51" s="241"/>
    </row>
    <row r="52" spans="2:16" ht="12.5">
      <c r="B52" s="160" t="str">
        <f t="shared" si="6"/>
        <v/>
      </c>
      <c r="C52" s="469">
        <f>IF(D11="","-",+C51+1)</f>
        <v>2043</v>
      </c>
      <c r="D52" s="482">
        <f>IF(F51+SUM(E$17:E51)=D$10,F51,D$10-SUM(E$17:E51))</f>
        <v>258687.80406034045</v>
      </c>
      <c r="E52" s="481">
        <f>IF(+I14&lt;F51,I14,D52)</f>
        <v>40013.210526315786</v>
      </c>
      <c r="F52" s="482">
        <f t="shared" si="31"/>
        <v>218674.59353402467</v>
      </c>
      <c r="G52" s="483">
        <f t="shared" si="29"/>
        <v>67160.854849228504</v>
      </c>
      <c r="H52" s="452">
        <f t="shared" si="30"/>
        <v>67160.854849228504</v>
      </c>
      <c r="I52" s="472">
        <f t="shared" si="32"/>
        <v>0</v>
      </c>
      <c r="J52" s="472"/>
      <c r="K52" s="484"/>
      <c r="L52" s="475">
        <f t="shared" si="33"/>
        <v>0</v>
      </c>
      <c r="M52" s="484"/>
      <c r="N52" s="475">
        <f t="shared" si="34"/>
        <v>0</v>
      </c>
      <c r="O52" s="475">
        <f t="shared" si="35"/>
        <v>0</v>
      </c>
      <c r="P52" s="241"/>
    </row>
    <row r="53" spans="2:16" ht="12.5">
      <c r="B53" s="160" t="str">
        <f t="shared" si="6"/>
        <v/>
      </c>
      <c r="C53" s="469">
        <f>IF(D11="","-",+C52+1)</f>
        <v>2044</v>
      </c>
      <c r="D53" s="482">
        <f>IF(F52+SUM(E$17:E52)=D$10,F52,D$10-SUM(E$17:E52))</f>
        <v>218674.59353402467</v>
      </c>
      <c r="E53" s="481">
        <f>IF(+I14&lt;F52,I14,D53)</f>
        <v>40013.210526315786</v>
      </c>
      <c r="F53" s="482">
        <f t="shared" si="31"/>
        <v>178661.38300770888</v>
      </c>
      <c r="G53" s="483">
        <f t="shared" si="29"/>
        <v>62609.744778303764</v>
      </c>
      <c r="H53" s="452">
        <f t="shared" si="30"/>
        <v>62609.744778303764</v>
      </c>
      <c r="I53" s="472">
        <f t="shared" si="32"/>
        <v>0</v>
      </c>
      <c r="J53" s="472"/>
      <c r="K53" s="484"/>
      <c r="L53" s="475">
        <f t="shared" si="33"/>
        <v>0</v>
      </c>
      <c r="M53" s="484"/>
      <c r="N53" s="475">
        <f t="shared" si="34"/>
        <v>0</v>
      </c>
      <c r="O53" s="475">
        <f t="shared" si="35"/>
        <v>0</v>
      </c>
      <c r="P53" s="241"/>
    </row>
    <row r="54" spans="2:16" ht="12.5">
      <c r="B54" s="160" t="str">
        <f t="shared" si="6"/>
        <v/>
      </c>
      <c r="C54" s="469">
        <f>IF(D11="","-",+C53+1)</f>
        <v>2045</v>
      </c>
      <c r="D54" s="482">
        <f>IF(F53+SUM(E$17:E53)=D$10,F53,D$10-SUM(E$17:E53))</f>
        <v>178661.38300770888</v>
      </c>
      <c r="E54" s="481">
        <f>IF(+I14&lt;F53,I14,D54)</f>
        <v>40013.210526315786</v>
      </c>
      <c r="F54" s="482">
        <f t="shared" si="31"/>
        <v>138648.17248139309</v>
      </c>
      <c r="G54" s="483">
        <f t="shared" si="29"/>
        <v>58058.634707379024</v>
      </c>
      <c r="H54" s="452">
        <f t="shared" si="30"/>
        <v>58058.634707379024</v>
      </c>
      <c r="I54" s="472">
        <f t="shared" si="32"/>
        <v>0</v>
      </c>
      <c r="J54" s="472"/>
      <c r="K54" s="484"/>
      <c r="L54" s="475">
        <f t="shared" si="33"/>
        <v>0</v>
      </c>
      <c r="M54" s="484"/>
      <c r="N54" s="475">
        <f t="shared" si="34"/>
        <v>0</v>
      </c>
      <c r="O54" s="475">
        <f t="shared" si="35"/>
        <v>0</v>
      </c>
      <c r="P54" s="241"/>
    </row>
    <row r="55" spans="2:16" ht="12.5">
      <c r="B55" s="160" t="str">
        <f t="shared" si="6"/>
        <v/>
      </c>
      <c r="C55" s="469">
        <f>IF(D11="","-",+C54+1)</f>
        <v>2046</v>
      </c>
      <c r="D55" s="482">
        <f>IF(F54+SUM(E$17:E54)=D$10,F54,D$10-SUM(E$17:E54))</f>
        <v>138648.17248139309</v>
      </c>
      <c r="E55" s="481">
        <f>IF(+I14&lt;F54,I14,D55)</f>
        <v>40013.210526315786</v>
      </c>
      <c r="F55" s="482">
        <f t="shared" si="31"/>
        <v>98634.961955077306</v>
      </c>
      <c r="G55" s="483">
        <f t="shared" si="29"/>
        <v>53507.524636454276</v>
      </c>
      <c r="H55" s="452">
        <f t="shared" si="30"/>
        <v>53507.524636454276</v>
      </c>
      <c r="I55" s="472">
        <f t="shared" si="32"/>
        <v>0</v>
      </c>
      <c r="J55" s="472"/>
      <c r="K55" s="484"/>
      <c r="L55" s="475">
        <f t="shared" si="33"/>
        <v>0</v>
      </c>
      <c r="M55" s="484"/>
      <c r="N55" s="475">
        <f t="shared" si="34"/>
        <v>0</v>
      </c>
      <c r="O55" s="475">
        <f t="shared" si="35"/>
        <v>0</v>
      </c>
      <c r="P55" s="241"/>
    </row>
    <row r="56" spans="2:16" ht="12.5">
      <c r="B56" s="160" t="str">
        <f t="shared" si="6"/>
        <v/>
      </c>
      <c r="C56" s="469">
        <f>IF(D11="","-",+C55+1)</f>
        <v>2047</v>
      </c>
      <c r="D56" s="482">
        <f>IF(F55+SUM(E$17:E55)=D$10,F55,D$10-SUM(E$17:E55))</f>
        <v>98634.961955077306</v>
      </c>
      <c r="E56" s="481">
        <f>IF(+I14&lt;F55,I14,D56)</f>
        <v>40013.210526315786</v>
      </c>
      <c r="F56" s="482">
        <f t="shared" si="31"/>
        <v>58621.751428761519</v>
      </c>
      <c r="G56" s="483">
        <f t="shared" si="29"/>
        <v>48956.414565529529</v>
      </c>
      <c r="H56" s="452">
        <f t="shared" si="30"/>
        <v>48956.414565529529</v>
      </c>
      <c r="I56" s="472">
        <f t="shared" si="32"/>
        <v>0</v>
      </c>
      <c r="J56" s="472"/>
      <c r="K56" s="484"/>
      <c r="L56" s="475">
        <f t="shared" si="33"/>
        <v>0</v>
      </c>
      <c r="M56" s="484"/>
      <c r="N56" s="475">
        <f t="shared" si="34"/>
        <v>0</v>
      </c>
      <c r="O56" s="475">
        <f t="shared" si="35"/>
        <v>0</v>
      </c>
      <c r="P56" s="241"/>
    </row>
    <row r="57" spans="2:16" ht="12.5">
      <c r="B57" s="160" t="str">
        <f t="shared" si="6"/>
        <v/>
      </c>
      <c r="C57" s="469">
        <f>IF(D11="","-",+C56+1)</f>
        <v>2048</v>
      </c>
      <c r="D57" s="482">
        <f>IF(F56+SUM(E$17:E56)=D$10,F56,D$10-SUM(E$17:E56))</f>
        <v>58621.751428761519</v>
      </c>
      <c r="E57" s="481">
        <f>IF(+I14&lt;F56,I14,D57)</f>
        <v>40013.210526315786</v>
      </c>
      <c r="F57" s="482">
        <f t="shared" si="31"/>
        <v>18608.540902445733</v>
      </c>
      <c r="G57" s="483">
        <f t="shared" si="29"/>
        <v>44405.304494604788</v>
      </c>
      <c r="H57" s="452">
        <f t="shared" si="30"/>
        <v>44405.304494604788</v>
      </c>
      <c r="I57" s="472">
        <f t="shared" si="32"/>
        <v>0</v>
      </c>
      <c r="J57" s="472"/>
      <c r="K57" s="484"/>
      <c r="L57" s="475">
        <f t="shared" si="33"/>
        <v>0</v>
      </c>
      <c r="M57" s="484"/>
      <c r="N57" s="475">
        <f t="shared" si="34"/>
        <v>0</v>
      </c>
      <c r="O57" s="475">
        <f t="shared" si="35"/>
        <v>0</v>
      </c>
      <c r="P57" s="241"/>
    </row>
    <row r="58" spans="2:16" ht="12.5">
      <c r="B58" s="160" t="str">
        <f t="shared" si="6"/>
        <v/>
      </c>
      <c r="C58" s="469">
        <f>IF(D11="","-",+C57+1)</f>
        <v>2049</v>
      </c>
      <c r="D58" s="482">
        <f>IF(F57+SUM(E$17:E57)=D$10,F57,D$10-SUM(E$17:E57))</f>
        <v>18608.540902445733</v>
      </c>
      <c r="E58" s="481">
        <f>IF(+I14&lt;F57,I14,D58)</f>
        <v>18608.540902445733</v>
      </c>
      <c r="F58" s="482">
        <f t="shared" si="31"/>
        <v>0</v>
      </c>
      <c r="G58" s="483">
        <f t="shared" si="29"/>
        <v>19666.810368859049</v>
      </c>
      <c r="H58" s="452">
        <f t="shared" si="30"/>
        <v>19666.810368859049</v>
      </c>
      <c r="I58" s="472">
        <f t="shared" si="32"/>
        <v>0</v>
      </c>
      <c r="J58" s="472"/>
      <c r="K58" s="484"/>
      <c r="L58" s="475">
        <f t="shared" si="33"/>
        <v>0</v>
      </c>
      <c r="M58" s="484"/>
      <c r="N58" s="475">
        <f t="shared" si="34"/>
        <v>0</v>
      </c>
      <c r="O58" s="475">
        <f t="shared" si="35"/>
        <v>0</v>
      </c>
      <c r="P58" s="241"/>
    </row>
    <row r="59" spans="2:16" ht="12.5">
      <c r="B59" s="160" t="str">
        <f t="shared" si="6"/>
        <v/>
      </c>
      <c r="C59" s="469">
        <f>IF(D11="","-",+C58+1)</f>
        <v>2050</v>
      </c>
      <c r="D59" s="482">
        <f>IF(F58+SUM(E$17:E58)=D$10,F58,D$10-SUM(E$17:E58))</f>
        <v>0</v>
      </c>
      <c r="E59" s="481">
        <f>IF(+I14&lt;F58,I14,D59)</f>
        <v>0</v>
      </c>
      <c r="F59" s="482">
        <f t="shared" si="31"/>
        <v>0</v>
      </c>
      <c r="G59" s="483">
        <f t="shared" si="29"/>
        <v>0</v>
      </c>
      <c r="H59" s="452">
        <f t="shared" si="30"/>
        <v>0</v>
      </c>
      <c r="I59" s="472">
        <f t="shared" si="32"/>
        <v>0</v>
      </c>
      <c r="J59" s="472"/>
      <c r="K59" s="484"/>
      <c r="L59" s="475">
        <f t="shared" si="33"/>
        <v>0</v>
      </c>
      <c r="M59" s="484"/>
      <c r="N59" s="475">
        <f t="shared" si="34"/>
        <v>0</v>
      </c>
      <c r="O59" s="475">
        <f t="shared" si="35"/>
        <v>0</v>
      </c>
      <c r="P59" s="241"/>
    </row>
    <row r="60" spans="2:16" ht="12.5">
      <c r="B60" s="160" t="str">
        <f t="shared" si="6"/>
        <v/>
      </c>
      <c r="C60" s="469">
        <f>IF(D11="","-",+C59+1)</f>
        <v>2051</v>
      </c>
      <c r="D60" s="482">
        <f>IF(F59+SUM(E$17:E59)=D$10,F59,D$10-SUM(E$17:E59))</f>
        <v>0</v>
      </c>
      <c r="E60" s="481">
        <f>IF(+I14&lt;F59,I14,D60)</f>
        <v>0</v>
      </c>
      <c r="F60" s="482">
        <f t="shared" si="31"/>
        <v>0</v>
      </c>
      <c r="G60" s="483">
        <f t="shared" si="29"/>
        <v>0</v>
      </c>
      <c r="H60" s="452">
        <f t="shared" si="30"/>
        <v>0</v>
      </c>
      <c r="I60" s="472">
        <f t="shared" si="32"/>
        <v>0</v>
      </c>
      <c r="J60" s="472"/>
      <c r="K60" s="484"/>
      <c r="L60" s="475">
        <f t="shared" si="33"/>
        <v>0</v>
      </c>
      <c r="M60" s="484"/>
      <c r="N60" s="475">
        <f t="shared" si="34"/>
        <v>0</v>
      </c>
      <c r="O60" s="475">
        <f t="shared" si="35"/>
        <v>0</v>
      </c>
      <c r="P60" s="241"/>
    </row>
    <row r="61" spans="2:16" ht="12.5">
      <c r="B61" s="160" t="str">
        <f t="shared" si="6"/>
        <v/>
      </c>
      <c r="C61" s="469">
        <f>IF(D11="","-",+C60+1)</f>
        <v>2052</v>
      </c>
      <c r="D61" s="482">
        <f>IF(F60+SUM(E$17:E60)=D$10,F60,D$10-SUM(E$17:E60))</f>
        <v>0</v>
      </c>
      <c r="E61" s="481">
        <f>IF(+I14&lt;F60,I14,D61)</f>
        <v>0</v>
      </c>
      <c r="F61" s="482">
        <f t="shared" si="31"/>
        <v>0</v>
      </c>
      <c r="G61" s="483">
        <f t="shared" si="29"/>
        <v>0</v>
      </c>
      <c r="H61" s="452">
        <f t="shared" si="30"/>
        <v>0</v>
      </c>
      <c r="I61" s="472">
        <f t="shared" si="32"/>
        <v>0</v>
      </c>
      <c r="J61" s="472"/>
      <c r="K61" s="484"/>
      <c r="L61" s="475">
        <f t="shared" si="33"/>
        <v>0</v>
      </c>
      <c r="M61" s="484"/>
      <c r="N61" s="475">
        <f t="shared" si="34"/>
        <v>0</v>
      </c>
      <c r="O61" s="475">
        <f t="shared" si="35"/>
        <v>0</v>
      </c>
      <c r="P61" s="241"/>
    </row>
    <row r="62" spans="2:16" ht="12.5">
      <c r="B62" s="160" t="str">
        <f t="shared" si="6"/>
        <v/>
      </c>
      <c r="C62" s="469">
        <f>IF(D11="","-",+C61+1)</f>
        <v>2053</v>
      </c>
      <c r="D62" s="482">
        <f>IF(F61+SUM(E$17:E61)=D$10,F61,D$10-SUM(E$17:E61))</f>
        <v>0</v>
      </c>
      <c r="E62" s="481">
        <f>IF(+I14&lt;F61,I14,D62)</f>
        <v>0</v>
      </c>
      <c r="F62" s="482">
        <f t="shared" si="31"/>
        <v>0</v>
      </c>
      <c r="G62" s="483">
        <f t="shared" si="29"/>
        <v>0</v>
      </c>
      <c r="H62" s="452">
        <f t="shared" si="30"/>
        <v>0</v>
      </c>
      <c r="I62" s="472">
        <f t="shared" si="32"/>
        <v>0</v>
      </c>
      <c r="J62" s="472"/>
      <c r="K62" s="484"/>
      <c r="L62" s="475">
        <f t="shared" si="33"/>
        <v>0</v>
      </c>
      <c r="M62" s="484"/>
      <c r="N62" s="475">
        <f t="shared" si="34"/>
        <v>0</v>
      </c>
      <c r="O62" s="475">
        <f t="shared" si="35"/>
        <v>0</v>
      </c>
      <c r="P62" s="241"/>
    </row>
    <row r="63" spans="2:16" ht="12.5">
      <c r="B63" s="160" t="str">
        <f t="shared" si="6"/>
        <v/>
      </c>
      <c r="C63" s="469">
        <f>IF(D11="","-",+C62+1)</f>
        <v>2054</v>
      </c>
      <c r="D63" s="482">
        <f>IF(F62+SUM(E$17:E62)=D$10,F62,D$10-SUM(E$17:E62))</f>
        <v>0</v>
      </c>
      <c r="E63" s="481">
        <f>IF(+I14&lt;F62,I14,D63)</f>
        <v>0</v>
      </c>
      <c r="F63" s="482">
        <f t="shared" si="31"/>
        <v>0</v>
      </c>
      <c r="G63" s="483">
        <f t="shared" si="29"/>
        <v>0</v>
      </c>
      <c r="H63" s="452">
        <f t="shared" si="30"/>
        <v>0</v>
      </c>
      <c r="I63" s="472">
        <f t="shared" si="32"/>
        <v>0</v>
      </c>
      <c r="J63" s="472"/>
      <c r="K63" s="484"/>
      <c r="L63" s="475">
        <f t="shared" si="33"/>
        <v>0</v>
      </c>
      <c r="M63" s="484"/>
      <c r="N63" s="475">
        <f t="shared" si="34"/>
        <v>0</v>
      </c>
      <c r="O63" s="475">
        <f t="shared" si="35"/>
        <v>0</v>
      </c>
      <c r="P63" s="241"/>
    </row>
    <row r="64" spans="2:16" ht="12.5">
      <c r="B64" s="160" t="str">
        <f t="shared" si="6"/>
        <v/>
      </c>
      <c r="C64" s="469">
        <f>IF(D11="","-",+C63+1)</f>
        <v>2055</v>
      </c>
      <c r="D64" s="482">
        <f>IF(F63+SUM(E$17:E63)=D$10,F63,D$10-SUM(E$17:E63))</f>
        <v>0</v>
      </c>
      <c r="E64" s="481">
        <f>IF(+I14&lt;F63,I14,D64)</f>
        <v>0</v>
      </c>
      <c r="F64" s="482">
        <f t="shared" si="31"/>
        <v>0</v>
      </c>
      <c r="G64" s="483">
        <f t="shared" si="29"/>
        <v>0</v>
      </c>
      <c r="H64" s="452">
        <f t="shared" si="30"/>
        <v>0</v>
      </c>
      <c r="I64" s="472">
        <f t="shared" si="32"/>
        <v>0</v>
      </c>
      <c r="J64" s="472"/>
      <c r="K64" s="484"/>
      <c r="L64" s="475">
        <f t="shared" si="33"/>
        <v>0</v>
      </c>
      <c r="M64" s="484"/>
      <c r="N64" s="475">
        <f t="shared" si="34"/>
        <v>0</v>
      </c>
      <c r="O64" s="475">
        <f t="shared" si="35"/>
        <v>0</v>
      </c>
      <c r="P64" s="241"/>
    </row>
    <row r="65" spans="2:16" ht="12.5">
      <c r="B65" s="160" t="str">
        <f t="shared" si="6"/>
        <v/>
      </c>
      <c r="C65" s="469">
        <f>IF(D11="","-",+C64+1)</f>
        <v>2056</v>
      </c>
      <c r="D65" s="482">
        <f>IF(F64+SUM(E$17:E64)=D$10,F64,D$10-SUM(E$17:E64))</f>
        <v>0</v>
      </c>
      <c r="E65" s="481">
        <f>IF(+I14&lt;F64,I14,D65)</f>
        <v>0</v>
      </c>
      <c r="F65" s="482">
        <f t="shared" si="31"/>
        <v>0</v>
      </c>
      <c r="G65" s="483">
        <f t="shared" si="29"/>
        <v>0</v>
      </c>
      <c r="H65" s="452">
        <f t="shared" si="30"/>
        <v>0</v>
      </c>
      <c r="I65" s="472">
        <f t="shared" si="32"/>
        <v>0</v>
      </c>
      <c r="J65" s="472"/>
      <c r="K65" s="484"/>
      <c r="L65" s="475">
        <f t="shared" si="33"/>
        <v>0</v>
      </c>
      <c r="M65" s="484"/>
      <c r="N65" s="475">
        <f t="shared" si="34"/>
        <v>0</v>
      </c>
      <c r="O65" s="475">
        <f t="shared" si="35"/>
        <v>0</v>
      </c>
      <c r="P65" s="241"/>
    </row>
    <row r="66" spans="2:16" ht="12.5">
      <c r="B66" s="160" t="str">
        <f t="shared" si="6"/>
        <v/>
      </c>
      <c r="C66" s="469">
        <f>IF(D11="","-",+C65+1)</f>
        <v>2057</v>
      </c>
      <c r="D66" s="482">
        <f>IF(F65+SUM(E$17:E65)=D$10,F65,D$10-SUM(E$17:E65))</f>
        <v>0</v>
      </c>
      <c r="E66" s="481">
        <f>IF(+I14&lt;F65,I14,D66)</f>
        <v>0</v>
      </c>
      <c r="F66" s="482">
        <f t="shared" si="31"/>
        <v>0</v>
      </c>
      <c r="G66" s="483">
        <f t="shared" si="29"/>
        <v>0</v>
      </c>
      <c r="H66" s="452">
        <f t="shared" si="30"/>
        <v>0</v>
      </c>
      <c r="I66" s="472">
        <f t="shared" si="32"/>
        <v>0</v>
      </c>
      <c r="J66" s="472"/>
      <c r="K66" s="484"/>
      <c r="L66" s="475">
        <f t="shared" si="33"/>
        <v>0</v>
      </c>
      <c r="M66" s="484"/>
      <c r="N66" s="475">
        <f t="shared" si="34"/>
        <v>0</v>
      </c>
      <c r="O66" s="475">
        <f t="shared" si="35"/>
        <v>0</v>
      </c>
      <c r="P66" s="241"/>
    </row>
    <row r="67" spans="2:16" ht="12.5">
      <c r="B67" s="160" t="str">
        <f t="shared" si="6"/>
        <v/>
      </c>
      <c r="C67" s="469">
        <f>IF(D11="","-",+C66+1)</f>
        <v>2058</v>
      </c>
      <c r="D67" s="482">
        <f>IF(F66+SUM(E$17:E66)=D$10,F66,D$10-SUM(E$17:E66))</f>
        <v>0</v>
      </c>
      <c r="E67" s="481">
        <f>IF(+I14&lt;F66,I14,D67)</f>
        <v>0</v>
      </c>
      <c r="F67" s="482">
        <f t="shared" si="31"/>
        <v>0</v>
      </c>
      <c r="G67" s="483">
        <f t="shared" si="29"/>
        <v>0</v>
      </c>
      <c r="H67" s="452">
        <f t="shared" si="30"/>
        <v>0</v>
      </c>
      <c r="I67" s="472">
        <f t="shared" si="32"/>
        <v>0</v>
      </c>
      <c r="J67" s="472"/>
      <c r="K67" s="484"/>
      <c r="L67" s="475">
        <f t="shared" si="33"/>
        <v>0</v>
      </c>
      <c r="M67" s="484"/>
      <c r="N67" s="475">
        <f t="shared" si="34"/>
        <v>0</v>
      </c>
      <c r="O67" s="475">
        <f t="shared" si="35"/>
        <v>0</v>
      </c>
      <c r="P67" s="241"/>
    </row>
    <row r="68" spans="2:16" ht="12.5">
      <c r="B68" s="160" t="str">
        <f t="shared" si="6"/>
        <v/>
      </c>
      <c r="C68" s="469">
        <f>IF(D11="","-",+C67+1)</f>
        <v>2059</v>
      </c>
      <c r="D68" s="482">
        <f>IF(F67+SUM(E$17:E67)=D$10,F67,D$10-SUM(E$17:E67))</f>
        <v>0</v>
      </c>
      <c r="E68" s="481">
        <f>IF(+I14&lt;F67,I14,D68)</f>
        <v>0</v>
      </c>
      <c r="F68" s="482">
        <f t="shared" si="31"/>
        <v>0</v>
      </c>
      <c r="G68" s="483">
        <f t="shared" si="29"/>
        <v>0</v>
      </c>
      <c r="H68" s="452">
        <f t="shared" si="30"/>
        <v>0</v>
      </c>
      <c r="I68" s="472">
        <f t="shared" si="32"/>
        <v>0</v>
      </c>
      <c r="J68" s="472"/>
      <c r="K68" s="484"/>
      <c r="L68" s="475">
        <f t="shared" si="33"/>
        <v>0</v>
      </c>
      <c r="M68" s="484"/>
      <c r="N68" s="475">
        <f t="shared" si="34"/>
        <v>0</v>
      </c>
      <c r="O68" s="475">
        <f t="shared" si="35"/>
        <v>0</v>
      </c>
      <c r="P68" s="241"/>
    </row>
    <row r="69" spans="2:16" ht="12.5">
      <c r="B69" s="160" t="str">
        <f t="shared" si="6"/>
        <v/>
      </c>
      <c r="C69" s="469">
        <f>IF(D11="","-",+C68+1)</f>
        <v>2060</v>
      </c>
      <c r="D69" s="482">
        <f>IF(F68+SUM(E$17:E68)=D$10,F68,D$10-SUM(E$17:E68))</f>
        <v>0</v>
      </c>
      <c r="E69" s="481">
        <f>IF(+I14&lt;F68,I14,D69)</f>
        <v>0</v>
      </c>
      <c r="F69" s="482">
        <f t="shared" si="31"/>
        <v>0</v>
      </c>
      <c r="G69" s="483">
        <f t="shared" si="29"/>
        <v>0</v>
      </c>
      <c r="H69" s="452">
        <f t="shared" si="30"/>
        <v>0</v>
      </c>
      <c r="I69" s="472">
        <f t="shared" si="32"/>
        <v>0</v>
      </c>
      <c r="J69" s="472"/>
      <c r="K69" s="484"/>
      <c r="L69" s="475">
        <f t="shared" si="33"/>
        <v>0</v>
      </c>
      <c r="M69" s="484"/>
      <c r="N69" s="475">
        <f t="shared" si="34"/>
        <v>0</v>
      </c>
      <c r="O69" s="475">
        <f t="shared" si="35"/>
        <v>0</v>
      </c>
      <c r="P69" s="241"/>
    </row>
    <row r="70" spans="2:16" ht="12.5">
      <c r="B70" s="160" t="str">
        <f t="shared" si="6"/>
        <v/>
      </c>
      <c r="C70" s="469">
        <f>IF(D11="","-",+C69+1)</f>
        <v>2061</v>
      </c>
      <c r="D70" s="482">
        <f>IF(F69+SUM(E$17:E69)=D$10,F69,D$10-SUM(E$17:E69))</f>
        <v>0</v>
      </c>
      <c r="E70" s="481">
        <f>IF(+I14&lt;F69,I14,D70)</f>
        <v>0</v>
      </c>
      <c r="F70" s="482">
        <f t="shared" si="31"/>
        <v>0</v>
      </c>
      <c r="G70" s="483">
        <f t="shared" si="29"/>
        <v>0</v>
      </c>
      <c r="H70" s="452">
        <f t="shared" si="30"/>
        <v>0</v>
      </c>
      <c r="I70" s="472">
        <f t="shared" si="32"/>
        <v>0</v>
      </c>
      <c r="J70" s="472"/>
      <c r="K70" s="484"/>
      <c r="L70" s="475">
        <f t="shared" si="33"/>
        <v>0</v>
      </c>
      <c r="M70" s="484"/>
      <c r="N70" s="475">
        <f t="shared" si="34"/>
        <v>0</v>
      </c>
      <c r="O70" s="475">
        <f t="shared" si="35"/>
        <v>0</v>
      </c>
      <c r="P70" s="241"/>
    </row>
    <row r="71" spans="2:16" ht="12.5">
      <c r="B71" s="160" t="str">
        <f t="shared" si="6"/>
        <v/>
      </c>
      <c r="C71" s="469">
        <f>IF(D11="","-",+C70+1)</f>
        <v>2062</v>
      </c>
      <c r="D71" s="482">
        <f>IF(F70+SUM(E$17:E70)=D$10,F70,D$10-SUM(E$17:E70))</f>
        <v>0</v>
      </c>
      <c r="E71" s="481">
        <f>IF(+I14&lt;F70,I14,D71)</f>
        <v>0</v>
      </c>
      <c r="F71" s="482">
        <f t="shared" si="31"/>
        <v>0</v>
      </c>
      <c r="G71" s="483">
        <f t="shared" si="29"/>
        <v>0</v>
      </c>
      <c r="H71" s="452">
        <f t="shared" si="30"/>
        <v>0</v>
      </c>
      <c r="I71" s="472">
        <f t="shared" si="32"/>
        <v>0</v>
      </c>
      <c r="J71" s="472"/>
      <c r="K71" s="484"/>
      <c r="L71" s="475">
        <f t="shared" si="33"/>
        <v>0</v>
      </c>
      <c r="M71" s="484"/>
      <c r="N71" s="475">
        <f t="shared" si="34"/>
        <v>0</v>
      </c>
      <c r="O71" s="475">
        <f t="shared" si="35"/>
        <v>0</v>
      </c>
      <c r="P71" s="241"/>
    </row>
    <row r="72" spans="2:16" ht="13" thickBot="1">
      <c r="B72" s="160" t="str">
        <f t="shared" si="6"/>
        <v/>
      </c>
      <c r="C72" s="486">
        <f>IF(D11="","-",+C71+1)</f>
        <v>2063</v>
      </c>
      <c r="D72" s="487">
        <f>IF(F71+SUM(E$17:E71)=D$10,F71,D$10-SUM(E$17:E71))</f>
        <v>0</v>
      </c>
      <c r="E72" s="488">
        <f>IF(+I14&lt;F71,I14,D72)</f>
        <v>0</v>
      </c>
      <c r="F72" s="487">
        <f t="shared" si="31"/>
        <v>0</v>
      </c>
      <c r="G72" s="487">
        <f t="shared" si="29"/>
        <v>0</v>
      </c>
      <c r="H72" s="487">
        <f t="shared" si="30"/>
        <v>0</v>
      </c>
      <c r="I72" s="490">
        <f t="shared" si="32"/>
        <v>0</v>
      </c>
      <c r="J72" s="472"/>
      <c r="K72" s="491"/>
      <c r="L72" s="492">
        <f t="shared" si="33"/>
        <v>0</v>
      </c>
      <c r="M72" s="491"/>
      <c r="N72" s="492">
        <f t="shared" si="34"/>
        <v>0</v>
      </c>
      <c r="O72" s="492">
        <f t="shared" si="35"/>
        <v>0</v>
      </c>
      <c r="P72" s="241"/>
    </row>
    <row r="73" spans="2:16" ht="12.5">
      <c r="C73" s="344" t="s">
        <v>77</v>
      </c>
      <c r="D73" s="345"/>
      <c r="E73" s="345">
        <f>SUM(E17:E72)</f>
        <v>1520501.9999999993</v>
      </c>
      <c r="F73" s="345"/>
      <c r="G73" s="345">
        <f>SUM(G17:G72)</f>
        <v>5467332.4270803407</v>
      </c>
      <c r="H73" s="345">
        <f>SUM(H17:H72)</f>
        <v>5467332.4270803407</v>
      </c>
      <c r="I73" s="345">
        <f>SUM(I17:I72)</f>
        <v>0</v>
      </c>
      <c r="J73" s="345"/>
      <c r="K73" s="345"/>
      <c r="L73" s="345"/>
      <c r="M73" s="345"/>
      <c r="N73" s="345"/>
      <c r="O73" s="241"/>
      <c r="P73" s="241"/>
    </row>
    <row r="74" spans="2:16" ht="12.5">
      <c r="D74" s="239"/>
      <c r="E74" s="231"/>
      <c r="F74" s="231"/>
      <c r="G74" s="231"/>
      <c r="H74" s="240"/>
      <c r="I74" s="240"/>
      <c r="J74" s="345"/>
      <c r="K74" s="240"/>
      <c r="L74" s="240"/>
      <c r="M74" s="240"/>
      <c r="N74" s="240"/>
      <c r="O74" s="231"/>
      <c r="P74" s="231"/>
    </row>
    <row r="75" spans="2:16" ht="13">
      <c r="C75" s="493" t="s">
        <v>106</v>
      </c>
      <c r="D75" s="239"/>
      <c r="E75" s="231"/>
      <c r="F75" s="231"/>
      <c r="G75" s="231"/>
      <c r="H75" s="240"/>
      <c r="I75" s="240"/>
      <c r="J75" s="345"/>
      <c r="K75" s="240"/>
      <c r="L75" s="240"/>
      <c r="M75" s="240"/>
      <c r="N75" s="240"/>
      <c r="O75" s="231"/>
      <c r="P75" s="231"/>
    </row>
    <row r="76" spans="2:16" ht="13">
      <c r="C76" s="428" t="s">
        <v>78</v>
      </c>
      <c r="D76" s="239"/>
      <c r="E76" s="231"/>
      <c r="F76" s="231"/>
      <c r="G76" s="231"/>
      <c r="H76" s="240"/>
      <c r="I76" s="240"/>
      <c r="J76" s="345"/>
      <c r="K76" s="240"/>
      <c r="L76" s="240"/>
      <c r="M76" s="240"/>
      <c r="N76" s="240"/>
      <c r="O76" s="241"/>
      <c r="P76" s="241"/>
    </row>
    <row r="77" spans="2:16" ht="13">
      <c r="C77" s="428" t="s">
        <v>79</v>
      </c>
      <c r="D77" s="344"/>
      <c r="E77" s="344"/>
      <c r="F77" s="344"/>
      <c r="G77" s="345"/>
      <c r="H77" s="345"/>
      <c r="I77" s="346"/>
      <c r="J77" s="346"/>
      <c r="K77" s="346"/>
      <c r="L77" s="346"/>
      <c r="M77" s="346"/>
      <c r="N77" s="346"/>
      <c r="O77" s="241"/>
      <c r="P77" s="241"/>
    </row>
    <row r="78" spans="2:16" ht="13">
      <c r="C78" s="428"/>
      <c r="D78" s="344"/>
      <c r="E78" s="344"/>
      <c r="F78" s="344"/>
      <c r="G78" s="345"/>
      <c r="H78" s="345"/>
      <c r="I78" s="346"/>
      <c r="J78" s="346"/>
      <c r="K78" s="346"/>
      <c r="L78" s="346"/>
      <c r="M78" s="346"/>
      <c r="N78" s="346"/>
      <c r="O78" s="241"/>
      <c r="P78" s="231"/>
    </row>
    <row r="79" spans="2:16" ht="12.5">
      <c r="B79" s="231"/>
      <c r="C79" s="309"/>
      <c r="D79" s="239"/>
      <c r="E79" s="231"/>
      <c r="F79" s="342"/>
      <c r="G79" s="231"/>
      <c r="H79" s="240"/>
      <c r="I79" s="231"/>
      <c r="J79" s="241"/>
      <c r="K79" s="231"/>
      <c r="L79" s="231"/>
      <c r="M79" s="231"/>
      <c r="N79" s="231"/>
      <c r="O79" s="231"/>
      <c r="P79" s="231"/>
    </row>
    <row r="80" spans="2:16" ht="17.5">
      <c r="B80" s="231"/>
      <c r="C80" s="496"/>
      <c r="D80" s="239"/>
      <c r="E80" s="231"/>
      <c r="F80" s="342"/>
      <c r="G80" s="231"/>
      <c r="H80" s="240"/>
      <c r="I80" s="231"/>
      <c r="J80" s="241"/>
      <c r="K80" s="231"/>
      <c r="L80" s="231"/>
      <c r="M80" s="231"/>
      <c r="N80" s="231"/>
      <c r="P80" s="497" t="s">
        <v>144</v>
      </c>
    </row>
    <row r="81" spans="1:16" ht="12.5">
      <c r="B81" s="231"/>
      <c r="C81" s="309"/>
      <c r="D81" s="239"/>
      <c r="E81" s="231"/>
      <c r="F81" s="342"/>
      <c r="G81" s="231"/>
      <c r="H81" s="240"/>
      <c r="I81" s="231"/>
      <c r="J81" s="241"/>
      <c r="K81" s="231"/>
      <c r="L81" s="231"/>
      <c r="M81" s="231"/>
      <c r="N81" s="231"/>
      <c r="O81" s="231"/>
      <c r="P81" s="231"/>
    </row>
    <row r="82" spans="1:16" ht="12.5">
      <c r="B82" s="231"/>
      <c r="C82" s="309"/>
      <c r="D82" s="239"/>
      <c r="E82" s="231"/>
      <c r="F82" s="342"/>
      <c r="G82" s="231"/>
      <c r="H82" s="240"/>
      <c r="I82" s="231"/>
      <c r="J82" s="241"/>
      <c r="K82" s="231"/>
      <c r="L82" s="231"/>
      <c r="M82" s="231"/>
      <c r="N82" s="231"/>
      <c r="O82" s="231"/>
      <c r="P82" s="231"/>
    </row>
    <row r="83" spans="1:16" ht="20">
      <c r="A83" s="412" t="s">
        <v>146</v>
      </c>
      <c r="B83" s="231"/>
      <c r="C83" s="309"/>
      <c r="D83" s="239"/>
      <c r="E83" s="231"/>
      <c r="F83" s="336"/>
      <c r="G83" s="336"/>
      <c r="H83" s="231"/>
      <c r="I83" s="240"/>
      <c r="K83" s="194"/>
      <c r="L83" s="413"/>
      <c r="M83" s="413"/>
      <c r="P83" s="494" t="str">
        <f ca="1">P1</f>
        <v>PSO Project 6 of 35</v>
      </c>
    </row>
    <row r="84" spans="1:16" ht="17.5">
      <c r="B84" s="231"/>
      <c r="C84" s="231"/>
      <c r="D84" s="239"/>
      <c r="E84" s="231"/>
      <c r="F84" s="231"/>
      <c r="G84" s="231"/>
      <c r="H84" s="231"/>
      <c r="I84" s="240"/>
      <c r="J84" s="231"/>
      <c r="K84" s="241"/>
      <c r="L84" s="231"/>
      <c r="M84" s="231"/>
      <c r="P84" s="415" t="s">
        <v>151</v>
      </c>
    </row>
    <row r="85" spans="1:16" ht="17.5" thickBot="1">
      <c r="B85" s="300" t="s">
        <v>42</v>
      </c>
      <c r="C85" s="498" t="s">
        <v>91</v>
      </c>
      <c r="D85" s="239"/>
      <c r="E85" s="231"/>
      <c r="F85" s="231"/>
      <c r="G85" s="231"/>
      <c r="H85" s="231"/>
      <c r="I85" s="240"/>
      <c r="J85" s="240"/>
      <c r="K85" s="345"/>
      <c r="L85" s="240"/>
      <c r="M85" s="240"/>
      <c r="N85" s="240"/>
      <c r="O85" s="345"/>
      <c r="P85" s="231"/>
    </row>
    <row r="86" spans="1:16" ht="16" thickBot="1">
      <c r="C86" s="299"/>
      <c r="D86" s="239"/>
      <c r="E86" s="231"/>
      <c r="F86" s="231"/>
      <c r="G86" s="231"/>
      <c r="H86" s="231"/>
      <c r="I86" s="240"/>
      <c r="J86" s="240"/>
      <c r="K86" s="345"/>
      <c r="L86" s="499">
        <f>+J92</f>
        <v>2024</v>
      </c>
      <c r="M86" s="500" t="s">
        <v>8</v>
      </c>
      <c r="N86" s="501" t="s">
        <v>153</v>
      </c>
      <c r="O86" s="502" t="s">
        <v>10</v>
      </c>
      <c r="P86" s="231"/>
    </row>
    <row r="87" spans="1:16" ht="15.5">
      <c r="C87" s="238" t="s">
        <v>44</v>
      </c>
      <c r="D87" s="239"/>
      <c r="E87" s="231"/>
      <c r="F87" s="231"/>
      <c r="G87" s="231"/>
      <c r="H87" s="418"/>
      <c r="I87" s="231" t="s">
        <v>45</v>
      </c>
      <c r="J87" s="231"/>
      <c r="K87" s="503"/>
      <c r="L87" s="504" t="s">
        <v>154</v>
      </c>
      <c r="M87" s="505">
        <f>IF(J92&lt;D11,0,VLOOKUP(J92,C17:O72,9))</f>
        <v>158157.49986134801</v>
      </c>
      <c r="N87" s="505">
        <f>IF(J92&lt;D11,0,VLOOKUP(J92,C17:O72,11))</f>
        <v>158157.49986134801</v>
      </c>
      <c r="O87" s="506">
        <f>+N87-M87</f>
        <v>0</v>
      </c>
      <c r="P87" s="231"/>
    </row>
    <row r="88" spans="1:16" ht="15.5">
      <c r="C88" s="243"/>
      <c r="D88" s="239"/>
      <c r="E88" s="231"/>
      <c r="F88" s="231"/>
      <c r="G88" s="231"/>
      <c r="H88" s="231"/>
      <c r="I88" s="423"/>
      <c r="J88" s="423"/>
      <c r="K88" s="507"/>
      <c r="L88" s="508" t="s">
        <v>155</v>
      </c>
      <c r="M88" s="509">
        <f>IF(J92&lt;D11,0,VLOOKUP(J92,C99:P154,6))</f>
        <v>172747.35341642579</v>
      </c>
      <c r="N88" s="509">
        <f>IF(J92&lt;D11,0,VLOOKUP(J92,C99:P154,7))</f>
        <v>172747.35341642579</v>
      </c>
      <c r="O88" s="510">
        <f>+N88-M88</f>
        <v>0</v>
      </c>
      <c r="P88" s="231"/>
    </row>
    <row r="89" spans="1:16" ht="13.5" thickBot="1">
      <c r="C89" s="428" t="s">
        <v>92</v>
      </c>
      <c r="D89" s="511" t="str">
        <f>+D7</f>
        <v>Pryor Junction 138/69 Upgrade Transf</v>
      </c>
      <c r="E89" s="231"/>
      <c r="F89" s="231"/>
      <c r="G89" s="231"/>
      <c r="H89" s="231"/>
      <c r="I89" s="240"/>
      <c r="J89" s="240"/>
      <c r="K89" s="512"/>
      <c r="L89" s="513" t="s">
        <v>156</v>
      </c>
      <c r="M89" s="514">
        <f>+M88-M87</f>
        <v>14589.853555077774</v>
      </c>
      <c r="N89" s="514">
        <f>+N88-N87</f>
        <v>14589.853555077774</v>
      </c>
      <c r="O89" s="515">
        <f>+O88-O87</f>
        <v>0</v>
      </c>
      <c r="P89" s="231"/>
    </row>
    <row r="90" spans="1:16" ht="13.5" thickBot="1">
      <c r="C90" s="493"/>
      <c r="D90" s="516">
        <f>D8</f>
        <v>0</v>
      </c>
      <c r="E90" s="342"/>
      <c r="F90" s="342"/>
      <c r="G90" s="342"/>
      <c r="H90" s="435"/>
      <c r="I90" s="240"/>
      <c r="J90" s="240"/>
      <c r="K90" s="345"/>
      <c r="L90" s="240"/>
      <c r="M90" s="240"/>
      <c r="N90" s="240"/>
      <c r="O90" s="345"/>
      <c r="P90" s="231"/>
    </row>
    <row r="91" spans="1:16" ht="13.5" thickBot="1">
      <c r="A91" s="155"/>
      <c r="C91" s="517" t="s">
        <v>93</v>
      </c>
      <c r="D91" s="518" t="str">
        <f>+D9</f>
        <v>TP2006090</v>
      </c>
      <c r="E91" s="519" t="str">
        <f>E9</f>
        <v>SPP Project ID =</v>
      </c>
      <c r="F91" s="718">
        <f>F9</f>
        <v>110</v>
      </c>
      <c r="G91" s="519"/>
      <c r="H91" s="519"/>
      <c r="I91" s="519"/>
      <c r="J91" s="519"/>
      <c r="K91" s="521"/>
      <c r="P91" s="442"/>
    </row>
    <row r="92" spans="1:16" ht="13">
      <c r="C92" s="443" t="s">
        <v>226</v>
      </c>
      <c r="D92" s="444">
        <f>D10</f>
        <v>1520502</v>
      </c>
      <c r="E92" s="309" t="s">
        <v>94</v>
      </c>
      <c r="H92" s="445"/>
      <c r="I92" s="445"/>
      <c r="J92" s="446">
        <f>+'PSO.WS.G.BPU.ATRR.True-up'!M16</f>
        <v>2024</v>
      </c>
      <c r="K92" s="441"/>
      <c r="L92" s="345" t="s">
        <v>95</v>
      </c>
      <c r="P92" s="241"/>
    </row>
    <row r="93" spans="1:16" ht="12.5">
      <c r="C93" s="447" t="s">
        <v>53</v>
      </c>
      <c r="D93" s="522">
        <f>IF(D11=I10,"",D11)</f>
        <v>2008</v>
      </c>
      <c r="E93" s="447" t="s">
        <v>54</v>
      </c>
      <c r="F93" s="445"/>
      <c r="G93" s="445"/>
      <c r="J93" s="449">
        <f>IF(H87="",0,'PSO.WS.G.BPU.ATRR.True-up'!$F$13)</f>
        <v>0</v>
      </c>
      <c r="K93" s="450"/>
      <c r="L93" s="148" t="str">
        <f>"          INPUT TRUE-UP ARR (WITH &amp; WITHOUT INCENTIVES) FROM EACH PRIOR YEAR"</f>
        <v xml:space="preserve">          INPUT TRUE-UP ARR (WITH &amp; WITHOUT INCENTIVES) FROM EACH PRIOR YEAR</v>
      </c>
      <c r="P93" s="241"/>
    </row>
    <row r="94" spans="1:16" ht="12.5">
      <c r="C94" s="447" t="s">
        <v>55</v>
      </c>
      <c r="D94" s="523">
        <f>IF(D11=I10,"",D12)</f>
        <v>4</v>
      </c>
      <c r="E94" s="447" t="s">
        <v>56</v>
      </c>
      <c r="F94" s="445"/>
      <c r="G94" s="445"/>
      <c r="J94" s="451">
        <f>'PSO.WS.G.BPU.ATRR.True-up'!$F$81</f>
        <v>0.13431870975736884</v>
      </c>
      <c r="K94" s="394"/>
      <c r="L94" s="148" t="s">
        <v>96</v>
      </c>
      <c r="P94" s="241"/>
    </row>
    <row r="95" spans="1:16" ht="12.5">
      <c r="C95" s="447" t="s">
        <v>58</v>
      </c>
      <c r="D95" s="449">
        <f>'PSO.WS.G.BPU.ATRR.True-up'!F$93</f>
        <v>38</v>
      </c>
      <c r="E95" s="447" t="s">
        <v>59</v>
      </c>
      <c r="F95" s="445"/>
      <c r="G95" s="445"/>
      <c r="J95" s="451">
        <f>IF(H87="",J94,'PSO.WS.G.BPU.ATRR.True-up'!$F$80)</f>
        <v>0.13431870975736884</v>
      </c>
      <c r="K95" s="292"/>
      <c r="L95" s="345" t="s">
        <v>60</v>
      </c>
      <c r="M95" s="292"/>
      <c r="N95" s="292"/>
      <c r="O95" s="292"/>
      <c r="P95" s="241"/>
    </row>
    <row r="96" spans="1:16" ht="13" thickBot="1">
      <c r="C96" s="447" t="s">
        <v>61</v>
      </c>
      <c r="D96" s="524" t="str">
        <f>+D14</f>
        <v>No</v>
      </c>
      <c r="E96" s="525" t="s">
        <v>63</v>
      </c>
      <c r="F96" s="526"/>
      <c r="G96" s="526"/>
      <c r="H96" s="527"/>
      <c r="I96" s="527"/>
      <c r="J96" s="432">
        <f>IF(D92=0,0,ROUND(D92/D95,0))</f>
        <v>40013</v>
      </c>
      <c r="K96" s="345"/>
      <c r="L96" s="345"/>
      <c r="M96" s="345"/>
      <c r="N96" s="345"/>
      <c r="O96" s="345"/>
      <c r="P96" s="241"/>
    </row>
    <row r="97" spans="1:16" ht="39">
      <c r="A97" s="372"/>
      <c r="B97" s="372"/>
      <c r="C97" s="528" t="s">
        <v>50</v>
      </c>
      <c r="D97" s="529" t="s">
        <v>64</v>
      </c>
      <c r="E97" s="460" t="s">
        <v>65</v>
      </c>
      <c r="F97" s="460" t="s">
        <v>66</v>
      </c>
      <c r="G97" s="454" t="s">
        <v>101</v>
      </c>
      <c r="H97" s="530" t="s">
        <v>281</v>
      </c>
      <c r="I97" s="458" t="s">
        <v>282</v>
      </c>
      <c r="J97" s="528" t="s">
        <v>98</v>
      </c>
      <c r="K97" s="531"/>
      <c r="L97" s="458" t="s">
        <v>211</v>
      </c>
      <c r="M97" s="460" t="s">
        <v>99</v>
      </c>
      <c r="N97" s="458" t="s">
        <v>211</v>
      </c>
      <c r="O97" s="460" t="s">
        <v>99</v>
      </c>
      <c r="P97" s="460" t="s">
        <v>69</v>
      </c>
    </row>
    <row r="98" spans="1:16" ht="13.5" thickBot="1">
      <c r="C98" s="461" t="s">
        <v>70</v>
      </c>
      <c r="D98" s="532" t="s">
        <v>71</v>
      </c>
      <c r="E98" s="461" t="s">
        <v>72</v>
      </c>
      <c r="F98" s="461" t="s">
        <v>71</v>
      </c>
      <c r="G98" s="461" t="s">
        <v>71</v>
      </c>
      <c r="H98" s="533" t="s">
        <v>73</v>
      </c>
      <c r="I98" s="463" t="s">
        <v>74</v>
      </c>
      <c r="J98" s="464" t="s">
        <v>104</v>
      </c>
      <c r="K98" s="465"/>
      <c r="L98" s="466" t="s">
        <v>76</v>
      </c>
      <c r="M98" s="466" t="s">
        <v>76</v>
      </c>
      <c r="N98" s="466" t="s">
        <v>105</v>
      </c>
      <c r="O98" s="466" t="s">
        <v>105</v>
      </c>
      <c r="P98" s="466" t="s">
        <v>105</v>
      </c>
    </row>
    <row r="99" spans="1:16" ht="12.5">
      <c r="C99" s="469">
        <f>IF(D93= "","-",D93)</f>
        <v>2008</v>
      </c>
      <c r="D99" s="470">
        <v>0</v>
      </c>
      <c r="E99" s="477">
        <v>19125</v>
      </c>
      <c r="F99" s="476">
        <v>1501348</v>
      </c>
      <c r="G99" s="534">
        <v>750764</v>
      </c>
      <c r="H99" s="535">
        <v>138367</v>
      </c>
      <c r="I99" s="536">
        <v>138367</v>
      </c>
      <c r="J99" s="475">
        <f t="shared" ref="J99:J130" si="36">+I99-H99</f>
        <v>0</v>
      </c>
      <c r="K99" s="475"/>
      <c r="L99" s="551">
        <v>138367</v>
      </c>
      <c r="M99" s="474">
        <f t="shared" ref="M99:M130" si="37">IF(L99&lt;&gt;0,+H99-L99,0)</f>
        <v>0</v>
      </c>
      <c r="N99" s="551">
        <v>138367</v>
      </c>
      <c r="O99" s="474">
        <f t="shared" ref="O99:O130" si="38">IF(N99&lt;&gt;0,+I99-N99,0)</f>
        <v>0</v>
      </c>
      <c r="P99" s="474">
        <f t="shared" ref="P99:P130" si="39">+O99-M99</f>
        <v>0</v>
      </c>
    </row>
    <row r="100" spans="1:16" ht="12.5">
      <c r="B100" s="160" t="str">
        <f>IF(D100=F99,"","IU")</f>
        <v>IU</v>
      </c>
      <c r="C100" s="469">
        <f>IF(D93="","-",+C99+1)</f>
        <v>2009</v>
      </c>
      <c r="D100" s="470">
        <v>1501377</v>
      </c>
      <c r="E100" s="477">
        <v>27152</v>
      </c>
      <c r="F100" s="476">
        <v>1474225</v>
      </c>
      <c r="G100" s="476">
        <v>1487801</v>
      </c>
      <c r="H100" s="477">
        <v>244680.82784018715</v>
      </c>
      <c r="I100" s="478">
        <v>244680.82784018715</v>
      </c>
      <c r="J100" s="475">
        <f t="shared" si="36"/>
        <v>0</v>
      </c>
      <c r="K100" s="475"/>
      <c r="L100" s="537">
        <f t="shared" ref="L100:L105" si="40">H100</f>
        <v>244680.82784018715</v>
      </c>
      <c r="M100" s="538">
        <f t="shared" si="37"/>
        <v>0</v>
      </c>
      <c r="N100" s="537">
        <f t="shared" ref="N100:N105" si="41">I100</f>
        <v>244680.82784018715</v>
      </c>
      <c r="O100" s="475">
        <f t="shared" si="38"/>
        <v>0</v>
      </c>
      <c r="P100" s="475">
        <f t="shared" si="39"/>
        <v>0</v>
      </c>
    </row>
    <row r="101" spans="1:16" ht="12.5">
      <c r="B101" s="160" t="str">
        <f t="shared" ref="B101:B154" si="42">IF(D101=F100,"","IU")</f>
        <v/>
      </c>
      <c r="C101" s="469">
        <f>IF(D93="","-",+C100+1)</f>
        <v>2010</v>
      </c>
      <c r="D101" s="470">
        <v>1474225</v>
      </c>
      <c r="E101" s="477">
        <v>29814</v>
      </c>
      <c r="F101" s="476">
        <v>1444411</v>
      </c>
      <c r="G101" s="476">
        <v>1459318</v>
      </c>
      <c r="H101" s="477">
        <v>264494.5477733505</v>
      </c>
      <c r="I101" s="478">
        <v>264494.5477733505</v>
      </c>
      <c r="J101" s="475">
        <f t="shared" si="36"/>
        <v>0</v>
      </c>
      <c r="K101" s="475"/>
      <c r="L101" s="537">
        <f t="shared" si="40"/>
        <v>264494.5477733505</v>
      </c>
      <c r="M101" s="538">
        <f t="shared" si="37"/>
        <v>0</v>
      </c>
      <c r="N101" s="537">
        <f t="shared" si="41"/>
        <v>264494.5477733505</v>
      </c>
      <c r="O101" s="475">
        <f t="shared" si="38"/>
        <v>0</v>
      </c>
      <c r="P101" s="475">
        <f t="shared" si="39"/>
        <v>0</v>
      </c>
    </row>
    <row r="102" spans="1:16" ht="12.5">
      <c r="B102" s="160" t="str">
        <f t="shared" si="42"/>
        <v/>
      </c>
      <c r="C102" s="469">
        <f>IF(D93="","-",+C101+1)</f>
        <v>2011</v>
      </c>
      <c r="D102" s="470">
        <v>1444411</v>
      </c>
      <c r="E102" s="477">
        <v>29240</v>
      </c>
      <c r="F102" s="476">
        <v>1415171</v>
      </c>
      <c r="G102" s="476">
        <v>1429791</v>
      </c>
      <c r="H102" s="477">
        <v>229143.9952359481</v>
      </c>
      <c r="I102" s="478">
        <v>229143.9952359481</v>
      </c>
      <c r="J102" s="475">
        <f t="shared" si="36"/>
        <v>0</v>
      </c>
      <c r="K102" s="475"/>
      <c r="L102" s="537">
        <f t="shared" si="40"/>
        <v>229143.9952359481</v>
      </c>
      <c r="M102" s="538">
        <f t="shared" si="37"/>
        <v>0</v>
      </c>
      <c r="N102" s="537">
        <f t="shared" si="41"/>
        <v>229143.9952359481</v>
      </c>
      <c r="O102" s="475">
        <f t="shared" si="38"/>
        <v>0</v>
      </c>
      <c r="P102" s="475">
        <f t="shared" si="39"/>
        <v>0</v>
      </c>
    </row>
    <row r="103" spans="1:16" ht="12.5">
      <c r="B103" s="160" t="str">
        <f t="shared" si="42"/>
        <v/>
      </c>
      <c r="C103" s="469">
        <f>IF(D93="","-",+C102+1)</f>
        <v>2012</v>
      </c>
      <c r="D103" s="470">
        <v>1415171</v>
      </c>
      <c r="E103" s="477">
        <v>29240</v>
      </c>
      <c r="F103" s="476">
        <v>1385931</v>
      </c>
      <c r="G103" s="476">
        <v>1400551</v>
      </c>
      <c r="H103" s="477">
        <v>230716.93888695308</v>
      </c>
      <c r="I103" s="478">
        <v>230716.93888695308</v>
      </c>
      <c r="J103" s="475">
        <v>0</v>
      </c>
      <c r="K103" s="475"/>
      <c r="L103" s="537">
        <f t="shared" si="40"/>
        <v>230716.93888695308</v>
      </c>
      <c r="M103" s="538">
        <f t="shared" ref="M103:M108" si="43">IF(L103&lt;&gt;0,+H103-L103,0)</f>
        <v>0</v>
      </c>
      <c r="N103" s="537">
        <f t="shared" si="41"/>
        <v>230716.93888695308</v>
      </c>
      <c r="O103" s="475">
        <f t="shared" ref="O103:O108" si="44">IF(N103&lt;&gt;0,+I103-N103,0)</f>
        <v>0</v>
      </c>
      <c r="P103" s="475">
        <f t="shared" ref="P103:P108" si="45">+O103-M103</f>
        <v>0</v>
      </c>
    </row>
    <row r="104" spans="1:16" ht="12.5">
      <c r="B104" s="160" t="str">
        <f t="shared" si="42"/>
        <v/>
      </c>
      <c r="C104" s="469">
        <f>IF(D93="","-",+C103+1)</f>
        <v>2013</v>
      </c>
      <c r="D104" s="470">
        <v>1385931</v>
      </c>
      <c r="E104" s="477">
        <v>29240</v>
      </c>
      <c r="F104" s="476">
        <v>1356691</v>
      </c>
      <c r="G104" s="476">
        <v>1371311</v>
      </c>
      <c r="H104" s="477">
        <v>226625.94850487544</v>
      </c>
      <c r="I104" s="478">
        <v>226625.94850487544</v>
      </c>
      <c r="J104" s="475">
        <v>0</v>
      </c>
      <c r="K104" s="475"/>
      <c r="L104" s="537">
        <f t="shared" si="40"/>
        <v>226625.94850487544</v>
      </c>
      <c r="M104" s="538">
        <f t="shared" si="43"/>
        <v>0</v>
      </c>
      <c r="N104" s="537">
        <f t="shared" si="41"/>
        <v>226625.94850487544</v>
      </c>
      <c r="O104" s="475">
        <f t="shared" si="44"/>
        <v>0</v>
      </c>
      <c r="P104" s="475">
        <f t="shared" si="45"/>
        <v>0</v>
      </c>
    </row>
    <row r="105" spans="1:16" ht="12.5">
      <c r="B105" s="160" t="str">
        <f t="shared" si="42"/>
        <v/>
      </c>
      <c r="C105" s="469">
        <f>IF(D93="","-",+C104+1)</f>
        <v>2014</v>
      </c>
      <c r="D105" s="470">
        <v>1356691</v>
      </c>
      <c r="E105" s="477">
        <v>29240</v>
      </c>
      <c r="F105" s="476">
        <v>1327451</v>
      </c>
      <c r="G105" s="476">
        <v>1342071</v>
      </c>
      <c r="H105" s="477">
        <v>217929.69653942893</v>
      </c>
      <c r="I105" s="478">
        <v>217929.69653942893</v>
      </c>
      <c r="J105" s="475">
        <v>0</v>
      </c>
      <c r="K105" s="475"/>
      <c r="L105" s="537">
        <f t="shared" si="40"/>
        <v>217929.69653942893</v>
      </c>
      <c r="M105" s="538">
        <f t="shared" si="43"/>
        <v>0</v>
      </c>
      <c r="N105" s="537">
        <f t="shared" si="41"/>
        <v>217929.69653942893</v>
      </c>
      <c r="O105" s="475">
        <f t="shared" si="44"/>
        <v>0</v>
      </c>
      <c r="P105" s="475">
        <f t="shared" si="45"/>
        <v>0</v>
      </c>
    </row>
    <row r="106" spans="1:16" ht="12.5">
      <c r="B106" s="160" t="str">
        <f t="shared" si="42"/>
        <v/>
      </c>
      <c r="C106" s="469">
        <f>IF(D93="","-",+C105+1)</f>
        <v>2015</v>
      </c>
      <c r="D106" s="470">
        <v>1327451</v>
      </c>
      <c r="E106" s="477">
        <v>29240</v>
      </c>
      <c r="F106" s="476">
        <v>1298211</v>
      </c>
      <c r="G106" s="476">
        <v>1312831</v>
      </c>
      <c r="H106" s="477">
        <v>208365.23426858318</v>
      </c>
      <c r="I106" s="478">
        <v>208365.23426858318</v>
      </c>
      <c r="J106" s="475">
        <f t="shared" si="36"/>
        <v>0</v>
      </c>
      <c r="K106" s="475"/>
      <c r="L106" s="537">
        <f t="shared" ref="L106:L111" si="46">H106</f>
        <v>208365.23426858318</v>
      </c>
      <c r="M106" s="538">
        <f t="shared" si="43"/>
        <v>0</v>
      </c>
      <c r="N106" s="537">
        <f t="shared" ref="N106:N111" si="47">I106</f>
        <v>208365.23426858318</v>
      </c>
      <c r="O106" s="475">
        <f t="shared" si="44"/>
        <v>0</v>
      </c>
      <c r="P106" s="475">
        <f t="shared" si="45"/>
        <v>0</v>
      </c>
    </row>
    <row r="107" spans="1:16" ht="12.5">
      <c r="B107" s="160" t="str">
        <f t="shared" si="42"/>
        <v/>
      </c>
      <c r="C107" s="469">
        <f>IF(D93="","-",+C106+1)</f>
        <v>2016</v>
      </c>
      <c r="D107" s="470">
        <v>1298211</v>
      </c>
      <c r="E107" s="477">
        <v>33054</v>
      </c>
      <c r="F107" s="476">
        <v>1265157</v>
      </c>
      <c r="G107" s="476">
        <v>1281684</v>
      </c>
      <c r="H107" s="477">
        <v>198283.25268027262</v>
      </c>
      <c r="I107" s="478">
        <v>198283.25268027262</v>
      </c>
      <c r="J107" s="475">
        <f t="shared" si="36"/>
        <v>0</v>
      </c>
      <c r="K107" s="475"/>
      <c r="L107" s="537">
        <f t="shared" si="46"/>
        <v>198283.25268027262</v>
      </c>
      <c r="M107" s="538">
        <f t="shared" si="43"/>
        <v>0</v>
      </c>
      <c r="N107" s="537">
        <f t="shared" si="47"/>
        <v>198283.25268027262</v>
      </c>
      <c r="O107" s="475">
        <f t="shared" si="44"/>
        <v>0</v>
      </c>
      <c r="P107" s="475">
        <f t="shared" si="45"/>
        <v>0</v>
      </c>
    </row>
    <row r="108" spans="1:16" ht="12.5">
      <c r="B108" s="160" t="str">
        <f t="shared" si="42"/>
        <v/>
      </c>
      <c r="C108" s="469">
        <f>IF(D93="","-",+C107+1)</f>
        <v>2017</v>
      </c>
      <c r="D108" s="470">
        <v>1265157</v>
      </c>
      <c r="E108" s="477">
        <v>33054</v>
      </c>
      <c r="F108" s="476">
        <v>1232103</v>
      </c>
      <c r="G108" s="476">
        <v>1248630</v>
      </c>
      <c r="H108" s="477">
        <v>191445.86392166355</v>
      </c>
      <c r="I108" s="478">
        <v>191445.86392166355</v>
      </c>
      <c r="J108" s="475">
        <f t="shared" si="36"/>
        <v>0</v>
      </c>
      <c r="K108" s="475"/>
      <c r="L108" s="537">
        <f t="shared" si="46"/>
        <v>191445.86392166355</v>
      </c>
      <c r="M108" s="538">
        <f t="shared" si="43"/>
        <v>0</v>
      </c>
      <c r="N108" s="537">
        <f t="shared" si="47"/>
        <v>191445.86392166355</v>
      </c>
      <c r="O108" s="475">
        <f t="shared" si="44"/>
        <v>0</v>
      </c>
      <c r="P108" s="475">
        <f t="shared" si="45"/>
        <v>0</v>
      </c>
    </row>
    <row r="109" spans="1:16" ht="12.5">
      <c r="B109" s="160" t="str">
        <f t="shared" si="42"/>
        <v/>
      </c>
      <c r="C109" s="469">
        <f>IF(D93="","-",+C108+1)</f>
        <v>2018</v>
      </c>
      <c r="D109" s="470">
        <v>1232103</v>
      </c>
      <c r="E109" s="477">
        <v>35361</v>
      </c>
      <c r="F109" s="476">
        <v>1196742</v>
      </c>
      <c r="G109" s="476">
        <v>1214422.5</v>
      </c>
      <c r="H109" s="477">
        <v>160125.3839048628</v>
      </c>
      <c r="I109" s="478">
        <v>160125.3839048628</v>
      </c>
      <c r="J109" s="475">
        <f t="shared" si="36"/>
        <v>0</v>
      </c>
      <c r="K109" s="475"/>
      <c r="L109" s="537">
        <f t="shared" si="46"/>
        <v>160125.3839048628</v>
      </c>
      <c r="M109" s="538">
        <f t="shared" ref="M109" si="48">IF(L109&lt;&gt;0,+H109-L109,0)</f>
        <v>0</v>
      </c>
      <c r="N109" s="537">
        <f t="shared" si="47"/>
        <v>160125.3839048628</v>
      </c>
      <c r="O109" s="475">
        <f t="shared" ref="O109" si="49">IF(N109&lt;&gt;0,+I109-N109,0)</f>
        <v>0</v>
      </c>
      <c r="P109" s="475">
        <f t="shared" ref="P109" si="50">+O109-M109</f>
        <v>0</v>
      </c>
    </row>
    <row r="110" spans="1:16" ht="12.5">
      <c r="B110" s="160" t="str">
        <f t="shared" si="42"/>
        <v/>
      </c>
      <c r="C110" s="469">
        <f>IF(D93="","-",+C109+1)</f>
        <v>2019</v>
      </c>
      <c r="D110" s="470">
        <v>1196742</v>
      </c>
      <c r="E110" s="477">
        <v>37085</v>
      </c>
      <c r="F110" s="476">
        <v>1159657</v>
      </c>
      <c r="G110" s="476">
        <v>1178199.5</v>
      </c>
      <c r="H110" s="477">
        <v>158573.89397118561</v>
      </c>
      <c r="I110" s="478">
        <v>158573.89397118561</v>
      </c>
      <c r="J110" s="475">
        <f t="shared" si="36"/>
        <v>0</v>
      </c>
      <c r="K110" s="475"/>
      <c r="L110" s="537">
        <f t="shared" si="46"/>
        <v>158573.89397118561</v>
      </c>
      <c r="M110" s="538">
        <f t="shared" ref="M110" si="51">IF(L110&lt;&gt;0,+H110-L110,0)</f>
        <v>0</v>
      </c>
      <c r="N110" s="537">
        <f t="shared" si="47"/>
        <v>158573.89397118561</v>
      </c>
      <c r="O110" s="475">
        <f t="shared" si="38"/>
        <v>0</v>
      </c>
      <c r="P110" s="475">
        <f t="shared" si="39"/>
        <v>0</v>
      </c>
    </row>
    <row r="111" spans="1:16" ht="12.5">
      <c r="B111" s="160" t="str">
        <f t="shared" si="42"/>
        <v/>
      </c>
      <c r="C111" s="469">
        <f>IF(D93="","-",+C110+1)</f>
        <v>2020</v>
      </c>
      <c r="D111" s="470">
        <v>1159657</v>
      </c>
      <c r="E111" s="477">
        <v>35361</v>
      </c>
      <c r="F111" s="476">
        <v>1124296</v>
      </c>
      <c r="G111" s="476">
        <v>1141976.5</v>
      </c>
      <c r="H111" s="477">
        <v>167027.75084448946</v>
      </c>
      <c r="I111" s="478">
        <v>167027.75084448946</v>
      </c>
      <c r="J111" s="475">
        <f t="shared" si="36"/>
        <v>0</v>
      </c>
      <c r="K111" s="475"/>
      <c r="L111" s="537">
        <f t="shared" si="46"/>
        <v>167027.75084448946</v>
      </c>
      <c r="M111" s="538">
        <f t="shared" ref="M111" si="52">IF(L111&lt;&gt;0,+H111-L111,0)</f>
        <v>0</v>
      </c>
      <c r="N111" s="537">
        <f t="shared" si="47"/>
        <v>167027.75084448946</v>
      </c>
      <c r="O111" s="475">
        <f t="shared" si="38"/>
        <v>0</v>
      </c>
      <c r="P111" s="475">
        <f t="shared" si="39"/>
        <v>0</v>
      </c>
    </row>
    <row r="112" spans="1:16" ht="12.5">
      <c r="B112" s="160" t="str">
        <f t="shared" si="42"/>
        <v/>
      </c>
      <c r="C112" s="469">
        <f>IF(D93="","-",+C111+1)</f>
        <v>2021</v>
      </c>
      <c r="D112" s="470">
        <v>1124296</v>
      </c>
      <c r="E112" s="477">
        <v>37085</v>
      </c>
      <c r="F112" s="476">
        <v>1087211</v>
      </c>
      <c r="G112" s="476">
        <v>1105753.5</v>
      </c>
      <c r="H112" s="477">
        <v>162911.77916931669</v>
      </c>
      <c r="I112" s="478">
        <v>162911.77916931669</v>
      </c>
      <c r="J112" s="475">
        <f t="shared" si="36"/>
        <v>0</v>
      </c>
      <c r="K112" s="475"/>
      <c r="L112" s="537">
        <f t="shared" ref="L112" si="53">H112</f>
        <v>162911.77916931669</v>
      </c>
      <c r="M112" s="538">
        <f t="shared" ref="M112" si="54">IF(L112&lt;&gt;0,+H112-L112,0)</f>
        <v>0</v>
      </c>
      <c r="N112" s="537">
        <f t="shared" ref="N112" si="55">I112</f>
        <v>162911.77916931669</v>
      </c>
      <c r="O112" s="475">
        <f t="shared" si="38"/>
        <v>0</v>
      </c>
      <c r="P112" s="475">
        <f t="shared" si="39"/>
        <v>0</v>
      </c>
    </row>
    <row r="113" spans="2:16" ht="12.5">
      <c r="B113" s="160" t="str">
        <f t="shared" si="42"/>
        <v/>
      </c>
      <c r="C113" s="469">
        <f>IF(D93="","-",+C112+1)</f>
        <v>2022</v>
      </c>
      <c r="D113" s="470">
        <v>1087211</v>
      </c>
      <c r="E113" s="477">
        <v>38987</v>
      </c>
      <c r="F113" s="476">
        <v>1048224</v>
      </c>
      <c r="G113" s="476">
        <v>1067717.5</v>
      </c>
      <c r="H113" s="477">
        <v>156630.9466717566</v>
      </c>
      <c r="I113" s="478">
        <v>156630.9466717566</v>
      </c>
      <c r="J113" s="475">
        <f t="shared" si="36"/>
        <v>0</v>
      </c>
      <c r="K113" s="475"/>
      <c r="L113" s="537">
        <f t="shared" ref="L113" si="56">H113</f>
        <v>156630.9466717566</v>
      </c>
      <c r="M113" s="538">
        <f t="shared" ref="M113" si="57">IF(L113&lt;&gt;0,+H113-L113,0)</f>
        <v>0</v>
      </c>
      <c r="N113" s="537">
        <f t="shared" ref="N113" si="58">I113</f>
        <v>156630.9466717566</v>
      </c>
      <c r="O113" s="475">
        <f t="shared" ref="O113" si="59">IF(N113&lt;&gt;0,+I113-N113,0)</f>
        <v>0</v>
      </c>
      <c r="P113" s="475">
        <f t="shared" ref="P113" si="60">+O113-M113</f>
        <v>0</v>
      </c>
    </row>
    <row r="114" spans="2:16" ht="12.5">
      <c r="B114" s="160" t="str">
        <f t="shared" si="42"/>
        <v/>
      </c>
      <c r="C114" s="469">
        <f>IF(D93="","-",+C113+1)</f>
        <v>2023</v>
      </c>
      <c r="D114" s="470">
        <v>1048224</v>
      </c>
      <c r="E114" s="477">
        <v>40013</v>
      </c>
      <c r="F114" s="476">
        <v>1008211</v>
      </c>
      <c r="G114" s="476">
        <v>1028217.5</v>
      </c>
      <c r="H114" s="477">
        <v>157463.25492505005</v>
      </c>
      <c r="I114" s="478">
        <v>157463.25492505005</v>
      </c>
      <c r="J114" s="475">
        <f t="shared" si="36"/>
        <v>0</v>
      </c>
      <c r="K114" s="475"/>
      <c r="L114" s="537">
        <f t="shared" ref="L114" si="61">H114</f>
        <v>157463.25492505005</v>
      </c>
      <c r="M114" s="538">
        <f t="shared" ref="M114" si="62">IF(L114&lt;&gt;0,+H114-L114,0)</f>
        <v>0</v>
      </c>
      <c r="N114" s="537">
        <f t="shared" ref="N114" si="63">I114</f>
        <v>157463.25492505005</v>
      </c>
      <c r="O114" s="475">
        <f t="shared" ref="O114" si="64">IF(N114&lt;&gt;0,+I114-N114,0)</f>
        <v>0</v>
      </c>
      <c r="P114" s="475">
        <f t="shared" ref="P114" si="65">+O114-M114</f>
        <v>0</v>
      </c>
    </row>
    <row r="115" spans="2:16" ht="12.5">
      <c r="B115" s="160" t="str">
        <f t="shared" si="42"/>
        <v/>
      </c>
      <c r="C115" s="469">
        <f>IF(D93="","-",+C114+1)</f>
        <v>2024</v>
      </c>
      <c r="D115" s="344">
        <f>IF(F114+SUM(E$99:E114)=D$92,F114,D$92-SUM(E$99:E114))</f>
        <v>1008211</v>
      </c>
      <c r="E115" s="483">
        <f>IF(+J96&lt;F114,J96,D115)</f>
        <v>40013</v>
      </c>
      <c r="F115" s="482">
        <f t="shared" ref="F115:F130" si="66">+D115-E115</f>
        <v>968198</v>
      </c>
      <c r="G115" s="482">
        <f t="shared" ref="G115:G130" si="67">+(F115+D115)/2</f>
        <v>988204.5</v>
      </c>
      <c r="H115" s="483">
        <f t="shared" ref="H115:H153" si="68">(D115+F115)/2*J$94+E115</f>
        <v>172747.35341642579</v>
      </c>
      <c r="I115" s="539">
        <f t="shared" ref="I115:I153" si="69">+J$95*G115+E115</f>
        <v>172747.35341642579</v>
      </c>
      <c r="J115" s="475">
        <f t="shared" si="36"/>
        <v>0</v>
      </c>
      <c r="K115" s="475"/>
      <c r="L115" s="484"/>
      <c r="M115" s="475">
        <f t="shared" si="37"/>
        <v>0</v>
      </c>
      <c r="N115" s="484"/>
      <c r="O115" s="475">
        <f t="shared" si="38"/>
        <v>0</v>
      </c>
      <c r="P115" s="475">
        <f t="shared" si="39"/>
        <v>0</v>
      </c>
    </row>
    <row r="116" spans="2:16" ht="12.5">
      <c r="B116" s="160" t="str">
        <f t="shared" si="42"/>
        <v/>
      </c>
      <c r="C116" s="469">
        <f>IF(D93="","-",+C115+1)</f>
        <v>2025</v>
      </c>
      <c r="D116" s="344">
        <f>IF(F115+SUM(E$99:E115)=D$92,F115,D$92-SUM(E$99:E115))</f>
        <v>968198</v>
      </c>
      <c r="E116" s="483">
        <f>IF(+J96&lt;F115,J96,D116)</f>
        <v>40013</v>
      </c>
      <c r="F116" s="482">
        <f t="shared" si="66"/>
        <v>928185</v>
      </c>
      <c r="G116" s="482">
        <f t="shared" si="67"/>
        <v>948191.5</v>
      </c>
      <c r="H116" s="483">
        <f t="shared" si="68"/>
        <v>167372.8588829042</v>
      </c>
      <c r="I116" s="539">
        <f t="shared" si="69"/>
        <v>167372.8588829042</v>
      </c>
      <c r="J116" s="475">
        <f t="shared" si="36"/>
        <v>0</v>
      </c>
      <c r="K116" s="475"/>
      <c r="L116" s="484"/>
      <c r="M116" s="475">
        <f t="shared" si="37"/>
        <v>0</v>
      </c>
      <c r="N116" s="484"/>
      <c r="O116" s="475">
        <f t="shared" si="38"/>
        <v>0</v>
      </c>
      <c r="P116" s="475">
        <f t="shared" si="39"/>
        <v>0</v>
      </c>
    </row>
    <row r="117" spans="2:16" ht="12.5">
      <c r="B117" s="160" t="str">
        <f t="shared" si="42"/>
        <v/>
      </c>
      <c r="C117" s="469">
        <f>IF(D93="","-",+C116+1)</f>
        <v>2026</v>
      </c>
      <c r="D117" s="344">
        <f>IF(F116+SUM(E$99:E116)=D$92,F116,D$92-SUM(E$99:E116))</f>
        <v>928185</v>
      </c>
      <c r="E117" s="483">
        <f>IF(+J96&lt;F116,J96,D117)</f>
        <v>40013</v>
      </c>
      <c r="F117" s="482">
        <f t="shared" si="66"/>
        <v>888172</v>
      </c>
      <c r="G117" s="482">
        <f t="shared" si="67"/>
        <v>908178.5</v>
      </c>
      <c r="H117" s="483">
        <f t="shared" si="68"/>
        <v>161998.36434938258</v>
      </c>
      <c r="I117" s="539">
        <f t="shared" si="69"/>
        <v>161998.36434938258</v>
      </c>
      <c r="J117" s="475">
        <f t="shared" si="36"/>
        <v>0</v>
      </c>
      <c r="K117" s="475"/>
      <c r="L117" s="484"/>
      <c r="M117" s="475">
        <f t="shared" si="37"/>
        <v>0</v>
      </c>
      <c r="N117" s="484"/>
      <c r="O117" s="475">
        <f t="shared" si="38"/>
        <v>0</v>
      </c>
      <c r="P117" s="475">
        <f t="shared" si="39"/>
        <v>0</v>
      </c>
    </row>
    <row r="118" spans="2:16" ht="12.5">
      <c r="B118" s="160" t="str">
        <f t="shared" si="42"/>
        <v/>
      </c>
      <c r="C118" s="469">
        <f>IF(D93="","-",+C117+1)</f>
        <v>2027</v>
      </c>
      <c r="D118" s="344">
        <f>IF(F117+SUM(E$99:E117)=D$92,F117,D$92-SUM(E$99:E117))</f>
        <v>888172</v>
      </c>
      <c r="E118" s="483">
        <f>IF(+J96&lt;F117,J96,D118)</f>
        <v>40013</v>
      </c>
      <c r="F118" s="482">
        <f t="shared" si="66"/>
        <v>848159</v>
      </c>
      <c r="G118" s="482">
        <f t="shared" si="67"/>
        <v>868165.5</v>
      </c>
      <c r="H118" s="483">
        <f t="shared" si="68"/>
        <v>156623.86981586099</v>
      </c>
      <c r="I118" s="539">
        <f t="shared" si="69"/>
        <v>156623.86981586099</v>
      </c>
      <c r="J118" s="475">
        <f t="shared" si="36"/>
        <v>0</v>
      </c>
      <c r="K118" s="475"/>
      <c r="L118" s="484"/>
      <c r="M118" s="475">
        <f t="shared" si="37"/>
        <v>0</v>
      </c>
      <c r="N118" s="484"/>
      <c r="O118" s="475">
        <f t="shared" si="38"/>
        <v>0</v>
      </c>
      <c r="P118" s="475">
        <f t="shared" si="39"/>
        <v>0</v>
      </c>
    </row>
    <row r="119" spans="2:16" ht="12.5">
      <c r="B119" s="160" t="str">
        <f t="shared" si="42"/>
        <v/>
      </c>
      <c r="C119" s="469">
        <f>IF(D93="","-",+C118+1)</f>
        <v>2028</v>
      </c>
      <c r="D119" s="344">
        <f>IF(F118+SUM(E$99:E118)=D$92,F118,D$92-SUM(E$99:E118))</f>
        <v>848159</v>
      </c>
      <c r="E119" s="483">
        <f>IF(+J96&lt;F118,J96,D119)</f>
        <v>40013</v>
      </c>
      <c r="F119" s="482">
        <f t="shared" si="66"/>
        <v>808146</v>
      </c>
      <c r="G119" s="482">
        <f t="shared" si="67"/>
        <v>828152.5</v>
      </c>
      <c r="H119" s="483">
        <f t="shared" si="68"/>
        <v>151249.3752823394</v>
      </c>
      <c r="I119" s="539">
        <f t="shared" si="69"/>
        <v>151249.3752823394</v>
      </c>
      <c r="J119" s="475">
        <f t="shared" si="36"/>
        <v>0</v>
      </c>
      <c r="K119" s="475"/>
      <c r="L119" s="484"/>
      <c r="M119" s="475">
        <f t="shared" si="37"/>
        <v>0</v>
      </c>
      <c r="N119" s="484"/>
      <c r="O119" s="475">
        <f t="shared" si="38"/>
        <v>0</v>
      </c>
      <c r="P119" s="475">
        <f t="shared" si="39"/>
        <v>0</v>
      </c>
    </row>
    <row r="120" spans="2:16" ht="12.5">
      <c r="B120" s="160" t="str">
        <f t="shared" si="42"/>
        <v/>
      </c>
      <c r="C120" s="469">
        <f>IF(D93="","-",+C119+1)</f>
        <v>2029</v>
      </c>
      <c r="D120" s="344">
        <f>IF(F119+SUM(E$99:E119)=D$92,F119,D$92-SUM(E$99:E119))</f>
        <v>808146</v>
      </c>
      <c r="E120" s="483">
        <f>IF(+J96&lt;F119,J96,D120)</f>
        <v>40013</v>
      </c>
      <c r="F120" s="482">
        <f t="shared" si="66"/>
        <v>768133</v>
      </c>
      <c r="G120" s="482">
        <f t="shared" si="67"/>
        <v>788139.5</v>
      </c>
      <c r="H120" s="483">
        <f t="shared" si="68"/>
        <v>145874.88074881781</v>
      </c>
      <c r="I120" s="539">
        <f t="shared" si="69"/>
        <v>145874.88074881781</v>
      </c>
      <c r="J120" s="475">
        <f t="shared" si="36"/>
        <v>0</v>
      </c>
      <c r="K120" s="475"/>
      <c r="L120" s="484"/>
      <c r="M120" s="475">
        <f t="shared" si="37"/>
        <v>0</v>
      </c>
      <c r="N120" s="484"/>
      <c r="O120" s="475">
        <f t="shared" si="38"/>
        <v>0</v>
      </c>
      <c r="P120" s="475">
        <f t="shared" si="39"/>
        <v>0</v>
      </c>
    </row>
    <row r="121" spans="2:16" ht="12.5">
      <c r="B121" s="160" t="str">
        <f t="shared" si="42"/>
        <v/>
      </c>
      <c r="C121" s="469">
        <f>IF(D93="","-",+C120+1)</f>
        <v>2030</v>
      </c>
      <c r="D121" s="344">
        <f>IF(F120+SUM(E$99:E120)=D$92,F120,D$92-SUM(E$99:E120))</f>
        <v>768133</v>
      </c>
      <c r="E121" s="483">
        <f>IF(+J96&lt;F120,J96,D121)</f>
        <v>40013</v>
      </c>
      <c r="F121" s="482">
        <f t="shared" si="66"/>
        <v>728120</v>
      </c>
      <c r="G121" s="482">
        <f t="shared" si="67"/>
        <v>748126.5</v>
      </c>
      <c r="H121" s="483">
        <f t="shared" si="68"/>
        <v>140500.3862152962</v>
      </c>
      <c r="I121" s="539">
        <f t="shared" si="69"/>
        <v>140500.3862152962</v>
      </c>
      <c r="J121" s="475">
        <f t="shared" si="36"/>
        <v>0</v>
      </c>
      <c r="K121" s="475"/>
      <c r="L121" s="484"/>
      <c r="M121" s="475">
        <f t="shared" si="37"/>
        <v>0</v>
      </c>
      <c r="N121" s="484"/>
      <c r="O121" s="475">
        <f t="shared" si="38"/>
        <v>0</v>
      </c>
      <c r="P121" s="475">
        <f t="shared" si="39"/>
        <v>0</v>
      </c>
    </row>
    <row r="122" spans="2:16" ht="12.5">
      <c r="B122" s="160" t="str">
        <f t="shared" si="42"/>
        <v/>
      </c>
      <c r="C122" s="469">
        <f>IF(D93="","-",+C121+1)</f>
        <v>2031</v>
      </c>
      <c r="D122" s="344">
        <f>IF(F121+SUM(E$99:E121)=D$92,F121,D$92-SUM(E$99:E121))</f>
        <v>728120</v>
      </c>
      <c r="E122" s="483">
        <f>IF(+J96&lt;F121,J96,D122)</f>
        <v>40013</v>
      </c>
      <c r="F122" s="482">
        <f t="shared" si="66"/>
        <v>688107</v>
      </c>
      <c r="G122" s="482">
        <f t="shared" si="67"/>
        <v>708113.5</v>
      </c>
      <c r="H122" s="483">
        <f t="shared" si="68"/>
        <v>135125.89168177461</v>
      </c>
      <c r="I122" s="539">
        <f t="shared" si="69"/>
        <v>135125.89168177461</v>
      </c>
      <c r="J122" s="475">
        <f t="shared" si="36"/>
        <v>0</v>
      </c>
      <c r="K122" s="475"/>
      <c r="L122" s="484"/>
      <c r="M122" s="475">
        <f t="shared" si="37"/>
        <v>0</v>
      </c>
      <c r="N122" s="484"/>
      <c r="O122" s="475">
        <f t="shared" si="38"/>
        <v>0</v>
      </c>
      <c r="P122" s="475">
        <f t="shared" si="39"/>
        <v>0</v>
      </c>
    </row>
    <row r="123" spans="2:16" ht="12.5">
      <c r="B123" s="160" t="str">
        <f t="shared" si="42"/>
        <v/>
      </c>
      <c r="C123" s="469">
        <f>IF(D93="","-",+C122+1)</f>
        <v>2032</v>
      </c>
      <c r="D123" s="344">
        <f>IF(F122+SUM(E$99:E122)=D$92,F122,D$92-SUM(E$99:E122))</f>
        <v>688107</v>
      </c>
      <c r="E123" s="483">
        <f>IF(+J96&lt;F122,J96,D123)</f>
        <v>40013</v>
      </c>
      <c r="F123" s="482">
        <f t="shared" si="66"/>
        <v>648094</v>
      </c>
      <c r="G123" s="482">
        <f t="shared" si="67"/>
        <v>668100.5</v>
      </c>
      <c r="H123" s="483">
        <f t="shared" si="68"/>
        <v>129751.397148253</v>
      </c>
      <c r="I123" s="539">
        <f t="shared" si="69"/>
        <v>129751.397148253</v>
      </c>
      <c r="J123" s="475">
        <f t="shared" si="36"/>
        <v>0</v>
      </c>
      <c r="K123" s="475"/>
      <c r="L123" s="484"/>
      <c r="M123" s="475">
        <f t="shared" si="37"/>
        <v>0</v>
      </c>
      <c r="N123" s="484"/>
      <c r="O123" s="475">
        <f t="shared" si="38"/>
        <v>0</v>
      </c>
      <c r="P123" s="475">
        <f t="shared" si="39"/>
        <v>0</v>
      </c>
    </row>
    <row r="124" spans="2:16" ht="12.5">
      <c r="B124" s="160" t="str">
        <f t="shared" si="42"/>
        <v/>
      </c>
      <c r="C124" s="469">
        <f>IF(D93="","-",+C123+1)</f>
        <v>2033</v>
      </c>
      <c r="D124" s="344">
        <f>IF(F123+SUM(E$99:E123)=D$92,F123,D$92-SUM(E$99:E123))</f>
        <v>648094</v>
      </c>
      <c r="E124" s="483">
        <f>IF(+J96&lt;F123,J96,D124)</f>
        <v>40013</v>
      </c>
      <c r="F124" s="482">
        <f t="shared" si="66"/>
        <v>608081</v>
      </c>
      <c r="G124" s="482">
        <f t="shared" si="67"/>
        <v>628087.5</v>
      </c>
      <c r="H124" s="483">
        <f t="shared" si="68"/>
        <v>124376.9026147314</v>
      </c>
      <c r="I124" s="539">
        <f t="shared" si="69"/>
        <v>124376.9026147314</v>
      </c>
      <c r="J124" s="475">
        <f t="shared" si="36"/>
        <v>0</v>
      </c>
      <c r="K124" s="475"/>
      <c r="L124" s="484"/>
      <c r="M124" s="475">
        <f t="shared" si="37"/>
        <v>0</v>
      </c>
      <c r="N124" s="484"/>
      <c r="O124" s="475">
        <f t="shared" si="38"/>
        <v>0</v>
      </c>
      <c r="P124" s="475">
        <f t="shared" si="39"/>
        <v>0</v>
      </c>
    </row>
    <row r="125" spans="2:16" ht="12.5">
      <c r="B125" s="160" t="str">
        <f t="shared" si="42"/>
        <v/>
      </c>
      <c r="C125" s="469">
        <f>IF(D93="","-",+C124+1)</f>
        <v>2034</v>
      </c>
      <c r="D125" s="344">
        <f>IF(F124+SUM(E$99:E124)=D$92,F124,D$92-SUM(E$99:E124))</f>
        <v>608081</v>
      </c>
      <c r="E125" s="483">
        <f>IF(+J96&lt;F124,J96,D125)</f>
        <v>40013</v>
      </c>
      <c r="F125" s="482">
        <f t="shared" si="66"/>
        <v>568068</v>
      </c>
      <c r="G125" s="482">
        <f t="shared" si="67"/>
        <v>588074.5</v>
      </c>
      <c r="H125" s="483">
        <f t="shared" si="68"/>
        <v>119002.4080812098</v>
      </c>
      <c r="I125" s="539">
        <f t="shared" si="69"/>
        <v>119002.4080812098</v>
      </c>
      <c r="J125" s="475">
        <f t="shared" si="36"/>
        <v>0</v>
      </c>
      <c r="K125" s="475"/>
      <c r="L125" s="484"/>
      <c r="M125" s="475">
        <f t="shared" si="37"/>
        <v>0</v>
      </c>
      <c r="N125" s="484"/>
      <c r="O125" s="475">
        <f t="shared" si="38"/>
        <v>0</v>
      </c>
      <c r="P125" s="475">
        <f t="shared" si="39"/>
        <v>0</v>
      </c>
    </row>
    <row r="126" spans="2:16" ht="12.5">
      <c r="B126" s="160" t="str">
        <f t="shared" si="42"/>
        <v/>
      </c>
      <c r="C126" s="469">
        <f>IF(D93="","-",+C125+1)</f>
        <v>2035</v>
      </c>
      <c r="D126" s="344">
        <f>IF(F125+SUM(E$99:E125)=D$92,F125,D$92-SUM(E$99:E125))</f>
        <v>568068</v>
      </c>
      <c r="E126" s="483">
        <f>IF(+J96&lt;F125,J96,D126)</f>
        <v>40013</v>
      </c>
      <c r="F126" s="482">
        <f t="shared" si="66"/>
        <v>528055</v>
      </c>
      <c r="G126" s="482">
        <f t="shared" si="67"/>
        <v>548061.5</v>
      </c>
      <c r="H126" s="483">
        <f t="shared" si="68"/>
        <v>113627.91354768821</v>
      </c>
      <c r="I126" s="539">
        <f t="shared" si="69"/>
        <v>113627.91354768821</v>
      </c>
      <c r="J126" s="475">
        <f t="shared" si="36"/>
        <v>0</v>
      </c>
      <c r="K126" s="475"/>
      <c r="L126" s="484"/>
      <c r="M126" s="475">
        <f t="shared" si="37"/>
        <v>0</v>
      </c>
      <c r="N126" s="484"/>
      <c r="O126" s="475">
        <f t="shared" si="38"/>
        <v>0</v>
      </c>
      <c r="P126" s="475">
        <f t="shared" si="39"/>
        <v>0</v>
      </c>
    </row>
    <row r="127" spans="2:16" ht="12.5">
      <c r="B127" s="160" t="str">
        <f t="shared" si="42"/>
        <v/>
      </c>
      <c r="C127" s="469">
        <f>IF(D93="","-",+C126+1)</f>
        <v>2036</v>
      </c>
      <c r="D127" s="344">
        <f>IF(F126+SUM(E$99:E126)=D$92,F126,D$92-SUM(E$99:E126))</f>
        <v>528055</v>
      </c>
      <c r="E127" s="483">
        <f>IF(+J96&lt;F126,J96,D127)</f>
        <v>40013</v>
      </c>
      <c r="F127" s="482">
        <f t="shared" si="66"/>
        <v>488042</v>
      </c>
      <c r="G127" s="482">
        <f t="shared" si="67"/>
        <v>508048.5</v>
      </c>
      <c r="H127" s="483">
        <f t="shared" si="68"/>
        <v>108253.4190141666</v>
      </c>
      <c r="I127" s="539">
        <f t="shared" si="69"/>
        <v>108253.4190141666</v>
      </c>
      <c r="J127" s="475">
        <f t="shared" si="36"/>
        <v>0</v>
      </c>
      <c r="K127" s="475"/>
      <c r="L127" s="484"/>
      <c r="M127" s="475">
        <f t="shared" si="37"/>
        <v>0</v>
      </c>
      <c r="N127" s="484"/>
      <c r="O127" s="475">
        <f t="shared" si="38"/>
        <v>0</v>
      </c>
      <c r="P127" s="475">
        <f t="shared" si="39"/>
        <v>0</v>
      </c>
    </row>
    <row r="128" spans="2:16" ht="12.5">
      <c r="B128" s="160" t="str">
        <f t="shared" si="42"/>
        <v/>
      </c>
      <c r="C128" s="469">
        <f>IF(D93="","-",+C127+1)</f>
        <v>2037</v>
      </c>
      <c r="D128" s="344">
        <f>IF(F127+SUM(E$99:E127)=D$92,F127,D$92-SUM(E$99:E127))</f>
        <v>488042</v>
      </c>
      <c r="E128" s="483">
        <f>IF(+J96&lt;F127,J96,D128)</f>
        <v>40013</v>
      </c>
      <c r="F128" s="482">
        <f t="shared" si="66"/>
        <v>448029</v>
      </c>
      <c r="G128" s="482">
        <f t="shared" si="67"/>
        <v>468035.5</v>
      </c>
      <c r="H128" s="483">
        <f t="shared" si="68"/>
        <v>102878.92448064502</v>
      </c>
      <c r="I128" s="539">
        <f t="shared" si="69"/>
        <v>102878.92448064502</v>
      </c>
      <c r="J128" s="475">
        <f t="shared" si="36"/>
        <v>0</v>
      </c>
      <c r="K128" s="475"/>
      <c r="L128" s="484"/>
      <c r="M128" s="475">
        <f t="shared" si="37"/>
        <v>0</v>
      </c>
      <c r="N128" s="484"/>
      <c r="O128" s="475">
        <f t="shared" si="38"/>
        <v>0</v>
      </c>
      <c r="P128" s="475">
        <f t="shared" si="39"/>
        <v>0</v>
      </c>
    </row>
    <row r="129" spans="2:16" ht="12.5">
      <c r="B129" s="160" t="str">
        <f t="shared" si="42"/>
        <v/>
      </c>
      <c r="C129" s="469">
        <f>IF(D93="","-",+C128+1)</f>
        <v>2038</v>
      </c>
      <c r="D129" s="344">
        <f>IF(F128+SUM(E$99:E128)=D$92,F128,D$92-SUM(E$99:E128))</f>
        <v>448029</v>
      </c>
      <c r="E129" s="483">
        <f>IF(+J96&lt;F128,J96,D129)</f>
        <v>40013</v>
      </c>
      <c r="F129" s="482">
        <f t="shared" si="66"/>
        <v>408016</v>
      </c>
      <c r="G129" s="482">
        <f t="shared" si="67"/>
        <v>428022.5</v>
      </c>
      <c r="H129" s="483">
        <f t="shared" si="68"/>
        <v>97504.429947123397</v>
      </c>
      <c r="I129" s="539">
        <f t="shared" si="69"/>
        <v>97504.429947123397</v>
      </c>
      <c r="J129" s="475">
        <f t="shared" si="36"/>
        <v>0</v>
      </c>
      <c r="K129" s="475"/>
      <c r="L129" s="484"/>
      <c r="M129" s="475">
        <f t="shared" si="37"/>
        <v>0</v>
      </c>
      <c r="N129" s="484"/>
      <c r="O129" s="475">
        <f t="shared" si="38"/>
        <v>0</v>
      </c>
      <c r="P129" s="475">
        <f t="shared" si="39"/>
        <v>0</v>
      </c>
    </row>
    <row r="130" spans="2:16" ht="12.5">
      <c r="B130" s="160" t="str">
        <f t="shared" si="42"/>
        <v/>
      </c>
      <c r="C130" s="469">
        <f>IF(D93="","-",+C129+1)</f>
        <v>2039</v>
      </c>
      <c r="D130" s="344">
        <f>IF(F129+SUM(E$99:E129)=D$92,F129,D$92-SUM(E$99:E129))</f>
        <v>408016</v>
      </c>
      <c r="E130" s="483">
        <f>IF(+J96&lt;F129,J96,D130)</f>
        <v>40013</v>
      </c>
      <c r="F130" s="482">
        <f t="shared" si="66"/>
        <v>368003</v>
      </c>
      <c r="G130" s="482">
        <f t="shared" si="67"/>
        <v>388009.5</v>
      </c>
      <c r="H130" s="483">
        <f t="shared" si="68"/>
        <v>92129.935413601808</v>
      </c>
      <c r="I130" s="539">
        <f t="shared" si="69"/>
        <v>92129.935413601808</v>
      </c>
      <c r="J130" s="475">
        <f t="shared" si="36"/>
        <v>0</v>
      </c>
      <c r="K130" s="475"/>
      <c r="L130" s="484"/>
      <c r="M130" s="475">
        <f t="shared" si="37"/>
        <v>0</v>
      </c>
      <c r="N130" s="484"/>
      <c r="O130" s="475">
        <f t="shared" si="38"/>
        <v>0</v>
      </c>
      <c r="P130" s="475">
        <f t="shared" si="39"/>
        <v>0</v>
      </c>
    </row>
    <row r="131" spans="2:16" ht="12.5">
      <c r="B131" s="160" t="str">
        <f t="shared" si="42"/>
        <v/>
      </c>
      <c r="C131" s="469">
        <f>IF(D93="","-",+C130+1)</f>
        <v>2040</v>
      </c>
      <c r="D131" s="344">
        <f>IF(F130+SUM(E$99:E130)=D$92,F130,D$92-SUM(E$99:E130))</f>
        <v>368003</v>
      </c>
      <c r="E131" s="483">
        <f>IF(+J96&lt;F130,J96,D131)</f>
        <v>40013</v>
      </c>
      <c r="F131" s="482">
        <f t="shared" ref="F131:F154" si="70">+D131-E131</f>
        <v>327990</v>
      </c>
      <c r="G131" s="482">
        <f t="shared" ref="G131:G154" si="71">+(F131+D131)/2</f>
        <v>347996.5</v>
      </c>
      <c r="H131" s="483">
        <f t="shared" si="68"/>
        <v>86755.440880080205</v>
      </c>
      <c r="I131" s="539">
        <f t="shared" si="69"/>
        <v>86755.440880080205</v>
      </c>
      <c r="J131" s="475">
        <f t="shared" ref="J131:J154" si="72">+I131-H131</f>
        <v>0</v>
      </c>
      <c r="K131" s="475"/>
      <c r="L131" s="484"/>
      <c r="M131" s="475">
        <f t="shared" ref="M131:M154" si="73">IF(L131&lt;&gt;0,+H131-L131,0)</f>
        <v>0</v>
      </c>
      <c r="N131" s="484"/>
      <c r="O131" s="475">
        <f t="shared" ref="O131:O154" si="74">IF(N131&lt;&gt;0,+I131-N131,0)</f>
        <v>0</v>
      </c>
      <c r="P131" s="475">
        <f t="shared" ref="P131:P154" si="75">+O131-M131</f>
        <v>0</v>
      </c>
    </row>
    <row r="132" spans="2:16" ht="12.5">
      <c r="B132" s="160" t="str">
        <f t="shared" si="42"/>
        <v/>
      </c>
      <c r="C132" s="469">
        <f>IF(D93="","-",+C131+1)</f>
        <v>2041</v>
      </c>
      <c r="D132" s="344">
        <f>IF(F131+SUM(E$99:E131)=D$92,F131,D$92-SUM(E$99:E131))</f>
        <v>327990</v>
      </c>
      <c r="E132" s="483">
        <f>IF(+J96&lt;F131,J96,D132)</f>
        <v>40013</v>
      </c>
      <c r="F132" s="482">
        <f t="shared" si="70"/>
        <v>287977</v>
      </c>
      <c r="G132" s="482">
        <f t="shared" si="71"/>
        <v>307983.5</v>
      </c>
      <c r="H132" s="483">
        <f t="shared" si="68"/>
        <v>81380.946346558601</v>
      </c>
      <c r="I132" s="539">
        <f t="shared" si="69"/>
        <v>81380.946346558601</v>
      </c>
      <c r="J132" s="475">
        <f t="shared" si="72"/>
        <v>0</v>
      </c>
      <c r="K132" s="475"/>
      <c r="L132" s="484"/>
      <c r="M132" s="475">
        <f t="shared" si="73"/>
        <v>0</v>
      </c>
      <c r="N132" s="484"/>
      <c r="O132" s="475">
        <f t="shared" si="74"/>
        <v>0</v>
      </c>
      <c r="P132" s="475">
        <f t="shared" si="75"/>
        <v>0</v>
      </c>
    </row>
    <row r="133" spans="2:16" ht="12.5">
      <c r="B133" s="160" t="str">
        <f t="shared" si="42"/>
        <v/>
      </c>
      <c r="C133" s="469">
        <f>IF(D93="","-",+C132+1)</f>
        <v>2042</v>
      </c>
      <c r="D133" s="344">
        <f>IF(F132+SUM(E$99:E132)=D$92,F132,D$92-SUM(E$99:E132))</f>
        <v>287977</v>
      </c>
      <c r="E133" s="483">
        <f>IF(+J96&lt;F132,J96,D133)</f>
        <v>40013</v>
      </c>
      <c r="F133" s="482">
        <f t="shared" si="70"/>
        <v>247964</v>
      </c>
      <c r="G133" s="482">
        <f t="shared" si="71"/>
        <v>267970.5</v>
      </c>
      <c r="H133" s="483">
        <f t="shared" si="68"/>
        <v>76006.451813037012</v>
      </c>
      <c r="I133" s="539">
        <f t="shared" si="69"/>
        <v>76006.451813037012</v>
      </c>
      <c r="J133" s="475">
        <f t="shared" si="72"/>
        <v>0</v>
      </c>
      <c r="K133" s="475"/>
      <c r="L133" s="484"/>
      <c r="M133" s="475">
        <f t="shared" si="73"/>
        <v>0</v>
      </c>
      <c r="N133" s="484"/>
      <c r="O133" s="475">
        <f t="shared" si="74"/>
        <v>0</v>
      </c>
      <c r="P133" s="475">
        <f t="shared" si="75"/>
        <v>0</v>
      </c>
    </row>
    <row r="134" spans="2:16" ht="12.5">
      <c r="B134" s="160" t="str">
        <f t="shared" si="42"/>
        <v/>
      </c>
      <c r="C134" s="469">
        <f>IF(D93="","-",+C133+1)</f>
        <v>2043</v>
      </c>
      <c r="D134" s="344">
        <f>IF(F133+SUM(E$99:E133)=D$92,F133,D$92-SUM(E$99:E133))</f>
        <v>247964</v>
      </c>
      <c r="E134" s="483">
        <f>IF(+J96&lt;F133,J96,D134)</f>
        <v>40013</v>
      </c>
      <c r="F134" s="482">
        <f t="shared" si="70"/>
        <v>207951</v>
      </c>
      <c r="G134" s="482">
        <f t="shared" si="71"/>
        <v>227957.5</v>
      </c>
      <c r="H134" s="483">
        <f t="shared" si="68"/>
        <v>70631.957279515409</v>
      </c>
      <c r="I134" s="539">
        <f t="shared" si="69"/>
        <v>70631.957279515409</v>
      </c>
      <c r="J134" s="475">
        <f t="shared" si="72"/>
        <v>0</v>
      </c>
      <c r="K134" s="475"/>
      <c r="L134" s="484"/>
      <c r="M134" s="475">
        <f t="shared" si="73"/>
        <v>0</v>
      </c>
      <c r="N134" s="484"/>
      <c r="O134" s="475">
        <f t="shared" si="74"/>
        <v>0</v>
      </c>
      <c r="P134" s="475">
        <f t="shared" si="75"/>
        <v>0</v>
      </c>
    </row>
    <row r="135" spans="2:16" ht="12.5">
      <c r="B135" s="160" t="str">
        <f t="shared" si="42"/>
        <v/>
      </c>
      <c r="C135" s="469">
        <f>IF(D93="","-",+C134+1)</f>
        <v>2044</v>
      </c>
      <c r="D135" s="344">
        <f>IF(F134+SUM(E$99:E134)=D$92,F134,D$92-SUM(E$99:E134))</f>
        <v>207951</v>
      </c>
      <c r="E135" s="483">
        <f>IF(+J96&lt;F134,J96,D135)</f>
        <v>40013</v>
      </c>
      <c r="F135" s="482">
        <f t="shared" si="70"/>
        <v>167938</v>
      </c>
      <c r="G135" s="482">
        <f t="shared" si="71"/>
        <v>187944.5</v>
      </c>
      <c r="H135" s="483">
        <f t="shared" si="68"/>
        <v>65257.462745993806</v>
      </c>
      <c r="I135" s="539">
        <f t="shared" si="69"/>
        <v>65257.462745993806</v>
      </c>
      <c r="J135" s="475">
        <f t="shared" si="72"/>
        <v>0</v>
      </c>
      <c r="K135" s="475"/>
      <c r="L135" s="484"/>
      <c r="M135" s="475">
        <f t="shared" si="73"/>
        <v>0</v>
      </c>
      <c r="N135" s="484"/>
      <c r="O135" s="475">
        <f t="shared" si="74"/>
        <v>0</v>
      </c>
      <c r="P135" s="475">
        <f t="shared" si="75"/>
        <v>0</v>
      </c>
    </row>
    <row r="136" spans="2:16" ht="12.5">
      <c r="B136" s="160" t="str">
        <f t="shared" si="42"/>
        <v/>
      </c>
      <c r="C136" s="469">
        <f>IF(D93="","-",+C135+1)</f>
        <v>2045</v>
      </c>
      <c r="D136" s="344">
        <f>IF(F135+SUM(E$99:E135)=D$92,F135,D$92-SUM(E$99:E135))</f>
        <v>167938</v>
      </c>
      <c r="E136" s="483">
        <f>IF(+J96&lt;F135,J96,D136)</f>
        <v>40013</v>
      </c>
      <c r="F136" s="482">
        <f t="shared" si="70"/>
        <v>127925</v>
      </c>
      <c r="G136" s="482">
        <f t="shared" si="71"/>
        <v>147931.5</v>
      </c>
      <c r="H136" s="483">
        <f t="shared" si="68"/>
        <v>59882.968212472209</v>
      </c>
      <c r="I136" s="539">
        <f t="shared" si="69"/>
        <v>59882.968212472209</v>
      </c>
      <c r="J136" s="475">
        <f t="shared" si="72"/>
        <v>0</v>
      </c>
      <c r="K136" s="475"/>
      <c r="L136" s="484"/>
      <c r="M136" s="475">
        <f t="shared" si="73"/>
        <v>0</v>
      </c>
      <c r="N136" s="484"/>
      <c r="O136" s="475">
        <f t="shared" si="74"/>
        <v>0</v>
      </c>
      <c r="P136" s="475">
        <f t="shared" si="75"/>
        <v>0</v>
      </c>
    </row>
    <row r="137" spans="2:16" ht="12.5">
      <c r="B137" s="160" t="str">
        <f t="shared" si="42"/>
        <v/>
      </c>
      <c r="C137" s="469">
        <f>IF(D93="","-",+C136+1)</f>
        <v>2046</v>
      </c>
      <c r="D137" s="344">
        <f>IF(F136+SUM(E$99:E136)=D$92,F136,D$92-SUM(E$99:E136))</f>
        <v>127925</v>
      </c>
      <c r="E137" s="483">
        <f>IF(+J96&lt;F136,J96,D137)</f>
        <v>40013</v>
      </c>
      <c r="F137" s="482">
        <f t="shared" si="70"/>
        <v>87912</v>
      </c>
      <c r="G137" s="482">
        <f t="shared" si="71"/>
        <v>107918.5</v>
      </c>
      <c r="H137" s="483">
        <f t="shared" si="68"/>
        <v>54508.473678950613</v>
      </c>
      <c r="I137" s="539">
        <f t="shared" si="69"/>
        <v>54508.473678950613</v>
      </c>
      <c r="J137" s="475">
        <f t="shared" si="72"/>
        <v>0</v>
      </c>
      <c r="K137" s="475"/>
      <c r="L137" s="484"/>
      <c r="M137" s="475">
        <f t="shared" si="73"/>
        <v>0</v>
      </c>
      <c r="N137" s="484"/>
      <c r="O137" s="475">
        <f t="shared" si="74"/>
        <v>0</v>
      </c>
      <c r="P137" s="475">
        <f t="shared" si="75"/>
        <v>0</v>
      </c>
    </row>
    <row r="138" spans="2:16" ht="12.5">
      <c r="B138" s="160" t="str">
        <f t="shared" si="42"/>
        <v/>
      </c>
      <c r="C138" s="469">
        <f>IF(D93="","-",+C137+1)</f>
        <v>2047</v>
      </c>
      <c r="D138" s="344">
        <f>IF(F137+SUM(E$99:E137)=D$92,F137,D$92-SUM(E$99:E137))</f>
        <v>87912</v>
      </c>
      <c r="E138" s="483">
        <f>IF(+J96&lt;F137,J96,D138)</f>
        <v>40013</v>
      </c>
      <c r="F138" s="482">
        <f t="shared" si="70"/>
        <v>47899</v>
      </c>
      <c r="G138" s="482">
        <f t="shared" si="71"/>
        <v>67905.5</v>
      </c>
      <c r="H138" s="483">
        <f t="shared" si="68"/>
        <v>49133.97914542901</v>
      </c>
      <c r="I138" s="539">
        <f t="shared" si="69"/>
        <v>49133.97914542901</v>
      </c>
      <c r="J138" s="475">
        <f t="shared" si="72"/>
        <v>0</v>
      </c>
      <c r="K138" s="475"/>
      <c r="L138" s="484"/>
      <c r="M138" s="475">
        <f t="shared" si="73"/>
        <v>0</v>
      </c>
      <c r="N138" s="484"/>
      <c r="O138" s="475">
        <f t="shared" si="74"/>
        <v>0</v>
      </c>
      <c r="P138" s="475">
        <f t="shared" si="75"/>
        <v>0</v>
      </c>
    </row>
    <row r="139" spans="2:16" ht="12.5">
      <c r="B139" s="160" t="str">
        <f t="shared" si="42"/>
        <v/>
      </c>
      <c r="C139" s="469">
        <f>IF(D93="","-",+C138+1)</f>
        <v>2048</v>
      </c>
      <c r="D139" s="344">
        <f>IF(F138+SUM(E$99:E138)=D$92,F138,D$92-SUM(E$99:E138))</f>
        <v>47899</v>
      </c>
      <c r="E139" s="483">
        <f>IF(+J96&lt;F138,J96,D139)</f>
        <v>40013</v>
      </c>
      <c r="F139" s="482">
        <f t="shared" si="70"/>
        <v>7886</v>
      </c>
      <c r="G139" s="482">
        <f t="shared" si="71"/>
        <v>27892.5</v>
      </c>
      <c r="H139" s="483">
        <f t="shared" si="68"/>
        <v>43759.484611907414</v>
      </c>
      <c r="I139" s="539">
        <f t="shared" si="69"/>
        <v>43759.484611907414</v>
      </c>
      <c r="J139" s="475">
        <f t="shared" si="72"/>
        <v>0</v>
      </c>
      <c r="K139" s="475"/>
      <c r="L139" s="484"/>
      <c r="M139" s="475">
        <f t="shared" si="73"/>
        <v>0</v>
      </c>
      <c r="N139" s="484"/>
      <c r="O139" s="475">
        <f t="shared" si="74"/>
        <v>0</v>
      </c>
      <c r="P139" s="475">
        <f t="shared" si="75"/>
        <v>0</v>
      </c>
    </row>
    <row r="140" spans="2:16" ht="12.5">
      <c r="B140" s="160" t="str">
        <f t="shared" si="42"/>
        <v/>
      </c>
      <c r="C140" s="469">
        <f>IF(D93="","-",+C139+1)</f>
        <v>2049</v>
      </c>
      <c r="D140" s="344">
        <f>IF(F139+SUM(E$99:E139)=D$92,F139,D$92-SUM(E$99:E139))</f>
        <v>7886</v>
      </c>
      <c r="E140" s="483">
        <f>IF(+J96&lt;F139,J96,D140)</f>
        <v>7886</v>
      </c>
      <c r="F140" s="482">
        <f t="shared" si="70"/>
        <v>0</v>
      </c>
      <c r="G140" s="482">
        <f t="shared" si="71"/>
        <v>3943</v>
      </c>
      <c r="H140" s="483">
        <f t="shared" si="68"/>
        <v>8415.618672573306</v>
      </c>
      <c r="I140" s="539">
        <f t="shared" si="69"/>
        <v>8415.618672573306</v>
      </c>
      <c r="J140" s="475">
        <f t="shared" si="72"/>
        <v>0</v>
      </c>
      <c r="K140" s="475"/>
      <c r="L140" s="484"/>
      <c r="M140" s="475">
        <f t="shared" si="73"/>
        <v>0</v>
      </c>
      <c r="N140" s="484"/>
      <c r="O140" s="475">
        <f t="shared" si="74"/>
        <v>0</v>
      </c>
      <c r="P140" s="475">
        <f t="shared" si="75"/>
        <v>0</v>
      </c>
    </row>
    <row r="141" spans="2:16" ht="12.5">
      <c r="B141" s="160" t="str">
        <f t="shared" si="42"/>
        <v/>
      </c>
      <c r="C141" s="469">
        <f>IF(D93="","-",+C140+1)</f>
        <v>2050</v>
      </c>
      <c r="D141" s="344">
        <f>IF(F140+SUM(E$99:E140)=D$92,F140,D$92-SUM(E$99:E140))</f>
        <v>0</v>
      </c>
      <c r="E141" s="483">
        <f>IF(+J96&lt;F140,J96,D141)</f>
        <v>0</v>
      </c>
      <c r="F141" s="482">
        <f t="shared" si="70"/>
        <v>0</v>
      </c>
      <c r="G141" s="482">
        <f t="shared" si="71"/>
        <v>0</v>
      </c>
      <c r="H141" s="483">
        <f t="shared" si="68"/>
        <v>0</v>
      </c>
      <c r="I141" s="539">
        <f t="shared" si="69"/>
        <v>0</v>
      </c>
      <c r="J141" s="475">
        <f t="shared" si="72"/>
        <v>0</v>
      </c>
      <c r="K141" s="475"/>
      <c r="L141" s="484"/>
      <c r="M141" s="475">
        <f t="shared" si="73"/>
        <v>0</v>
      </c>
      <c r="N141" s="484"/>
      <c r="O141" s="475">
        <f t="shared" si="74"/>
        <v>0</v>
      </c>
      <c r="P141" s="475">
        <f t="shared" si="75"/>
        <v>0</v>
      </c>
    </row>
    <row r="142" spans="2:16" ht="12.5">
      <c r="B142" s="160" t="str">
        <f t="shared" si="42"/>
        <v/>
      </c>
      <c r="C142" s="469">
        <f>IF(D93="","-",+C141+1)</f>
        <v>2051</v>
      </c>
      <c r="D142" s="344">
        <f>IF(F141+SUM(E$99:E141)=D$92,F141,D$92-SUM(E$99:E141))</f>
        <v>0</v>
      </c>
      <c r="E142" s="483">
        <f>IF(+J96&lt;F141,J96,D142)</f>
        <v>0</v>
      </c>
      <c r="F142" s="482">
        <f t="shared" si="70"/>
        <v>0</v>
      </c>
      <c r="G142" s="482">
        <f t="shared" si="71"/>
        <v>0</v>
      </c>
      <c r="H142" s="483">
        <f t="shared" si="68"/>
        <v>0</v>
      </c>
      <c r="I142" s="539">
        <f t="shared" si="69"/>
        <v>0</v>
      </c>
      <c r="J142" s="475">
        <f t="shared" si="72"/>
        <v>0</v>
      </c>
      <c r="K142" s="475"/>
      <c r="L142" s="484"/>
      <c r="M142" s="475">
        <f t="shared" si="73"/>
        <v>0</v>
      </c>
      <c r="N142" s="484"/>
      <c r="O142" s="475">
        <f t="shared" si="74"/>
        <v>0</v>
      </c>
      <c r="P142" s="475">
        <f t="shared" si="75"/>
        <v>0</v>
      </c>
    </row>
    <row r="143" spans="2:16" ht="12.5">
      <c r="B143" s="160" t="str">
        <f t="shared" si="42"/>
        <v/>
      </c>
      <c r="C143" s="469">
        <f>IF(D93="","-",+C142+1)</f>
        <v>2052</v>
      </c>
      <c r="D143" s="344">
        <f>IF(F142+SUM(E$99:E142)=D$92,F142,D$92-SUM(E$99:E142))</f>
        <v>0</v>
      </c>
      <c r="E143" s="483">
        <f>IF(+J96&lt;F142,J96,D143)</f>
        <v>0</v>
      </c>
      <c r="F143" s="482">
        <f t="shared" si="70"/>
        <v>0</v>
      </c>
      <c r="G143" s="482">
        <f t="shared" si="71"/>
        <v>0</v>
      </c>
      <c r="H143" s="483">
        <f t="shared" si="68"/>
        <v>0</v>
      </c>
      <c r="I143" s="539">
        <f t="shared" si="69"/>
        <v>0</v>
      </c>
      <c r="J143" s="475">
        <f t="shared" si="72"/>
        <v>0</v>
      </c>
      <c r="K143" s="475"/>
      <c r="L143" s="484"/>
      <c r="M143" s="475">
        <f t="shared" si="73"/>
        <v>0</v>
      </c>
      <c r="N143" s="484"/>
      <c r="O143" s="475">
        <f t="shared" si="74"/>
        <v>0</v>
      </c>
      <c r="P143" s="475">
        <f t="shared" si="75"/>
        <v>0</v>
      </c>
    </row>
    <row r="144" spans="2:16" ht="12.5">
      <c r="B144" s="160" t="str">
        <f t="shared" si="42"/>
        <v/>
      </c>
      <c r="C144" s="469">
        <f>IF(D93="","-",+C143+1)</f>
        <v>2053</v>
      </c>
      <c r="D144" s="344">
        <f>IF(F143+SUM(E$99:E143)=D$92,F143,D$92-SUM(E$99:E143))</f>
        <v>0</v>
      </c>
      <c r="E144" s="483">
        <f>IF(+J96&lt;F143,J96,D144)</f>
        <v>0</v>
      </c>
      <c r="F144" s="482">
        <f t="shared" si="70"/>
        <v>0</v>
      </c>
      <c r="G144" s="482">
        <f t="shared" si="71"/>
        <v>0</v>
      </c>
      <c r="H144" s="483">
        <f t="shared" si="68"/>
        <v>0</v>
      </c>
      <c r="I144" s="539">
        <f t="shared" si="69"/>
        <v>0</v>
      </c>
      <c r="J144" s="475">
        <f t="shared" si="72"/>
        <v>0</v>
      </c>
      <c r="K144" s="475"/>
      <c r="L144" s="484"/>
      <c r="M144" s="475">
        <f t="shared" si="73"/>
        <v>0</v>
      </c>
      <c r="N144" s="484"/>
      <c r="O144" s="475">
        <f t="shared" si="74"/>
        <v>0</v>
      </c>
      <c r="P144" s="475">
        <f t="shared" si="75"/>
        <v>0</v>
      </c>
    </row>
    <row r="145" spans="2:16" ht="12.5">
      <c r="B145" s="160" t="str">
        <f t="shared" si="42"/>
        <v/>
      </c>
      <c r="C145" s="469">
        <f>IF(D93="","-",+C144+1)</f>
        <v>2054</v>
      </c>
      <c r="D145" s="344">
        <f>IF(F144+SUM(E$99:E144)=D$92,F144,D$92-SUM(E$99:E144))</f>
        <v>0</v>
      </c>
      <c r="E145" s="483">
        <f>IF(+J96&lt;F144,J96,D145)</f>
        <v>0</v>
      </c>
      <c r="F145" s="482">
        <f t="shared" si="70"/>
        <v>0</v>
      </c>
      <c r="G145" s="482">
        <f t="shared" si="71"/>
        <v>0</v>
      </c>
      <c r="H145" s="483">
        <f t="shared" si="68"/>
        <v>0</v>
      </c>
      <c r="I145" s="539">
        <f t="shared" si="69"/>
        <v>0</v>
      </c>
      <c r="J145" s="475">
        <f t="shared" si="72"/>
        <v>0</v>
      </c>
      <c r="K145" s="475"/>
      <c r="L145" s="484"/>
      <c r="M145" s="475">
        <f t="shared" si="73"/>
        <v>0</v>
      </c>
      <c r="N145" s="484"/>
      <c r="O145" s="475">
        <f t="shared" si="74"/>
        <v>0</v>
      </c>
      <c r="P145" s="475">
        <f t="shared" si="75"/>
        <v>0</v>
      </c>
    </row>
    <row r="146" spans="2:16" ht="12.5">
      <c r="B146" s="160" t="str">
        <f t="shared" si="42"/>
        <v/>
      </c>
      <c r="C146" s="469">
        <f>IF(D93="","-",+C145+1)</f>
        <v>2055</v>
      </c>
      <c r="D146" s="344">
        <f>IF(F145+SUM(E$99:E145)=D$92,F145,D$92-SUM(E$99:E145))</f>
        <v>0</v>
      </c>
      <c r="E146" s="483">
        <f>IF(+J96&lt;F145,J96,D146)</f>
        <v>0</v>
      </c>
      <c r="F146" s="482">
        <f t="shared" si="70"/>
        <v>0</v>
      </c>
      <c r="G146" s="482">
        <f t="shared" si="71"/>
        <v>0</v>
      </c>
      <c r="H146" s="483">
        <f t="shared" si="68"/>
        <v>0</v>
      </c>
      <c r="I146" s="539">
        <f t="shared" si="69"/>
        <v>0</v>
      </c>
      <c r="J146" s="475">
        <f t="shared" si="72"/>
        <v>0</v>
      </c>
      <c r="K146" s="475"/>
      <c r="L146" s="484"/>
      <c r="M146" s="475">
        <f t="shared" si="73"/>
        <v>0</v>
      </c>
      <c r="N146" s="484"/>
      <c r="O146" s="475">
        <f t="shared" si="74"/>
        <v>0</v>
      </c>
      <c r="P146" s="475">
        <f t="shared" si="75"/>
        <v>0</v>
      </c>
    </row>
    <row r="147" spans="2:16" ht="12.5">
      <c r="B147" s="160" t="str">
        <f t="shared" si="42"/>
        <v/>
      </c>
      <c r="C147" s="469">
        <f>IF(D93="","-",+C146+1)</f>
        <v>2056</v>
      </c>
      <c r="D147" s="344">
        <f>IF(F146+SUM(E$99:E146)=D$92,F146,D$92-SUM(E$99:E146))</f>
        <v>0</v>
      </c>
      <c r="E147" s="483">
        <f>IF(+J96&lt;F146,J96,D147)</f>
        <v>0</v>
      </c>
      <c r="F147" s="482">
        <f t="shared" si="70"/>
        <v>0</v>
      </c>
      <c r="G147" s="482">
        <f t="shared" si="71"/>
        <v>0</v>
      </c>
      <c r="H147" s="483">
        <f t="shared" si="68"/>
        <v>0</v>
      </c>
      <c r="I147" s="539">
        <f t="shared" si="69"/>
        <v>0</v>
      </c>
      <c r="J147" s="475">
        <f t="shared" si="72"/>
        <v>0</v>
      </c>
      <c r="K147" s="475"/>
      <c r="L147" s="484"/>
      <c r="M147" s="475">
        <f t="shared" si="73"/>
        <v>0</v>
      </c>
      <c r="N147" s="484"/>
      <c r="O147" s="475">
        <f t="shared" si="74"/>
        <v>0</v>
      </c>
      <c r="P147" s="475">
        <f t="shared" si="75"/>
        <v>0</v>
      </c>
    </row>
    <row r="148" spans="2:16" ht="12.5">
      <c r="B148" s="160" t="str">
        <f t="shared" si="42"/>
        <v/>
      </c>
      <c r="C148" s="469">
        <f>IF(D93="","-",+C147+1)</f>
        <v>2057</v>
      </c>
      <c r="D148" s="344">
        <f>IF(F147+SUM(E$99:E147)=D$92,F147,D$92-SUM(E$99:E147))</f>
        <v>0</v>
      </c>
      <c r="E148" s="483">
        <f>IF(+J96&lt;F147,J96,D148)</f>
        <v>0</v>
      </c>
      <c r="F148" s="482">
        <f t="shared" si="70"/>
        <v>0</v>
      </c>
      <c r="G148" s="482">
        <f t="shared" si="71"/>
        <v>0</v>
      </c>
      <c r="H148" s="483">
        <f t="shared" si="68"/>
        <v>0</v>
      </c>
      <c r="I148" s="539">
        <f t="shared" si="69"/>
        <v>0</v>
      </c>
      <c r="J148" s="475">
        <f t="shared" si="72"/>
        <v>0</v>
      </c>
      <c r="K148" s="475"/>
      <c r="L148" s="484"/>
      <c r="M148" s="475">
        <f t="shared" si="73"/>
        <v>0</v>
      </c>
      <c r="N148" s="484"/>
      <c r="O148" s="475">
        <f t="shared" si="74"/>
        <v>0</v>
      </c>
      <c r="P148" s="475">
        <f t="shared" si="75"/>
        <v>0</v>
      </c>
    </row>
    <row r="149" spans="2:16" ht="12.5">
      <c r="B149" s="160" t="str">
        <f t="shared" si="42"/>
        <v/>
      </c>
      <c r="C149" s="469">
        <f>IF(D93="","-",+C148+1)</f>
        <v>2058</v>
      </c>
      <c r="D149" s="344">
        <f>IF(F148+SUM(E$99:E148)=D$92,F148,D$92-SUM(E$99:E148))</f>
        <v>0</v>
      </c>
      <c r="E149" s="483">
        <f>IF(+J96&lt;F148,J96,D149)</f>
        <v>0</v>
      </c>
      <c r="F149" s="482">
        <f t="shared" si="70"/>
        <v>0</v>
      </c>
      <c r="G149" s="482">
        <f t="shared" si="71"/>
        <v>0</v>
      </c>
      <c r="H149" s="483">
        <f t="shared" si="68"/>
        <v>0</v>
      </c>
      <c r="I149" s="539">
        <f t="shared" si="69"/>
        <v>0</v>
      </c>
      <c r="J149" s="475">
        <f t="shared" si="72"/>
        <v>0</v>
      </c>
      <c r="K149" s="475"/>
      <c r="L149" s="484"/>
      <c r="M149" s="475">
        <f t="shared" si="73"/>
        <v>0</v>
      </c>
      <c r="N149" s="484"/>
      <c r="O149" s="475">
        <f t="shared" si="74"/>
        <v>0</v>
      </c>
      <c r="P149" s="475">
        <f t="shared" si="75"/>
        <v>0</v>
      </c>
    </row>
    <row r="150" spans="2:16" ht="12.5">
      <c r="B150" s="160" t="str">
        <f t="shared" si="42"/>
        <v/>
      </c>
      <c r="C150" s="469">
        <f>IF(D93="","-",+C149+1)</f>
        <v>2059</v>
      </c>
      <c r="D150" s="344">
        <f>IF(F149+SUM(E$99:E149)=D$92,F149,D$92-SUM(E$99:E149))</f>
        <v>0</v>
      </c>
      <c r="E150" s="483">
        <f>IF(+J96&lt;F149,J96,D150)</f>
        <v>0</v>
      </c>
      <c r="F150" s="482">
        <f t="shared" si="70"/>
        <v>0</v>
      </c>
      <c r="G150" s="482">
        <f t="shared" si="71"/>
        <v>0</v>
      </c>
      <c r="H150" s="483">
        <f t="shared" si="68"/>
        <v>0</v>
      </c>
      <c r="I150" s="539">
        <f t="shared" si="69"/>
        <v>0</v>
      </c>
      <c r="J150" s="475">
        <f t="shared" si="72"/>
        <v>0</v>
      </c>
      <c r="K150" s="475"/>
      <c r="L150" s="484"/>
      <c r="M150" s="475">
        <f t="shared" si="73"/>
        <v>0</v>
      </c>
      <c r="N150" s="484"/>
      <c r="O150" s="475">
        <f t="shared" si="74"/>
        <v>0</v>
      </c>
      <c r="P150" s="475">
        <f t="shared" si="75"/>
        <v>0</v>
      </c>
    </row>
    <row r="151" spans="2:16" ht="12.5">
      <c r="B151" s="160" t="str">
        <f t="shared" si="42"/>
        <v/>
      </c>
      <c r="C151" s="469">
        <f>IF(D93="","-",+C150+1)</f>
        <v>2060</v>
      </c>
      <c r="D151" s="344">
        <f>IF(F150+SUM(E$99:E150)=D$92,F150,D$92-SUM(E$99:E150))</f>
        <v>0</v>
      </c>
      <c r="E151" s="483">
        <f>IF(+J96&lt;F150,J96,D151)</f>
        <v>0</v>
      </c>
      <c r="F151" s="482">
        <f t="shared" si="70"/>
        <v>0</v>
      </c>
      <c r="G151" s="482">
        <f t="shared" si="71"/>
        <v>0</v>
      </c>
      <c r="H151" s="483">
        <f t="shared" si="68"/>
        <v>0</v>
      </c>
      <c r="I151" s="539">
        <f t="shared" si="69"/>
        <v>0</v>
      </c>
      <c r="J151" s="475">
        <f t="shared" si="72"/>
        <v>0</v>
      </c>
      <c r="K151" s="475"/>
      <c r="L151" s="484"/>
      <c r="M151" s="475">
        <f t="shared" si="73"/>
        <v>0</v>
      </c>
      <c r="N151" s="484"/>
      <c r="O151" s="475">
        <f t="shared" si="74"/>
        <v>0</v>
      </c>
      <c r="P151" s="475">
        <f t="shared" si="75"/>
        <v>0</v>
      </c>
    </row>
    <row r="152" spans="2:16" ht="12.5">
      <c r="B152" s="160" t="str">
        <f t="shared" si="42"/>
        <v/>
      </c>
      <c r="C152" s="469">
        <f>IF(D93="","-",+C151+1)</f>
        <v>2061</v>
      </c>
      <c r="D152" s="344">
        <f>IF(F151+SUM(E$99:E151)=D$92,F151,D$92-SUM(E$99:E151))</f>
        <v>0</v>
      </c>
      <c r="E152" s="483">
        <f>IF(+J96&lt;F151,J96,D152)</f>
        <v>0</v>
      </c>
      <c r="F152" s="482">
        <f t="shared" si="70"/>
        <v>0</v>
      </c>
      <c r="G152" s="482">
        <f t="shared" si="71"/>
        <v>0</v>
      </c>
      <c r="H152" s="483">
        <f t="shared" si="68"/>
        <v>0</v>
      </c>
      <c r="I152" s="539">
        <f t="shared" si="69"/>
        <v>0</v>
      </c>
      <c r="J152" s="475">
        <f t="shared" si="72"/>
        <v>0</v>
      </c>
      <c r="K152" s="475"/>
      <c r="L152" s="484"/>
      <c r="M152" s="475">
        <f t="shared" si="73"/>
        <v>0</v>
      </c>
      <c r="N152" s="484"/>
      <c r="O152" s="475">
        <f t="shared" si="74"/>
        <v>0</v>
      </c>
      <c r="P152" s="475">
        <f t="shared" si="75"/>
        <v>0</v>
      </c>
    </row>
    <row r="153" spans="2:16" ht="12.5">
      <c r="B153" s="160" t="str">
        <f t="shared" si="42"/>
        <v/>
      </c>
      <c r="C153" s="469">
        <f>IF(D93="","-",+C152+1)</f>
        <v>2062</v>
      </c>
      <c r="D153" s="344">
        <f>IF(F152+SUM(E$99:E152)=D$92,F152,D$92-SUM(E$99:E152))</f>
        <v>0</v>
      </c>
      <c r="E153" s="483">
        <f>IF(+J96&lt;F152,J96,D153)</f>
        <v>0</v>
      </c>
      <c r="F153" s="482">
        <f t="shared" si="70"/>
        <v>0</v>
      </c>
      <c r="G153" s="482">
        <f t="shared" si="71"/>
        <v>0</v>
      </c>
      <c r="H153" s="483">
        <f t="shared" si="68"/>
        <v>0</v>
      </c>
      <c r="I153" s="539">
        <f t="shared" si="69"/>
        <v>0</v>
      </c>
      <c r="J153" s="475">
        <f t="shared" si="72"/>
        <v>0</v>
      </c>
      <c r="K153" s="475"/>
      <c r="L153" s="484"/>
      <c r="M153" s="475">
        <f t="shared" si="73"/>
        <v>0</v>
      </c>
      <c r="N153" s="484"/>
      <c r="O153" s="475">
        <f t="shared" si="74"/>
        <v>0</v>
      </c>
      <c r="P153" s="475">
        <f t="shared" si="75"/>
        <v>0</v>
      </c>
    </row>
    <row r="154" spans="2:16" ht="13" thickBot="1">
      <c r="B154" s="160" t="str">
        <f t="shared" si="42"/>
        <v/>
      </c>
      <c r="C154" s="486">
        <f>IF(D93="","-",+C153+1)</f>
        <v>2063</v>
      </c>
      <c r="D154" s="540">
        <f>IF(F153+SUM(E$99:E153)=D$92,F153,D$92-SUM(E$99:E153))</f>
        <v>0</v>
      </c>
      <c r="E154" s="541">
        <f>IF(+J96&lt;F153,J96,D154)</f>
        <v>0</v>
      </c>
      <c r="F154" s="487">
        <f t="shared" si="70"/>
        <v>0</v>
      </c>
      <c r="G154" s="487">
        <f t="shared" si="71"/>
        <v>0</v>
      </c>
      <c r="H154" s="489">
        <f t="shared" ref="H154" si="76">+J$94*G154+E154</f>
        <v>0</v>
      </c>
      <c r="I154" s="542">
        <f t="shared" ref="I154" si="77">+J$95*G154+E154</f>
        <v>0</v>
      </c>
      <c r="J154" s="492">
        <f t="shared" si="72"/>
        <v>0</v>
      </c>
      <c r="K154" s="475"/>
      <c r="L154" s="491"/>
      <c r="M154" s="492">
        <f t="shared" si="73"/>
        <v>0</v>
      </c>
      <c r="N154" s="491"/>
      <c r="O154" s="492">
        <f t="shared" si="74"/>
        <v>0</v>
      </c>
      <c r="P154" s="492">
        <f t="shared" si="75"/>
        <v>0</v>
      </c>
    </row>
    <row r="155" spans="2:16" ht="12.5">
      <c r="C155" s="344" t="s">
        <v>77</v>
      </c>
      <c r="D155" s="345"/>
      <c r="E155" s="345">
        <f>SUM(E99:E154)</f>
        <v>1520502</v>
      </c>
      <c r="F155" s="345"/>
      <c r="G155" s="345"/>
      <c r="H155" s="345">
        <f>SUM(H99:H154)</f>
        <v>5827537.4091646606</v>
      </c>
      <c r="I155" s="345">
        <f>SUM(I99:I154)</f>
        <v>5827537.4091646606</v>
      </c>
      <c r="J155" s="345">
        <f>SUM(J99:J154)</f>
        <v>0</v>
      </c>
      <c r="K155" s="345"/>
      <c r="L155" s="345"/>
      <c r="M155" s="345"/>
      <c r="N155" s="345"/>
      <c r="O155" s="345"/>
      <c r="P155" s="231"/>
    </row>
    <row r="156" spans="2:16" ht="12.5">
      <c r="C156" s="148" t="s">
        <v>100</v>
      </c>
      <c r="D156" s="239"/>
      <c r="E156" s="231"/>
      <c r="F156" s="231"/>
      <c r="G156" s="231"/>
      <c r="H156" s="231"/>
      <c r="I156" s="240"/>
      <c r="J156" s="240"/>
      <c r="K156" s="345"/>
      <c r="L156" s="240"/>
      <c r="M156" s="240"/>
      <c r="N156" s="240"/>
      <c r="O156" s="240"/>
      <c r="P156" s="231"/>
    </row>
    <row r="157" spans="2:16" ht="12.5">
      <c r="C157" s="543"/>
      <c r="D157" s="239"/>
      <c r="E157" s="231"/>
      <c r="F157" s="231"/>
      <c r="G157" s="231"/>
      <c r="H157" s="231"/>
      <c r="I157" s="240"/>
      <c r="J157" s="240"/>
      <c r="K157" s="345"/>
      <c r="L157" s="240"/>
      <c r="M157" s="240"/>
      <c r="N157" s="240"/>
      <c r="O157" s="240"/>
      <c r="P157" s="231"/>
    </row>
    <row r="158" spans="2:16" ht="13">
      <c r="C158" s="560" t="s">
        <v>148</v>
      </c>
      <c r="D158" s="239"/>
      <c r="E158" s="231"/>
      <c r="F158" s="231"/>
      <c r="G158" s="231"/>
      <c r="H158" s="231"/>
      <c r="I158" s="240"/>
      <c r="J158" s="240"/>
      <c r="K158" s="345"/>
      <c r="L158" s="240"/>
      <c r="M158" s="240"/>
      <c r="N158" s="240"/>
      <c r="O158" s="240"/>
      <c r="P158" s="231"/>
    </row>
    <row r="159" spans="2:16" ht="13">
      <c r="C159" s="428" t="s">
        <v>78</v>
      </c>
      <c r="D159" s="344"/>
      <c r="E159" s="344"/>
      <c r="F159" s="344"/>
      <c r="G159" s="344"/>
      <c r="H159" s="345"/>
      <c r="I159" s="345"/>
      <c r="J159" s="346"/>
      <c r="K159" s="346"/>
      <c r="L159" s="346"/>
      <c r="M159" s="346"/>
      <c r="N159" s="346"/>
      <c r="O159" s="346"/>
      <c r="P159" s="231"/>
    </row>
    <row r="160" spans="2:16" ht="13">
      <c r="C160" s="544" t="s">
        <v>79</v>
      </c>
      <c r="D160" s="344"/>
      <c r="E160" s="344"/>
      <c r="F160" s="344"/>
      <c r="G160" s="344"/>
      <c r="H160" s="345"/>
      <c r="I160" s="345"/>
      <c r="J160" s="346"/>
      <c r="K160" s="346"/>
      <c r="L160" s="346"/>
      <c r="M160" s="346"/>
      <c r="N160" s="346"/>
      <c r="O160" s="346"/>
      <c r="P160" s="231"/>
    </row>
    <row r="161" spans="3:16" ht="13">
      <c r="C161" s="544"/>
      <c r="D161" s="344"/>
      <c r="E161" s="344"/>
      <c r="F161" s="344"/>
      <c r="G161" s="344"/>
      <c r="H161" s="345"/>
      <c r="I161" s="345"/>
      <c r="J161" s="346"/>
      <c r="K161" s="346"/>
      <c r="L161" s="346"/>
      <c r="M161" s="346"/>
      <c r="N161" s="346"/>
      <c r="O161" s="346"/>
      <c r="P161" s="231"/>
    </row>
    <row r="162" spans="3:16" ht="17.5">
      <c r="C162" s="544"/>
      <c r="D162" s="344"/>
      <c r="E162" s="344"/>
      <c r="F162" s="344"/>
      <c r="G162" s="344"/>
      <c r="H162" s="345"/>
      <c r="I162" s="345"/>
      <c r="J162" s="346"/>
      <c r="K162" s="346"/>
      <c r="L162" s="346"/>
      <c r="M162" s="346"/>
      <c r="N162" s="346"/>
      <c r="P162" s="550" t="s">
        <v>145</v>
      </c>
    </row>
  </sheetData>
  <phoneticPr fontId="0" type="noConversion"/>
  <conditionalFormatting sqref="C17:C72">
    <cfRule type="cellIs" dxfId="61" priority="1" stopIfTrue="1" operator="equal">
      <formula>$I$10</formula>
    </cfRule>
  </conditionalFormatting>
  <conditionalFormatting sqref="C99:C154">
    <cfRule type="cellIs" dxfId="60" priority="2" stopIfTrue="1" operator="equal">
      <formula>$J$92</formula>
    </cfRule>
  </conditionalFormatting>
  <pageMargins left="0.5" right="0.25" top="1" bottom="0.25" header="0.25" footer="0.5"/>
  <pageSetup scale="47" fitToHeight="2" orientation="landscape" r:id="rId1"/>
  <headerFooter alignWithMargins="0">
    <oddHeader xml:space="preserve">&amp;R&amp;16AEP - SPP Formula Rate
PSO TCOS - Worksheets F and G
Section IV -- (BPU Project Tables)
Page: &amp;P of &amp;N
</oddHeader>
    <oddFooter>&amp;L&amp;A</oddFooter>
  </headerFooter>
  <rowBreaks count="1" manualBreakCount="1">
    <brk id="82" max="15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a06342d-ce85-4729-8251-347f0ba4f840">
      <Terms xmlns="http://schemas.microsoft.com/office/infopath/2007/PartnerControls"/>
    </lcf76f155ced4ddcb4097134ff3c332f>
    <TaxCatchAll xmlns="b6888f76-1100-40b0-929b-1efe9044426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WrappedLabelHistory xmlns:xsi="http://www.w3.org/2001/XMLSchema-instance" xmlns:xsd="http://www.w3.org/2001/XMLSchema" xmlns="http://www.boldonjames.com/2016/02/Classifier/internal/wrappedLabelHistory">
  <Value>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lOWMwYjhkNy1iZGI0LTRmZDMtYjYyYS1mNTAzMjdhYWVmY2UiIG9yaWdpbj0iYXV0b1NlbGVjdGVkU3VnZ2VzdGlvbiI+PGVsZW1lbnQgdWlkPSI1MGMzMTgyNC0wNzgwLTQ5MTAtODdkMS1lYWFmZmQxODJkNDIiIHZhbHVlPSIiIHhtbG5zPSJodHRwOi8vd3d3LmJvbGRvbmphbWVzLmNvbS8yMDA4LzAxL3NpZS9pbnRlcm5hbC9sYWJlbCIgLz48ZWxlbWVudCB1aWQ9ImM2NDIxOGFiLWI4ZDEtNDBiNi1hNDc4LWNiOGJlMWUxMGVjYyIgdmFsdWU9IiIgeG1sbnM9Imh0dHA6Ly93d3cuYm9sZG9uamFtZXMuY29tLzIwMDgvMDEvc2llL2ludGVybmFsL2xhYmVsIiAvPjwvc2lzbD48VXNlck5hbWU+Q09SUFxzMTc3MDQwPC9Vc2VyTmFtZT48RGF0ZVRpbWU+My84LzIwMjIgMzoyMzoxOSBQTTwvRGF0ZVRpbWU+PExhYmVsU3RyaW5nPkFFUCBJbnRlcm5hbDwvTGFiZWxTdHJpbmc+PC9pdGVtPjxpdGVtPjxzaXNsIHNpc2xWZXJzaW9uPSIwIiBwb2xpY3k9ImU5YzBiOGQ3LWJkYjQtNGZkMy1iNjJhLWY1MDMyN2FhZWZjZSIgb3JpZ2luPSJ1c2VyU2VsZWN0ZWQiPjxlbGVtZW50IHVpZD0iNTBjMzE4MjQtMDc4MC00OTEwLTg3ZDEtZWFhZmZkMTgyZDQyIiB2YWx1ZT0iIiB4bWxucz0iaHR0cDovL3d3dy5ib2xkb25qYW1lcy5jb20vMjAwOC8wMS9zaWUvaW50ZXJuYWwvbGFiZWwiIC8+PC9zaXNsPjxVc2VyTmFtZT5DT1JQXHMxNzcwNDA8L1VzZXJOYW1lPjxEYXRlVGltZT41LzIzLzIwMjIgMToyOToyMCBQTTwvRGF0ZVRpbWU+PExhYmVsU3RyaW5nPkFFUCBJbnRlcm5hbDwvTGFiZWxTdHJpbmc+PC9pdGVtPjwvbGFiZWxIaXN0b3J5Pg==</Value>
</WrappedLabelHistory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49C77599AAFD4B8FFD850D55630F3C" ma:contentTypeVersion="11" ma:contentTypeDescription="Create a new document." ma:contentTypeScope="" ma:versionID="ad751a9f435e1866f9f8a73a34278f13">
  <xsd:schema xmlns:xsd="http://www.w3.org/2001/XMLSchema" xmlns:xs="http://www.w3.org/2001/XMLSchema" xmlns:p="http://schemas.microsoft.com/office/2006/metadata/properties" xmlns:ns2="6a06342d-ce85-4729-8251-347f0ba4f840" xmlns:ns3="b6888f76-1100-40b0-929b-1efe9044426d" targetNamespace="http://schemas.microsoft.com/office/2006/metadata/properties" ma:root="true" ma:fieldsID="e425485e64401a05f4c6dac9240526dc" ns2:_="" ns3:_="">
    <xsd:import namespace="6a06342d-ce85-4729-8251-347f0ba4f840"/>
    <xsd:import namespace="b6888f76-1100-40b0-929b-1efe9044426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a06342d-ce85-4729-8251-347f0ba4f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fefa54f2-5b03-49c6-9483-51c08a9736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888f76-1100-40b0-929b-1efe9044426d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b0cac33-65cc-488e-b290-aff2b08f7242}" ma:internalName="TaxCatchAll" ma:showField="CatchAllData" ma:web="b6888f76-1100-40b0-929b-1efe9044426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sisl xmlns:xsd="http://www.w3.org/2001/XMLSchema" xmlns:xsi="http://www.w3.org/2001/XMLSchema-instance" xmlns="http://www.boldonjames.com/2008/01/sie/internal/label" sislVersion="0" policy="e9c0b8d7-bdb4-4fd3-b62a-f50327aaefce" origin="userSelected">
  <element uid="50c31824-0780-4910-87d1-eaaffd182d42" value=""/>
</sisl>
</file>

<file path=customXml/itemProps1.xml><?xml version="1.0" encoding="utf-8"?>
<ds:datastoreItem xmlns:ds="http://schemas.openxmlformats.org/officeDocument/2006/customXml" ds:itemID="{4CCDF5A8-11E9-492C-91D7-AE477F18C435}">
  <ds:schemaRefs>
    <ds:schemaRef ds:uri="http://schemas.microsoft.com/office/2006/metadata/properties"/>
    <ds:schemaRef ds:uri="http://schemas.microsoft.com/office/infopath/2007/PartnerControls"/>
    <ds:schemaRef ds:uri="6a06342d-ce85-4729-8251-347f0ba4f840"/>
    <ds:schemaRef ds:uri="b6888f76-1100-40b0-929b-1efe9044426d"/>
  </ds:schemaRefs>
</ds:datastoreItem>
</file>

<file path=customXml/itemProps2.xml><?xml version="1.0" encoding="utf-8"?>
<ds:datastoreItem xmlns:ds="http://schemas.openxmlformats.org/officeDocument/2006/customXml" ds:itemID="{C15E6780-C9AE-412D-9663-27CB80B7D1A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5F1F881-7F06-4AB5-9F41-E5D34AB4B292}">
  <ds:schemaRefs>
    <ds:schemaRef ds:uri="http://www.w3.org/2001/XMLSchema"/>
    <ds:schemaRef ds:uri="http://www.boldonjames.com/2016/02/Classifier/internal/wrappedLabelHistory"/>
  </ds:schemaRefs>
</ds:datastoreItem>
</file>

<file path=customXml/itemProps4.xml><?xml version="1.0" encoding="utf-8"?>
<ds:datastoreItem xmlns:ds="http://schemas.openxmlformats.org/officeDocument/2006/customXml" ds:itemID="{0D1CBC76-9F68-4D83-9A3A-EE6A8594F3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a06342d-ce85-4729-8251-347f0ba4f840"/>
    <ds:schemaRef ds:uri="b6888f76-1100-40b0-929b-1efe90444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56894542-DD7E-4FFA-8B3F-5C7F52DC10B2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32</vt:i4>
      </vt:variant>
    </vt:vector>
  </HeadingPairs>
  <TitlesOfParts>
    <vt:vector size="71" baseType="lpstr">
      <vt:lpstr>PSO.Sch.11.Rates</vt:lpstr>
      <vt:lpstr>PSO.WS.F.BPU.ATRR.Projected</vt:lpstr>
      <vt:lpstr>PSO.WS.G.BPU.ATRR.True-up</vt:lpstr>
      <vt:lpstr>P.001</vt:lpstr>
      <vt:lpstr>P.002</vt:lpstr>
      <vt:lpstr>P.003</vt:lpstr>
      <vt:lpstr>P.004</vt:lpstr>
      <vt:lpstr>P.005</vt:lpstr>
      <vt:lpstr>P.006</vt:lpstr>
      <vt:lpstr>P.007</vt:lpstr>
      <vt:lpstr>P.008</vt:lpstr>
      <vt:lpstr>P.009</vt:lpstr>
      <vt:lpstr>P.010</vt:lpstr>
      <vt:lpstr>P.011</vt:lpstr>
      <vt:lpstr>P.012</vt:lpstr>
      <vt:lpstr>P.013</vt:lpstr>
      <vt:lpstr>P.014</vt:lpstr>
      <vt:lpstr>P.015</vt:lpstr>
      <vt:lpstr>P.016</vt:lpstr>
      <vt:lpstr>P.017</vt:lpstr>
      <vt:lpstr>P.018</vt:lpstr>
      <vt:lpstr>P.019</vt:lpstr>
      <vt:lpstr>P.020</vt:lpstr>
      <vt:lpstr>P.021</vt:lpstr>
      <vt:lpstr>P.022</vt:lpstr>
      <vt:lpstr>P.023</vt:lpstr>
      <vt:lpstr>P.024</vt:lpstr>
      <vt:lpstr>P.025</vt:lpstr>
      <vt:lpstr>P.026</vt:lpstr>
      <vt:lpstr>P.027</vt:lpstr>
      <vt:lpstr>P.028</vt:lpstr>
      <vt:lpstr>P.029</vt:lpstr>
      <vt:lpstr>P.030</vt:lpstr>
      <vt:lpstr>P.031</vt:lpstr>
      <vt:lpstr>P.032</vt:lpstr>
      <vt:lpstr>P.033</vt:lpstr>
      <vt:lpstr>P.034</vt:lpstr>
      <vt:lpstr>P.035</vt:lpstr>
      <vt:lpstr>P.xyz - blank</vt:lpstr>
      <vt:lpstr>P.001!Print_Area</vt:lpstr>
      <vt:lpstr>P.002!Print_Area</vt:lpstr>
      <vt:lpstr>P.003!Print_Area</vt:lpstr>
      <vt:lpstr>P.004!Print_Area</vt:lpstr>
      <vt:lpstr>P.005!Print_Area</vt:lpstr>
      <vt:lpstr>P.006!Print_Area</vt:lpstr>
      <vt:lpstr>P.007!Print_Area</vt:lpstr>
      <vt:lpstr>P.008!Print_Area</vt:lpstr>
      <vt:lpstr>P.009!Print_Area</vt:lpstr>
      <vt:lpstr>P.010!Print_Area</vt:lpstr>
      <vt:lpstr>P.011!Print_Area</vt:lpstr>
      <vt:lpstr>P.012!Print_Area</vt:lpstr>
      <vt:lpstr>P.013!Print_Area</vt:lpstr>
      <vt:lpstr>P.014!Print_Area</vt:lpstr>
      <vt:lpstr>P.015!Print_Area</vt:lpstr>
      <vt:lpstr>P.016!Print_Area</vt:lpstr>
      <vt:lpstr>P.017!Print_Area</vt:lpstr>
      <vt:lpstr>P.018!Print_Area</vt:lpstr>
      <vt:lpstr>P.019!Print_Area</vt:lpstr>
      <vt:lpstr>P.020!Print_Area</vt:lpstr>
      <vt:lpstr>P.021!Print_Area</vt:lpstr>
      <vt:lpstr>P.022!Print_Area</vt:lpstr>
      <vt:lpstr>P.032!Print_Area</vt:lpstr>
      <vt:lpstr>P.033!Print_Area</vt:lpstr>
      <vt:lpstr>P.034!Print_Area</vt:lpstr>
      <vt:lpstr>P.035!Print_Area</vt:lpstr>
      <vt:lpstr>'P.xyz - blank'!Print_Area</vt:lpstr>
      <vt:lpstr>PSO.Sch.11.Rates!Print_Area</vt:lpstr>
      <vt:lpstr>PSO.WS.F.BPU.ATRR.Projected!Print_Area</vt:lpstr>
      <vt:lpstr>'PSO.WS.G.BPU.ATRR.True-up'!Print_Area</vt:lpstr>
      <vt:lpstr>PSO.WS.F.BPU.ATRR.Projected!Print_Titles</vt:lpstr>
      <vt:lpstr>'PSO.WS.G.BPU.ATRR.True-up'!Print_Titles</vt:lpstr>
    </vt:vector>
  </TitlesOfParts>
  <Company>AEP-IT-CPS 4/30/3-(8-835-3050)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R.Pennybaker</dc:creator>
  <cp:keywords/>
  <cp:lastModifiedBy>Allyson L Keaton</cp:lastModifiedBy>
  <cp:lastPrinted>2025-05-27T12:30:38Z</cp:lastPrinted>
  <dcterms:created xsi:type="dcterms:W3CDTF">2009-05-11T14:02:48Z</dcterms:created>
  <dcterms:modified xsi:type="dcterms:W3CDTF">2025-05-27T12:33:09Z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b2c80a7b-f289-41ae-b128-3b3f639b0f35</vt:lpwstr>
  </property>
  <property fmtid="{D5CDD505-2E9C-101B-9397-08002B2CF9AE}" pid="3" name="bjSaver">
    <vt:lpwstr>clRxCTTKA7z930TtRLwKph96GxWYXtbn</vt:lpwstr>
  </property>
  <property fmtid="{D5CDD505-2E9C-101B-9397-08002B2CF9AE}" pid="4" name="bjDocumentSecurityLabel">
    <vt:lpwstr>AEP Internal</vt:lpwstr>
  </property>
  <property fmtid="{D5CDD505-2E9C-101B-9397-08002B2CF9AE}" pid="5" name="Visual Markings Removed">
    <vt:lpwstr>No</vt:lpwstr>
  </property>
  <property fmtid="{D5CDD505-2E9C-101B-9397-08002B2CF9AE}" pid="6" name="bjClsUserRVM">
    <vt:lpwstr>[]</vt:lpwstr>
  </property>
  <property fmtid="{D5CDD505-2E9C-101B-9397-08002B2CF9AE}" pid="7" name="MSIP_Label_69f43042-6bda-44b2-91eb-eca3d3d484f4_SiteId">
    <vt:lpwstr>15f3c881-6b03-4ff6-8559-77bf5177818f</vt:lpwstr>
  </property>
  <property fmtid="{D5CDD505-2E9C-101B-9397-08002B2CF9AE}" pid="8" name="MSIP_Label_69f43042-6bda-44b2-91eb-eca3d3d484f4_Name">
    <vt:lpwstr>AEP Internal</vt:lpwstr>
  </property>
  <property fmtid="{D5CDD505-2E9C-101B-9397-08002B2CF9AE}" pid="9" name="MSIP_Label_69f43042-6bda-44b2-91eb-eca3d3d484f4_Enabled">
    <vt:lpwstr>true</vt:lpwstr>
  </property>
  <property fmtid="{D5CDD505-2E9C-101B-9397-08002B2CF9AE}" pid="10" name="bjLabelHistoryID">
    <vt:lpwstr>{C5F1F881-7F06-4AB5-9F41-E5D34AB4B292}</vt:lpwstr>
  </property>
  <property fmtid="{D5CDD505-2E9C-101B-9397-08002B2CF9AE}" pid="11" name="bjDocumentLabelXML">
    <vt:lpwstr>&lt;?xml version="1.0" encoding="us-ascii"?&gt;&lt;sisl xmlns:xsd="http://www.w3.org/2001/XMLSchema" xmlns:xsi="http://www.w3.org/2001/XMLSchema-instance" sislVersion="0" policy="e9c0b8d7-bdb4-4fd3-b62a-f50327aaefce" origin="userSelected" xmlns="http://www.boldonj</vt:lpwstr>
  </property>
  <property fmtid="{D5CDD505-2E9C-101B-9397-08002B2CF9AE}" pid="12" name="bjDocumentLabelXML-0">
    <vt:lpwstr>ames.com/2008/01/sie/internal/label"&gt;&lt;element uid="50c31824-0780-4910-87d1-eaaffd182d42" value="" /&gt;&lt;/sisl&gt;</vt:lpwstr>
  </property>
  <property fmtid="{D5CDD505-2E9C-101B-9397-08002B2CF9AE}" pid="13" name="MediaServiceImageTags">
    <vt:lpwstr/>
  </property>
  <property fmtid="{D5CDD505-2E9C-101B-9397-08002B2CF9AE}" pid="14" name="ContentTypeId">
    <vt:lpwstr>0x0101002649C77599AAFD4B8FFD850D55630F3C</vt:lpwstr>
  </property>
</Properties>
</file>