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OpCos - SPP OATT Attach H-4/Rate Year 2024/True Up (ATRR)/As Filed/"/>
    </mc:Choice>
  </mc:AlternateContent>
  <xr:revisionPtr revIDLastSave="9" documentId="8_{F5F45C8A-471E-4355-8126-EBB882101FCF}" xr6:coauthVersionLast="47" xr6:coauthVersionMax="47" xr10:uidLastSave="{1908596C-B44B-4664-B655-57F114F19EEE}"/>
  <bookViews>
    <workbookView xWindow="28680" yWindow="-120" windowWidth="24240" windowHeight="13020" activeTab="4" xr2:uid="{00000000-000D-0000-FFFF-FFFF00000000}"/>
  </bookViews>
  <sheets>
    <sheet name="Instructions" sheetId="33" r:id="rId1"/>
    <sheet name="20XX NOLC Refund Detail" sheetId="34" r:id="rId2"/>
    <sheet name="Summary" sheetId="29" r:id="rId3"/>
    <sheet name="Pivot" sheetId="31" r:id="rId4"/>
    <sheet name="Transactions" sheetId="18" r:id="rId5"/>
  </sheets>
  <definedNames>
    <definedName name="_xlnm._FilterDatabase" localSheetId="4" hidden="1">Transactions!$A$15:$R$211</definedName>
    <definedName name="AS1_1999" localSheetId="4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2">Summary!$C$1:$I$40</definedName>
    <definedName name="_xlnm.Print_Area" localSheetId="4">Transactions!$A$1:$R$211</definedName>
    <definedName name="_xlnm.Print_Titles" localSheetId="3">Pivot!$3:$4</definedName>
    <definedName name="_xlnm.Print_Titles" localSheetId="4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4" l="1"/>
  <c r="C19" i="34"/>
  <c r="B4" i="34"/>
  <c r="B13" i="34"/>
  <c r="G21" i="29"/>
  <c r="C9" i="34" l="1"/>
  <c r="E9" i="34" s="1"/>
  <c r="H26" i="29" s="1"/>
  <c r="C4" i="34"/>
  <c r="C8" i="34"/>
  <c r="C7" i="34"/>
  <c r="C16" i="34"/>
  <c r="E16" i="34" s="1"/>
  <c r="H33" i="29" s="1"/>
  <c r="C14" i="34"/>
  <c r="C12" i="34"/>
  <c r="C18" i="34"/>
  <c r="C21" i="34" s="1"/>
  <c r="C5" i="34"/>
  <c r="C11" i="34"/>
  <c r="C20" i="34"/>
  <c r="C15" i="34"/>
  <c r="C6" i="34"/>
  <c r="C10" i="34"/>
  <c r="D8" i="34"/>
  <c r="E8" i="34" s="1"/>
  <c r="H25" i="29" s="1"/>
  <c r="E2" i="34"/>
  <c r="D16" i="34"/>
  <c r="D7" i="34"/>
  <c r="D15" i="34"/>
  <c r="E15" i="34" s="1"/>
  <c r="H32" i="29" s="1"/>
  <c r="D4" i="34"/>
  <c r="E4" i="34" s="1"/>
  <c r="H21" i="29" s="1"/>
  <c r="D14" i="34"/>
  <c r="E14" i="34" s="1"/>
  <c r="H31" i="29" s="1"/>
  <c r="D12" i="34"/>
  <c r="D11" i="34"/>
  <c r="E11" i="34" s="1"/>
  <c r="H28" i="29" s="1"/>
  <c r="D20" i="34"/>
  <c r="D10" i="34"/>
  <c r="D19" i="34"/>
  <c r="E19" i="34" s="1"/>
  <c r="H36" i="29" s="1"/>
  <c r="D6" i="34"/>
  <c r="D5" i="34"/>
  <c r="D18" i="34"/>
  <c r="D13" i="34"/>
  <c r="C13" i="34"/>
  <c r="E6" i="34" l="1"/>
  <c r="H23" i="29" s="1"/>
  <c r="E12" i="34"/>
  <c r="H29" i="29" s="1"/>
  <c r="E7" i="34"/>
  <c r="H24" i="29" s="1"/>
  <c r="E5" i="34"/>
  <c r="H22" i="29" s="1"/>
  <c r="E10" i="34"/>
  <c r="H27" i="29" s="1"/>
  <c r="E20" i="34"/>
  <c r="H37" i="29" s="1"/>
  <c r="D21" i="34"/>
  <c r="E18" i="34"/>
  <c r="H35" i="29" s="1"/>
  <c r="D17" i="34"/>
  <c r="C17" i="34"/>
  <c r="C22" i="34" s="1"/>
  <c r="E13" i="34"/>
  <c r="H30" i="29" s="1"/>
  <c r="D22" i="34" l="1"/>
  <c r="E21" i="34"/>
  <c r="E17" i="34"/>
  <c r="E22" i="34" s="1"/>
  <c r="C5" i="29" l="1"/>
  <c r="L3" i="18" l="1"/>
  <c r="K1" i="18" l="1"/>
  <c r="B79" i="18"/>
  <c r="B78" i="18"/>
  <c r="B77" i="18"/>
  <c r="B76" i="18"/>
  <c r="B75" i="18"/>
  <c r="B74" i="18"/>
  <c r="B73" i="18"/>
  <c r="B72" i="18"/>
  <c r="B71" i="18"/>
  <c r="B70" i="18"/>
  <c r="B69" i="18"/>
  <c r="B68" i="18"/>
  <c r="E20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44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C3" i="29"/>
  <c r="F10" i="29"/>
  <c r="G37" i="29"/>
  <c r="E23" i="29"/>
  <c r="G28" i="29"/>
  <c r="E24" i="29"/>
  <c r="E22" i="29"/>
  <c r="E35" i="29"/>
  <c r="G23" i="29"/>
  <c r="D30" i="29"/>
  <c r="E25" i="29"/>
  <c r="E28" i="29"/>
  <c r="E31" i="29"/>
  <c r="G32" i="29"/>
  <c r="G27" i="29"/>
  <c r="G33" i="29"/>
  <c r="E32" i="29"/>
  <c r="E26" i="29"/>
  <c r="E37" i="29"/>
  <c r="E30" i="29"/>
  <c r="G29" i="29"/>
  <c r="E21" i="29"/>
  <c r="G25" i="29"/>
  <c r="G35" i="29"/>
  <c r="E33" i="29"/>
  <c r="E36" i="29"/>
  <c r="G36" i="29"/>
  <c r="E29" i="29"/>
  <c r="E27" i="29"/>
  <c r="G22" i="29"/>
  <c r="G31" i="29"/>
  <c r="G26" i="29"/>
  <c r="D22" i="29"/>
  <c r="G30" i="29"/>
  <c r="D24" i="29"/>
  <c r="G24" i="29"/>
  <c r="C57" i="18" l="1"/>
  <c r="C81" i="18" s="1"/>
  <c r="C93" i="18" s="1"/>
  <c r="C105" i="18" s="1"/>
  <c r="C117" i="18" s="1"/>
  <c r="C129" i="18" s="1"/>
  <c r="C141" i="18" s="1"/>
  <c r="C153" i="18" s="1"/>
  <c r="C177" i="18" s="1"/>
  <c r="C189" i="18" s="1"/>
  <c r="C201" i="18" s="1"/>
  <c r="C72" i="18"/>
  <c r="C56" i="18"/>
  <c r="C80" i="18" s="1"/>
  <c r="C92" i="18" s="1"/>
  <c r="C104" i="18" s="1"/>
  <c r="C116" i="18" s="1"/>
  <c r="C128" i="18" s="1"/>
  <c r="C140" i="18" s="1"/>
  <c r="C152" i="18" s="1"/>
  <c r="C176" i="18" s="1"/>
  <c r="C188" i="18" s="1"/>
  <c r="C200" i="18" s="1"/>
  <c r="D55" i="18"/>
  <c r="C53" i="18"/>
  <c r="D63" i="18"/>
  <c r="D87" i="18" s="1"/>
  <c r="D99" i="18" s="1"/>
  <c r="D111" i="18" s="1"/>
  <c r="D123" i="18" s="1"/>
  <c r="D135" i="18" s="1"/>
  <c r="D147" i="18" s="1"/>
  <c r="D159" i="18" s="1"/>
  <c r="D183" i="18" s="1"/>
  <c r="D195" i="18" s="1"/>
  <c r="D207" i="18" s="1"/>
  <c r="D50" i="18"/>
  <c r="D66" i="18"/>
  <c r="D78" i="18" s="1"/>
  <c r="C66" i="18"/>
  <c r="C78" i="18" s="1"/>
  <c r="D57" i="18"/>
  <c r="D81" i="18" s="1"/>
  <c r="D93" i="18" s="1"/>
  <c r="D105" i="18" s="1"/>
  <c r="D117" i="18" s="1"/>
  <c r="D129" i="18" s="1"/>
  <c r="D141" i="18" s="1"/>
  <c r="D153" i="18" s="1"/>
  <c r="D46" i="18"/>
  <c r="C61" i="18"/>
  <c r="C73" i="18" s="1"/>
  <c r="C64" i="18"/>
  <c r="C76" i="18" s="1"/>
  <c r="C63" i="18"/>
  <c r="D79" i="18"/>
  <c r="D53" i="18"/>
  <c r="E10" i="29"/>
  <c r="D20" i="29"/>
  <c r="O13" i="18"/>
  <c r="C67" i="18"/>
  <c r="C79" i="18" s="1"/>
  <c r="D77" i="18"/>
  <c r="D89" i="18"/>
  <c r="D101" i="18" s="1"/>
  <c r="D113" i="18" s="1"/>
  <c r="D125" i="18" s="1"/>
  <c r="D137" i="18" s="1"/>
  <c r="D149" i="18" s="1"/>
  <c r="D161" i="18" s="1"/>
  <c r="D185" i="18" s="1"/>
  <c r="D197" i="18" s="1"/>
  <c r="D209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80" i="18" s="1"/>
  <c r="D92" i="18" s="1"/>
  <c r="D104" i="18" s="1"/>
  <c r="D116" i="18" s="1"/>
  <c r="D128" i="18" s="1"/>
  <c r="D140" i="18" s="1"/>
  <c r="D152" i="18" s="1"/>
  <c r="F24" i="29"/>
  <c r="I24" i="29" s="1"/>
  <c r="F30" i="29"/>
  <c r="I30" i="29" s="1"/>
  <c r="H34" i="29"/>
  <c r="G34" i="29"/>
  <c r="E34" i="29"/>
  <c r="F22" i="29"/>
  <c r="I22" i="29" s="1"/>
  <c r="H38" i="29"/>
  <c r="E38" i="29"/>
  <c r="G38" i="29"/>
  <c r="C180" i="18"/>
  <c r="C192" i="18" s="1"/>
  <c r="C204" i="18" s="1"/>
  <c r="C168" i="18"/>
  <c r="O14" i="18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D35" i="29"/>
  <c r="D29" i="29"/>
  <c r="D23" i="29"/>
  <c r="D28" i="29"/>
  <c r="D27" i="29"/>
  <c r="D25" i="29"/>
  <c r="D32" i="29"/>
  <c r="D33" i="29"/>
  <c r="D26" i="29"/>
  <c r="D21" i="29"/>
  <c r="D36" i="29"/>
  <c r="D37" i="29"/>
  <c r="D31" i="29"/>
  <c r="F35" i="29" l="1"/>
  <c r="I35" i="29" s="1"/>
  <c r="F36" i="29"/>
  <c r="I36" i="29" s="1"/>
  <c r="F28" i="29"/>
  <c r="I28" i="29" s="1"/>
  <c r="F37" i="29"/>
  <c r="I37" i="29" s="1"/>
  <c r="D38" i="29"/>
  <c r="F21" i="29"/>
  <c r="I21" i="29" s="1"/>
  <c r="D34" i="29"/>
  <c r="F26" i="29"/>
  <c r="I26" i="29" s="1"/>
  <c r="F23" i="29"/>
  <c r="I23" i="29" s="1"/>
  <c r="F29" i="29"/>
  <c r="I29" i="29" s="1"/>
  <c r="F33" i="29"/>
  <c r="I33" i="29" s="1"/>
  <c r="F32" i="29"/>
  <c r="I32" i="29" s="1"/>
  <c r="F25" i="29"/>
  <c r="I25" i="29" s="1"/>
  <c r="F31" i="29"/>
  <c r="I31" i="29" s="1"/>
  <c r="F27" i="29"/>
  <c r="I27" i="29" s="1"/>
  <c r="D171" i="18"/>
  <c r="C165" i="18"/>
  <c r="C69" i="18"/>
  <c r="C164" i="18"/>
  <c r="C68" i="18"/>
  <c r="C91" i="18"/>
  <c r="C103" i="18" s="1"/>
  <c r="C115" i="18" s="1"/>
  <c r="C127" i="18" s="1"/>
  <c r="C139" i="18" s="1"/>
  <c r="C151" i="18" s="1"/>
  <c r="C163" i="18" s="1"/>
  <c r="C187" i="18" s="1"/>
  <c r="C199" i="18" s="1"/>
  <c r="C211" i="18" s="1"/>
  <c r="D90" i="18"/>
  <c r="D102" i="18" s="1"/>
  <c r="D114" i="18" s="1"/>
  <c r="D126" i="18" s="1"/>
  <c r="D138" i="18" s="1"/>
  <c r="D150" i="18" s="1"/>
  <c r="D162" i="18" s="1"/>
  <c r="D174" i="18" s="1"/>
  <c r="D75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C88" i="18"/>
  <c r="C100" i="18" s="1"/>
  <c r="C112" i="18" s="1"/>
  <c r="C124" i="18" s="1"/>
  <c r="C136" i="18" s="1"/>
  <c r="C148" i="18" s="1"/>
  <c r="C160" i="18" s="1"/>
  <c r="C172" i="18" s="1"/>
  <c r="D69" i="18"/>
  <c r="D84" i="18"/>
  <c r="D96" i="18" s="1"/>
  <c r="D108" i="18" s="1"/>
  <c r="D120" i="18" s="1"/>
  <c r="D132" i="18" s="1"/>
  <c r="D144" i="18" s="1"/>
  <c r="D156" i="18" s="1"/>
  <c r="D180" i="18" s="1"/>
  <c r="D192" i="18" s="1"/>
  <c r="D204" i="18" s="1"/>
  <c r="D182" i="18"/>
  <c r="D194" i="18" s="1"/>
  <c r="D206" i="18" s="1"/>
  <c r="D68" i="18"/>
  <c r="C85" i="18"/>
  <c r="C97" i="18" s="1"/>
  <c r="C109" i="18" s="1"/>
  <c r="C121" i="18" s="1"/>
  <c r="C133" i="18" s="1"/>
  <c r="C145" i="18" s="1"/>
  <c r="C157" i="18" s="1"/>
  <c r="C181" i="18" s="1"/>
  <c r="C193" i="18" s="1"/>
  <c r="C205" i="18" s="1"/>
  <c r="D173" i="18"/>
  <c r="C87" i="18"/>
  <c r="C99" i="18" s="1"/>
  <c r="C111" i="18" s="1"/>
  <c r="C123" i="18" s="1"/>
  <c r="C135" i="18" s="1"/>
  <c r="C147" i="18" s="1"/>
  <c r="C159" i="18" s="1"/>
  <c r="C75" i="18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H39" i="29"/>
  <c r="F38" i="29" l="1"/>
  <c r="D39" i="29"/>
  <c r="F34" i="29"/>
  <c r="F39" i="29" s="1"/>
  <c r="C175" i="18"/>
  <c r="D186" i="18"/>
  <c r="D198" i="18" s="1"/>
  <c r="D210" i="18" s="1"/>
  <c r="D168" i="18"/>
  <c r="C174" i="18"/>
  <c r="C184" i="18"/>
  <c r="C196" i="18" s="1"/>
  <c r="C208" i="18" s="1"/>
  <c r="C169" i="18"/>
  <c r="C183" i="18"/>
  <c r="C195" i="18" s="1"/>
  <c r="C207" i="18" s="1"/>
  <c r="C171" i="18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I39" i="29" l="1"/>
  <c r="E11" i="29" l="1"/>
  <c r="H211" i="18" l="1"/>
  <c r="K211" i="18" s="1"/>
  <c r="H36" i="18"/>
  <c r="K36" i="18" s="1"/>
  <c r="H148" i="18"/>
  <c r="K148" i="18" s="1"/>
  <c r="H140" i="18"/>
  <c r="K140" i="18" s="1"/>
  <c r="H120" i="18"/>
  <c r="K120" i="18" s="1"/>
  <c r="H112" i="18"/>
  <c r="K112" i="18" s="1"/>
  <c r="H57" i="18"/>
  <c r="K57" i="18" s="1"/>
  <c r="H121" i="18"/>
  <c r="K121" i="18" s="1"/>
  <c r="H181" i="18"/>
  <c r="K181" i="18" s="1"/>
  <c r="H22" i="18"/>
  <c r="K22" i="18" s="1"/>
  <c r="H54" i="18"/>
  <c r="K54" i="18" s="1"/>
  <c r="H86" i="18"/>
  <c r="K86" i="18" s="1"/>
  <c r="H118" i="18"/>
  <c r="K118" i="18" s="1"/>
  <c r="H150" i="18"/>
  <c r="K150" i="18" s="1"/>
  <c r="H182" i="18"/>
  <c r="K182" i="18" s="1"/>
  <c r="H164" i="18"/>
  <c r="K164" i="18" s="1"/>
  <c r="H196" i="18"/>
  <c r="K196" i="18" s="1"/>
  <c r="H53" i="18"/>
  <c r="K53" i="18" s="1"/>
  <c r="H117" i="18"/>
  <c r="K117" i="18" s="1"/>
  <c r="H23" i="18"/>
  <c r="K23" i="18" s="1"/>
  <c r="H55" i="18"/>
  <c r="K55" i="18" s="1"/>
  <c r="H87" i="18"/>
  <c r="K87" i="18" s="1"/>
  <c r="H119" i="18"/>
  <c r="K119" i="18" s="1"/>
  <c r="H151" i="18"/>
  <c r="K151" i="18" s="1"/>
  <c r="H183" i="18"/>
  <c r="K183" i="18" s="1"/>
  <c r="H105" i="18"/>
  <c r="K105" i="18" s="1"/>
  <c r="H78" i="18"/>
  <c r="K78" i="18" s="1"/>
  <c r="H47" i="18"/>
  <c r="K47" i="18" s="1"/>
  <c r="H124" i="18"/>
  <c r="K124" i="18" s="1"/>
  <c r="H114" i="18"/>
  <c r="K114" i="18" s="1"/>
  <c r="H177" i="18"/>
  <c r="K177" i="18" s="1"/>
  <c r="H100" i="18"/>
  <c r="K100" i="18" s="1"/>
  <c r="H28" i="18"/>
  <c r="K28" i="18" s="1"/>
  <c r="H156" i="18"/>
  <c r="K156" i="18" s="1"/>
  <c r="H136" i="18"/>
  <c r="K136" i="18" s="1"/>
  <c r="H128" i="18"/>
  <c r="K128" i="18" s="1"/>
  <c r="H65" i="18"/>
  <c r="K65" i="18" s="1"/>
  <c r="H129" i="18"/>
  <c r="K129" i="18" s="1"/>
  <c r="H185" i="18"/>
  <c r="K185" i="18" s="1"/>
  <c r="H26" i="18"/>
  <c r="K26" i="18" s="1"/>
  <c r="H58" i="18"/>
  <c r="K58" i="18" s="1"/>
  <c r="H90" i="18"/>
  <c r="K90" i="18" s="1"/>
  <c r="H122" i="18"/>
  <c r="K122" i="18" s="1"/>
  <c r="H154" i="18"/>
  <c r="K154" i="18" s="1"/>
  <c r="H186" i="18"/>
  <c r="K186" i="18" s="1"/>
  <c r="H168" i="18"/>
  <c r="K168" i="18" s="1"/>
  <c r="H200" i="18"/>
  <c r="K200" i="18" s="1"/>
  <c r="H61" i="18"/>
  <c r="K61" i="18" s="1"/>
  <c r="H125" i="18"/>
  <c r="K125" i="18" s="1"/>
  <c r="H27" i="18"/>
  <c r="K27" i="18" s="1"/>
  <c r="H59" i="18"/>
  <c r="K59" i="18" s="1"/>
  <c r="H91" i="18"/>
  <c r="K91" i="18" s="1"/>
  <c r="H123" i="18"/>
  <c r="K123" i="18" s="1"/>
  <c r="H155" i="18"/>
  <c r="K155" i="18" s="1"/>
  <c r="H187" i="18"/>
  <c r="K187" i="18" s="1"/>
  <c r="H159" i="18"/>
  <c r="K159" i="18" s="1"/>
  <c r="H191" i="18"/>
  <c r="K191" i="18" s="1"/>
  <c r="H195" i="18"/>
  <c r="K195" i="18" s="1"/>
  <c r="H108" i="18"/>
  <c r="K108" i="18" s="1"/>
  <c r="H169" i="18"/>
  <c r="K169" i="18" s="1"/>
  <c r="H142" i="18"/>
  <c r="K142" i="18" s="1"/>
  <c r="H101" i="18"/>
  <c r="K101" i="18" s="1"/>
  <c r="H111" i="18"/>
  <c r="K111" i="18" s="1"/>
  <c r="H96" i="18"/>
  <c r="K96" i="18" s="1"/>
  <c r="H82" i="18"/>
  <c r="K82" i="18" s="1"/>
  <c r="H45" i="18"/>
  <c r="K45" i="18" s="1"/>
  <c r="H147" i="18"/>
  <c r="K147" i="18" s="1"/>
  <c r="H52" i="18"/>
  <c r="K52" i="18" s="1"/>
  <c r="H44" i="18"/>
  <c r="K44" i="18" s="1"/>
  <c r="H24" i="18"/>
  <c r="K24" i="18" s="1"/>
  <c r="H152" i="18"/>
  <c r="K152" i="18" s="1"/>
  <c r="H144" i="18"/>
  <c r="K144" i="18" s="1"/>
  <c r="H73" i="18"/>
  <c r="K73" i="18" s="1"/>
  <c r="H137" i="18"/>
  <c r="K137" i="18" s="1"/>
  <c r="H189" i="18"/>
  <c r="K189" i="18" s="1"/>
  <c r="H30" i="18"/>
  <c r="K30" i="18" s="1"/>
  <c r="H62" i="18"/>
  <c r="K62" i="18" s="1"/>
  <c r="H94" i="18"/>
  <c r="K94" i="18" s="1"/>
  <c r="H126" i="18"/>
  <c r="K126" i="18" s="1"/>
  <c r="H158" i="18"/>
  <c r="K158" i="18" s="1"/>
  <c r="H190" i="18"/>
  <c r="K190" i="18" s="1"/>
  <c r="H172" i="18"/>
  <c r="K172" i="18" s="1"/>
  <c r="H204" i="18"/>
  <c r="K204" i="18" s="1"/>
  <c r="H69" i="18"/>
  <c r="K69" i="18" s="1"/>
  <c r="H133" i="18"/>
  <c r="K133" i="18" s="1"/>
  <c r="H31" i="18"/>
  <c r="K31" i="18" s="1"/>
  <c r="H63" i="18"/>
  <c r="K63" i="18" s="1"/>
  <c r="H95" i="18"/>
  <c r="K95" i="18" s="1"/>
  <c r="H127" i="18"/>
  <c r="K127" i="18" s="1"/>
  <c r="H88" i="18"/>
  <c r="K88" i="18" s="1"/>
  <c r="H206" i="18"/>
  <c r="K206" i="18" s="1"/>
  <c r="H175" i="18"/>
  <c r="K175" i="18" s="1"/>
  <c r="H49" i="18"/>
  <c r="K49" i="18" s="1"/>
  <c r="H173" i="18"/>
  <c r="K173" i="18" s="1"/>
  <c r="H178" i="18"/>
  <c r="K178" i="18" s="1"/>
  <c r="H109" i="18"/>
  <c r="K109" i="18" s="1"/>
  <c r="H115" i="18"/>
  <c r="K115" i="18" s="1"/>
  <c r="H68" i="18"/>
  <c r="K68" i="18" s="1"/>
  <c r="H60" i="18"/>
  <c r="K60" i="18" s="1"/>
  <c r="H40" i="18"/>
  <c r="K40" i="18" s="1"/>
  <c r="H32" i="18"/>
  <c r="K32" i="18" s="1"/>
  <c r="H160" i="18"/>
  <c r="K160" i="18" s="1"/>
  <c r="H81" i="18"/>
  <c r="K81" i="18" s="1"/>
  <c r="H145" i="18"/>
  <c r="K145" i="18" s="1"/>
  <c r="H193" i="18"/>
  <c r="K193" i="18" s="1"/>
  <c r="H34" i="18"/>
  <c r="K34" i="18" s="1"/>
  <c r="H66" i="18"/>
  <c r="K66" i="18" s="1"/>
  <c r="H98" i="18"/>
  <c r="K98" i="18" s="1"/>
  <c r="H130" i="18"/>
  <c r="K130" i="18" s="1"/>
  <c r="H162" i="18"/>
  <c r="K162" i="18" s="1"/>
  <c r="H194" i="18"/>
  <c r="K194" i="18" s="1"/>
  <c r="H176" i="18"/>
  <c r="K176" i="18" s="1"/>
  <c r="H208" i="18"/>
  <c r="K208" i="18" s="1"/>
  <c r="H77" i="18"/>
  <c r="K77" i="18" s="1"/>
  <c r="H141" i="18"/>
  <c r="K141" i="18" s="1"/>
  <c r="H35" i="18"/>
  <c r="K35" i="18" s="1"/>
  <c r="H67" i="18"/>
  <c r="K67" i="18" s="1"/>
  <c r="H99" i="18"/>
  <c r="K99" i="18" s="1"/>
  <c r="H131" i="18"/>
  <c r="K131" i="18" s="1"/>
  <c r="H163" i="18"/>
  <c r="K163" i="18" s="1"/>
  <c r="H41" i="18"/>
  <c r="K41" i="18" s="1"/>
  <c r="H110" i="18"/>
  <c r="K110" i="18" s="1"/>
  <c r="H37" i="18"/>
  <c r="K37" i="18" s="1"/>
  <c r="H207" i="18"/>
  <c r="K207" i="18" s="1"/>
  <c r="H113" i="18"/>
  <c r="K113" i="18" s="1"/>
  <c r="H209" i="18"/>
  <c r="K209" i="18" s="1"/>
  <c r="H210" i="18"/>
  <c r="K210" i="18" s="1"/>
  <c r="H83" i="18"/>
  <c r="K83" i="18" s="1"/>
  <c r="H132" i="18"/>
  <c r="K132" i="18" s="1"/>
  <c r="H76" i="18"/>
  <c r="K76" i="18" s="1"/>
  <c r="H56" i="18"/>
  <c r="K56" i="18" s="1"/>
  <c r="H48" i="18"/>
  <c r="K48" i="18" s="1"/>
  <c r="H25" i="18"/>
  <c r="K25" i="18" s="1"/>
  <c r="H89" i="18"/>
  <c r="K89" i="18" s="1"/>
  <c r="H153" i="18"/>
  <c r="K153" i="18" s="1"/>
  <c r="H197" i="18"/>
  <c r="K197" i="18" s="1"/>
  <c r="H38" i="18"/>
  <c r="K38" i="18" s="1"/>
  <c r="H70" i="18"/>
  <c r="K70" i="18" s="1"/>
  <c r="H102" i="18"/>
  <c r="K102" i="18" s="1"/>
  <c r="H134" i="18"/>
  <c r="K134" i="18" s="1"/>
  <c r="H166" i="18"/>
  <c r="K166" i="18" s="1"/>
  <c r="H198" i="18"/>
  <c r="K198" i="18" s="1"/>
  <c r="H180" i="18"/>
  <c r="K180" i="18" s="1"/>
  <c r="H21" i="18"/>
  <c r="K21" i="18" s="1"/>
  <c r="H85" i="18"/>
  <c r="K85" i="18" s="1"/>
  <c r="H149" i="18"/>
  <c r="K149" i="18" s="1"/>
  <c r="H39" i="18"/>
  <c r="K39" i="18" s="1"/>
  <c r="H71" i="18"/>
  <c r="K71" i="18" s="1"/>
  <c r="H103" i="18"/>
  <c r="K103" i="18" s="1"/>
  <c r="H135" i="18"/>
  <c r="K135" i="18" s="1"/>
  <c r="H167" i="18"/>
  <c r="K167" i="18" s="1"/>
  <c r="H199" i="18"/>
  <c r="K199" i="18" s="1"/>
  <c r="H80" i="18"/>
  <c r="K80" i="18" s="1"/>
  <c r="H205" i="18"/>
  <c r="K205" i="18" s="1"/>
  <c r="H174" i="18"/>
  <c r="K174" i="18" s="1"/>
  <c r="H165" i="18"/>
  <c r="H143" i="18"/>
  <c r="K143" i="18" s="1"/>
  <c r="H84" i="18"/>
  <c r="K84" i="18" s="1"/>
  <c r="H146" i="18"/>
  <c r="K146" i="18" s="1"/>
  <c r="H51" i="18"/>
  <c r="K51" i="18" s="1"/>
  <c r="H116" i="18"/>
  <c r="K116" i="18" s="1"/>
  <c r="H92" i="18"/>
  <c r="K92" i="18" s="1"/>
  <c r="H72" i="18"/>
  <c r="K72" i="18" s="1"/>
  <c r="H64" i="18"/>
  <c r="K64" i="18" s="1"/>
  <c r="H33" i="18"/>
  <c r="K33" i="18" s="1"/>
  <c r="H97" i="18"/>
  <c r="K97" i="18" s="1"/>
  <c r="H161" i="18"/>
  <c r="K161" i="18" s="1"/>
  <c r="H201" i="18"/>
  <c r="K201" i="18" s="1"/>
  <c r="H42" i="18"/>
  <c r="K42" i="18" s="1"/>
  <c r="H74" i="18"/>
  <c r="K74" i="18" s="1"/>
  <c r="H106" i="18"/>
  <c r="K106" i="18" s="1"/>
  <c r="H138" i="18"/>
  <c r="K138" i="18" s="1"/>
  <c r="H170" i="18"/>
  <c r="K170" i="18" s="1"/>
  <c r="H202" i="18"/>
  <c r="K202" i="18" s="1"/>
  <c r="H184" i="18"/>
  <c r="K184" i="18" s="1"/>
  <c r="H29" i="18"/>
  <c r="K29" i="18" s="1"/>
  <c r="H93" i="18"/>
  <c r="K93" i="18" s="1"/>
  <c r="H157" i="18"/>
  <c r="K157" i="18" s="1"/>
  <c r="H43" i="18"/>
  <c r="K43" i="18" s="1"/>
  <c r="H75" i="18"/>
  <c r="K75" i="18" s="1"/>
  <c r="H107" i="18"/>
  <c r="K107" i="18" s="1"/>
  <c r="H139" i="18"/>
  <c r="K139" i="18" s="1"/>
  <c r="H171" i="18"/>
  <c r="K171" i="18" s="1"/>
  <c r="H203" i="18"/>
  <c r="K203" i="18" s="1"/>
  <c r="H20" i="18"/>
  <c r="K20" i="18" s="1"/>
  <c r="H46" i="18"/>
  <c r="K46" i="18" s="1"/>
  <c r="H188" i="18"/>
  <c r="K188" i="18" s="1"/>
  <c r="H79" i="18"/>
  <c r="K79" i="18" s="1"/>
  <c r="H104" i="18"/>
  <c r="K104" i="18" s="1"/>
  <c r="H50" i="18"/>
  <c r="K50" i="18" s="1"/>
  <c r="H192" i="18"/>
  <c r="K192" i="18" s="1"/>
  <c r="H179" i="18"/>
  <c r="K179" i="18" s="1"/>
  <c r="E13" i="29"/>
  <c r="K165" i="18" l="1"/>
  <c r="K13" i="18" s="1"/>
  <c r="G212" i="18"/>
  <c r="K14" i="18" l="1"/>
  <c r="K212" i="18"/>
  <c r="F12" i="29" l="1"/>
  <c r="I56" i="18" l="1"/>
  <c r="J56" i="18" s="1"/>
  <c r="I88" i="18"/>
  <c r="J88" i="18" s="1"/>
  <c r="L88" i="18" s="1"/>
  <c r="I47" i="18"/>
  <c r="J47" i="18" s="1"/>
  <c r="L47" i="18" s="1"/>
  <c r="I133" i="18"/>
  <c r="J133" i="18" s="1"/>
  <c r="L133" i="18" s="1"/>
  <c r="I127" i="18"/>
  <c r="J127" i="18" s="1"/>
  <c r="L127" i="18" s="1"/>
  <c r="I58" i="18"/>
  <c r="J58" i="18" s="1"/>
  <c r="L58" i="18" s="1"/>
  <c r="I71" i="18"/>
  <c r="J71" i="18" s="1"/>
  <c r="L71" i="18" s="1"/>
  <c r="I108" i="18"/>
  <c r="J108" i="18" s="1"/>
  <c r="L108" i="18" s="1"/>
  <c r="I86" i="18"/>
  <c r="J86" i="18" s="1"/>
  <c r="L86" i="18" s="1"/>
  <c r="I176" i="18"/>
  <c r="J176" i="18" s="1"/>
  <c r="L176" i="18" s="1"/>
  <c r="I67" i="18"/>
  <c r="J67" i="18" s="1"/>
  <c r="L67" i="18" s="1"/>
  <c r="I106" i="18"/>
  <c r="J106" i="18" s="1"/>
  <c r="L106" i="18" s="1"/>
  <c r="I191" i="18"/>
  <c r="J191" i="18" s="1"/>
  <c r="L191" i="18" s="1"/>
  <c r="I31" i="18"/>
  <c r="J31" i="18" s="1"/>
  <c r="L31" i="18" s="1"/>
  <c r="I41" i="18"/>
  <c r="J41" i="18" s="1"/>
  <c r="L41" i="18" s="1"/>
  <c r="I189" i="18"/>
  <c r="J189" i="18" s="1"/>
  <c r="L189" i="18" s="1"/>
  <c r="I36" i="18"/>
  <c r="J36" i="18" s="1"/>
  <c r="L36" i="18" s="1"/>
  <c r="I192" i="18"/>
  <c r="J192" i="18" s="1"/>
  <c r="L192" i="18" s="1"/>
  <c r="I173" i="18"/>
  <c r="J173" i="18" s="1"/>
  <c r="L173" i="18" s="1"/>
  <c r="I105" i="18"/>
  <c r="J105" i="18" s="1"/>
  <c r="L105" i="18" s="1"/>
  <c r="I123" i="18"/>
  <c r="J123" i="18" s="1"/>
  <c r="L123" i="18" s="1"/>
  <c r="I55" i="18"/>
  <c r="J55" i="18" s="1"/>
  <c r="L55" i="18" s="1"/>
  <c r="I44" i="18"/>
  <c r="J44" i="18" s="1"/>
  <c r="L44" i="18" s="1"/>
  <c r="I188" i="18"/>
  <c r="J188" i="18" s="1"/>
  <c r="L188" i="18" s="1"/>
  <c r="I124" i="18"/>
  <c r="J124" i="18" s="1"/>
  <c r="L124" i="18" s="1"/>
  <c r="I26" i="18"/>
  <c r="J26" i="18" s="1"/>
  <c r="L26" i="18" s="1"/>
  <c r="I110" i="18"/>
  <c r="J110" i="18" s="1"/>
  <c r="L110" i="18" s="1"/>
  <c r="I138" i="18"/>
  <c r="J138" i="18" s="1"/>
  <c r="L138" i="18" s="1"/>
  <c r="I203" i="18"/>
  <c r="J203" i="18" s="1"/>
  <c r="L203" i="18" s="1"/>
  <c r="I165" i="18"/>
  <c r="J165" i="18" s="1"/>
  <c r="L165" i="18" s="1"/>
  <c r="I209" i="18"/>
  <c r="J209" i="18" s="1"/>
  <c r="L209" i="18" s="1"/>
  <c r="I131" i="18"/>
  <c r="J131" i="18" s="1"/>
  <c r="L131" i="18" s="1"/>
  <c r="I104" i="18"/>
  <c r="J104" i="18" s="1"/>
  <c r="L104" i="18" s="1"/>
  <c r="I155" i="18"/>
  <c r="J155" i="18" s="1"/>
  <c r="L155" i="18" s="1"/>
  <c r="I109" i="18"/>
  <c r="J109" i="18" s="1"/>
  <c r="L109" i="18" s="1"/>
  <c r="I80" i="18"/>
  <c r="J80" i="18" s="1"/>
  <c r="L80" i="18" s="1"/>
  <c r="I111" i="18"/>
  <c r="J111" i="18" s="1"/>
  <c r="L111" i="18" s="1"/>
  <c r="I175" i="18"/>
  <c r="J175" i="18" s="1"/>
  <c r="L175" i="18" s="1"/>
  <c r="I48" i="18"/>
  <c r="J48" i="18" s="1"/>
  <c r="L48" i="18" s="1"/>
  <c r="I146" i="18"/>
  <c r="J146" i="18" s="1"/>
  <c r="L146" i="18" s="1"/>
  <c r="I75" i="18"/>
  <c r="J75" i="18" s="1"/>
  <c r="L75" i="18" s="1"/>
  <c r="I73" i="18"/>
  <c r="J73" i="18" s="1"/>
  <c r="L73" i="18" s="1"/>
  <c r="I63" i="18"/>
  <c r="J63" i="18" s="1"/>
  <c r="L63" i="18" s="1"/>
  <c r="I35" i="18"/>
  <c r="J35" i="18" s="1"/>
  <c r="L35" i="18" s="1"/>
  <c r="I72" i="18"/>
  <c r="J72" i="18" s="1"/>
  <c r="L72" i="18" s="1"/>
  <c r="I29" i="18"/>
  <c r="J29" i="18" s="1"/>
  <c r="L29" i="18" s="1"/>
  <c r="I177" i="18"/>
  <c r="J177" i="18" s="1"/>
  <c r="L177" i="18" s="1"/>
  <c r="I130" i="18"/>
  <c r="J130" i="18" s="1"/>
  <c r="L130" i="18" s="1"/>
  <c r="I42" i="18"/>
  <c r="J42" i="18" s="1"/>
  <c r="L42" i="18" s="1"/>
  <c r="I90" i="18"/>
  <c r="J90" i="18" s="1"/>
  <c r="L90" i="18" s="1"/>
  <c r="I107" i="18"/>
  <c r="J107" i="18" s="1"/>
  <c r="L107" i="18" s="1"/>
  <c r="I196" i="18"/>
  <c r="J196" i="18" s="1"/>
  <c r="L196" i="18" s="1"/>
  <c r="I32" i="18"/>
  <c r="J32" i="18" s="1"/>
  <c r="L32" i="18" s="1"/>
  <c r="I166" i="18"/>
  <c r="J166" i="18" s="1"/>
  <c r="L166" i="18" s="1"/>
  <c r="I27" i="18"/>
  <c r="J27" i="18" s="1"/>
  <c r="L27" i="18" s="1"/>
  <c r="I150" i="18"/>
  <c r="J150" i="18" s="1"/>
  <c r="L150" i="18" s="1"/>
  <c r="I96" i="18"/>
  <c r="J96" i="18" s="1"/>
  <c r="L96" i="18" s="1"/>
  <c r="I50" i="18"/>
  <c r="J50" i="18" s="1"/>
  <c r="L50" i="18" s="1"/>
  <c r="I99" i="18"/>
  <c r="J99" i="18" s="1"/>
  <c r="L99" i="18" s="1"/>
  <c r="I62" i="18"/>
  <c r="J62" i="18" s="1"/>
  <c r="L62" i="18" s="1"/>
  <c r="I157" i="18"/>
  <c r="J157" i="18" s="1"/>
  <c r="L157" i="18" s="1"/>
  <c r="I193" i="18"/>
  <c r="J193" i="18" s="1"/>
  <c r="L193" i="18" s="1"/>
  <c r="I162" i="18"/>
  <c r="J162" i="18" s="1"/>
  <c r="L162" i="18" s="1"/>
  <c r="I45" i="18"/>
  <c r="J45" i="18" s="1"/>
  <c r="L45" i="18" s="1"/>
  <c r="I205" i="18"/>
  <c r="J205" i="18" s="1"/>
  <c r="L205" i="18" s="1"/>
  <c r="I174" i="18"/>
  <c r="J174" i="18" s="1"/>
  <c r="L174" i="18" s="1"/>
  <c r="I117" i="18"/>
  <c r="J117" i="18" s="1"/>
  <c r="L117" i="18" s="1"/>
  <c r="I163" i="18"/>
  <c r="J163" i="18" s="1"/>
  <c r="L163" i="18" s="1"/>
  <c r="I136" i="18"/>
  <c r="J136" i="18" s="1"/>
  <c r="L136" i="18" s="1"/>
  <c r="I38" i="18"/>
  <c r="J38" i="18" s="1"/>
  <c r="L38" i="18" s="1"/>
  <c r="I120" i="18"/>
  <c r="J120" i="18" s="1"/>
  <c r="L120" i="18" s="1"/>
  <c r="I113" i="18"/>
  <c r="J113" i="18" s="1"/>
  <c r="L113" i="18" s="1"/>
  <c r="F14" i="29"/>
  <c r="I181" i="18"/>
  <c r="J181" i="18" s="1"/>
  <c r="L181" i="18" s="1"/>
  <c r="I51" i="18"/>
  <c r="J51" i="18" s="1"/>
  <c r="L51" i="18" s="1"/>
  <c r="I37" i="18"/>
  <c r="J37" i="18" s="1"/>
  <c r="L37" i="18" s="1"/>
  <c r="I134" i="18"/>
  <c r="J134" i="18" s="1"/>
  <c r="L134" i="18" s="1"/>
  <c r="I201" i="18"/>
  <c r="J201" i="18" s="1"/>
  <c r="L201" i="18" s="1"/>
  <c r="I128" i="18"/>
  <c r="J128" i="18" s="1"/>
  <c r="L128" i="18" s="1"/>
  <c r="I25" i="18"/>
  <c r="J25" i="18" s="1"/>
  <c r="L25" i="18" s="1"/>
  <c r="I180" i="18"/>
  <c r="J180" i="18" s="1"/>
  <c r="L180" i="18" s="1"/>
  <c r="I179" i="18"/>
  <c r="J179" i="18" s="1"/>
  <c r="L179" i="18" s="1"/>
  <c r="I91" i="18"/>
  <c r="J91" i="18" s="1"/>
  <c r="L91" i="18" s="1"/>
  <c r="I74" i="18"/>
  <c r="J74" i="18" s="1"/>
  <c r="L74" i="18" s="1"/>
  <c r="I147" i="18"/>
  <c r="J147" i="18" s="1"/>
  <c r="L147" i="18" s="1"/>
  <c r="I139" i="18"/>
  <c r="J139" i="18" s="1"/>
  <c r="L139" i="18" s="1"/>
  <c r="I164" i="18"/>
  <c r="J164" i="18" s="1"/>
  <c r="L164" i="18" s="1"/>
  <c r="I33" i="18"/>
  <c r="J33" i="18" s="1"/>
  <c r="L33" i="18" s="1"/>
  <c r="I183" i="18"/>
  <c r="J183" i="18" s="1"/>
  <c r="L183" i="18" s="1"/>
  <c r="I129" i="18"/>
  <c r="J129" i="18" s="1"/>
  <c r="L129" i="18" s="1"/>
  <c r="I100" i="18"/>
  <c r="J100" i="18" s="1"/>
  <c r="L100" i="18" s="1"/>
  <c r="I49" i="18"/>
  <c r="J49" i="18" s="1"/>
  <c r="L49" i="18" s="1"/>
  <c r="I22" i="18"/>
  <c r="J22" i="18" s="1"/>
  <c r="L22" i="18" s="1"/>
  <c r="I153" i="18"/>
  <c r="J153" i="18" s="1"/>
  <c r="L153" i="18" s="1"/>
  <c r="I68" i="18"/>
  <c r="J68" i="18" s="1"/>
  <c r="L68" i="18" s="1"/>
  <c r="I116" i="18"/>
  <c r="J116" i="18" s="1"/>
  <c r="L116" i="18" s="1"/>
  <c r="I78" i="18"/>
  <c r="J78" i="18" s="1"/>
  <c r="L78" i="18" s="1"/>
  <c r="I24" i="18"/>
  <c r="J24" i="18" s="1"/>
  <c r="L24" i="18" s="1"/>
  <c r="I144" i="18"/>
  <c r="J144" i="18" s="1"/>
  <c r="L144" i="18" s="1"/>
  <c r="I172" i="18"/>
  <c r="J172" i="18" s="1"/>
  <c r="L172" i="18" s="1"/>
  <c r="I95" i="18"/>
  <c r="J95" i="18" s="1"/>
  <c r="L95" i="18" s="1"/>
  <c r="I64" i="18"/>
  <c r="J64" i="18" s="1"/>
  <c r="L64" i="18" s="1"/>
  <c r="I135" i="18"/>
  <c r="J135" i="18" s="1"/>
  <c r="L135" i="18" s="1"/>
  <c r="I119" i="18"/>
  <c r="J119" i="18" s="1"/>
  <c r="L119" i="18" s="1"/>
  <c r="I60" i="18"/>
  <c r="J60" i="18" s="1"/>
  <c r="L60" i="18" s="1"/>
  <c r="I161" i="18"/>
  <c r="J161" i="18" s="1"/>
  <c r="L161" i="18" s="1"/>
  <c r="I160" i="18"/>
  <c r="J160" i="18" s="1"/>
  <c r="L160" i="18" s="1"/>
  <c r="I211" i="18"/>
  <c r="J211" i="18" s="1"/>
  <c r="L211" i="18" s="1"/>
  <c r="I81" i="18"/>
  <c r="J81" i="18" s="1"/>
  <c r="L81" i="18" s="1"/>
  <c r="I190" i="18"/>
  <c r="J190" i="18" s="1"/>
  <c r="L190" i="18" s="1"/>
  <c r="I168" i="18"/>
  <c r="J168" i="18" s="1"/>
  <c r="L168" i="18" s="1"/>
  <c r="I121" i="18"/>
  <c r="J121" i="18" s="1"/>
  <c r="L121" i="18" s="1"/>
  <c r="I125" i="18"/>
  <c r="J125" i="18" s="1"/>
  <c r="L125" i="18" s="1"/>
  <c r="I61" i="18"/>
  <c r="J61" i="18" s="1"/>
  <c r="L61" i="18" s="1"/>
  <c r="I30" i="18"/>
  <c r="J30" i="18" s="1"/>
  <c r="L30" i="18" s="1"/>
  <c r="I23" i="18"/>
  <c r="J23" i="18" s="1"/>
  <c r="L23" i="18" s="1"/>
  <c r="I98" i="18"/>
  <c r="J98" i="18" s="1"/>
  <c r="L98" i="18" s="1"/>
  <c r="I126" i="18"/>
  <c r="J126" i="18" s="1"/>
  <c r="L126" i="18" s="1"/>
  <c r="I122" i="18"/>
  <c r="J122" i="18" s="1"/>
  <c r="L122" i="18" s="1"/>
  <c r="I54" i="18"/>
  <c r="J54" i="18" s="1"/>
  <c r="L54" i="18" s="1"/>
  <c r="I57" i="18"/>
  <c r="J57" i="18" s="1"/>
  <c r="L57" i="18" s="1"/>
  <c r="I149" i="18"/>
  <c r="J149" i="18" s="1"/>
  <c r="L149" i="18" s="1"/>
  <c r="I170" i="18"/>
  <c r="J170" i="18" s="1"/>
  <c r="L170" i="18" s="1"/>
  <c r="I102" i="18"/>
  <c r="J102" i="18" s="1"/>
  <c r="L102" i="18" s="1"/>
  <c r="I28" i="18"/>
  <c r="J28" i="18" s="1"/>
  <c r="L28" i="18" s="1"/>
  <c r="I53" i="18"/>
  <c r="J53" i="18" s="1"/>
  <c r="L53" i="18" s="1"/>
  <c r="I151" i="18"/>
  <c r="J151" i="18" s="1"/>
  <c r="L151" i="18" s="1"/>
  <c r="I185" i="18"/>
  <c r="J185" i="18" s="1"/>
  <c r="L185" i="18" s="1"/>
  <c r="I132" i="18"/>
  <c r="J132" i="18" s="1"/>
  <c r="L132" i="18" s="1"/>
  <c r="I145" i="18"/>
  <c r="J145" i="18" s="1"/>
  <c r="L145" i="18" s="1"/>
  <c r="I43" i="18"/>
  <c r="J43" i="18" s="1"/>
  <c r="L43" i="18" s="1"/>
  <c r="I169" i="18"/>
  <c r="J169" i="18" s="1"/>
  <c r="L169" i="18" s="1"/>
  <c r="I187" i="18"/>
  <c r="J187" i="18" s="1"/>
  <c r="L187" i="18" s="1"/>
  <c r="I21" i="18"/>
  <c r="J21" i="18" s="1"/>
  <c r="L21" i="18" s="1"/>
  <c r="I93" i="18"/>
  <c r="J93" i="18" s="1"/>
  <c r="L93" i="18" s="1"/>
  <c r="I66" i="18"/>
  <c r="J66" i="18" s="1"/>
  <c r="L66" i="18" s="1"/>
  <c r="I84" i="18"/>
  <c r="J84" i="18" s="1"/>
  <c r="L84" i="18" s="1"/>
  <c r="I207" i="18"/>
  <c r="J207" i="18" s="1"/>
  <c r="L207" i="18" s="1"/>
  <c r="I20" i="18"/>
  <c r="J20" i="18" s="1"/>
  <c r="I141" i="18"/>
  <c r="J141" i="18" s="1"/>
  <c r="L141" i="18" s="1"/>
  <c r="I195" i="18"/>
  <c r="J195" i="18" s="1"/>
  <c r="L195" i="18" s="1"/>
  <c r="I140" i="18"/>
  <c r="J140" i="18" s="1"/>
  <c r="L140" i="18" s="1"/>
  <c r="I92" i="18"/>
  <c r="J92" i="18" s="1"/>
  <c r="L92" i="18" s="1"/>
  <c r="I115" i="18"/>
  <c r="J115" i="18" s="1"/>
  <c r="L115" i="18" s="1"/>
  <c r="I156" i="18"/>
  <c r="J156" i="18" s="1"/>
  <c r="L156" i="18" s="1"/>
  <c r="I69" i="18"/>
  <c r="J69" i="18" s="1"/>
  <c r="L69" i="18" s="1"/>
  <c r="I79" i="18"/>
  <c r="J79" i="18" s="1"/>
  <c r="L79" i="18" s="1"/>
  <c r="I202" i="18"/>
  <c r="J202" i="18" s="1"/>
  <c r="L202" i="18" s="1"/>
  <c r="I158" i="18"/>
  <c r="J158" i="18" s="1"/>
  <c r="L158" i="18" s="1"/>
  <c r="I114" i="18"/>
  <c r="J114" i="18" s="1"/>
  <c r="L114" i="18" s="1"/>
  <c r="I137" i="18"/>
  <c r="J137" i="18" s="1"/>
  <c r="L137" i="18" s="1"/>
  <c r="I197" i="18"/>
  <c r="J197" i="18" s="1"/>
  <c r="L197" i="18" s="1"/>
  <c r="I194" i="18"/>
  <c r="J194" i="18" s="1"/>
  <c r="L194" i="18" s="1"/>
  <c r="I59" i="18"/>
  <c r="J59" i="18" s="1"/>
  <c r="L59" i="18" s="1"/>
  <c r="I118" i="18"/>
  <c r="J118" i="18" s="1"/>
  <c r="L118" i="18" s="1"/>
  <c r="I186" i="18"/>
  <c r="J186" i="18" s="1"/>
  <c r="L186" i="18" s="1"/>
  <c r="I154" i="18"/>
  <c r="J154" i="18" s="1"/>
  <c r="L154" i="18" s="1"/>
  <c r="I34" i="18"/>
  <c r="J34" i="18" s="1"/>
  <c r="L34" i="18" s="1"/>
  <c r="I94" i="18"/>
  <c r="J94" i="18" s="1"/>
  <c r="L94" i="18" s="1"/>
  <c r="I182" i="18"/>
  <c r="J182" i="18" s="1"/>
  <c r="L182" i="18" s="1"/>
  <c r="I206" i="18"/>
  <c r="J206" i="18" s="1"/>
  <c r="L206" i="18" s="1"/>
  <c r="I178" i="18"/>
  <c r="J178" i="18" s="1"/>
  <c r="L178" i="18" s="1"/>
  <c r="I103" i="18"/>
  <c r="J103" i="18" s="1"/>
  <c r="L103" i="18" s="1"/>
  <c r="I85" i="18"/>
  <c r="J85" i="18" s="1"/>
  <c r="L85" i="18" s="1"/>
  <c r="I184" i="18"/>
  <c r="J184" i="18" s="1"/>
  <c r="L184" i="18" s="1"/>
  <c r="I142" i="18"/>
  <c r="J142" i="18" s="1"/>
  <c r="L142" i="18" s="1"/>
  <c r="I52" i="18"/>
  <c r="J52" i="18" s="1"/>
  <c r="L52" i="18" s="1"/>
  <c r="I87" i="18"/>
  <c r="J87" i="18" s="1"/>
  <c r="L87" i="18" s="1"/>
  <c r="I82" i="18"/>
  <c r="J82" i="18" s="1"/>
  <c r="L82" i="18" s="1"/>
  <c r="I167" i="18"/>
  <c r="J167" i="18" s="1"/>
  <c r="L167" i="18" s="1"/>
  <c r="I112" i="18"/>
  <c r="J112" i="18" s="1"/>
  <c r="L112" i="18" s="1"/>
  <c r="I171" i="18"/>
  <c r="J171" i="18" s="1"/>
  <c r="L171" i="18" s="1"/>
  <c r="I70" i="18"/>
  <c r="J70" i="18" s="1"/>
  <c r="L70" i="18" s="1"/>
  <c r="I46" i="18"/>
  <c r="J46" i="18" s="1"/>
  <c r="L46" i="18" s="1"/>
  <c r="I204" i="18"/>
  <c r="J204" i="18" s="1"/>
  <c r="L204" i="18" s="1"/>
  <c r="I210" i="18"/>
  <c r="J210" i="18" s="1"/>
  <c r="L210" i="18" s="1"/>
  <c r="I208" i="18"/>
  <c r="J208" i="18" s="1"/>
  <c r="L208" i="18" s="1"/>
  <c r="I199" i="18"/>
  <c r="J199" i="18" s="1"/>
  <c r="L199" i="18" s="1"/>
  <c r="I83" i="18"/>
  <c r="J83" i="18" s="1"/>
  <c r="L83" i="18" s="1"/>
  <c r="I77" i="18"/>
  <c r="J77" i="18" s="1"/>
  <c r="L77" i="18" s="1"/>
  <c r="I148" i="18"/>
  <c r="J148" i="18" s="1"/>
  <c r="L148" i="18" s="1"/>
  <c r="I40" i="18"/>
  <c r="J40" i="18" s="1"/>
  <c r="L40" i="18" s="1"/>
  <c r="I198" i="18"/>
  <c r="J198" i="18" s="1"/>
  <c r="L198" i="18" s="1"/>
  <c r="I143" i="18"/>
  <c r="J143" i="18" s="1"/>
  <c r="L143" i="18" s="1"/>
  <c r="I39" i="18"/>
  <c r="J39" i="18" s="1"/>
  <c r="L39" i="18" s="1"/>
  <c r="I101" i="18"/>
  <c r="J101" i="18" s="1"/>
  <c r="L101" i="18" s="1"/>
  <c r="I159" i="18"/>
  <c r="J159" i="18" s="1"/>
  <c r="L159" i="18" s="1"/>
  <c r="I89" i="18"/>
  <c r="J89" i="18" s="1"/>
  <c r="L89" i="18" s="1"/>
  <c r="I97" i="18"/>
  <c r="J97" i="18" s="1"/>
  <c r="L97" i="18" s="1"/>
  <c r="I65" i="18"/>
  <c r="J65" i="18" s="1"/>
  <c r="L65" i="18" s="1"/>
  <c r="I76" i="18"/>
  <c r="J76" i="18" s="1"/>
  <c r="L76" i="18" s="1"/>
  <c r="I200" i="18"/>
  <c r="J200" i="18" s="1"/>
  <c r="L200" i="18" s="1"/>
  <c r="I152" i="18"/>
  <c r="J152" i="18" s="1"/>
  <c r="L152" i="18" s="1"/>
  <c r="J212" i="18" l="1"/>
  <c r="L20" i="18"/>
  <c r="J14" i="18"/>
  <c r="J13" i="18"/>
  <c r="L56" i="18"/>
  <c r="L13" i="18" l="1"/>
  <c r="L14" i="18"/>
  <c r="L212" i="18"/>
  <c r="M155" i="18" l="1"/>
  <c r="N155" i="18" s="1"/>
  <c r="R155" i="18" s="1"/>
  <c r="M146" i="18"/>
  <c r="N146" i="18" s="1"/>
  <c r="R146" i="18" s="1"/>
  <c r="M200" i="18"/>
  <c r="N200" i="18" s="1"/>
  <c r="R200" i="18" s="1"/>
  <c r="M91" i="18"/>
  <c r="N91" i="18" s="1"/>
  <c r="R91" i="18" s="1"/>
  <c r="M166" i="18"/>
  <c r="N166" i="18" s="1"/>
  <c r="R166" i="18" s="1"/>
  <c r="M104" i="18"/>
  <c r="N104" i="18" s="1"/>
  <c r="R104" i="18" s="1"/>
  <c r="M105" i="18"/>
  <c r="N105" i="18" s="1"/>
  <c r="R105" i="18" s="1"/>
  <c r="M111" i="18"/>
  <c r="N111" i="18" s="1"/>
  <c r="R111" i="18" s="1"/>
  <c r="M67" i="18"/>
  <c r="N67" i="18" s="1"/>
  <c r="R67" i="18" s="1"/>
  <c r="M172" i="18"/>
  <c r="N172" i="18" s="1"/>
  <c r="R172" i="18" s="1"/>
  <c r="M205" i="18"/>
  <c r="N205" i="18" s="1"/>
  <c r="R205" i="18" s="1"/>
  <c r="M112" i="18"/>
  <c r="N112" i="18" s="1"/>
  <c r="R112" i="18" s="1"/>
  <c r="M185" i="18"/>
  <c r="N185" i="18" s="1"/>
  <c r="R185" i="18" s="1"/>
  <c r="M197" i="18"/>
  <c r="N197" i="18" s="1"/>
  <c r="R197" i="18" s="1"/>
  <c r="M142" i="18"/>
  <c r="N142" i="18" s="1"/>
  <c r="R142" i="18" s="1"/>
  <c r="M151" i="18"/>
  <c r="N151" i="18" s="1"/>
  <c r="R151" i="18" s="1"/>
  <c r="M176" i="18"/>
  <c r="N176" i="18" s="1"/>
  <c r="R176" i="18" s="1"/>
  <c r="M178" i="18"/>
  <c r="N178" i="18" s="1"/>
  <c r="R178" i="18" s="1"/>
  <c r="M170" i="18"/>
  <c r="N170" i="18" s="1"/>
  <c r="R170" i="18" s="1"/>
  <c r="M34" i="18"/>
  <c r="N34" i="18" s="1"/>
  <c r="R34" i="18" s="1"/>
  <c r="M180" i="18"/>
  <c r="N180" i="18" s="1"/>
  <c r="R180" i="18" s="1"/>
  <c r="M164" i="18"/>
  <c r="N164" i="18" s="1"/>
  <c r="R164" i="18" s="1"/>
  <c r="M182" i="18"/>
  <c r="N182" i="18" s="1"/>
  <c r="R182" i="18" s="1"/>
  <c r="M133" i="18"/>
  <c r="N133" i="18" s="1"/>
  <c r="R133" i="18" s="1"/>
  <c r="M82" i="18"/>
  <c r="N82" i="18" s="1"/>
  <c r="R82" i="18" s="1"/>
  <c r="M85" i="18"/>
  <c r="N85" i="18" s="1"/>
  <c r="R85" i="18" s="1"/>
  <c r="M139" i="18"/>
  <c r="N139" i="18" s="1"/>
  <c r="R139" i="18" s="1"/>
  <c r="M158" i="18"/>
  <c r="N158" i="18" s="1"/>
  <c r="R158" i="18" s="1"/>
  <c r="M88" i="18"/>
  <c r="N88" i="18" s="1"/>
  <c r="R88" i="18" s="1"/>
  <c r="M21" i="18"/>
  <c r="N21" i="18" s="1"/>
  <c r="R21" i="18" s="1"/>
  <c r="M191" i="18"/>
  <c r="N191" i="18" s="1"/>
  <c r="R191" i="18" s="1"/>
  <c r="M54" i="18"/>
  <c r="N54" i="18" s="1"/>
  <c r="R54" i="18" s="1"/>
  <c r="M65" i="18"/>
  <c r="N65" i="18" s="1"/>
  <c r="R65" i="18" s="1"/>
  <c r="M73" i="18"/>
  <c r="N73" i="18" s="1"/>
  <c r="R73" i="18" s="1"/>
  <c r="M101" i="18"/>
  <c r="N101" i="18" s="1"/>
  <c r="R101" i="18" s="1"/>
  <c r="M169" i="18"/>
  <c r="N169" i="18" s="1"/>
  <c r="R169" i="18" s="1"/>
  <c r="M119" i="18"/>
  <c r="N119" i="18" s="1"/>
  <c r="R119" i="18" s="1"/>
  <c r="M171" i="18"/>
  <c r="N171" i="18" s="1"/>
  <c r="R171" i="18" s="1"/>
  <c r="M188" i="18"/>
  <c r="N188" i="18" s="1"/>
  <c r="R188" i="18" s="1"/>
  <c r="M211" i="18"/>
  <c r="N211" i="18" s="1"/>
  <c r="R211" i="18" s="1"/>
  <c r="M102" i="18"/>
  <c r="N102" i="18" s="1"/>
  <c r="R102" i="18" s="1"/>
  <c r="M74" i="18"/>
  <c r="N74" i="18" s="1"/>
  <c r="R74" i="18" s="1"/>
  <c r="M208" i="18"/>
  <c r="N208" i="18" s="1"/>
  <c r="R208" i="18" s="1"/>
  <c r="M92" i="18"/>
  <c r="N92" i="18" s="1"/>
  <c r="R92" i="18" s="1"/>
  <c r="M144" i="18"/>
  <c r="N144" i="18" s="1"/>
  <c r="R144" i="18" s="1"/>
  <c r="M129" i="18"/>
  <c r="N129" i="18" s="1"/>
  <c r="R129" i="18" s="1"/>
  <c r="M132" i="18"/>
  <c r="N132" i="18" s="1"/>
  <c r="R132" i="18" s="1"/>
  <c r="M62" i="18"/>
  <c r="N62" i="18" s="1"/>
  <c r="R62" i="18" s="1"/>
  <c r="M60" i="18"/>
  <c r="N60" i="18" s="1"/>
  <c r="R60" i="18" s="1"/>
  <c r="M147" i="18"/>
  <c r="N147" i="18" s="1"/>
  <c r="R147" i="18" s="1"/>
  <c r="M209" i="18"/>
  <c r="N209" i="18" s="1"/>
  <c r="R209" i="18" s="1"/>
  <c r="M128" i="18"/>
  <c r="N128" i="18" s="1"/>
  <c r="R128" i="18" s="1"/>
  <c r="M63" i="18"/>
  <c r="N63" i="18" s="1"/>
  <c r="R63" i="18" s="1"/>
  <c r="M113" i="18"/>
  <c r="N113" i="18" s="1"/>
  <c r="R113" i="18" s="1"/>
  <c r="M52" i="18"/>
  <c r="N52" i="18" s="1"/>
  <c r="R52" i="18" s="1"/>
  <c r="M43" i="18"/>
  <c r="N43" i="18" s="1"/>
  <c r="R43" i="18" s="1"/>
  <c r="M45" i="18"/>
  <c r="N45" i="18" s="1"/>
  <c r="R45" i="18" s="1"/>
  <c r="M30" i="18"/>
  <c r="N30" i="18" s="1"/>
  <c r="R30" i="18" s="1"/>
  <c r="M71" i="18"/>
  <c r="N71" i="18" s="1"/>
  <c r="R71" i="18" s="1"/>
  <c r="M187" i="18"/>
  <c r="N187" i="18" s="1"/>
  <c r="R187" i="18" s="1"/>
  <c r="M41" i="18"/>
  <c r="N41" i="18" s="1"/>
  <c r="R41" i="18" s="1"/>
  <c r="M38" i="18"/>
  <c r="N38" i="18" s="1"/>
  <c r="R38" i="18" s="1"/>
  <c r="M201" i="18"/>
  <c r="N201" i="18" s="1"/>
  <c r="R201" i="18" s="1"/>
  <c r="M79" i="18"/>
  <c r="N79" i="18" s="1"/>
  <c r="R79" i="18" s="1"/>
  <c r="M36" i="18"/>
  <c r="N36" i="18" s="1"/>
  <c r="R36" i="18" s="1"/>
  <c r="M143" i="18"/>
  <c r="N143" i="18" s="1"/>
  <c r="R143" i="18" s="1"/>
  <c r="M167" i="18"/>
  <c r="N167" i="18" s="1"/>
  <c r="R167" i="18" s="1"/>
  <c r="M210" i="18"/>
  <c r="N210" i="18" s="1"/>
  <c r="R210" i="18" s="1"/>
  <c r="M137" i="18"/>
  <c r="N137" i="18" s="1"/>
  <c r="R137" i="18" s="1"/>
  <c r="M154" i="18"/>
  <c r="N154" i="18" s="1"/>
  <c r="R154" i="18" s="1"/>
  <c r="M122" i="18"/>
  <c r="N122" i="18" s="1"/>
  <c r="R122" i="18" s="1"/>
  <c r="M24" i="18"/>
  <c r="N24" i="18" s="1"/>
  <c r="R24" i="18" s="1"/>
  <c r="M83" i="18"/>
  <c r="N83" i="18" s="1"/>
  <c r="R83" i="18" s="1"/>
  <c r="M57" i="18"/>
  <c r="N57" i="18" s="1"/>
  <c r="R57" i="18" s="1"/>
  <c r="M136" i="18"/>
  <c r="N136" i="18" s="1"/>
  <c r="R136" i="18" s="1"/>
  <c r="M94" i="18"/>
  <c r="N94" i="18" s="1"/>
  <c r="R94" i="18" s="1"/>
  <c r="M68" i="18"/>
  <c r="N68" i="18" s="1"/>
  <c r="R68" i="18" s="1"/>
  <c r="M32" i="18"/>
  <c r="N32" i="18" s="1"/>
  <c r="R32" i="18" s="1"/>
  <c r="M156" i="18"/>
  <c r="N156" i="18" s="1"/>
  <c r="R156" i="18" s="1"/>
  <c r="M58" i="18"/>
  <c r="N58" i="18" s="1"/>
  <c r="R58" i="18" s="1"/>
  <c r="M59" i="18"/>
  <c r="N59" i="18" s="1"/>
  <c r="R59" i="18" s="1"/>
  <c r="M49" i="18"/>
  <c r="N49" i="18" s="1"/>
  <c r="R49" i="18" s="1"/>
  <c r="M76" i="18"/>
  <c r="N76" i="18" s="1"/>
  <c r="R76" i="18" s="1"/>
  <c r="M90" i="18"/>
  <c r="N90" i="18" s="1"/>
  <c r="R90" i="18" s="1"/>
  <c r="M199" i="18"/>
  <c r="N199" i="18" s="1"/>
  <c r="R199" i="18" s="1"/>
  <c r="M29" i="18"/>
  <c r="N29" i="18" s="1"/>
  <c r="R29" i="18" s="1"/>
  <c r="M118" i="18"/>
  <c r="N118" i="18" s="1"/>
  <c r="R118" i="18" s="1"/>
  <c r="M183" i="18"/>
  <c r="N183" i="18" s="1"/>
  <c r="R183" i="18" s="1"/>
  <c r="M35" i="18"/>
  <c r="N35" i="18" s="1"/>
  <c r="R35" i="18" s="1"/>
  <c r="M89" i="18"/>
  <c r="N89" i="18" s="1"/>
  <c r="R89" i="18" s="1"/>
  <c r="M100" i="18"/>
  <c r="N100" i="18" s="1"/>
  <c r="R100" i="18" s="1"/>
  <c r="M198" i="18"/>
  <c r="N198" i="18" s="1"/>
  <c r="R198" i="18" s="1"/>
  <c r="M115" i="18"/>
  <c r="N115" i="18" s="1"/>
  <c r="R115" i="18" s="1"/>
  <c r="M127" i="18"/>
  <c r="N127" i="18" s="1"/>
  <c r="R127" i="18" s="1"/>
  <c r="M48" i="18"/>
  <c r="N48" i="18" s="1"/>
  <c r="R48" i="18" s="1"/>
  <c r="M81" i="18"/>
  <c r="N81" i="18" s="1"/>
  <c r="R81" i="18" s="1"/>
  <c r="M157" i="18"/>
  <c r="N157" i="18" s="1"/>
  <c r="R157" i="18" s="1"/>
  <c r="M69" i="18"/>
  <c r="N69" i="18" s="1"/>
  <c r="R69" i="18" s="1"/>
  <c r="M107" i="18"/>
  <c r="N107" i="18" s="1"/>
  <c r="R107" i="18" s="1"/>
  <c r="M204" i="18"/>
  <c r="N204" i="18" s="1"/>
  <c r="R204" i="18" s="1"/>
  <c r="M66" i="18"/>
  <c r="N66" i="18" s="1"/>
  <c r="R66" i="18" s="1"/>
  <c r="M179" i="18"/>
  <c r="N179" i="18" s="1"/>
  <c r="R179" i="18" s="1"/>
  <c r="M145" i="18"/>
  <c r="N145" i="18" s="1"/>
  <c r="R145" i="18" s="1"/>
  <c r="M117" i="18"/>
  <c r="N117" i="18" s="1"/>
  <c r="R117" i="18" s="1"/>
  <c r="M175" i="18"/>
  <c r="N175" i="18" s="1"/>
  <c r="R175" i="18" s="1"/>
  <c r="M192" i="18"/>
  <c r="N192" i="18" s="1"/>
  <c r="R192" i="18" s="1"/>
  <c r="M163" i="18"/>
  <c r="N163" i="18" s="1"/>
  <c r="R163" i="18" s="1"/>
  <c r="M39" i="18"/>
  <c r="N39" i="18" s="1"/>
  <c r="R39" i="18" s="1"/>
  <c r="M37" i="18"/>
  <c r="N37" i="18" s="1"/>
  <c r="R37" i="18" s="1"/>
  <c r="M80" i="18"/>
  <c r="N80" i="18" s="1"/>
  <c r="R80" i="18" s="1"/>
  <c r="M97" i="18"/>
  <c r="N97" i="18" s="1"/>
  <c r="R97" i="18" s="1"/>
  <c r="M135" i="18"/>
  <c r="N135" i="18" s="1"/>
  <c r="R135" i="18" s="1"/>
  <c r="M194" i="18"/>
  <c r="N194" i="18" s="1"/>
  <c r="R194" i="18" s="1"/>
  <c r="M22" i="18"/>
  <c r="N22" i="18" s="1"/>
  <c r="R22" i="18" s="1"/>
  <c r="M184" i="18"/>
  <c r="N184" i="18" s="1"/>
  <c r="R184" i="18" s="1"/>
  <c r="M40" i="18"/>
  <c r="N40" i="18" s="1"/>
  <c r="R40" i="18" s="1"/>
  <c r="M181" i="18"/>
  <c r="N181" i="18" s="1"/>
  <c r="R181" i="18" s="1"/>
  <c r="M26" i="18"/>
  <c r="N26" i="18" s="1"/>
  <c r="R26" i="18" s="1"/>
  <c r="M174" i="18"/>
  <c r="N174" i="18" s="1"/>
  <c r="R174" i="18" s="1"/>
  <c r="M168" i="18"/>
  <c r="N168" i="18" s="1"/>
  <c r="R168" i="18" s="1"/>
  <c r="M108" i="18"/>
  <c r="N108" i="18" s="1"/>
  <c r="R108" i="18" s="1"/>
  <c r="M123" i="18"/>
  <c r="N123" i="18" s="1"/>
  <c r="R123" i="18" s="1"/>
  <c r="M186" i="18"/>
  <c r="N186" i="18" s="1"/>
  <c r="R186" i="18" s="1"/>
  <c r="M106" i="18"/>
  <c r="N106" i="18" s="1"/>
  <c r="R106" i="18" s="1"/>
  <c r="M173" i="18"/>
  <c r="N173" i="18" s="1"/>
  <c r="R173" i="18" s="1"/>
  <c r="M116" i="18"/>
  <c r="N116" i="18" s="1"/>
  <c r="R116" i="18" s="1"/>
  <c r="M75" i="18"/>
  <c r="N75" i="18" s="1"/>
  <c r="R75" i="18" s="1"/>
  <c r="M140" i="18"/>
  <c r="N140" i="18" s="1"/>
  <c r="R140" i="18" s="1"/>
  <c r="M150" i="18"/>
  <c r="N150" i="18" s="1"/>
  <c r="R150" i="18" s="1"/>
  <c r="M141" i="18"/>
  <c r="N141" i="18" s="1"/>
  <c r="R141" i="18" s="1"/>
  <c r="M64" i="18"/>
  <c r="N64" i="18" s="1"/>
  <c r="R64" i="18" s="1"/>
  <c r="M152" i="18"/>
  <c r="N152" i="18" s="1"/>
  <c r="R152" i="18" s="1"/>
  <c r="M202" i="18"/>
  <c r="N202" i="18" s="1"/>
  <c r="R202" i="18" s="1"/>
  <c r="M96" i="18"/>
  <c r="N96" i="18" s="1"/>
  <c r="R96" i="18" s="1"/>
  <c r="M124" i="18"/>
  <c r="N124" i="18" s="1"/>
  <c r="R124" i="18" s="1"/>
  <c r="M27" i="18"/>
  <c r="N27" i="18" s="1"/>
  <c r="R27" i="18" s="1"/>
  <c r="M25" i="18"/>
  <c r="N25" i="18" s="1"/>
  <c r="R25" i="18" s="1"/>
  <c r="M47" i="18"/>
  <c r="N47" i="18" s="1"/>
  <c r="R47" i="18" s="1"/>
  <c r="M33" i="18"/>
  <c r="N33" i="18" s="1"/>
  <c r="R33" i="18" s="1"/>
  <c r="M149" i="18"/>
  <c r="N149" i="18" s="1"/>
  <c r="R149" i="18" s="1"/>
  <c r="M196" i="18"/>
  <c r="N196" i="18" s="1"/>
  <c r="R196" i="18" s="1"/>
  <c r="M103" i="18"/>
  <c r="N103" i="18" s="1"/>
  <c r="R103" i="18" s="1"/>
  <c r="M114" i="18"/>
  <c r="N114" i="18" s="1"/>
  <c r="R114" i="18" s="1"/>
  <c r="M134" i="18"/>
  <c r="N134" i="18" s="1"/>
  <c r="R134" i="18" s="1"/>
  <c r="M206" i="18"/>
  <c r="N206" i="18" s="1"/>
  <c r="R206" i="18" s="1"/>
  <c r="M99" i="18"/>
  <c r="N99" i="18" s="1"/>
  <c r="R99" i="18" s="1"/>
  <c r="M20" i="18"/>
  <c r="M148" i="18"/>
  <c r="N148" i="18" s="1"/>
  <c r="R148" i="18" s="1"/>
  <c r="M161" i="18"/>
  <c r="N161" i="18" s="1"/>
  <c r="R161" i="18" s="1"/>
  <c r="M193" i="18"/>
  <c r="N193" i="18" s="1"/>
  <c r="R193" i="18" s="1"/>
  <c r="M138" i="18"/>
  <c r="N138" i="18" s="1"/>
  <c r="R138" i="18" s="1"/>
  <c r="M51" i="18"/>
  <c r="N51" i="18" s="1"/>
  <c r="R51" i="18" s="1"/>
  <c r="M189" i="18"/>
  <c r="N189" i="18" s="1"/>
  <c r="R189" i="18" s="1"/>
  <c r="M23" i="18"/>
  <c r="N23" i="18" s="1"/>
  <c r="R23" i="18" s="1"/>
  <c r="M93" i="18"/>
  <c r="N93" i="18" s="1"/>
  <c r="R93" i="18" s="1"/>
  <c r="M110" i="18"/>
  <c r="N110" i="18" s="1"/>
  <c r="R110" i="18" s="1"/>
  <c r="M130" i="18"/>
  <c r="N130" i="18" s="1"/>
  <c r="R130" i="18" s="1"/>
  <c r="M207" i="18"/>
  <c r="N207" i="18" s="1"/>
  <c r="R207" i="18" s="1"/>
  <c r="M195" i="18"/>
  <c r="N195" i="18" s="1"/>
  <c r="R195" i="18" s="1"/>
  <c r="M61" i="18"/>
  <c r="N61" i="18" s="1"/>
  <c r="R61" i="18" s="1"/>
  <c r="M98" i="18"/>
  <c r="N98" i="18" s="1"/>
  <c r="R98" i="18" s="1"/>
  <c r="M77" i="18"/>
  <c r="N77" i="18" s="1"/>
  <c r="R77" i="18" s="1"/>
  <c r="M86" i="18"/>
  <c r="N86" i="18" s="1"/>
  <c r="R86" i="18" s="1"/>
  <c r="M95" i="18"/>
  <c r="N95" i="18" s="1"/>
  <c r="R95" i="18" s="1"/>
  <c r="M177" i="18"/>
  <c r="N177" i="18" s="1"/>
  <c r="R177" i="18" s="1"/>
  <c r="M53" i="18"/>
  <c r="N53" i="18" s="1"/>
  <c r="R53" i="18" s="1"/>
  <c r="M203" i="18"/>
  <c r="N203" i="18" s="1"/>
  <c r="R203" i="18" s="1"/>
  <c r="M84" i="18"/>
  <c r="N84" i="18" s="1"/>
  <c r="R84" i="18" s="1"/>
  <c r="M160" i="18"/>
  <c r="N160" i="18" s="1"/>
  <c r="R160" i="18" s="1"/>
  <c r="M131" i="18"/>
  <c r="N131" i="18" s="1"/>
  <c r="R131" i="18" s="1"/>
  <c r="M120" i="18"/>
  <c r="N120" i="18" s="1"/>
  <c r="R120" i="18" s="1"/>
  <c r="M28" i="18"/>
  <c r="N28" i="18" s="1"/>
  <c r="R28" i="18" s="1"/>
  <c r="M55" i="18"/>
  <c r="N55" i="18" s="1"/>
  <c r="R55" i="18" s="1"/>
  <c r="M46" i="18"/>
  <c r="N46" i="18" s="1"/>
  <c r="R46" i="18" s="1"/>
  <c r="M50" i="18"/>
  <c r="N50" i="18" s="1"/>
  <c r="R50" i="18" s="1"/>
  <c r="M165" i="18"/>
  <c r="N165" i="18" s="1"/>
  <c r="R165" i="18" s="1"/>
  <c r="M190" i="18"/>
  <c r="N190" i="18" s="1"/>
  <c r="R190" i="18" s="1"/>
  <c r="M72" i="18"/>
  <c r="N72" i="18" s="1"/>
  <c r="R72" i="18" s="1"/>
  <c r="M121" i="18"/>
  <c r="N121" i="18" s="1"/>
  <c r="R121" i="18" s="1"/>
  <c r="M125" i="18"/>
  <c r="N125" i="18" s="1"/>
  <c r="R125" i="18" s="1"/>
  <c r="M42" i="18"/>
  <c r="N42" i="18" s="1"/>
  <c r="R42" i="18" s="1"/>
  <c r="M31" i="18"/>
  <c r="N31" i="18" s="1"/>
  <c r="R31" i="18" s="1"/>
  <c r="M109" i="18"/>
  <c r="N109" i="18" s="1"/>
  <c r="R109" i="18" s="1"/>
  <c r="M162" i="18"/>
  <c r="N162" i="18" s="1"/>
  <c r="R162" i="18" s="1"/>
  <c r="M56" i="18"/>
  <c r="M153" i="18"/>
  <c r="N153" i="18" s="1"/>
  <c r="R153" i="18" s="1"/>
  <c r="M44" i="18"/>
  <c r="N44" i="18" s="1"/>
  <c r="R44" i="18" s="1"/>
  <c r="M70" i="18"/>
  <c r="N70" i="18" s="1"/>
  <c r="R70" i="18" s="1"/>
  <c r="M87" i="18"/>
  <c r="N87" i="18" s="1"/>
  <c r="R87" i="18" s="1"/>
  <c r="M159" i="18"/>
  <c r="N159" i="18" s="1"/>
  <c r="R159" i="18" s="1"/>
  <c r="M78" i="18"/>
  <c r="N78" i="18" s="1"/>
  <c r="R78" i="18" s="1"/>
  <c r="M126" i="18"/>
  <c r="N126" i="18" s="1"/>
  <c r="R126" i="18" s="1"/>
  <c r="M212" i="18" l="1"/>
  <c r="N20" i="18"/>
  <c r="M13" i="18"/>
  <c r="N56" i="18"/>
  <c r="R20" i="18" l="1"/>
  <c r="N14" i="18"/>
  <c r="R56" i="18"/>
  <c r="R13" i="18" s="1"/>
  <c r="N13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<sst xmlns="http://schemas.openxmlformats.org/spreadsheetml/2006/main" count="441" uniqueCount="104">
  <si>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</si>
  <si>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</si>
  <si>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</si>
  <si>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</si>
  <si>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</si>
  <si>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</si>
  <si>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</si>
  <si>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</si>
  <si>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</si>
  <si>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</si>
  <si>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</si>
  <si>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</si>
  <si>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</si>
  <si>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</si>
  <si>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</si>
  <si>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</si>
  <si>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</si>
  <si>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</si>
  <si>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</si>
  <si>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</si>
  <si>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</si>
  <si>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</si>
  <si>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</si>
  <si>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</si>
  <si>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</si>
  <si>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</si>
  <si>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</si>
  <si>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</si>
  <si>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</si>
  <si>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</si>
  <si>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</si>
  <si>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</si>
  <si>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</si>
  <si>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</si>
  <si>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</si>
  <si>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</si>
  <si>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</si>
  <si>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</si>
  <si>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</si>
  <si>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</si>
  <si>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</si>
  <si>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</si>
  <si>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</si>
  <si>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</si>
  <si>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</si>
  <si>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</si>
  <si>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</si>
  <si>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</si>
  <si>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</si>
  <si>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</si>
  <si>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</si>
  <si>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</si>
  <si>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</si>
  <si>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</si>
  <si>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</si>
  <si>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</si>
  <si>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</si>
  <si>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</si>
  <si>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</si>
  <si>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</si>
  <si>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</si>
  <si>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</si>
  <si>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</si>
  <si>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</si>
  <si>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</si>
  <si>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</si>
  <si>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</si>
  <si>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</si>
  <si>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</si>
  <si>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</si>
  <si>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</si>
  <si>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</si>
  <si>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</si>
  <si>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</si>
  <si>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</si>
  <si>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</si>
  <si>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</si>
  <si>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</si>
  <si>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</si>
  <si>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</si>
  <si>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</si>
  <si>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</si>
  <si>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</si>
  <si>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</si>
  <si>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</si>
  <si>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</si>
  <si>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</si>
  <si>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</si>
  <si>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</si>
  <si>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</si>
  <si>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</si>
  <si>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</si>
  <si>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</si>
  <si>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</si>
  <si>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</si>
  <si>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</si>
  <si>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t>Total</t>
  </si>
  <si>
    <t>2021 Load Share</t>
  </si>
  <si>
    <t>2021 NOLC Refund Amount with Interest (NITS)</t>
  </si>
  <si>
    <t>2023 True Up Including Interest</t>
  </si>
  <si>
    <r>
      <t>2024 True-Up
(</t>
    </r>
    <r>
      <rPr>
        <sz val="10"/>
        <rFont val="Arial"/>
        <family val="2"/>
      </rPr>
      <t>w/o Interest)</t>
    </r>
  </si>
  <si>
    <t>2024 Interest</t>
  </si>
  <si>
    <t>Total 2024
True-Up Surcharge / (Refund)</t>
  </si>
  <si>
    <t>20XX Formal Challenge Refund with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</si>
</sst>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  <numFmt numFmtId="169" formatCode="&quot;$&quot;#,##0.000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9" xfId="0" applyBorder="1" applyProtection="1"/>
    <xf numFmtId="0" fontId="9" fillId="3" borderId="20" xfId="0" quotePrefix="1" applyFont="1" applyFill="1" applyBorder="1" applyAlignment="1" applyProtection="1">
      <alignment horizontal="left" vertical="center" wrapText="1"/>
    </xf>
    <xf numFmtId="165" fontId="0" fillId="3" borderId="21" xfId="2" applyNumberFormat="1" applyFont="1" applyFill="1" applyBorder="1" applyAlignment="1" applyProtection="1">
      <alignment vertical="center"/>
    </xf>
    <xf numFmtId="165" fontId="0" fillId="3" borderId="22" xfId="2" applyNumberFormat="1" applyFont="1" applyFill="1" applyBorder="1" applyAlignment="1" applyProtection="1">
      <alignment vertical="center"/>
    </xf>
    <xf numFmtId="165" fontId="3" fillId="3" borderId="23" xfId="2" applyNumberFormat="1" applyFont="1" applyFill="1" applyBorder="1" applyAlignment="1" applyProtection="1">
      <alignment vertical="center"/>
    </xf>
    <xf numFmtId="0" fontId="0" fillId="0" borderId="25" xfId="0" quotePrefix="1" applyBorder="1" applyAlignment="1" applyProtection="1">
      <alignment horizontal="left"/>
    </xf>
    <xf numFmtId="0" fontId="0" fillId="0" borderId="18" xfId="0" applyBorder="1" applyProtection="1"/>
    <xf numFmtId="0" fontId="0" fillId="0" borderId="26" xfId="0" applyBorder="1" applyProtection="1"/>
    <xf numFmtId="0" fontId="9" fillId="0" borderId="20" xfId="0" quotePrefix="1" applyFont="1" applyFill="1" applyBorder="1" applyAlignment="1" applyProtection="1">
      <alignment horizontal="left" vertical="center" wrapText="1"/>
    </xf>
    <xf numFmtId="165" fontId="0" fillId="0" borderId="21" xfId="2" applyNumberFormat="1" applyFont="1" applyFill="1" applyBorder="1" applyAlignment="1" applyProtection="1">
      <alignment vertical="center"/>
    </xf>
    <xf numFmtId="165" fontId="0" fillId="0" borderId="22" xfId="2" applyNumberFormat="1" applyFont="1" applyFill="1" applyBorder="1" applyAlignment="1" applyProtection="1">
      <alignment vertical="center"/>
    </xf>
    <xf numFmtId="165" fontId="3" fillId="0" borderId="23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5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2" xfId="0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right"/>
    </xf>
    <xf numFmtId="167" fontId="0" fillId="0" borderId="22" xfId="0" applyNumberFormat="1" applyBorder="1" applyAlignment="1" applyProtection="1">
      <alignment horizontal="center"/>
    </xf>
    <xf numFmtId="167" fontId="0" fillId="4" borderId="24" xfId="0" applyNumberFormat="1" applyFill="1" applyBorder="1" applyAlignment="1" applyProtection="1">
      <alignment horizontal="center"/>
    </xf>
    <xf numFmtId="167" fontId="0" fillId="0" borderId="3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2" xfId="0" quotePrefix="1" applyFont="1" applyBorder="1" applyAlignment="1" applyProtection="1">
      <alignment horizontal="center"/>
    </xf>
    <xf numFmtId="164" fontId="4" fillId="0" borderId="21" xfId="0" quotePrefix="1" applyNumberFormat="1" applyFont="1" applyBorder="1" applyAlignment="1" applyProtection="1">
      <alignment horizontal="center" vertical="center" wrapText="1"/>
    </xf>
    <xf numFmtId="0" fontId="4" fillId="0" borderId="22" xfId="0" quotePrefix="1" applyFont="1" applyBorder="1" applyAlignment="1" applyProtection="1">
      <alignment horizontal="center" vertical="center" wrapText="1"/>
    </xf>
    <xf numFmtId="164" fontId="4" fillId="5" borderId="22" xfId="0" quotePrefix="1" applyNumberFormat="1" applyFont="1" applyFill="1" applyBorder="1" applyAlignment="1" applyProtection="1">
      <alignment horizontal="center" vertical="center" wrapText="1"/>
    </xf>
    <xf numFmtId="164" fontId="4" fillId="0" borderId="22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3" xfId="0" applyNumberFormat="1" applyBorder="1" applyAlignment="1" applyProtection="1">
      <alignment horizontal="center"/>
    </xf>
    <xf numFmtId="14" fontId="1" fillId="0" borderId="33" xfId="0" applyNumberFormat="1" applyFont="1" applyFill="1" applyBorder="1" applyProtection="1"/>
    <xf numFmtId="14" fontId="7" fillId="2" borderId="33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Protection="1"/>
    <xf numFmtId="0" fontId="0" fillId="0" borderId="33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7" fontId="7" fillId="6" borderId="24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169" fontId="6" fillId="0" borderId="0" xfId="0" applyNumberFormat="1" applyFont="1" applyBorder="1" applyProtection="1"/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2" xfId="0" quotePrefix="1" applyFont="1" applyFill="1" applyBorder="1" applyAlignment="1" applyProtection="1">
      <alignment horizontal="center" vertical="center"/>
    </xf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2" xfId="0" quotePrefix="1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9" fillId="0" borderId="0" xfId="0" quotePrefix="1" applyFont="1" applyBorder="1" applyAlignment="1" applyProtection="1">
      <alignment horizontal="center" vertical="center" wrapText="1"/>
    </xf>
    <xf numFmtId="168" fontId="0" fillId="0" borderId="0" xfId="4" quotePrefix="1" applyNumberFormat="1" applyFont="1" applyBorder="1" applyAlignment="1" applyProtection="1">
      <alignment horizontal="left"/>
    </xf>
    <xf numFmtId="168" fontId="9" fillId="3" borderId="0" xfId="4" quotePrefix="1" applyNumberFormat="1" applyFont="1" applyFill="1" applyBorder="1" applyAlignment="1" applyProtection="1">
      <alignment horizontal="left" vertical="center" wrapText="1"/>
    </xf>
    <xf numFmtId="168" fontId="0" fillId="0" borderId="0" xfId="4" applyNumberFormat="1" applyFont="1" applyBorder="1" applyAlignment="1" applyProtection="1">
      <alignment horizontal="left"/>
    </xf>
    <xf numFmtId="37" fontId="9" fillId="3" borderId="0" xfId="4" quotePrefix="1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9" fillId="3" borderId="22" xfId="0" quotePrefix="1" applyFont="1" applyFill="1" applyBorder="1" applyAlignment="1" applyProtection="1">
      <alignment horizontal="left" vertical="center" wrapText="1"/>
    </xf>
    <xf numFmtId="0" fontId="0" fillId="0" borderId="34" xfId="0" applyBorder="1" applyProtection="1"/>
    <xf numFmtId="0" fontId="0" fillId="0" borderId="35" xfId="0" quotePrefix="1" applyBorder="1" applyAlignment="1" applyProtection="1">
      <alignment horizontal="left"/>
    </xf>
    <xf numFmtId="0" fontId="0" fillId="0" borderId="35" xfId="0" applyBorder="1" applyProtection="1"/>
    <xf numFmtId="0" fontId="0" fillId="0" borderId="36" xfId="0" applyBorder="1" applyProtection="1"/>
    <xf numFmtId="0" fontId="9" fillId="3" borderId="37" xfId="0" quotePrefix="1" applyFont="1" applyFill="1" applyBorder="1" applyAlignment="1" applyProtection="1">
      <alignment horizontal="left" vertical="center" wrapText="1"/>
    </xf>
    <xf numFmtId="0" fontId="0" fillId="0" borderId="38" xfId="0" quotePrefix="1" applyBorder="1" applyAlignment="1" applyProtection="1">
      <alignment horizontal="left"/>
    </xf>
    <xf numFmtId="0" fontId="9" fillId="0" borderId="39" xfId="0" quotePrefix="1" applyFont="1" applyBorder="1" applyAlignment="1" applyProtection="1">
      <alignment horizontal="center" vertical="center" wrapText="1"/>
    </xf>
    <xf numFmtId="37" fontId="0" fillId="0" borderId="0" xfId="0" applyNumberFormat="1"/>
    <xf numFmtId="37" fontId="0" fillId="0" borderId="0" xfId="1" applyNumberFormat="1" applyFont="1"/>
    <xf numFmtId="37" fontId="9" fillId="3" borderId="22" xfId="0" quotePrefix="1" applyNumberFormat="1" applyFont="1" applyFill="1" applyBorder="1" applyAlignment="1" applyProtection="1">
      <alignment vertical="center" wrapText="1"/>
    </xf>
    <xf numFmtId="0" fontId="1" fillId="0" borderId="0" xfId="5"/>
    <xf numFmtId="0" fontId="0" fillId="0" borderId="0" xfId="0" applyAlignment="1">
      <alignment horizontal="center" wrapText="1"/>
    </xf>
    <xf numFmtId="0" fontId="0" fillId="0" borderId="40" xfId="0" applyBorder="1" applyProtection="1"/>
    <xf numFmtId="0" fontId="0" fillId="0" borderId="41" xfId="0" applyBorder="1" applyProtection="1"/>
    <xf numFmtId="0" fontId="0" fillId="0" borderId="40" xfId="0" pivotButton="1" applyBorder="1" applyProtection="1"/>
    <xf numFmtId="0" fontId="0" fillId="0" borderId="42" xfId="0" applyBorder="1" applyProtection="1"/>
    <xf numFmtId="17" fontId="0" fillId="0" borderId="40" xfId="0" applyNumberFormat="1" applyBorder="1" applyProtection="1"/>
    <xf numFmtId="17" fontId="0" fillId="0" borderId="43" xfId="0" applyNumberFormat="1" applyBorder="1" applyProtection="1"/>
    <xf numFmtId="17" fontId="0" fillId="0" borderId="44" xfId="0" applyNumberFormat="1" applyBorder="1" applyProtection="1"/>
    <xf numFmtId="166" fontId="0" fillId="0" borderId="40" xfId="0" applyNumberFormat="1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0" fillId="0" borderId="48" xfId="0" applyBorder="1" applyProtection="1"/>
    <xf numFmtId="0" fontId="0" fillId="0" borderId="49" xfId="0" applyBorder="1" applyProtection="1"/>
    <xf numFmtId="166" fontId="0" fillId="0" borderId="48" xfId="0" applyNumberFormat="1" applyBorder="1" applyProtection="1"/>
    <xf numFmtId="166" fontId="0" fillId="0" borderId="50" xfId="0" applyNumberFormat="1" applyBorder="1" applyProtection="1"/>
    <xf numFmtId="166" fontId="0" fillId="0" borderId="51" xfId="0" applyNumberFormat="1" applyBorder="1" applyProtection="1"/>
    <xf numFmtId="166" fontId="25" fillId="0" borderId="46" xfId="0" applyNumberFormat="1" applyFont="1" applyBorder="1" applyProtection="1"/>
    <xf numFmtId="166" fontId="25" fillId="0" borderId="0" xfId="0" applyNumberFormat="1" applyFont="1" applyProtection="1"/>
    <xf numFmtId="166" fontId="25" fillId="0" borderId="47" xfId="0" applyNumberFormat="1" applyFont="1" applyBorder="1" applyProtection="1"/>
    <xf numFmtId="166" fontId="25" fillId="0" borderId="40" xfId="0" applyNumberFormat="1" applyFont="1" applyBorder="1" applyProtection="1"/>
    <xf numFmtId="166" fontId="25" fillId="0" borderId="43" xfId="0" applyNumberFormat="1" applyFont="1" applyBorder="1" applyProtection="1"/>
    <xf numFmtId="166" fontId="25" fillId="0" borderId="44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5" xr:uid="{86673473-3D99-4C2A-A68A-2C876F2414C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470677083336" createdVersion="6" refreshedVersion="8" recordCount="192" xr:uid="{00000000-000A-0000-FFFF-FFFFEA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minValue="3093.08" maxValue="3093.08"/>
    </cacheField>
    <cacheField name="Actual True-Up Rate" numFmtId="0">
      <sharedItems containsSemiMixedTypes="0" containsString="0" containsNumber="1" minValue="3020.76" maxValue="3020.76"/>
    </cacheField>
    <cacheField name="True-Up Charge" numFmtId="164">
      <sharedItems containsSemiMixedTypes="0" containsString="0" containsNumber="1" minValue="3020.76" maxValue="12539174.760000002"/>
    </cacheField>
    <cacheField name="Invoiced*** Charge (proj.)" numFmtId="164">
      <sharedItems containsSemiMixedTypes="0" containsString="0" containsNumber="1" minValue="3093.08" maxValue="12839375.08"/>
    </cacheField>
    <cacheField name="True-Up w/o Interest" numFmtId="164">
      <sharedItems containsSemiMixedTypes="0" containsString="0" containsNumber="1" minValue="-300200.31999999844" maxValue="-72.319999999999709"/>
    </cacheField>
    <cacheField name="Interest" numFmtId="164">
      <sharedItems containsSemiMixedTypes="0" containsString="0" containsNumber="1" minValue="-24120.188534852259" maxValue="-5.8106934557581926"/>
    </cacheField>
    <cacheField name="2023 True Up Including Interest" numFmtId="164">
      <sharedItems containsSemiMixedTypes="0" containsString="0" containsNumber="1" minValue="-324320.50853485067" maxValue="-78.130693455757907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324320.50853485067" maxValue="-78.1306934557579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3093.08"/>
    <n v="3020.76"/>
    <n v="9823511.5200000014"/>
    <n v="10058696.16"/>
    <n v="-235184.63999999873"/>
    <n v="-18896.375118125641"/>
    <n v="-254081.01511812437"/>
    <n v="0"/>
    <n v="0"/>
    <n v="0"/>
    <n v="-254081.01511812437"/>
  </r>
  <r>
    <x v="1"/>
    <d v="2024-03-05T00:00:00"/>
    <d v="2024-03-25T00:00:00"/>
    <x v="0"/>
    <n v="9"/>
    <n v="2338"/>
    <n v="3093.08"/>
    <n v="3020.76"/>
    <n v="7062536.8800000008"/>
    <n v="7231621.04"/>
    <n v="-169084.15999999922"/>
    <n v="-13585.401299562654"/>
    <n v="-182669.56129956187"/>
    <n v="0"/>
    <n v="0"/>
    <n v="0"/>
    <n v="-182669.56129956187"/>
  </r>
  <r>
    <x v="2"/>
    <d v="2024-04-03T00:00:00"/>
    <d v="2024-04-24T00:00:00"/>
    <x v="0"/>
    <n v="9"/>
    <n v="2216"/>
    <n v="3093.08"/>
    <n v="3020.76"/>
    <n v="6694004.1600000001"/>
    <n v="6854265.2800000003"/>
    <n v="-160261.12000000011"/>
    <n v="-12876.496697960154"/>
    <n v="-173137.61669796027"/>
    <n v="0"/>
    <n v="0"/>
    <n v="0"/>
    <n v="-173137.61669796027"/>
  </r>
  <r>
    <x v="3"/>
    <d v="2024-05-03T00:00:00"/>
    <d v="2024-05-24T00:00:00"/>
    <x v="0"/>
    <n v="9"/>
    <n v="2777"/>
    <n v="3093.08"/>
    <n v="3020.76"/>
    <n v="8388650.5200000014"/>
    <n v="8589483.1600000001"/>
    <n v="-200832.63999999873"/>
    <n v="-16136.295726640501"/>
    <n v="-216968.93572663923"/>
    <n v="0"/>
    <n v="0"/>
    <n v="0"/>
    <n v="-216968.93572663923"/>
  </r>
  <r>
    <x v="4"/>
    <d v="2024-06-05T00:00:00"/>
    <d v="2024-06-24T00:00:00"/>
    <x v="0"/>
    <n v="9"/>
    <n v="3245"/>
    <n v="3093.08"/>
    <n v="3020.76"/>
    <n v="9802366.2000000011"/>
    <n v="10037044.6"/>
    <n v="-234678.39999999851"/>
    <n v="-18855.700263935334"/>
    <n v="-253534.10026393385"/>
    <n v="0"/>
    <n v="0"/>
    <n v="0"/>
    <n v="-253534.10026393385"/>
  </r>
  <r>
    <x v="5"/>
    <d v="2024-07-03T00:00:00"/>
    <d v="2024-07-24T00:00:00"/>
    <x v="0"/>
    <n v="9"/>
    <n v="4080"/>
    <n v="3093.08"/>
    <n v="3020.76"/>
    <n v="12324700.800000001"/>
    <n v="12619766.4"/>
    <n v="-295065.59999999963"/>
    <n v="-23707.629299493427"/>
    <n v="-318773.22929949308"/>
    <n v="0"/>
    <n v="0"/>
    <n v="0"/>
    <n v="-318773.22929949308"/>
  </r>
  <r>
    <x v="6"/>
    <d v="2024-08-05T00:00:00"/>
    <d v="2024-08-26T00:00:00"/>
    <x v="0"/>
    <n v="9"/>
    <n v="4149"/>
    <n v="3093.08"/>
    <n v="3020.76"/>
    <n v="12533133.24"/>
    <n v="12833188.92"/>
    <n v="-300055.6799999997"/>
    <n v="-24108.567147940739"/>
    <n v="-324164.24714794045"/>
    <n v="0"/>
    <n v="0"/>
    <n v="0"/>
    <n v="-324164.24714794045"/>
  </r>
  <r>
    <x v="7"/>
    <d v="2024-09-04T00:00:00"/>
    <d v="2024-09-24T00:00:00"/>
    <x v="0"/>
    <n v="9"/>
    <n v="4151"/>
    <n v="3093.08"/>
    <n v="3020.76"/>
    <n v="12539174.760000002"/>
    <n v="12839375.08"/>
    <n v="-300200.31999999844"/>
    <n v="-24120.188534852259"/>
    <n v="-324320.50853485067"/>
    <n v="0"/>
    <n v="0"/>
    <n v="0"/>
    <n v="-324320.50853485067"/>
  </r>
  <r>
    <x v="8"/>
    <d v="2024-10-03T00:00:00"/>
    <d v="2024-10-24T00:00:00"/>
    <x v="0"/>
    <n v="9"/>
    <n v="3859"/>
    <n v="3093.08"/>
    <n v="3020.76"/>
    <n v="11657112.840000002"/>
    <n v="11936195.719999999"/>
    <n v="-279082.87999999709"/>
    <n v="-22423.466045770867"/>
    <n v="-301506.34604576795"/>
    <n v="0"/>
    <n v="0"/>
    <n v="0"/>
    <n v="-301506.34604576795"/>
  </r>
  <r>
    <x v="9"/>
    <d v="2024-11-05T00:00:00"/>
    <d v="2024-11-25T00:00:00"/>
    <x v="0"/>
    <n v="9"/>
    <n v="3429"/>
    <n v="3093.08"/>
    <n v="3020.76"/>
    <n v="10358186.040000001"/>
    <n v="10606171.32"/>
    <n v="-247985.27999999933"/>
    <n v="-19924.867859794846"/>
    <n v="-267910.1478597942"/>
    <n v="0"/>
    <n v="0"/>
    <n v="0"/>
    <n v="-267910.1478597942"/>
  </r>
  <r>
    <x v="10"/>
    <d v="2024-12-04T00:00:00"/>
    <d v="2024-12-24T00:00:00"/>
    <x v="0"/>
    <n v="9"/>
    <n v="2220"/>
    <n v="3093.08"/>
    <n v="3020.76"/>
    <n v="6706087.2000000002"/>
    <n v="6866637.5999999996"/>
    <n v="-160550.39999999944"/>
    <n v="-12899.739471783187"/>
    <n v="-173450.13947178263"/>
    <n v="0"/>
    <n v="0"/>
    <n v="0"/>
    <n v="-173450.13947178263"/>
  </r>
  <r>
    <x v="11"/>
    <d v="2025-01-03T00:00:00"/>
    <d v="2025-01-24T00:00:00"/>
    <x v="0"/>
    <n v="9"/>
    <n v="2569"/>
    <n v="3093.08"/>
    <n v="3020.76"/>
    <n v="7760332.4400000004"/>
    <n v="7946122.5199999996"/>
    <n v="-185790.07999999914"/>
    <n v="-14927.671487842796"/>
    <n v="-200717.75148784195"/>
    <n v="0"/>
    <n v="0"/>
    <n v="0"/>
    <n v="-200717.75148784195"/>
  </r>
  <r>
    <x v="0"/>
    <d v="2024-02-05T00:00:00"/>
    <d v="2024-02-26T00:00:00"/>
    <x v="1"/>
    <n v="9"/>
    <n v="3306"/>
    <n v="3093.08"/>
    <n v="3020.76"/>
    <n v="9986632.5600000005"/>
    <n v="10225722.48"/>
    <n v="-239089.91999999993"/>
    <n v="-19210.152564736585"/>
    <n v="-258300.0725647365"/>
    <n v="0"/>
    <n v="0"/>
    <n v="0"/>
    <n v="-258300.0725647365"/>
  </r>
  <r>
    <x v="1"/>
    <d v="2024-03-05T00:00:00"/>
    <d v="2024-03-25T00:00:00"/>
    <x v="1"/>
    <n v="9"/>
    <n v="2611"/>
    <n v="3093.08"/>
    <n v="3020.76"/>
    <n v="7887204.3600000003"/>
    <n v="8076031.8799999999"/>
    <n v="-188827.51999999955"/>
    <n v="-15171.72061298464"/>
    <n v="-203999.2406129842"/>
    <n v="0"/>
    <n v="0"/>
    <n v="0"/>
    <n v="-203999.2406129842"/>
  </r>
  <r>
    <x v="2"/>
    <d v="2024-04-03T00:00:00"/>
    <d v="2024-04-24T00:00:00"/>
    <x v="1"/>
    <n v="9"/>
    <n v="2302"/>
    <n v="3093.08"/>
    <n v="3020.76"/>
    <n v="6953789.5200000005"/>
    <n v="7120270.1600000001"/>
    <n v="-166480.63999999966"/>
    <n v="-13376.216335155359"/>
    <n v="-179856.85633515503"/>
    <n v="0"/>
    <n v="0"/>
    <n v="0"/>
    <n v="-179856.85633515503"/>
  </r>
  <r>
    <x v="3"/>
    <d v="2024-05-03T00:00:00"/>
    <d v="2024-05-24T00:00:00"/>
    <x v="1"/>
    <n v="9"/>
    <n v="2486"/>
    <n v="3093.08"/>
    <n v="3020.76"/>
    <n v="7509609.3600000003"/>
    <n v="7689396.8799999999"/>
    <n v="-179787.51999999955"/>
    <n v="-14445.383931014867"/>
    <n v="-194232.90393101441"/>
    <n v="0"/>
    <n v="0"/>
    <n v="0"/>
    <n v="-194232.90393101441"/>
  </r>
  <r>
    <x v="4"/>
    <d v="2024-06-05T00:00:00"/>
    <d v="2024-06-24T00:00:00"/>
    <x v="1"/>
    <n v="9"/>
    <n v="2970"/>
    <n v="3093.08"/>
    <n v="3020.76"/>
    <n v="8971657.2000000011"/>
    <n v="9186447.5999999996"/>
    <n v="-214790.39999999851"/>
    <n v="-17257.759563601834"/>
    <n v="-232048.15956360035"/>
    <n v="0"/>
    <n v="0"/>
    <n v="0"/>
    <n v="-232048.15956360035"/>
  </r>
  <r>
    <x v="5"/>
    <d v="2024-07-03T00:00:00"/>
    <d v="2024-07-24T00:00:00"/>
    <x v="1"/>
    <n v="9"/>
    <n v="3483"/>
    <n v="3093.08"/>
    <n v="3020.76"/>
    <n v="10521307.08"/>
    <n v="10773197.640000001"/>
    <n v="-251890.56000000052"/>
    <n v="-20238.645306405782"/>
    <n v="-272129.20530640631"/>
    <n v="0"/>
    <n v="0"/>
    <n v="0"/>
    <n v="-272129.20530640631"/>
  </r>
  <r>
    <x v="6"/>
    <d v="2024-08-05T00:00:00"/>
    <d v="2024-08-26T00:00:00"/>
    <x v="1"/>
    <n v="9"/>
    <n v="3510"/>
    <n v="3093.08"/>
    <n v="3020.76"/>
    <n v="10602867.600000001"/>
    <n v="10856710.799999999"/>
    <n v="-253843.19999999739"/>
    <n v="-20395.534029711256"/>
    <n v="-274238.73402970866"/>
    <n v="0"/>
    <n v="0"/>
    <n v="0"/>
    <n v="-274238.73402970866"/>
  </r>
  <r>
    <x v="7"/>
    <d v="2024-09-04T00:00:00"/>
    <d v="2024-09-24T00:00:00"/>
    <x v="1"/>
    <n v="9"/>
    <n v="3574"/>
    <n v="3093.08"/>
    <n v="3020.76"/>
    <n v="10796196.24"/>
    <n v="11054667.92"/>
    <n v="-258471.6799999997"/>
    <n v="-20767.418410879782"/>
    <n v="-279239.09841087949"/>
    <n v="0"/>
    <n v="0"/>
    <n v="0"/>
    <n v="-279239.09841087949"/>
  </r>
  <r>
    <x v="8"/>
    <d v="2024-10-03T00:00:00"/>
    <d v="2024-10-24T00:00:00"/>
    <x v="1"/>
    <n v="9"/>
    <n v="3188"/>
    <n v="3093.08"/>
    <n v="3020.76"/>
    <n v="9630182.8800000008"/>
    <n v="9860739.0399999991"/>
    <n v="-230556.15999999829"/>
    <n v="-18524.490736957116"/>
    <n v="-249080.6507369554"/>
    <n v="0"/>
    <n v="0"/>
    <n v="0"/>
    <n v="-249080.6507369554"/>
  </r>
  <r>
    <x v="9"/>
    <d v="2024-11-05T00:00:00"/>
    <d v="2024-11-25T00:00:00"/>
    <x v="1"/>
    <n v="9"/>
    <n v="2793"/>
    <n v="3093.08"/>
    <n v="3020.76"/>
    <n v="8436982.6799999997"/>
    <n v="8638972.4399999995"/>
    <n v="-201989.75999999978"/>
    <n v="-16229.266821932633"/>
    <n v="-218219.02682193241"/>
    <n v="0"/>
    <n v="0"/>
    <n v="0"/>
    <n v="-218219.02682193241"/>
  </r>
  <r>
    <x v="10"/>
    <d v="2024-12-04T00:00:00"/>
    <d v="2024-12-24T00:00:00"/>
    <x v="1"/>
    <n v="9"/>
    <n v="2339"/>
    <n v="3093.08"/>
    <n v="3020.76"/>
    <n v="7065557.6400000006"/>
    <n v="7234714.1200000001"/>
    <n v="-169156.47999999952"/>
    <n v="-13591.211993018413"/>
    <n v="-182747.69199301791"/>
    <n v="0"/>
    <n v="0"/>
    <n v="0"/>
    <n v="-182747.69199301791"/>
  </r>
  <r>
    <x v="11"/>
    <d v="2025-01-03T00:00:00"/>
    <d v="2025-01-24T00:00:00"/>
    <x v="1"/>
    <n v="9"/>
    <n v="2520"/>
    <n v="3093.08"/>
    <n v="3020.76"/>
    <n v="7612315.2000000002"/>
    <n v="7794561.5999999996"/>
    <n v="-182246.39999999944"/>
    <n v="-14642.947508510646"/>
    <n v="-196889.34750851008"/>
    <n v="0"/>
    <n v="0"/>
    <n v="0"/>
    <n v="-196889.34750851008"/>
  </r>
  <r>
    <x v="0"/>
    <d v="2024-02-05T00:00:00"/>
    <d v="2024-02-26T00:00:00"/>
    <x v="2"/>
    <n v="9"/>
    <n v="216"/>
    <n v="3093.08"/>
    <n v="3020.76"/>
    <n v="652484.16"/>
    <n v="668105.28"/>
    <n v="-15621.119999999995"/>
    <n v="-1255.1097864437697"/>
    <n v="-16876.229786443764"/>
    <n v="0"/>
    <n v="0"/>
    <n v="0"/>
    <n v="-16876.229786443764"/>
  </r>
  <r>
    <x v="1"/>
    <d v="2024-03-05T00:00:00"/>
    <d v="2024-03-25T00:00:00"/>
    <x v="2"/>
    <n v="9"/>
    <n v="146"/>
    <n v="3093.08"/>
    <n v="3020.76"/>
    <n v="441030.96"/>
    <n v="451589.68"/>
    <n v="-10558.719999999972"/>
    <n v="-848.36124454069602"/>
    <n v="-11407.081244540668"/>
    <n v="0"/>
    <n v="0"/>
    <n v="0"/>
    <n v="-11407.081244540668"/>
  </r>
  <r>
    <x v="2"/>
    <d v="2024-04-03T00:00:00"/>
    <d v="2024-04-24T00:00:00"/>
    <x v="2"/>
    <n v="9"/>
    <n v="113"/>
    <n v="3093.08"/>
    <n v="3020.76"/>
    <n v="341345.88"/>
    <n v="349518.04"/>
    <n v="-8172.1599999999744"/>
    <n v="-656.60836050067576"/>
    <n v="-8828.7683605006496"/>
    <n v="0"/>
    <n v="0"/>
    <n v="0"/>
    <n v="-8828.7683605006496"/>
  </r>
  <r>
    <x v="3"/>
    <d v="2024-05-03T00:00:00"/>
    <d v="2024-05-24T00:00:00"/>
    <x v="2"/>
    <n v="9"/>
    <n v="76"/>
    <n v="3093.08"/>
    <n v="3020.76"/>
    <n v="229577.76"/>
    <n v="235074.08"/>
    <n v="-5496.3199999999779"/>
    <n v="-441.61270263762265"/>
    <n v="-5937.9327026376004"/>
    <n v="0"/>
    <n v="0"/>
    <n v="0"/>
    <n v="-5937.9327026376004"/>
  </r>
  <r>
    <x v="4"/>
    <d v="2024-06-05T00:00:00"/>
    <d v="2024-06-24T00:00:00"/>
    <x v="2"/>
    <n v="9"/>
    <n v="120"/>
    <n v="3093.08"/>
    <n v="3020.76"/>
    <n v="362491.2"/>
    <n v="371169.6"/>
    <n v="-8678.3999999999651"/>
    <n v="-697.28321469098307"/>
    <n v="-9375.6832146909474"/>
    <n v="0"/>
    <n v="0"/>
    <n v="0"/>
    <n v="-9375.6832146909474"/>
  </r>
  <r>
    <x v="5"/>
    <d v="2024-07-03T00:00:00"/>
    <d v="2024-07-24T00:00:00"/>
    <x v="2"/>
    <n v="9"/>
    <n v="147"/>
    <n v="3093.08"/>
    <n v="3020.76"/>
    <n v="444051.72000000003"/>
    <n v="454682.76"/>
    <n v="-10631.039999999979"/>
    <n v="-854.17193799645429"/>
    <n v="-11485.211937996433"/>
    <n v="0"/>
    <n v="0"/>
    <n v="0"/>
    <n v="-11485.211937996433"/>
  </r>
  <r>
    <x v="6"/>
    <d v="2024-08-05T00:00:00"/>
    <d v="2024-08-26T00:00:00"/>
    <x v="2"/>
    <n v="9"/>
    <n v="155"/>
    <n v="3093.08"/>
    <n v="3020.76"/>
    <n v="468217.80000000005"/>
    <n v="479427.39999999997"/>
    <n v="-11209.599999999919"/>
    <n v="-900.65748564251987"/>
    <n v="-12110.257485642438"/>
    <n v="0"/>
    <n v="0"/>
    <n v="0"/>
    <n v="-12110.257485642438"/>
  </r>
  <r>
    <x v="7"/>
    <d v="2024-09-04T00:00:00"/>
    <d v="2024-09-24T00:00:00"/>
    <x v="2"/>
    <n v="9"/>
    <n v="157"/>
    <n v="3093.08"/>
    <n v="3020.76"/>
    <n v="474259.32"/>
    <n v="485613.56"/>
    <n v="-11354.239999999991"/>
    <n v="-912.27887255403618"/>
    <n v="-12266.518872554027"/>
    <n v="0"/>
    <n v="0"/>
    <n v="0"/>
    <n v="-12266.518872554027"/>
  </r>
  <r>
    <x v="8"/>
    <d v="2024-10-03T00:00:00"/>
    <d v="2024-10-24T00:00:00"/>
    <x v="2"/>
    <n v="9"/>
    <n v="126"/>
    <n v="3093.08"/>
    <n v="3020.76"/>
    <n v="380615.76"/>
    <n v="389728.08"/>
    <n v="-9112.320000000007"/>
    <n v="-732.14737542553223"/>
    <n v="-9844.46737542554"/>
    <n v="0"/>
    <n v="0"/>
    <n v="0"/>
    <n v="-9844.46737542554"/>
  </r>
  <r>
    <x v="9"/>
    <d v="2024-11-05T00:00:00"/>
    <d v="2024-11-25T00:00:00"/>
    <x v="2"/>
    <n v="9"/>
    <n v="112"/>
    <n v="3093.08"/>
    <n v="3020.76"/>
    <n v="338325.12"/>
    <n v="346424.95999999996"/>
    <n v="-8099.8399999999674"/>
    <n v="-650.7976670449176"/>
    <n v="-8750.6376670448844"/>
    <n v="0"/>
    <n v="0"/>
    <n v="0"/>
    <n v="-8750.6376670448844"/>
  </r>
  <r>
    <x v="10"/>
    <d v="2024-12-04T00:00:00"/>
    <d v="2024-12-24T00:00:00"/>
    <x v="2"/>
    <n v="9"/>
    <n v="93"/>
    <n v="3093.08"/>
    <n v="3020.76"/>
    <n v="280930.68"/>
    <n v="287656.44"/>
    <n v="-6725.7600000000093"/>
    <n v="-540.39449138551186"/>
    <n v="-7266.1544913855214"/>
    <n v="0"/>
    <n v="0"/>
    <n v="0"/>
    <n v="-7266.1544913855214"/>
  </r>
  <r>
    <x v="11"/>
    <d v="2025-01-03T00:00:00"/>
    <d v="2025-01-24T00:00:00"/>
    <x v="2"/>
    <n v="9"/>
    <n v="128"/>
    <n v="3093.08"/>
    <n v="3020.76"/>
    <n v="386657.28000000003"/>
    <n v="395914.23999999999"/>
    <n v="-9256.9599999999627"/>
    <n v="-743.76876233704866"/>
    <n v="-10000.728762337012"/>
    <n v="0"/>
    <n v="0"/>
    <n v="0"/>
    <n v="-10000.728762337012"/>
  </r>
  <r>
    <x v="0"/>
    <d v="2024-02-05T00:00:00"/>
    <d v="2024-02-26T00:00:00"/>
    <x v="3"/>
    <n v="9"/>
    <n v="1129"/>
    <n v="3093.08"/>
    <n v="3020.76"/>
    <n v="3410438.04"/>
    <n v="3492087.32"/>
    <n v="-81649.279999999795"/>
    <n v="-6560.2729115509992"/>
    <n v="-88209.552911550796"/>
    <n v="0"/>
    <n v="0"/>
    <n v="0"/>
    <n v="-88209.552911550796"/>
  </r>
  <r>
    <x v="1"/>
    <d v="2024-03-05T00:00:00"/>
    <d v="2024-03-25T00:00:00"/>
    <x v="3"/>
    <n v="9"/>
    <n v="739"/>
    <n v="3093.08"/>
    <n v="3020.76"/>
    <n v="2232341.64"/>
    <n v="2285786.12"/>
    <n v="-53444.479999999981"/>
    <n v="-4294.1024638053041"/>
    <n v="-57738.582463805287"/>
    <n v="0"/>
    <n v="0"/>
    <n v="0"/>
    <n v="-57738.582463805287"/>
  </r>
  <r>
    <x v="2"/>
    <d v="2024-04-03T00:00:00"/>
    <d v="2024-04-24T00:00:00"/>
    <x v="3"/>
    <n v="9"/>
    <n v="642"/>
    <n v="3093.08"/>
    <n v="3020.76"/>
    <n v="1939327.9200000002"/>
    <n v="1985757.3599999999"/>
    <n v="-46429.439999999711"/>
    <n v="-3730.4651985967594"/>
    <n v="-50159.905198596469"/>
    <n v="0"/>
    <n v="0"/>
    <n v="0"/>
    <n v="-50159.905198596469"/>
  </r>
  <r>
    <x v="3"/>
    <d v="2024-05-03T00:00:00"/>
    <d v="2024-05-24T00:00:00"/>
    <x v="3"/>
    <n v="9"/>
    <n v="581"/>
    <n v="3093.08"/>
    <n v="3020.76"/>
    <n v="1755061.56"/>
    <n v="1797079.48"/>
    <n v="-42017.919999999925"/>
    <n v="-3376.0128977955101"/>
    <n v="-45393.932897795436"/>
    <n v="0"/>
    <n v="0"/>
    <n v="0"/>
    <n v="-45393.932897795436"/>
  </r>
  <r>
    <x v="4"/>
    <d v="2024-06-05T00:00:00"/>
    <d v="2024-06-24T00:00:00"/>
    <x v="3"/>
    <n v="9"/>
    <n v="753"/>
    <n v="3093.08"/>
    <n v="3020.76"/>
    <n v="2274632.2800000003"/>
    <n v="2329089.2399999998"/>
    <n v="-54456.959999999497"/>
    <n v="-4375.4521721859192"/>
    <n v="-58832.412172185417"/>
    <n v="0"/>
    <n v="0"/>
    <n v="0"/>
    <n v="-58832.412172185417"/>
  </r>
  <r>
    <x v="5"/>
    <d v="2024-07-03T00:00:00"/>
    <d v="2024-07-24T00:00:00"/>
    <x v="3"/>
    <n v="9"/>
    <n v="1001"/>
    <n v="3093.08"/>
    <n v="3020.76"/>
    <n v="3023780.7600000002"/>
    <n v="3096173.08"/>
    <n v="-72392.319999999832"/>
    <n v="-5816.5041492139508"/>
    <n v="-78208.824149213789"/>
    <n v="0"/>
    <n v="0"/>
    <n v="0"/>
    <n v="-78208.824149213789"/>
  </r>
  <r>
    <x v="6"/>
    <d v="2024-08-05T00:00:00"/>
    <d v="2024-08-26T00:00:00"/>
    <x v="3"/>
    <n v="9"/>
    <n v="961"/>
    <n v="3093.08"/>
    <n v="3020.76"/>
    <n v="2902950.3600000003"/>
    <n v="2972449.88"/>
    <n v="-69499.519999999553"/>
    <n v="-5584.0764109836227"/>
    <n v="-75083.596410983169"/>
    <n v="0"/>
    <n v="0"/>
    <n v="0"/>
    <n v="-75083.596410983169"/>
  </r>
  <r>
    <x v="7"/>
    <d v="2024-09-04T00:00:00"/>
    <d v="2024-09-24T00:00:00"/>
    <x v="3"/>
    <n v="9"/>
    <n v="1017"/>
    <n v="3093.08"/>
    <n v="3020.76"/>
    <n v="3072112.9200000004"/>
    <n v="3145662.36"/>
    <n v="-73549.439999999478"/>
    <n v="-5909.4752445060822"/>
    <n v="-79458.915244505566"/>
    <n v="0"/>
    <n v="0"/>
    <n v="0"/>
    <n v="-79458.915244505566"/>
  </r>
  <r>
    <x v="8"/>
    <d v="2024-10-03T00:00:00"/>
    <d v="2024-10-24T00:00:00"/>
    <x v="3"/>
    <n v="9"/>
    <n v="856"/>
    <n v="3093.08"/>
    <n v="3020.76"/>
    <n v="2585770.56"/>
    <n v="2647676.48"/>
    <n v="-61905.919999999925"/>
    <n v="-4973.9535981290128"/>
    <n v="-66879.873598128936"/>
    <n v="0"/>
    <n v="0"/>
    <n v="0"/>
    <n v="-66879.873598128936"/>
  </r>
  <r>
    <x v="9"/>
    <d v="2024-11-05T00:00:00"/>
    <d v="2024-11-25T00:00:00"/>
    <x v="3"/>
    <n v="9"/>
    <n v="786"/>
    <n v="3093.08"/>
    <n v="3020.76"/>
    <n v="2374317.3600000003"/>
    <n v="2431160.88"/>
    <n v="-56843.519999999553"/>
    <n v="-4567.2050562259392"/>
    <n v="-61410.725056225492"/>
    <n v="0"/>
    <n v="0"/>
    <n v="0"/>
    <n v="-61410.725056225492"/>
  </r>
  <r>
    <x v="10"/>
    <d v="2024-12-04T00:00:00"/>
    <d v="2024-12-24T00:00:00"/>
    <x v="3"/>
    <n v="9"/>
    <n v="463"/>
    <n v="3093.08"/>
    <n v="3020.76"/>
    <n v="1398611.8800000001"/>
    <n v="1432096.04"/>
    <n v="-33484.159999999916"/>
    <n v="-2690.3510700160432"/>
    <n v="-36174.511070015957"/>
    <n v="0"/>
    <n v="0"/>
    <n v="0"/>
    <n v="-36174.511070015957"/>
  </r>
  <r>
    <x v="11"/>
    <d v="2025-01-03T00:00:00"/>
    <d v="2025-01-24T00:00:00"/>
    <x v="3"/>
    <n v="9"/>
    <n v="725"/>
    <n v="3093.08"/>
    <n v="3020.76"/>
    <n v="2190051"/>
    <n v="2242483"/>
    <n v="-52432"/>
    <n v="-4212.7527554246899"/>
    <n v="-56644.752755424692"/>
    <n v="0"/>
    <n v="0"/>
    <n v="0"/>
    <n v="-56644.752755424692"/>
  </r>
  <r>
    <x v="0"/>
    <d v="2024-02-05T00:00:00"/>
    <d v="2024-02-26T00:00:00"/>
    <x v="4"/>
    <n v="9"/>
    <n v="58"/>
    <n v="3093.08"/>
    <n v="3020.76"/>
    <n v="175204.08000000002"/>
    <n v="179398.63999999998"/>
    <n v="-4194.5599999999686"/>
    <n v="-337.02022043397517"/>
    <n v="-4531.5802204339434"/>
    <n v="0"/>
    <n v="0"/>
    <n v="0"/>
    <n v="-4531.5802204339434"/>
  </r>
  <r>
    <x v="1"/>
    <d v="2024-03-05T00:00:00"/>
    <d v="2024-03-25T00:00:00"/>
    <x v="4"/>
    <n v="9"/>
    <n v="36"/>
    <n v="3093.08"/>
    <n v="3020.76"/>
    <n v="108747.36000000002"/>
    <n v="111350.88"/>
    <n v="-2603.5199999999895"/>
    <n v="-209.18496440729496"/>
    <n v="-2812.7049644072845"/>
    <n v="0"/>
    <n v="0"/>
    <n v="0"/>
    <n v="-2812.7049644072845"/>
  </r>
  <r>
    <x v="2"/>
    <d v="2024-04-03T00:00:00"/>
    <d v="2024-04-24T00:00:00"/>
    <x v="4"/>
    <n v="9"/>
    <n v="29"/>
    <n v="3093.08"/>
    <n v="3020.76"/>
    <n v="87602.040000000008"/>
    <n v="89699.319999999992"/>
    <n v="-2097.2799999999843"/>
    <n v="-168.51011021698758"/>
    <n v="-2265.7901102169717"/>
    <n v="0"/>
    <n v="0"/>
    <n v="0"/>
    <n v="-2265.7901102169717"/>
  </r>
  <r>
    <x v="3"/>
    <d v="2024-05-03T00:00:00"/>
    <d v="2024-05-24T00:00:00"/>
    <x v="4"/>
    <n v="9"/>
    <n v="27"/>
    <n v="3093.08"/>
    <n v="3020.76"/>
    <n v="81560.52"/>
    <n v="83513.16"/>
    <n v="-1952.6399999999994"/>
    <n v="-156.88872330547122"/>
    <n v="-2109.5287233054705"/>
    <n v="0"/>
    <n v="0"/>
    <n v="0"/>
    <n v="-2109.5287233054705"/>
  </r>
  <r>
    <x v="4"/>
    <d v="2024-06-05T00:00:00"/>
    <d v="2024-06-24T00:00:00"/>
    <x v="4"/>
    <n v="9"/>
    <n v="36"/>
    <n v="3093.08"/>
    <n v="3020.76"/>
    <n v="108747.36000000002"/>
    <n v="111350.88"/>
    <n v="-2603.5199999999895"/>
    <n v="-209.18496440729496"/>
    <n v="-2812.7049644072845"/>
    <n v="0"/>
    <n v="0"/>
    <n v="0"/>
    <n v="-2812.7049644072845"/>
  </r>
  <r>
    <x v="5"/>
    <d v="2024-07-03T00:00:00"/>
    <d v="2024-07-24T00:00:00"/>
    <x v="4"/>
    <n v="9"/>
    <n v="53"/>
    <n v="3093.08"/>
    <n v="3020.76"/>
    <n v="160100.28"/>
    <n v="163933.24"/>
    <n v="-3832.9599999999919"/>
    <n v="-307.96675315518422"/>
    <n v="-4140.9267531551759"/>
    <n v="0"/>
    <n v="0"/>
    <n v="0"/>
    <n v="-4140.9267531551759"/>
  </r>
  <r>
    <x v="6"/>
    <d v="2024-08-05T00:00:00"/>
    <d v="2024-08-26T00:00:00"/>
    <x v="4"/>
    <n v="9"/>
    <n v="53"/>
    <n v="3093.08"/>
    <n v="3020.76"/>
    <n v="160100.28"/>
    <n v="163933.24"/>
    <n v="-3832.9599999999919"/>
    <n v="-307.96675315518422"/>
    <n v="-4140.9267531551759"/>
    <n v="0"/>
    <n v="0"/>
    <n v="0"/>
    <n v="-4140.9267531551759"/>
  </r>
  <r>
    <x v="7"/>
    <d v="2024-09-04T00:00:00"/>
    <d v="2024-09-24T00:00:00"/>
    <x v="4"/>
    <n v="9"/>
    <n v="54"/>
    <n v="3093.08"/>
    <n v="3020.76"/>
    <n v="163121.04"/>
    <n v="167026.32"/>
    <n v="-3905.2799999999988"/>
    <n v="-313.77744661094243"/>
    <n v="-4219.057446610941"/>
    <n v="0"/>
    <n v="0"/>
    <n v="0"/>
    <n v="-4219.057446610941"/>
  </r>
  <r>
    <x v="8"/>
    <d v="2024-10-03T00:00:00"/>
    <d v="2024-10-24T00:00:00"/>
    <x v="4"/>
    <n v="9"/>
    <n v="48"/>
    <n v="3093.08"/>
    <n v="3020.76"/>
    <n v="144996.48000000001"/>
    <n v="148467.84"/>
    <n v="-3471.359999999986"/>
    <n v="-278.91328587639322"/>
    <n v="-3750.2732858763793"/>
    <n v="0"/>
    <n v="0"/>
    <n v="0"/>
    <n v="-3750.2732858763793"/>
  </r>
  <r>
    <x v="9"/>
    <d v="2024-11-05T00:00:00"/>
    <d v="2024-11-25T00:00:00"/>
    <x v="4"/>
    <n v="9"/>
    <n v="41"/>
    <n v="3093.08"/>
    <n v="3020.76"/>
    <n v="123851.16"/>
    <n v="126816.28"/>
    <n v="-2965.1199999999953"/>
    <n v="-238.2384316860859"/>
    <n v="-3203.3584316860811"/>
    <n v="0"/>
    <n v="0"/>
    <n v="0"/>
    <n v="-3203.3584316860811"/>
  </r>
  <r>
    <x v="10"/>
    <d v="2024-12-04T00:00:00"/>
    <d v="2024-12-24T00:00:00"/>
    <x v="4"/>
    <n v="9"/>
    <n v="22"/>
    <n v="3093.08"/>
    <n v="3020.76"/>
    <n v="66456.72"/>
    <n v="68047.759999999995"/>
    <n v="-1591.0399999999936"/>
    <n v="-127.83525602668023"/>
    <n v="-1718.8752560266739"/>
    <n v="0"/>
    <n v="0"/>
    <n v="0"/>
    <n v="-1718.8752560266739"/>
  </r>
  <r>
    <x v="11"/>
    <d v="2025-01-03T00:00:00"/>
    <d v="2025-01-24T00:00:00"/>
    <x v="4"/>
    <n v="9"/>
    <n v="37"/>
    <n v="3093.08"/>
    <n v="3020.76"/>
    <n v="111768.12000000001"/>
    <n v="114443.95999999999"/>
    <n v="-2675.839999999982"/>
    <n v="-214.99565786305311"/>
    <n v="-2890.8356578630351"/>
    <n v="0"/>
    <n v="0"/>
    <n v="0"/>
    <n v="-2890.8356578630351"/>
  </r>
  <r>
    <x v="0"/>
    <d v="2024-02-05T00:00:00"/>
    <d v="2024-02-26T00:00:00"/>
    <x v="5"/>
    <n v="9"/>
    <n v="75"/>
    <n v="3093.08"/>
    <n v="3020.76"/>
    <n v="226557.00000000003"/>
    <n v="231981"/>
    <n v="-5423.9999999999709"/>
    <n v="-435.80200918186443"/>
    <n v="-5859.8020091818353"/>
    <n v="0"/>
    <n v="0"/>
    <n v="0"/>
    <n v="-5859.8020091818353"/>
  </r>
  <r>
    <x v="1"/>
    <d v="2024-03-05T00:00:00"/>
    <d v="2024-03-25T00:00:00"/>
    <x v="5"/>
    <n v="9"/>
    <n v="54"/>
    <n v="3093.08"/>
    <n v="3020.76"/>
    <n v="163121.04"/>
    <n v="167026.32"/>
    <n v="-3905.2799999999988"/>
    <n v="-313.77744661094243"/>
    <n v="-4219.057446610941"/>
    <n v="0"/>
    <n v="0"/>
    <n v="0"/>
    <n v="-4219.057446610941"/>
  </r>
  <r>
    <x v="2"/>
    <d v="2024-04-03T00:00:00"/>
    <d v="2024-04-24T00:00:00"/>
    <x v="5"/>
    <n v="9"/>
    <n v="49"/>
    <n v="3093.08"/>
    <n v="3020.76"/>
    <n v="148017.24000000002"/>
    <n v="151560.91999999998"/>
    <n v="-3543.6799999999639"/>
    <n v="-284.72397933215143"/>
    <n v="-3828.4039793321153"/>
    <n v="0"/>
    <n v="0"/>
    <n v="0"/>
    <n v="-3828.4039793321153"/>
  </r>
  <r>
    <x v="3"/>
    <d v="2024-05-03T00:00:00"/>
    <d v="2024-05-24T00:00:00"/>
    <x v="5"/>
    <n v="9"/>
    <n v="43"/>
    <n v="3093.08"/>
    <n v="3020.76"/>
    <n v="129892.68000000001"/>
    <n v="133002.44"/>
    <n v="-3109.7599999999948"/>
    <n v="-249.85981859760227"/>
    <n v="-3359.6198185975973"/>
    <n v="0"/>
    <n v="0"/>
    <n v="0"/>
    <n v="-3359.6198185975973"/>
  </r>
  <r>
    <x v="4"/>
    <d v="2024-06-05T00:00:00"/>
    <d v="2024-06-24T00:00:00"/>
    <x v="5"/>
    <n v="9"/>
    <n v="50"/>
    <n v="3093.08"/>
    <n v="3020.76"/>
    <n v="151038"/>
    <n v="154654"/>
    <n v="-3616"/>
    <n v="-290.53467278790964"/>
    <n v="-3906.5346727879096"/>
    <n v="0"/>
    <n v="0"/>
    <n v="0"/>
    <n v="-3906.5346727879096"/>
  </r>
  <r>
    <x v="5"/>
    <d v="2024-07-03T00:00:00"/>
    <d v="2024-07-24T00:00:00"/>
    <x v="5"/>
    <n v="9"/>
    <n v="59"/>
    <n v="3093.08"/>
    <n v="3020.76"/>
    <n v="178224.84000000003"/>
    <n v="182491.72"/>
    <n v="-4266.8799999999756"/>
    <n v="-342.83091388973338"/>
    <n v="-4609.7109138897085"/>
    <n v="0"/>
    <n v="0"/>
    <n v="0"/>
    <n v="-4609.7109138897085"/>
  </r>
  <r>
    <x v="6"/>
    <d v="2024-08-05T00:00:00"/>
    <d v="2024-08-26T00:00:00"/>
    <x v="5"/>
    <n v="9"/>
    <n v="60"/>
    <n v="3093.08"/>
    <n v="3020.76"/>
    <n v="181245.6"/>
    <n v="185584.8"/>
    <n v="-4339.1999999999825"/>
    <n v="-348.64160734549154"/>
    <n v="-4687.8416073454737"/>
    <n v="0"/>
    <n v="0"/>
    <n v="0"/>
    <n v="-4687.8416073454737"/>
  </r>
  <r>
    <x v="7"/>
    <d v="2024-09-04T00:00:00"/>
    <d v="2024-09-24T00:00:00"/>
    <x v="5"/>
    <n v="9"/>
    <n v="56"/>
    <n v="3093.08"/>
    <n v="3020.76"/>
    <n v="169162.56"/>
    <n v="173212.47999999998"/>
    <n v="-4049.9199999999837"/>
    <n v="-325.3988335224588"/>
    <n v="-4375.3188335224422"/>
    <n v="0"/>
    <n v="0"/>
    <n v="0"/>
    <n v="-4375.3188335224422"/>
  </r>
  <r>
    <x v="8"/>
    <d v="2024-10-03T00:00:00"/>
    <d v="2024-10-24T00:00:00"/>
    <x v="5"/>
    <n v="9"/>
    <n v="55"/>
    <n v="3093.08"/>
    <n v="3020.76"/>
    <n v="166141.80000000002"/>
    <n v="170119.4"/>
    <n v="-3977.5999999999767"/>
    <n v="-319.58814006670059"/>
    <n v="-4297.1881400666771"/>
    <n v="0"/>
    <n v="0"/>
    <n v="0"/>
    <n v="-4297.1881400666771"/>
  </r>
  <r>
    <x v="9"/>
    <d v="2024-11-05T00:00:00"/>
    <d v="2024-11-25T00:00:00"/>
    <x v="5"/>
    <n v="9"/>
    <n v="51"/>
    <n v="3093.08"/>
    <n v="3020.76"/>
    <n v="154058.76"/>
    <n v="157747.07999999999"/>
    <n v="-3688.3199999999779"/>
    <n v="-296.3453662436678"/>
    <n v="-3984.6653662436456"/>
    <n v="0"/>
    <n v="0"/>
    <n v="0"/>
    <n v="-3984.6653662436456"/>
  </r>
  <r>
    <x v="10"/>
    <d v="2024-12-04T00:00:00"/>
    <d v="2024-12-24T00:00:00"/>
    <x v="5"/>
    <n v="9"/>
    <n v="40"/>
    <n v="3093.08"/>
    <n v="3020.76"/>
    <n v="120830.40000000001"/>
    <n v="123723.2"/>
    <n v="-2892.7999999999884"/>
    <n v="-232.42773823032772"/>
    <n v="-3125.2277382303159"/>
    <n v="0"/>
    <n v="0"/>
    <n v="0"/>
    <n v="-3125.2277382303159"/>
  </r>
  <r>
    <x v="11"/>
    <d v="2025-01-03T00:00:00"/>
    <d v="2025-01-24T00:00:00"/>
    <x v="5"/>
    <n v="9"/>
    <n v="51"/>
    <n v="3093.08"/>
    <n v="3020.76"/>
    <n v="154058.76"/>
    <n v="157747.07999999999"/>
    <n v="-3688.3199999999779"/>
    <n v="-296.3453662436678"/>
    <n v="-3984.6653662436456"/>
    <n v="0"/>
    <n v="0"/>
    <n v="0"/>
    <n v="-3984.6653662436456"/>
  </r>
  <r>
    <x v="0"/>
    <d v="2024-02-05T00:00:00"/>
    <d v="2024-02-26T00:00:00"/>
    <x v="6"/>
    <n v="9"/>
    <n v="94"/>
    <n v="3093.08"/>
    <n v="3020.76"/>
    <n v="283951.44"/>
    <n v="290749.52"/>
    <n v="-6798.0800000000163"/>
    <n v="-546.20518484127012"/>
    <n v="-7344.2851848412865"/>
    <n v="0"/>
    <n v="0"/>
    <n v="0"/>
    <n v="-7344.2851848412865"/>
  </r>
  <r>
    <x v="1"/>
    <d v="2024-03-05T00:00:00"/>
    <d v="2024-03-25T00:00:00"/>
    <x v="6"/>
    <n v="9"/>
    <n v="62"/>
    <n v="3093.08"/>
    <n v="3020.76"/>
    <n v="187287.12000000002"/>
    <n v="191770.96"/>
    <n v="-4483.8399999999674"/>
    <n v="-360.2629942570079"/>
    <n v="-4844.1029942569749"/>
    <n v="0"/>
    <n v="0"/>
    <n v="0"/>
    <n v="-4844.1029942569749"/>
  </r>
  <r>
    <x v="2"/>
    <d v="2024-04-03T00:00:00"/>
    <d v="2024-04-24T00:00:00"/>
    <x v="6"/>
    <n v="9"/>
    <n v="60"/>
    <n v="3093.08"/>
    <n v="3020.76"/>
    <n v="181245.6"/>
    <n v="185584.8"/>
    <n v="-4339.1999999999825"/>
    <n v="-348.64160734549154"/>
    <n v="-4687.8416073454737"/>
    <n v="0"/>
    <n v="0"/>
    <n v="0"/>
    <n v="-4687.8416073454737"/>
  </r>
  <r>
    <x v="3"/>
    <d v="2024-05-03T00:00:00"/>
    <d v="2024-05-24T00:00:00"/>
    <x v="6"/>
    <n v="9"/>
    <n v="92"/>
    <n v="3093.08"/>
    <n v="3020.76"/>
    <n v="277909.92000000004"/>
    <n v="284563.36"/>
    <n v="-6653.4399999999441"/>
    <n v="-534.5837979297537"/>
    <n v="-7188.023797929698"/>
    <n v="0"/>
    <n v="0"/>
    <n v="0"/>
    <n v="-7188.023797929698"/>
  </r>
  <r>
    <x v="4"/>
    <d v="2024-06-05T00:00:00"/>
    <d v="2024-06-24T00:00:00"/>
    <x v="6"/>
    <n v="9"/>
    <n v="118"/>
    <n v="3093.08"/>
    <n v="3020.76"/>
    <n v="356449.68000000005"/>
    <n v="364983.44"/>
    <n v="-8533.7599999999511"/>
    <n v="-685.66182777946676"/>
    <n v="-9219.4218277794171"/>
    <n v="0"/>
    <n v="0"/>
    <n v="0"/>
    <n v="-9219.4218277794171"/>
  </r>
  <r>
    <x v="5"/>
    <d v="2024-07-03T00:00:00"/>
    <d v="2024-07-24T00:00:00"/>
    <x v="6"/>
    <n v="9"/>
    <n v="143"/>
    <n v="3093.08"/>
    <n v="3020.76"/>
    <n v="431968.68000000005"/>
    <n v="442310.44"/>
    <n v="-10341.759999999951"/>
    <n v="-830.92916417342155"/>
    <n v="-11172.689164173373"/>
    <n v="0"/>
    <n v="0"/>
    <n v="0"/>
    <n v="-11172.689164173373"/>
  </r>
  <r>
    <x v="6"/>
    <d v="2024-08-05T00:00:00"/>
    <d v="2024-08-26T00:00:00"/>
    <x v="6"/>
    <n v="9"/>
    <n v="151"/>
    <n v="3093.08"/>
    <n v="3020.76"/>
    <n v="456134.76"/>
    <n v="467055.08"/>
    <n v="-10920.320000000007"/>
    <n v="-877.41471181948702"/>
    <n v="-11797.734711819494"/>
    <n v="0"/>
    <n v="0"/>
    <n v="0"/>
    <n v="-11797.734711819494"/>
  </r>
  <r>
    <x v="7"/>
    <d v="2024-09-04T00:00:00"/>
    <d v="2024-09-24T00:00:00"/>
    <x v="6"/>
    <n v="9"/>
    <n v="157"/>
    <n v="3093.08"/>
    <n v="3020.76"/>
    <n v="474259.32"/>
    <n v="485613.56"/>
    <n v="-11354.239999999991"/>
    <n v="-912.27887255403618"/>
    <n v="-12266.518872554027"/>
    <n v="0"/>
    <n v="0"/>
    <n v="0"/>
    <n v="-12266.518872554027"/>
  </r>
  <r>
    <x v="8"/>
    <d v="2024-10-03T00:00:00"/>
    <d v="2024-10-24T00:00:00"/>
    <x v="6"/>
    <n v="9"/>
    <n v="146"/>
    <n v="3093.08"/>
    <n v="3020.76"/>
    <n v="441030.96"/>
    <n v="451589.68"/>
    <n v="-10558.719999999972"/>
    <n v="-848.36124454069602"/>
    <n v="-11407.081244540668"/>
    <n v="0"/>
    <n v="0"/>
    <n v="0"/>
    <n v="-11407.081244540668"/>
  </r>
  <r>
    <x v="9"/>
    <d v="2024-11-05T00:00:00"/>
    <d v="2024-11-25T00:00:00"/>
    <x v="6"/>
    <n v="9"/>
    <n v="116"/>
    <n v="3093.08"/>
    <n v="3020.76"/>
    <n v="350408.16000000003"/>
    <n v="358797.27999999997"/>
    <n v="-8389.1199999999371"/>
    <n v="-674.04044086795034"/>
    <n v="-9063.1604408678868"/>
    <n v="0"/>
    <n v="0"/>
    <n v="0"/>
    <n v="-9063.1604408678868"/>
  </r>
  <r>
    <x v="10"/>
    <d v="2024-12-04T00:00:00"/>
    <d v="2024-12-24T00:00:00"/>
    <x v="6"/>
    <n v="9"/>
    <n v="62"/>
    <n v="3093.08"/>
    <n v="3020.76"/>
    <n v="187287.12000000002"/>
    <n v="191770.96"/>
    <n v="-4483.8399999999674"/>
    <n v="-360.2629942570079"/>
    <n v="-4844.1029942569749"/>
    <n v="0"/>
    <n v="0"/>
    <n v="0"/>
    <n v="-4844.1029942569749"/>
  </r>
  <r>
    <x v="11"/>
    <d v="2025-01-03T00:00:00"/>
    <d v="2025-01-24T00:00:00"/>
    <x v="6"/>
    <n v="9"/>
    <n v="77"/>
    <n v="3093.08"/>
    <n v="3020.76"/>
    <n v="232598.52000000002"/>
    <n v="238167.16"/>
    <n v="-5568.6399999999849"/>
    <n v="-447.4233960933808"/>
    <n v="-6016.0633960933656"/>
    <n v="0"/>
    <n v="0"/>
    <n v="0"/>
    <n v="-6016.0633960933656"/>
  </r>
  <r>
    <x v="0"/>
    <d v="2024-02-05T00:00:00"/>
    <d v="2024-02-26T00:00:00"/>
    <x v="7"/>
    <n v="9"/>
    <n v="65"/>
    <n v="3093.08"/>
    <n v="3020.76"/>
    <n v="196349.40000000002"/>
    <n v="201050.19999999998"/>
    <n v="-4700.7999999999593"/>
    <n v="-377.69507462428254"/>
    <n v="-5078.4950746242421"/>
    <n v="0"/>
    <n v="0"/>
    <n v="0"/>
    <n v="-5078.4950746242421"/>
  </r>
  <r>
    <x v="1"/>
    <d v="2024-03-05T00:00:00"/>
    <d v="2024-03-25T00:00:00"/>
    <x v="7"/>
    <n v="9"/>
    <n v="65"/>
    <n v="3093.08"/>
    <n v="3020.76"/>
    <n v="196349.40000000002"/>
    <n v="201050.19999999998"/>
    <n v="-4700.7999999999593"/>
    <n v="-377.69507462428254"/>
    <n v="-5078.4950746242421"/>
    <n v="0"/>
    <n v="0"/>
    <n v="0"/>
    <n v="-5078.4950746242421"/>
  </r>
  <r>
    <x v="2"/>
    <d v="2024-04-03T00:00:00"/>
    <d v="2024-04-24T00:00:00"/>
    <x v="7"/>
    <n v="9"/>
    <n v="64"/>
    <n v="3093.08"/>
    <n v="3020.76"/>
    <n v="193328.64000000001"/>
    <n v="197957.12"/>
    <n v="-4628.4799999999814"/>
    <n v="-371.88438116852433"/>
    <n v="-5000.364381168506"/>
    <n v="0"/>
    <n v="0"/>
    <n v="0"/>
    <n v="-5000.364381168506"/>
  </r>
  <r>
    <x v="3"/>
    <d v="2024-05-03T00:00:00"/>
    <d v="2024-05-24T00:00:00"/>
    <x v="7"/>
    <n v="9"/>
    <n v="65"/>
    <n v="3093.08"/>
    <n v="3020.76"/>
    <n v="196349.40000000002"/>
    <n v="201050.19999999998"/>
    <n v="-4700.7999999999593"/>
    <n v="-377.69507462428254"/>
    <n v="-5078.4950746242421"/>
    <n v="0"/>
    <n v="0"/>
    <n v="0"/>
    <n v="-5078.4950746242421"/>
  </r>
  <r>
    <x v="4"/>
    <d v="2024-06-05T00:00:00"/>
    <d v="2024-06-24T00:00:00"/>
    <x v="7"/>
    <n v="9"/>
    <n v="51"/>
    <n v="3093.08"/>
    <n v="3020.76"/>
    <n v="154058.76"/>
    <n v="157747.07999999999"/>
    <n v="-3688.3199999999779"/>
    <n v="-296.3453662436678"/>
    <n v="-3984.6653662436456"/>
    <n v="0"/>
    <n v="0"/>
    <n v="0"/>
    <n v="-3984.6653662436456"/>
  </r>
  <r>
    <x v="5"/>
    <d v="2024-07-03T00:00:00"/>
    <d v="2024-07-24T00:00:00"/>
    <x v="7"/>
    <n v="9"/>
    <n v="59"/>
    <n v="3093.08"/>
    <n v="3020.76"/>
    <n v="178224.84000000003"/>
    <n v="182491.72"/>
    <n v="-4266.8799999999756"/>
    <n v="-342.83091388973338"/>
    <n v="-4609.7109138897085"/>
    <n v="0"/>
    <n v="0"/>
    <n v="0"/>
    <n v="-4609.7109138897085"/>
  </r>
  <r>
    <x v="6"/>
    <d v="2024-08-05T00:00:00"/>
    <d v="2024-08-26T00:00:00"/>
    <x v="7"/>
    <n v="9"/>
    <n v="67"/>
    <n v="3093.08"/>
    <n v="3020.76"/>
    <n v="202390.92"/>
    <n v="207236.36"/>
    <n v="-4845.4399999999732"/>
    <n v="-389.31646153579891"/>
    <n v="-5234.7564615357724"/>
    <n v="0"/>
    <n v="0"/>
    <n v="0"/>
    <n v="-5234.7564615357724"/>
  </r>
  <r>
    <x v="7"/>
    <d v="2024-09-04T00:00:00"/>
    <d v="2024-09-24T00:00:00"/>
    <x v="7"/>
    <n v="9"/>
    <n v="70"/>
    <n v="3093.08"/>
    <n v="3020.76"/>
    <n v="211453.2"/>
    <n v="216515.6"/>
    <n v="-5062.3999999999942"/>
    <n v="-406.74854190307349"/>
    <n v="-5469.1485419030678"/>
    <n v="0"/>
    <n v="0"/>
    <n v="0"/>
    <n v="-5469.1485419030678"/>
  </r>
  <r>
    <x v="8"/>
    <d v="2024-10-03T00:00:00"/>
    <d v="2024-10-24T00:00:00"/>
    <x v="7"/>
    <n v="9"/>
    <n v="72"/>
    <n v="3093.08"/>
    <n v="3020.76"/>
    <n v="217494.72000000003"/>
    <n v="222701.76"/>
    <n v="-5207.039999999979"/>
    <n v="-418.36992881458991"/>
    <n v="-5625.409928814569"/>
    <n v="0"/>
    <n v="0"/>
    <n v="0"/>
    <n v="-5625.409928814569"/>
  </r>
  <r>
    <x v="9"/>
    <d v="2024-11-05T00:00:00"/>
    <d v="2024-11-25T00:00:00"/>
    <x v="7"/>
    <n v="9"/>
    <n v="73"/>
    <n v="3093.08"/>
    <n v="3020.76"/>
    <n v="220515.48"/>
    <n v="225794.84"/>
    <n v="-5279.359999999986"/>
    <n v="-424.18062227034801"/>
    <n v="-5703.5406222703341"/>
    <n v="0"/>
    <n v="0"/>
    <n v="0"/>
    <n v="-5703.5406222703341"/>
  </r>
  <r>
    <x v="10"/>
    <d v="2024-12-04T00:00:00"/>
    <d v="2024-12-24T00:00:00"/>
    <x v="7"/>
    <n v="9"/>
    <n v="72"/>
    <n v="3093.08"/>
    <n v="3020.76"/>
    <n v="217494.72000000003"/>
    <n v="222701.76"/>
    <n v="-5207.039999999979"/>
    <n v="-418.36992881458991"/>
    <n v="-5625.409928814569"/>
    <n v="0"/>
    <n v="0"/>
    <n v="0"/>
    <n v="-5625.409928814569"/>
  </r>
  <r>
    <x v="11"/>
    <d v="2025-01-03T00:00:00"/>
    <d v="2025-01-24T00:00:00"/>
    <x v="7"/>
    <n v="9"/>
    <n v="65"/>
    <n v="3093.08"/>
    <n v="3020.76"/>
    <n v="196349.40000000002"/>
    <n v="201050.19999999998"/>
    <n v="-4700.7999999999593"/>
    <n v="-377.69507462428254"/>
    <n v="-5078.4950746242421"/>
    <n v="0"/>
    <n v="0"/>
    <n v="0"/>
    <n v="-5078.4950746242421"/>
  </r>
  <r>
    <x v="0"/>
    <d v="2024-02-05T00:00:00"/>
    <d v="2024-02-26T00:00:00"/>
    <x v="8"/>
    <n v="9"/>
    <n v="1452"/>
    <n v="3093.08"/>
    <n v="3020.76"/>
    <n v="4386143.5200000005"/>
    <n v="4491152.16"/>
    <n v="-105008.63999999966"/>
    <n v="-8437.1268977608961"/>
    <n v="-113445.76689776056"/>
    <n v="0"/>
    <n v="0"/>
    <n v="0"/>
    <n v="-113445.76689776056"/>
  </r>
  <r>
    <x v="1"/>
    <d v="2024-03-05T00:00:00"/>
    <d v="2024-03-25T00:00:00"/>
    <x v="8"/>
    <n v="9"/>
    <n v="966"/>
    <n v="3093.08"/>
    <n v="3020.76"/>
    <n v="2918054.16"/>
    <n v="2987915.28"/>
    <n v="-69861.119999999646"/>
    <n v="-5613.1298782624135"/>
    <n v="-75474.249878262053"/>
    <n v="0"/>
    <n v="0"/>
    <n v="0"/>
    <n v="-75474.249878262053"/>
  </r>
  <r>
    <x v="2"/>
    <d v="2024-04-03T00:00:00"/>
    <d v="2024-04-24T00:00:00"/>
    <x v="8"/>
    <n v="9"/>
    <n v="732"/>
    <n v="3093.08"/>
    <n v="3020.76"/>
    <n v="2211196.3200000003"/>
    <n v="2264134.56"/>
    <n v="-52938.239999999758"/>
    <n v="-4253.427609614997"/>
    <n v="-57191.667609614757"/>
    <n v="0"/>
    <n v="0"/>
    <n v="0"/>
    <n v="-57191.667609614757"/>
  </r>
  <r>
    <x v="3"/>
    <d v="2024-05-03T00:00:00"/>
    <d v="2024-05-24T00:00:00"/>
    <x v="8"/>
    <n v="9"/>
    <n v="547"/>
    <n v="3093.08"/>
    <n v="3020.76"/>
    <n v="1652355.7200000002"/>
    <n v="1691914.76"/>
    <n v="-39559.039999999804"/>
    <n v="-3178.4493202997314"/>
    <n v="-42737.489320299537"/>
    <n v="0"/>
    <n v="0"/>
    <n v="0"/>
    <n v="-42737.489320299537"/>
  </r>
  <r>
    <x v="4"/>
    <d v="2024-06-05T00:00:00"/>
    <d v="2024-06-24T00:00:00"/>
    <x v="8"/>
    <n v="9"/>
    <n v="747"/>
    <n v="3093.08"/>
    <n v="3020.76"/>
    <n v="2256507.7200000002"/>
    <n v="2310530.7599999998"/>
    <n v="-54023.039999999572"/>
    <n v="-4340.5880114513702"/>
    <n v="-58363.628011450943"/>
    <n v="0"/>
    <n v="0"/>
    <n v="0"/>
    <n v="-58363.628011450943"/>
  </r>
  <r>
    <x v="5"/>
    <d v="2024-07-03T00:00:00"/>
    <d v="2024-07-24T00:00:00"/>
    <x v="8"/>
    <n v="9"/>
    <n v="917"/>
    <n v="3093.08"/>
    <n v="3020.76"/>
    <n v="2770036.9200000004"/>
    <n v="2836354.36"/>
    <n v="-66317.439999999478"/>
    <n v="-5328.405898930263"/>
    <n v="-71645.845898929736"/>
    <n v="0"/>
    <n v="0"/>
    <n v="0"/>
    <n v="-71645.845898929736"/>
  </r>
  <r>
    <x v="6"/>
    <d v="2024-08-05T00:00:00"/>
    <d v="2024-08-26T00:00:00"/>
    <x v="8"/>
    <n v="9"/>
    <n v="950"/>
    <n v="3093.08"/>
    <n v="3020.76"/>
    <n v="2869722"/>
    <n v="2938426"/>
    <n v="-68704"/>
    <n v="-5520.158782970283"/>
    <n v="-74224.158782970277"/>
    <n v="0"/>
    <n v="0"/>
    <n v="0"/>
    <n v="-74224.158782970277"/>
  </r>
  <r>
    <x v="7"/>
    <d v="2024-09-04T00:00:00"/>
    <d v="2024-09-24T00:00:00"/>
    <x v="8"/>
    <n v="9"/>
    <n v="940"/>
    <n v="3093.08"/>
    <n v="3020.76"/>
    <n v="2839514.4000000004"/>
    <n v="2907495.1999999997"/>
    <n v="-67980.799999999348"/>
    <n v="-5462.0518484127006"/>
    <n v="-73442.851848412043"/>
    <n v="0"/>
    <n v="0"/>
    <n v="0"/>
    <n v="-73442.851848412043"/>
  </r>
  <r>
    <x v="8"/>
    <d v="2024-10-03T00:00:00"/>
    <d v="2024-10-24T00:00:00"/>
    <x v="8"/>
    <n v="9"/>
    <n v="816"/>
    <n v="3093.08"/>
    <n v="3020.76"/>
    <n v="2464940.16"/>
    <n v="2523953.2799999998"/>
    <n v="-59013.119999999646"/>
    <n v="-4741.5258598986848"/>
    <n v="-63754.64585989833"/>
    <n v="0"/>
    <n v="0"/>
    <n v="0"/>
    <n v="-63754.64585989833"/>
  </r>
  <r>
    <x v="9"/>
    <d v="2024-11-05T00:00:00"/>
    <d v="2024-11-25T00:00:00"/>
    <x v="8"/>
    <n v="9"/>
    <n v="683"/>
    <n v="3093.08"/>
    <n v="3020.76"/>
    <n v="2063179.08"/>
    <n v="2112573.64"/>
    <n v="-49394.560000000056"/>
    <n v="-3968.7036302828456"/>
    <n v="-53363.263630282905"/>
    <n v="0"/>
    <n v="0"/>
    <n v="0"/>
    <n v="-53363.263630282905"/>
  </r>
  <r>
    <x v="10"/>
    <d v="2024-12-04T00:00:00"/>
    <d v="2024-12-24T00:00:00"/>
    <x v="8"/>
    <n v="9"/>
    <n v="525"/>
    <n v="3093.08"/>
    <n v="3020.76"/>
    <n v="1585899"/>
    <n v="1623867"/>
    <n v="-37968"/>
    <n v="-3050.6140642730511"/>
    <n v="-41018.614064273053"/>
    <n v="0"/>
    <n v="0"/>
    <n v="0"/>
    <n v="-41018.614064273053"/>
  </r>
  <r>
    <x v="11"/>
    <d v="2025-01-03T00:00:00"/>
    <d v="2025-01-24T00:00:00"/>
    <x v="8"/>
    <n v="9"/>
    <n v="863"/>
    <n v="3093.08"/>
    <n v="3020.76"/>
    <n v="2606915.8800000004"/>
    <n v="2669328.04"/>
    <n v="-62412.159999999683"/>
    <n v="-5014.6284523193199"/>
    <n v="-67426.788452319"/>
    <n v="0"/>
    <n v="0"/>
    <n v="0"/>
    <n v="-67426.788452319"/>
  </r>
  <r>
    <x v="0"/>
    <d v="2024-02-05T00:00:00"/>
    <d v="2024-02-26T00:00:00"/>
    <x v="9"/>
    <n v="9"/>
    <n v="8"/>
    <n v="3093.08"/>
    <n v="3020.76"/>
    <n v="24166.080000000002"/>
    <n v="24744.639999999999"/>
    <n v="-578.55999999999767"/>
    <n v="-46.485547646065541"/>
    <n v="-625.04554764606326"/>
    <n v="0"/>
    <n v="0"/>
    <n v="0"/>
    <n v="-625.04554764606326"/>
  </r>
  <r>
    <x v="1"/>
    <d v="2024-03-05T00:00:00"/>
    <d v="2024-03-25T00:00:00"/>
    <x v="9"/>
    <n v="9"/>
    <n v="5"/>
    <n v="3093.08"/>
    <n v="3020.76"/>
    <n v="15103.800000000001"/>
    <n v="15465.4"/>
    <n v="-361.59999999999854"/>
    <n v="-29.053467278790965"/>
    <n v="-390.65346727878949"/>
    <n v="0"/>
    <n v="0"/>
    <n v="0"/>
    <n v="-390.65346727878949"/>
  </r>
  <r>
    <x v="2"/>
    <d v="2024-04-03T00:00:00"/>
    <d v="2024-04-24T00:00:00"/>
    <x v="9"/>
    <n v="9"/>
    <n v="5"/>
    <n v="3093.08"/>
    <n v="3020.76"/>
    <n v="15103.800000000001"/>
    <n v="15465.4"/>
    <n v="-361.59999999999854"/>
    <n v="-29.053467278790965"/>
    <n v="-390.65346727878949"/>
    <n v="0"/>
    <n v="0"/>
    <n v="0"/>
    <n v="-390.65346727878949"/>
  </r>
  <r>
    <x v="3"/>
    <d v="2024-05-03T00:00:00"/>
    <d v="2024-05-24T00:00:00"/>
    <x v="9"/>
    <n v="9"/>
    <n v="6"/>
    <n v="3093.08"/>
    <n v="3020.76"/>
    <n v="18124.560000000001"/>
    <n v="18558.48"/>
    <n v="-433.91999999999825"/>
    <n v="-34.864160734549152"/>
    <n v="-468.78416073454741"/>
    <n v="0"/>
    <n v="0"/>
    <n v="0"/>
    <n v="-468.78416073454741"/>
  </r>
  <r>
    <x v="4"/>
    <d v="2024-06-05T00:00:00"/>
    <d v="2024-06-24T00:00:00"/>
    <x v="9"/>
    <n v="9"/>
    <n v="9"/>
    <n v="3093.08"/>
    <n v="3020.76"/>
    <n v="27186.840000000004"/>
    <n v="27837.72"/>
    <n v="-650.87999999999738"/>
    <n v="-52.296241101823739"/>
    <n v="-703.17624110182112"/>
    <n v="0"/>
    <n v="0"/>
    <n v="0"/>
    <n v="-703.17624110182112"/>
  </r>
  <r>
    <x v="5"/>
    <d v="2024-07-03T00:00:00"/>
    <d v="2024-07-24T00:00:00"/>
    <x v="9"/>
    <n v="9"/>
    <n v="14"/>
    <n v="3093.08"/>
    <n v="3020.76"/>
    <n v="42290.64"/>
    <n v="43303.119999999995"/>
    <n v="-1012.4799999999959"/>
    <n v="-81.3497083806147"/>
    <n v="-1093.8297083806106"/>
    <n v="0"/>
    <n v="0"/>
    <n v="0"/>
    <n v="-1093.8297083806106"/>
  </r>
  <r>
    <x v="6"/>
    <d v="2024-08-05T00:00:00"/>
    <d v="2024-08-26T00:00:00"/>
    <x v="9"/>
    <n v="9"/>
    <n v="17"/>
    <n v="3093.08"/>
    <n v="3020.76"/>
    <n v="51352.920000000006"/>
    <n v="52582.36"/>
    <n v="-1229.4399999999951"/>
    <n v="-98.78178874788928"/>
    <n v="-1328.2217887478844"/>
    <n v="0"/>
    <n v="0"/>
    <n v="0"/>
    <n v="-1328.2217887478844"/>
  </r>
  <r>
    <x v="7"/>
    <d v="2024-09-04T00:00:00"/>
    <d v="2024-09-24T00:00:00"/>
    <x v="9"/>
    <n v="9"/>
    <n v="19"/>
    <n v="3093.08"/>
    <n v="3020.76"/>
    <n v="57394.44"/>
    <n v="58768.52"/>
    <n v="-1374.0799999999945"/>
    <n v="-110.40317565940566"/>
    <n v="-1484.4831756594001"/>
    <n v="0"/>
    <n v="0"/>
    <n v="0"/>
    <n v="-1484.4831756594001"/>
  </r>
  <r>
    <x v="8"/>
    <d v="2024-10-03T00:00:00"/>
    <d v="2024-10-24T00:00:00"/>
    <x v="9"/>
    <n v="9"/>
    <n v="11"/>
    <n v="3093.08"/>
    <n v="3020.76"/>
    <n v="33228.36"/>
    <n v="34023.879999999997"/>
    <n v="-795.5199999999968"/>
    <n v="-63.917628013340114"/>
    <n v="-859.43762801333696"/>
    <n v="0"/>
    <n v="0"/>
    <n v="0"/>
    <n v="-859.43762801333696"/>
  </r>
  <r>
    <x v="9"/>
    <d v="2024-11-05T00:00:00"/>
    <d v="2024-11-25T00:00:00"/>
    <x v="9"/>
    <n v="9"/>
    <n v="6"/>
    <n v="3093.08"/>
    <n v="3020.76"/>
    <n v="18124.560000000001"/>
    <n v="18558.48"/>
    <n v="-433.91999999999825"/>
    <n v="-34.864160734549152"/>
    <n v="-468.78416073454741"/>
    <n v="0"/>
    <n v="0"/>
    <n v="0"/>
    <n v="-468.78416073454741"/>
  </r>
  <r>
    <x v="10"/>
    <d v="2024-12-04T00:00:00"/>
    <d v="2024-12-24T00:00:00"/>
    <x v="9"/>
    <n v="9"/>
    <n v="6"/>
    <n v="3093.08"/>
    <n v="3020.76"/>
    <n v="18124.560000000001"/>
    <n v="18558.48"/>
    <n v="-433.91999999999825"/>
    <n v="-34.864160734549152"/>
    <n v="-468.78416073454741"/>
    <n v="0"/>
    <n v="0"/>
    <n v="0"/>
    <n v="-468.78416073454741"/>
  </r>
  <r>
    <x v="11"/>
    <d v="2025-01-03T00:00:00"/>
    <d v="2025-01-24T00:00:00"/>
    <x v="9"/>
    <n v="9"/>
    <n v="6"/>
    <n v="3093.08"/>
    <n v="3020.76"/>
    <n v="18124.560000000001"/>
    <n v="18558.48"/>
    <n v="-433.91999999999825"/>
    <n v="-34.864160734549152"/>
    <n v="-468.78416073454741"/>
    <n v="0"/>
    <n v="0"/>
    <n v="0"/>
    <n v="-468.78416073454741"/>
  </r>
  <r>
    <x v="0"/>
    <d v="2024-02-05T00:00:00"/>
    <d v="2024-02-26T00:00:00"/>
    <x v="10"/>
    <n v="9"/>
    <n v="4"/>
    <n v="3093.08"/>
    <n v="3020.76"/>
    <n v="12083.04"/>
    <n v="12372.32"/>
    <n v="-289.27999999999884"/>
    <n v="-23.242773823032771"/>
    <n v="-312.52277382303163"/>
    <n v="0"/>
    <n v="0"/>
    <n v="0"/>
    <n v="-312.52277382303163"/>
  </r>
  <r>
    <x v="1"/>
    <d v="2024-03-05T00:00:00"/>
    <d v="2024-03-25T00:00:00"/>
    <x v="10"/>
    <n v="9"/>
    <n v="3"/>
    <n v="3093.08"/>
    <n v="3020.76"/>
    <n v="9062.2800000000007"/>
    <n v="9279.24"/>
    <n v="-216.95999999999913"/>
    <n v="-17.432080367274576"/>
    <n v="-234.39208036727371"/>
    <n v="0"/>
    <n v="0"/>
    <n v="0"/>
    <n v="-234.39208036727371"/>
  </r>
  <r>
    <x v="2"/>
    <d v="2024-04-03T00:00:00"/>
    <d v="2024-04-24T00:00:00"/>
    <x v="10"/>
    <n v="9"/>
    <n v="3"/>
    <n v="3093.08"/>
    <n v="3020.76"/>
    <n v="9062.2800000000007"/>
    <n v="9279.24"/>
    <n v="-216.95999999999913"/>
    <n v="-17.432080367274576"/>
    <n v="-234.39208036727371"/>
    <n v="0"/>
    <n v="0"/>
    <n v="0"/>
    <n v="-234.39208036727371"/>
  </r>
  <r>
    <x v="3"/>
    <d v="2024-05-03T00:00:00"/>
    <d v="2024-05-24T00:00:00"/>
    <x v="10"/>
    <n v="9"/>
    <n v="2"/>
    <n v="3093.08"/>
    <n v="3020.76"/>
    <n v="6041.52"/>
    <n v="6186.16"/>
    <n v="-144.63999999999942"/>
    <n v="-11.621386911516385"/>
    <n v="-156.26138691151581"/>
    <n v="0"/>
    <n v="0"/>
    <n v="0"/>
    <n v="-156.26138691151581"/>
  </r>
  <r>
    <x v="4"/>
    <d v="2024-06-05T00:00:00"/>
    <d v="2024-06-24T00:00:00"/>
    <x v="10"/>
    <n v="9"/>
    <n v="4"/>
    <n v="3093.08"/>
    <n v="3020.76"/>
    <n v="12083.04"/>
    <n v="12372.32"/>
    <n v="-289.27999999999884"/>
    <n v="-23.242773823032771"/>
    <n v="-312.52277382303163"/>
    <n v="0"/>
    <n v="0"/>
    <n v="0"/>
    <n v="-312.52277382303163"/>
  </r>
  <r>
    <x v="5"/>
    <d v="2024-07-03T00:00:00"/>
    <d v="2024-07-24T00:00:00"/>
    <x v="10"/>
    <n v="9"/>
    <n v="4"/>
    <n v="3093.08"/>
    <n v="3020.76"/>
    <n v="12083.04"/>
    <n v="12372.32"/>
    <n v="-289.27999999999884"/>
    <n v="-23.242773823032771"/>
    <n v="-312.52277382303163"/>
    <n v="0"/>
    <n v="0"/>
    <n v="0"/>
    <n v="-312.52277382303163"/>
  </r>
  <r>
    <x v="6"/>
    <d v="2024-08-05T00:00:00"/>
    <d v="2024-08-26T00:00:00"/>
    <x v="10"/>
    <n v="9"/>
    <n v="6"/>
    <n v="3093.08"/>
    <n v="3020.76"/>
    <n v="18124.560000000001"/>
    <n v="18558.48"/>
    <n v="-433.91999999999825"/>
    <n v="-34.864160734549152"/>
    <n v="-468.78416073454741"/>
    <n v="0"/>
    <n v="0"/>
    <n v="0"/>
    <n v="-468.78416073454741"/>
  </r>
  <r>
    <x v="7"/>
    <d v="2024-09-04T00:00:00"/>
    <d v="2024-09-24T00:00:00"/>
    <x v="10"/>
    <n v="9"/>
    <n v="6"/>
    <n v="3093.08"/>
    <n v="3020.76"/>
    <n v="18124.560000000001"/>
    <n v="18558.48"/>
    <n v="-433.91999999999825"/>
    <n v="-34.864160734549152"/>
    <n v="-468.78416073454741"/>
    <n v="0"/>
    <n v="0"/>
    <n v="0"/>
    <n v="-468.78416073454741"/>
  </r>
  <r>
    <x v="8"/>
    <d v="2024-10-03T00:00:00"/>
    <d v="2024-10-24T00:00:00"/>
    <x v="10"/>
    <n v="9"/>
    <n v="3"/>
    <n v="3093.08"/>
    <n v="3020.76"/>
    <n v="9062.2800000000007"/>
    <n v="9279.24"/>
    <n v="-216.95999999999913"/>
    <n v="-17.432080367274576"/>
    <n v="-234.39208036727371"/>
    <n v="0"/>
    <n v="0"/>
    <n v="0"/>
    <n v="-234.39208036727371"/>
  </r>
  <r>
    <x v="9"/>
    <d v="2024-11-05T00:00:00"/>
    <d v="2024-11-25T00:00:00"/>
    <x v="10"/>
    <n v="9"/>
    <n v="6"/>
    <n v="3093.08"/>
    <n v="3020.76"/>
    <n v="18124.560000000001"/>
    <n v="18558.48"/>
    <n v="-433.91999999999825"/>
    <n v="-34.864160734549152"/>
    <n v="-468.78416073454741"/>
    <n v="0"/>
    <n v="0"/>
    <n v="0"/>
    <n v="-468.78416073454741"/>
  </r>
  <r>
    <x v="10"/>
    <d v="2024-12-04T00:00:00"/>
    <d v="2024-12-24T00:00:00"/>
    <x v="10"/>
    <n v="9"/>
    <n v="1"/>
    <n v="3093.08"/>
    <n v="3020.76"/>
    <n v="3020.76"/>
    <n v="3093.08"/>
    <n v="-72.319999999999709"/>
    <n v="-5.8106934557581926"/>
    <n v="-78.130693455757907"/>
    <n v="0"/>
    <n v="0"/>
    <n v="0"/>
    <n v="-78.130693455757907"/>
  </r>
  <r>
    <x v="11"/>
    <d v="2025-01-03T00:00:00"/>
    <d v="2025-01-24T00:00:00"/>
    <x v="10"/>
    <n v="9"/>
    <n v="3"/>
    <n v="3093.08"/>
    <n v="3020.76"/>
    <n v="9062.2800000000007"/>
    <n v="9279.24"/>
    <n v="-216.95999999999913"/>
    <n v="-17.432080367274576"/>
    <n v="-234.39208036727371"/>
    <n v="0"/>
    <n v="0"/>
    <n v="0"/>
    <n v="-234.39208036727371"/>
  </r>
  <r>
    <x v="0"/>
    <d v="2024-02-05T00:00:00"/>
    <d v="2024-02-26T00:00:00"/>
    <x v="11"/>
    <n v="9"/>
    <n v="145"/>
    <n v="3093.08"/>
    <n v="3020.76"/>
    <n v="438010.2"/>
    <n v="448496.6"/>
    <n v="-10486.399999999965"/>
    <n v="-842.55055108493798"/>
    <n v="-11328.950551084903"/>
    <n v="0"/>
    <n v="0"/>
    <n v="0"/>
    <n v="-11328.950551084903"/>
  </r>
  <r>
    <x v="1"/>
    <d v="2024-03-05T00:00:00"/>
    <d v="2024-03-25T00:00:00"/>
    <x v="11"/>
    <n v="9"/>
    <n v="100"/>
    <n v="3093.08"/>
    <n v="3020.76"/>
    <n v="302076"/>
    <n v="309308"/>
    <n v="-7232"/>
    <n v="-581.06934557581928"/>
    <n v="-7813.0693455758192"/>
    <n v="0"/>
    <n v="0"/>
    <n v="0"/>
    <n v="-7813.0693455758192"/>
  </r>
  <r>
    <x v="2"/>
    <d v="2024-04-03T00:00:00"/>
    <d v="2024-04-24T00:00:00"/>
    <x v="11"/>
    <n v="9"/>
    <n v="92"/>
    <n v="3093.08"/>
    <n v="3020.76"/>
    <n v="277909.92000000004"/>
    <n v="284563.36"/>
    <n v="-6653.4399999999441"/>
    <n v="-534.5837979297537"/>
    <n v="-7188.023797929698"/>
    <n v="0"/>
    <n v="0"/>
    <n v="0"/>
    <n v="-7188.023797929698"/>
  </r>
  <r>
    <x v="3"/>
    <d v="2024-05-03T00:00:00"/>
    <d v="2024-05-24T00:00:00"/>
    <x v="11"/>
    <n v="9"/>
    <n v="101"/>
    <n v="3093.08"/>
    <n v="3020.76"/>
    <n v="305096.76"/>
    <n v="312401.08"/>
    <n v="-7304.320000000007"/>
    <n v="-586.88003903157744"/>
    <n v="-7891.2000390315843"/>
    <n v="0"/>
    <n v="0"/>
    <n v="0"/>
    <n v="-7891.2000390315843"/>
  </r>
  <r>
    <x v="4"/>
    <d v="2024-06-05T00:00:00"/>
    <d v="2024-06-24T00:00:00"/>
    <x v="11"/>
    <n v="9"/>
    <n v="118"/>
    <n v="3093.08"/>
    <n v="3020.76"/>
    <n v="356449.68000000005"/>
    <n v="364983.44"/>
    <n v="-8533.7599999999511"/>
    <n v="-685.66182777946676"/>
    <n v="-9219.4218277794171"/>
    <n v="0"/>
    <n v="0"/>
    <n v="0"/>
    <n v="-9219.4218277794171"/>
  </r>
  <r>
    <x v="5"/>
    <d v="2024-07-03T00:00:00"/>
    <d v="2024-07-24T00:00:00"/>
    <x v="11"/>
    <n v="9"/>
    <n v="173"/>
    <n v="3093.08"/>
    <n v="3020.76"/>
    <n v="522591.48000000004"/>
    <n v="535102.84"/>
    <n v="-12511.359999999928"/>
    <n v="-1005.2499678461672"/>
    <n v="-13516.609967846096"/>
    <n v="0"/>
    <n v="0"/>
    <n v="0"/>
    <n v="-13516.609967846096"/>
  </r>
  <r>
    <x v="6"/>
    <d v="2024-08-05T00:00:00"/>
    <d v="2024-08-26T00:00:00"/>
    <x v="11"/>
    <n v="9"/>
    <n v="164"/>
    <n v="3093.08"/>
    <n v="3020.76"/>
    <n v="495404.64"/>
    <n v="507265.12"/>
    <n v="-11860.479999999981"/>
    <n v="-952.95372674434361"/>
    <n v="-12813.433726744324"/>
    <n v="0"/>
    <n v="0"/>
    <n v="0"/>
    <n v="-12813.433726744324"/>
  </r>
  <r>
    <x v="7"/>
    <d v="2024-09-04T00:00:00"/>
    <d v="2024-09-24T00:00:00"/>
    <x v="11"/>
    <n v="9"/>
    <n v="170"/>
    <n v="3093.08"/>
    <n v="3020.76"/>
    <n v="513529.2"/>
    <n v="525823.6"/>
    <n v="-12294.399999999965"/>
    <n v="-987.81788747889277"/>
    <n v="-13282.217887478859"/>
    <n v="0"/>
    <n v="0"/>
    <n v="0"/>
    <n v="-13282.217887478859"/>
  </r>
  <r>
    <x v="8"/>
    <d v="2024-10-03T00:00:00"/>
    <d v="2024-10-24T00:00:00"/>
    <x v="11"/>
    <n v="9"/>
    <n v="156"/>
    <n v="3093.08"/>
    <n v="3020.76"/>
    <n v="471238.56000000006"/>
    <n v="482520.48"/>
    <n v="-11281.919999999925"/>
    <n v="-906.46817909827803"/>
    <n v="-12188.388179098203"/>
    <n v="0"/>
    <n v="0"/>
    <n v="0"/>
    <n v="-12188.388179098203"/>
  </r>
  <r>
    <x v="9"/>
    <d v="2024-11-05T00:00:00"/>
    <d v="2024-11-25T00:00:00"/>
    <x v="11"/>
    <n v="9"/>
    <n v="139"/>
    <n v="3093.08"/>
    <n v="3020.76"/>
    <n v="419885.64"/>
    <n v="429938.12"/>
    <n v="-10052.479999999981"/>
    <n v="-807.68639035038882"/>
    <n v="-10860.16639035037"/>
    <n v="0"/>
    <n v="0"/>
    <n v="0"/>
    <n v="-10860.16639035037"/>
  </r>
  <r>
    <x v="10"/>
    <d v="2024-12-04T00:00:00"/>
    <d v="2024-12-24T00:00:00"/>
    <x v="11"/>
    <n v="9"/>
    <n v="90"/>
    <n v="3093.08"/>
    <n v="3020.76"/>
    <n v="271868.40000000002"/>
    <n v="278377.2"/>
    <n v="-6508.7999999999884"/>
    <n v="-522.96241101823739"/>
    <n v="-7031.762411018226"/>
    <n v="0"/>
    <n v="0"/>
    <n v="0"/>
    <n v="-7031.762411018226"/>
  </r>
  <r>
    <x v="11"/>
    <d v="2025-01-03T00:00:00"/>
    <d v="2025-01-24T00:00:00"/>
    <x v="11"/>
    <n v="9"/>
    <n v="110"/>
    <n v="3093.08"/>
    <n v="3020.76"/>
    <n v="332283.60000000003"/>
    <n v="340238.8"/>
    <n v="-7955.1999999999534"/>
    <n v="-639.17628013340118"/>
    <n v="-8594.3762801333542"/>
    <n v="0"/>
    <n v="0"/>
    <n v="0"/>
    <n v="-8594.3762801333542"/>
  </r>
  <r>
    <x v="0"/>
    <d v="2024-02-05T00:00:00"/>
    <d v="2024-02-26T00:00:00"/>
    <x v="12"/>
    <n v="9"/>
    <n v="9"/>
    <n v="3093.08"/>
    <n v="3020.76"/>
    <n v="27186.840000000004"/>
    <n v="27837.72"/>
    <n v="-650.87999999999738"/>
    <n v="-52.296241101823739"/>
    <n v="-703.17624110182112"/>
    <n v="0"/>
    <n v="0"/>
    <n v="0"/>
    <n v="-703.17624110182112"/>
  </r>
  <r>
    <x v="1"/>
    <d v="2024-03-05T00:00:00"/>
    <d v="2024-03-25T00:00:00"/>
    <x v="12"/>
    <n v="9"/>
    <n v="8"/>
    <n v="3093.08"/>
    <n v="3020.76"/>
    <n v="24166.080000000002"/>
    <n v="24744.639999999999"/>
    <n v="-578.55999999999767"/>
    <n v="-46.485547646065541"/>
    <n v="-625.04554764606326"/>
    <n v="0"/>
    <n v="0"/>
    <n v="0"/>
    <n v="-625.04554764606326"/>
  </r>
  <r>
    <x v="2"/>
    <d v="2024-04-03T00:00:00"/>
    <d v="2024-04-24T00:00:00"/>
    <x v="12"/>
    <n v="9"/>
    <n v="10"/>
    <n v="3093.08"/>
    <n v="3020.76"/>
    <n v="30207.600000000002"/>
    <n v="30930.799999999999"/>
    <n v="-723.19999999999709"/>
    <n v="-58.10693455758193"/>
    <n v="-781.30693455757898"/>
    <n v="0"/>
    <n v="0"/>
    <n v="0"/>
    <n v="-781.30693455757898"/>
  </r>
  <r>
    <x v="3"/>
    <d v="2024-05-03T00:00:00"/>
    <d v="2024-05-24T00:00:00"/>
    <x v="12"/>
    <n v="9"/>
    <n v="7"/>
    <n v="3093.08"/>
    <n v="3020.76"/>
    <n v="21145.32"/>
    <n v="21651.559999999998"/>
    <n v="-506.23999999999796"/>
    <n v="-40.67485419030735"/>
    <n v="-546.91485419030528"/>
    <n v="0"/>
    <n v="0"/>
    <n v="0"/>
    <n v="-546.91485419030528"/>
  </r>
  <r>
    <x v="4"/>
    <d v="2024-06-05T00:00:00"/>
    <d v="2024-06-24T00:00:00"/>
    <x v="12"/>
    <n v="9"/>
    <n v="10"/>
    <n v="3093.08"/>
    <n v="3020.76"/>
    <n v="30207.600000000002"/>
    <n v="30930.799999999999"/>
    <n v="-723.19999999999709"/>
    <n v="-58.10693455758193"/>
    <n v="-781.30693455757898"/>
    <n v="0"/>
    <n v="0"/>
    <n v="0"/>
    <n v="-781.30693455757898"/>
  </r>
  <r>
    <x v="5"/>
    <d v="2024-07-03T00:00:00"/>
    <d v="2024-07-24T00:00:00"/>
    <x v="12"/>
    <n v="9"/>
    <n v="10"/>
    <n v="3093.08"/>
    <n v="3020.76"/>
    <n v="30207.600000000002"/>
    <n v="30930.799999999999"/>
    <n v="-723.19999999999709"/>
    <n v="-58.10693455758193"/>
    <n v="-781.30693455757898"/>
    <n v="0"/>
    <n v="0"/>
    <n v="0"/>
    <n v="-781.30693455757898"/>
  </r>
  <r>
    <x v="6"/>
    <d v="2024-08-05T00:00:00"/>
    <d v="2024-08-26T00:00:00"/>
    <x v="12"/>
    <n v="9"/>
    <n v="12"/>
    <n v="3093.08"/>
    <n v="3020.76"/>
    <n v="36249.120000000003"/>
    <n v="37116.959999999999"/>
    <n v="-867.83999999999651"/>
    <n v="-69.728321469098304"/>
    <n v="-937.56832146909483"/>
    <n v="0"/>
    <n v="0"/>
    <n v="0"/>
    <n v="-937.56832146909483"/>
  </r>
  <r>
    <x v="7"/>
    <d v="2024-09-04T00:00:00"/>
    <d v="2024-09-24T00:00:00"/>
    <x v="12"/>
    <n v="9"/>
    <n v="12"/>
    <n v="3093.08"/>
    <n v="3020.76"/>
    <n v="36249.120000000003"/>
    <n v="37116.959999999999"/>
    <n v="-867.83999999999651"/>
    <n v="-69.728321469098304"/>
    <n v="-937.56832146909483"/>
    <n v="0"/>
    <n v="0"/>
    <n v="0"/>
    <n v="-937.56832146909483"/>
  </r>
  <r>
    <x v="8"/>
    <d v="2024-10-03T00:00:00"/>
    <d v="2024-10-24T00:00:00"/>
    <x v="12"/>
    <n v="9"/>
    <n v="11"/>
    <n v="3093.08"/>
    <n v="3020.76"/>
    <n v="33228.36"/>
    <n v="34023.879999999997"/>
    <n v="-795.5199999999968"/>
    <n v="-63.917628013340114"/>
    <n v="-859.43762801333696"/>
    <n v="0"/>
    <n v="0"/>
    <n v="0"/>
    <n v="-859.43762801333696"/>
  </r>
  <r>
    <x v="9"/>
    <d v="2024-11-05T00:00:00"/>
    <d v="2024-11-25T00:00:00"/>
    <x v="12"/>
    <n v="9"/>
    <n v="10"/>
    <n v="3093.08"/>
    <n v="3020.76"/>
    <n v="30207.600000000002"/>
    <n v="30930.799999999999"/>
    <n v="-723.19999999999709"/>
    <n v="-58.10693455758193"/>
    <n v="-781.30693455757898"/>
    <n v="0"/>
    <n v="0"/>
    <n v="0"/>
    <n v="-781.30693455757898"/>
  </r>
  <r>
    <x v="10"/>
    <d v="2024-12-04T00:00:00"/>
    <d v="2024-12-24T00:00:00"/>
    <x v="12"/>
    <n v="9"/>
    <n v="10"/>
    <n v="3093.08"/>
    <n v="3020.76"/>
    <n v="30207.600000000002"/>
    <n v="30930.799999999999"/>
    <n v="-723.19999999999709"/>
    <n v="-58.10693455758193"/>
    <n v="-781.30693455757898"/>
    <n v="0"/>
    <n v="0"/>
    <n v="0"/>
    <n v="-781.30693455757898"/>
  </r>
  <r>
    <x v="11"/>
    <d v="2025-01-03T00:00:00"/>
    <d v="2025-01-24T00:00:00"/>
    <x v="12"/>
    <n v="9"/>
    <n v="10"/>
    <n v="3093.08"/>
    <n v="3020.76"/>
    <n v="30207.600000000002"/>
    <n v="30930.799999999999"/>
    <n v="-723.19999999999709"/>
    <n v="-58.10693455758193"/>
    <n v="-781.30693455757898"/>
    <n v="0"/>
    <n v="0"/>
    <n v="0"/>
    <n v="-781.30693455757898"/>
  </r>
  <r>
    <x v="0"/>
    <d v="2024-02-05T00:00:00"/>
    <d v="2024-02-26T00:00:00"/>
    <x v="13"/>
    <n v="9"/>
    <n v="26"/>
    <n v="3093.08"/>
    <n v="3020.76"/>
    <n v="78539.760000000009"/>
    <n v="80420.08"/>
    <n v="-1880.3199999999924"/>
    <n v="-151.078029849713"/>
    <n v="-2031.3980298497054"/>
    <n v="0"/>
    <n v="0"/>
    <n v="0"/>
    <n v="-2031.3980298497054"/>
  </r>
  <r>
    <x v="1"/>
    <d v="2024-03-05T00:00:00"/>
    <d v="2024-03-25T00:00:00"/>
    <x v="13"/>
    <n v="9"/>
    <n v="19"/>
    <n v="3093.08"/>
    <n v="3020.76"/>
    <n v="57394.44"/>
    <n v="58768.52"/>
    <n v="-1374.0799999999945"/>
    <n v="-110.40317565940566"/>
    <n v="-1484.4831756594001"/>
    <n v="0"/>
    <n v="0"/>
    <n v="0"/>
    <n v="-1484.4831756594001"/>
  </r>
  <r>
    <x v="2"/>
    <d v="2024-04-03T00:00:00"/>
    <d v="2024-04-24T00:00:00"/>
    <x v="13"/>
    <n v="9"/>
    <n v="18"/>
    <n v="3093.08"/>
    <n v="3020.76"/>
    <n v="54373.680000000008"/>
    <n v="55675.44"/>
    <n v="-1301.7599999999948"/>
    <n v="-104.59248220364748"/>
    <n v="-1406.3524822036422"/>
    <n v="0"/>
    <n v="0"/>
    <n v="0"/>
    <n v="-1406.3524822036422"/>
  </r>
  <r>
    <x v="3"/>
    <d v="2024-05-03T00:00:00"/>
    <d v="2024-05-24T00:00:00"/>
    <x v="13"/>
    <n v="9"/>
    <n v="22"/>
    <n v="3093.08"/>
    <n v="3020.76"/>
    <n v="66456.72"/>
    <n v="68047.759999999995"/>
    <n v="-1591.0399999999936"/>
    <n v="-127.83525602668023"/>
    <n v="-1718.8752560266739"/>
    <n v="0"/>
    <n v="0"/>
    <n v="0"/>
    <n v="-1718.8752560266739"/>
  </r>
  <r>
    <x v="4"/>
    <d v="2024-06-05T00:00:00"/>
    <d v="2024-06-24T00:00:00"/>
    <x v="13"/>
    <n v="9"/>
    <n v="31"/>
    <n v="3093.08"/>
    <n v="3020.76"/>
    <n v="93643.560000000012"/>
    <n v="95885.48"/>
    <n v="-2241.9199999999837"/>
    <n v="-180.13149712850395"/>
    <n v="-2422.0514971284874"/>
    <n v="0"/>
    <n v="0"/>
    <n v="0"/>
    <n v="-2422.0514971284874"/>
  </r>
  <r>
    <x v="5"/>
    <d v="2024-07-03T00:00:00"/>
    <d v="2024-07-24T00:00:00"/>
    <x v="13"/>
    <n v="9"/>
    <n v="36"/>
    <n v="3093.08"/>
    <n v="3020.76"/>
    <n v="108747.36000000002"/>
    <n v="111350.88"/>
    <n v="-2603.5199999999895"/>
    <n v="-209.18496440729496"/>
    <n v="-2812.7049644072845"/>
    <n v="0"/>
    <n v="0"/>
    <n v="0"/>
    <n v="-2812.7049644072845"/>
  </r>
  <r>
    <x v="6"/>
    <d v="2024-08-05T00:00:00"/>
    <d v="2024-08-26T00:00:00"/>
    <x v="13"/>
    <n v="9"/>
    <n v="38"/>
    <n v="3093.08"/>
    <n v="3020.76"/>
    <n v="114788.88"/>
    <n v="117537.04"/>
    <n v="-2748.1599999999889"/>
    <n v="-220.80635131881132"/>
    <n v="-2968.9663513188002"/>
    <n v="0"/>
    <n v="0"/>
    <n v="0"/>
    <n v="-2968.9663513188002"/>
  </r>
  <r>
    <x v="7"/>
    <d v="2024-09-04T00:00:00"/>
    <d v="2024-09-24T00:00:00"/>
    <x v="13"/>
    <n v="9"/>
    <n v="41"/>
    <n v="3093.08"/>
    <n v="3020.76"/>
    <n v="123851.16"/>
    <n v="126816.28"/>
    <n v="-2965.1199999999953"/>
    <n v="-238.2384316860859"/>
    <n v="-3203.3584316860811"/>
    <n v="0"/>
    <n v="0"/>
    <n v="0"/>
    <n v="-3203.3584316860811"/>
  </r>
  <r>
    <x v="8"/>
    <d v="2024-10-03T00:00:00"/>
    <d v="2024-10-24T00:00:00"/>
    <x v="13"/>
    <n v="9"/>
    <n v="29"/>
    <n v="3093.08"/>
    <n v="3020.76"/>
    <n v="87602.040000000008"/>
    <n v="89699.319999999992"/>
    <n v="-2097.2799999999843"/>
    <n v="-168.51011021698758"/>
    <n v="-2265.7901102169717"/>
    <n v="0"/>
    <n v="0"/>
    <n v="0"/>
    <n v="-2265.7901102169717"/>
  </r>
  <r>
    <x v="9"/>
    <d v="2024-11-05T00:00:00"/>
    <d v="2024-11-25T00:00:00"/>
    <x v="13"/>
    <n v="9"/>
    <n v="26"/>
    <n v="3093.08"/>
    <n v="3020.76"/>
    <n v="78539.760000000009"/>
    <n v="80420.08"/>
    <n v="-1880.3199999999924"/>
    <n v="-151.078029849713"/>
    <n v="-2031.3980298497054"/>
    <n v="0"/>
    <n v="0"/>
    <n v="0"/>
    <n v="-2031.3980298497054"/>
  </r>
  <r>
    <x v="10"/>
    <d v="2024-12-04T00:00:00"/>
    <d v="2024-12-24T00:00:00"/>
    <x v="13"/>
    <n v="9"/>
    <n v="22"/>
    <n v="3093.08"/>
    <n v="3020.76"/>
    <n v="66456.72"/>
    <n v="68047.759999999995"/>
    <n v="-1591.0399999999936"/>
    <n v="-127.83525602668023"/>
    <n v="-1718.8752560266739"/>
    <n v="0"/>
    <n v="0"/>
    <n v="0"/>
    <n v="-1718.8752560266739"/>
  </r>
  <r>
    <x v="11"/>
    <d v="2025-01-03T00:00:00"/>
    <d v="2025-01-24T00:00:00"/>
    <x v="13"/>
    <n v="9"/>
    <n v="18"/>
    <n v="3093.08"/>
    <n v="3020.76"/>
    <n v="54373.680000000008"/>
    <n v="55675.44"/>
    <n v="-1301.7599999999948"/>
    <n v="-104.59248220364748"/>
    <n v="-1406.3524822036422"/>
    <n v="0"/>
    <n v="0"/>
    <n v="0"/>
    <n v="-1406.3524822036422"/>
  </r>
  <r>
    <x v="0"/>
    <d v="2024-02-05T00:00:00"/>
    <d v="2024-02-26T00:00:00"/>
    <x v="14"/>
    <n v="9"/>
    <n v="34"/>
    <n v="3093.08"/>
    <n v="3020.76"/>
    <n v="102705.84000000001"/>
    <n v="105164.72"/>
    <n v="-2458.8799999999901"/>
    <n v="-197.56357749577856"/>
    <n v="-2656.4435774957687"/>
    <n v="0"/>
    <n v="0"/>
    <n v="0"/>
    <n v="-2656.4435774957687"/>
  </r>
  <r>
    <x v="1"/>
    <d v="2024-03-05T00:00:00"/>
    <d v="2024-03-25T00:00:00"/>
    <x v="14"/>
    <n v="9"/>
    <n v="32"/>
    <n v="3093.08"/>
    <n v="3020.76"/>
    <n v="96664.320000000007"/>
    <n v="98978.559999999998"/>
    <n v="-2314.2399999999907"/>
    <n v="-185.94219058426216"/>
    <n v="-2500.182190584253"/>
    <n v="0"/>
    <n v="0"/>
    <n v="0"/>
    <n v="-2500.182190584253"/>
  </r>
  <r>
    <x v="2"/>
    <d v="2024-04-03T00:00:00"/>
    <d v="2024-04-24T00:00:00"/>
    <x v="14"/>
    <n v="9"/>
    <n v="32"/>
    <n v="3093.08"/>
    <n v="3020.76"/>
    <n v="96664.320000000007"/>
    <n v="98978.559999999998"/>
    <n v="-2314.2399999999907"/>
    <n v="-185.94219058426216"/>
    <n v="-2500.182190584253"/>
    <n v="0"/>
    <n v="0"/>
    <n v="0"/>
    <n v="-2500.182190584253"/>
  </r>
  <r>
    <x v="3"/>
    <d v="2024-05-03T00:00:00"/>
    <d v="2024-05-24T00:00:00"/>
    <x v="14"/>
    <n v="9"/>
    <n v="33"/>
    <n v="3093.08"/>
    <n v="3020.76"/>
    <n v="99685.08"/>
    <n v="102071.64"/>
    <n v="-2386.5599999999977"/>
    <n v="-191.75288404002035"/>
    <n v="-2578.3128840400182"/>
    <n v="0"/>
    <n v="0"/>
    <n v="0"/>
    <n v="-2578.3128840400182"/>
  </r>
  <r>
    <x v="4"/>
    <d v="2024-06-05T00:00:00"/>
    <d v="2024-06-24T00:00:00"/>
    <x v="14"/>
    <n v="9"/>
    <n v="40"/>
    <n v="3093.08"/>
    <n v="3020.76"/>
    <n v="120830.40000000001"/>
    <n v="123723.2"/>
    <n v="-2892.7999999999884"/>
    <n v="-232.42773823032772"/>
    <n v="-3125.2277382303159"/>
    <n v="0"/>
    <n v="0"/>
    <n v="0"/>
    <n v="-3125.2277382303159"/>
  </r>
  <r>
    <x v="5"/>
    <d v="2024-07-03T00:00:00"/>
    <d v="2024-07-24T00:00:00"/>
    <x v="14"/>
    <n v="9"/>
    <n v="47"/>
    <n v="3093.08"/>
    <n v="3020.76"/>
    <n v="141975.72"/>
    <n v="145374.76"/>
    <n v="-3399.0400000000081"/>
    <n v="-273.10259242063506"/>
    <n v="-3672.1425924206433"/>
    <n v="0"/>
    <n v="0"/>
    <n v="0"/>
    <n v="-3672.1425924206433"/>
  </r>
  <r>
    <x v="6"/>
    <d v="2024-08-05T00:00:00"/>
    <d v="2024-08-26T00:00:00"/>
    <x v="14"/>
    <n v="9"/>
    <n v="47"/>
    <n v="3093.08"/>
    <n v="3020.76"/>
    <n v="141975.72"/>
    <n v="145374.76"/>
    <n v="-3399.0400000000081"/>
    <n v="-273.10259242063506"/>
    <n v="-3672.1425924206433"/>
    <n v="0"/>
    <n v="0"/>
    <n v="0"/>
    <n v="-3672.1425924206433"/>
  </r>
  <r>
    <x v="7"/>
    <d v="2024-09-04T00:00:00"/>
    <d v="2024-09-24T00:00:00"/>
    <x v="14"/>
    <n v="9"/>
    <n v="51"/>
    <n v="3093.08"/>
    <n v="3020.76"/>
    <n v="154058.76"/>
    <n v="157747.07999999999"/>
    <n v="-3688.3199999999779"/>
    <n v="-296.3453662436678"/>
    <n v="-3984.6653662436456"/>
    <n v="0"/>
    <n v="0"/>
    <n v="0"/>
    <n v="-3984.6653662436456"/>
  </r>
  <r>
    <x v="8"/>
    <d v="2024-10-03T00:00:00"/>
    <d v="2024-10-24T00:00:00"/>
    <x v="14"/>
    <n v="9"/>
    <n v="43"/>
    <n v="3093.08"/>
    <n v="3020.76"/>
    <n v="129892.68000000001"/>
    <n v="133002.44"/>
    <n v="-3109.7599999999948"/>
    <n v="-249.85981859760227"/>
    <n v="-3359.6198185975973"/>
    <n v="0"/>
    <n v="0"/>
    <n v="0"/>
    <n v="-3359.6198185975973"/>
  </r>
  <r>
    <x v="9"/>
    <d v="2024-11-05T00:00:00"/>
    <d v="2024-11-25T00:00:00"/>
    <x v="14"/>
    <n v="9"/>
    <n v="37"/>
    <n v="3093.08"/>
    <n v="3020.76"/>
    <n v="111768.12000000001"/>
    <n v="114443.95999999999"/>
    <n v="-2675.839999999982"/>
    <n v="-214.99565786305311"/>
    <n v="-2890.8356578630351"/>
    <n v="0"/>
    <n v="0"/>
    <n v="0"/>
    <n v="-2890.8356578630351"/>
  </r>
  <r>
    <x v="10"/>
    <d v="2024-12-04T00:00:00"/>
    <d v="2024-12-24T00:00:00"/>
    <x v="14"/>
    <n v="9"/>
    <n v="34"/>
    <n v="3093.08"/>
    <n v="3020.76"/>
    <n v="102705.84000000001"/>
    <n v="105164.72"/>
    <n v="-2458.8799999999901"/>
    <n v="-197.56357749577856"/>
    <n v="-2656.4435774957687"/>
    <n v="0"/>
    <n v="0"/>
    <n v="0"/>
    <n v="-2656.4435774957687"/>
  </r>
  <r>
    <x v="11"/>
    <d v="2025-01-03T00:00:00"/>
    <d v="2025-01-24T00:00:00"/>
    <x v="14"/>
    <n v="9"/>
    <n v="32"/>
    <n v="3093.08"/>
    <n v="3020.76"/>
    <n v="96664.320000000007"/>
    <n v="98978.559999999998"/>
    <n v="-2314.2399999999907"/>
    <n v="-185.94219058426216"/>
    <n v="-2500.182190584253"/>
    <n v="0"/>
    <n v="0"/>
    <n v="0"/>
    <n v="-2500.182190584253"/>
  </r>
  <r>
    <x v="0"/>
    <d v="2024-02-05T00:00:00"/>
    <d v="2024-02-26T00:00:00"/>
    <x v="15"/>
    <n v="9"/>
    <n v="104"/>
    <n v="3093.08"/>
    <n v="3020.76"/>
    <n v="314159.04000000004"/>
    <n v="321680.32"/>
    <n v="-7521.2799999999697"/>
    <n v="-604.31211939885202"/>
    <n v="-8125.5921193988215"/>
    <n v="0"/>
    <n v="0"/>
    <n v="0"/>
    <n v="-8125.5921193988215"/>
  </r>
  <r>
    <x v="1"/>
    <d v="2024-03-05T00:00:00"/>
    <d v="2024-03-25T00:00:00"/>
    <x v="15"/>
    <n v="9"/>
    <n v="99"/>
    <n v="3093.08"/>
    <n v="3020.76"/>
    <n v="299055.24000000005"/>
    <n v="306214.92"/>
    <n v="-7159.6799999999348"/>
    <n v="-575.25865212006102"/>
    <n v="-7734.9386521199958"/>
    <n v="0"/>
    <n v="0"/>
    <n v="0"/>
    <n v="-7734.9386521199958"/>
  </r>
  <r>
    <x v="2"/>
    <d v="2024-04-03T00:00:00"/>
    <d v="2024-04-24T00:00:00"/>
    <x v="15"/>
    <n v="9"/>
    <n v="99"/>
    <n v="3093.08"/>
    <n v="3020.76"/>
    <n v="299055.24000000005"/>
    <n v="306214.92"/>
    <n v="-7159.6799999999348"/>
    <n v="-575.25865212006102"/>
    <n v="-7734.9386521199958"/>
    <n v="0"/>
    <n v="0"/>
    <n v="0"/>
    <n v="-7734.9386521199958"/>
  </r>
  <r>
    <x v="3"/>
    <d v="2024-05-03T00:00:00"/>
    <d v="2024-05-24T00:00:00"/>
    <x v="15"/>
    <n v="9"/>
    <n v="99"/>
    <n v="3093.08"/>
    <n v="3020.76"/>
    <n v="299055.24000000005"/>
    <n v="306214.92"/>
    <n v="-7159.6799999999348"/>
    <n v="-575.25865212006102"/>
    <n v="-7734.9386521199958"/>
    <n v="0"/>
    <n v="0"/>
    <n v="0"/>
    <n v="-7734.9386521199958"/>
  </r>
  <r>
    <x v="4"/>
    <d v="2024-06-05T00:00:00"/>
    <d v="2024-06-24T00:00:00"/>
    <x v="15"/>
    <n v="9"/>
    <n v="106"/>
    <n v="3093.08"/>
    <n v="3020.76"/>
    <n v="320200.56"/>
    <n v="327866.48"/>
    <n v="-7665.9199999999837"/>
    <n v="-615.93350631036844"/>
    <n v="-8281.8535063103518"/>
    <n v="0"/>
    <n v="0"/>
    <n v="0"/>
    <n v="-8281.8535063103518"/>
  </r>
  <r>
    <x v="5"/>
    <d v="2024-07-03T00:00:00"/>
    <d v="2024-07-24T00:00:00"/>
    <x v="15"/>
    <n v="9"/>
    <n v="120"/>
    <n v="3093.08"/>
    <n v="3020.76"/>
    <n v="362491.2"/>
    <n v="371169.6"/>
    <n v="-8678.3999999999651"/>
    <n v="-697.28321469098307"/>
    <n v="-9375.6832146909474"/>
    <n v="0"/>
    <n v="0"/>
    <n v="0"/>
    <n v="-9375.6832146909474"/>
  </r>
  <r>
    <x v="6"/>
    <d v="2024-08-05T00:00:00"/>
    <d v="2024-08-26T00:00:00"/>
    <x v="15"/>
    <n v="9"/>
    <n v="117"/>
    <n v="3093.08"/>
    <n v="3020.76"/>
    <n v="353428.92000000004"/>
    <n v="361890.36"/>
    <n v="-8461.4399999999441"/>
    <n v="-679.85113432370861"/>
    <n v="-9141.2911343236519"/>
    <n v="0"/>
    <n v="0"/>
    <n v="0"/>
    <n v="-9141.2911343236519"/>
  </r>
  <r>
    <x v="7"/>
    <d v="2024-09-04T00:00:00"/>
    <d v="2024-09-24T00:00:00"/>
    <x v="15"/>
    <n v="9"/>
    <n v="118"/>
    <n v="3093.08"/>
    <n v="3020.76"/>
    <n v="356449.68000000005"/>
    <n v="364983.44"/>
    <n v="-8533.7599999999511"/>
    <n v="-685.66182777946676"/>
    <n v="-9219.4218277794171"/>
    <n v="0"/>
    <n v="0"/>
    <n v="0"/>
    <n v="-9219.4218277794171"/>
  </r>
  <r>
    <x v="8"/>
    <d v="2024-10-03T00:00:00"/>
    <d v="2024-10-24T00:00:00"/>
    <x v="15"/>
    <n v="9"/>
    <n v="117"/>
    <n v="3093.08"/>
    <n v="3020.76"/>
    <n v="353428.92000000004"/>
    <n v="361890.36"/>
    <n v="-8461.4399999999441"/>
    <n v="-679.85113432370861"/>
    <n v="-9141.2911343236519"/>
    <n v="0"/>
    <n v="0"/>
    <n v="0"/>
    <n v="-9141.2911343236519"/>
  </r>
  <r>
    <x v="9"/>
    <d v="2024-11-05T00:00:00"/>
    <d v="2024-11-25T00:00:00"/>
    <x v="15"/>
    <n v="9"/>
    <n v="107"/>
    <n v="3093.08"/>
    <n v="3020.76"/>
    <n v="323221.32"/>
    <n v="330959.56"/>
    <n v="-7738.2399999999907"/>
    <n v="-621.7441997661266"/>
    <n v="-8359.9841997661169"/>
    <n v="0"/>
    <n v="0"/>
    <n v="0"/>
    <n v="-8359.9841997661169"/>
  </r>
  <r>
    <x v="10"/>
    <d v="2024-12-04T00:00:00"/>
    <d v="2024-12-24T00:00:00"/>
    <x v="15"/>
    <n v="9"/>
    <n v="91"/>
    <n v="3093.08"/>
    <n v="3020.76"/>
    <n v="274889.16000000003"/>
    <n v="281470.27999999997"/>
    <n v="-6581.1199999999371"/>
    <n v="-528.77310447399555"/>
    <n v="-7109.8931044739329"/>
    <n v="0"/>
    <n v="0"/>
    <n v="0"/>
    <n v="-7109.8931044739329"/>
  </r>
  <r>
    <x v="11"/>
    <d v="2025-01-03T00:00:00"/>
    <d v="2025-01-24T00:00:00"/>
    <x v="15"/>
    <n v="9"/>
    <n v="102"/>
    <n v="3093.08"/>
    <n v="3020.76"/>
    <n v="308117.52"/>
    <n v="315494.15999999997"/>
    <n v="-7376.6399999999558"/>
    <n v="-592.69073248733559"/>
    <n v="-7969.3307324872912"/>
    <n v="0"/>
    <n v="0"/>
    <n v="0"/>
    <n v="-7969.33073248729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D7" sqref="D7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6B37-5300-4465-A162-3DD5E0D1F129}">
  <dimension ref="A1:F22"/>
  <sheetViews>
    <sheetView workbookViewId="0">
      <selection activeCell="D3" sqref="D3"/>
    </sheetView>
  </sheetViews>
  <sheetFormatPr defaultRowHeight="12.5" x14ac:dyDescent="0.25"/>
  <cols>
    <col min="1" max="1" width="51.54296875" bestFit="1" customWidth="1"/>
    <col min="2" max="2" width="13.1796875" customWidth="1"/>
    <col min="3" max="3" width="14.1796875" bestFit="1" customWidth="1"/>
    <col min="4" max="4" width="12.7265625" bestFit="1" customWidth="1"/>
    <col min="5" max="5" width="10.54296875" bestFit="1" customWidth="1"/>
  </cols>
  <sheetData>
    <row r="1" spans="1:5" x14ac:dyDescent="0.25">
      <c r="C1" t="s">
        <v>21</v>
      </c>
      <c r="D1" t="s">
        <v>22</v>
      </c>
      <c r="E1" t="s">
        <v>96</v>
      </c>
    </row>
    <row r="2" spans="1:5" ht="25" x14ac:dyDescent="0.25">
      <c r="A2" s="230" t="s">
        <v>98</v>
      </c>
      <c r="B2" s="231" t="s">
        <v>97</v>
      </c>
      <c r="C2" s="228">
        <v>0</v>
      </c>
      <c r="D2" s="228">
        <v>0</v>
      </c>
      <c r="E2" s="227">
        <f>C2+D2</f>
        <v>0</v>
      </c>
    </row>
    <row r="3" spans="1:5" ht="13" thickBot="1" x14ac:dyDescent="0.3"/>
    <row r="4" spans="1:5" x14ac:dyDescent="0.25">
      <c r="A4" s="220" t="s">
        <v>14</v>
      </c>
      <c r="B4" s="216">
        <f>0.074+0.018</f>
        <v>9.1999999999999998E-2</v>
      </c>
      <c r="C4" s="227">
        <f>$C$2*B4</f>
        <v>0</v>
      </c>
      <c r="D4" s="227">
        <f>$D$2*B4</f>
        <v>0</v>
      </c>
      <c r="E4" s="227">
        <f t="shared" ref="E4:E20" si="0">C4+D4</f>
        <v>0</v>
      </c>
    </row>
    <row r="5" spans="1:5" x14ac:dyDescent="0.25">
      <c r="A5" s="221" t="s">
        <v>83</v>
      </c>
      <c r="B5" s="214">
        <v>5.0000000000000001E-3</v>
      </c>
      <c r="C5" s="227">
        <f t="shared" ref="C5:C16" si="1">$C$2*B5</f>
        <v>0</v>
      </c>
      <c r="D5" s="227">
        <f t="shared" ref="D5:D16" si="2">$D$2*B5</f>
        <v>0</v>
      </c>
      <c r="E5" s="227">
        <f t="shared" si="0"/>
        <v>0</v>
      </c>
    </row>
    <row r="6" spans="1:5" x14ac:dyDescent="0.25">
      <c r="A6" s="221" t="s">
        <v>54</v>
      </c>
      <c r="B6" s="214">
        <v>1.4999999999999999E-2</v>
      </c>
      <c r="C6" s="227">
        <f t="shared" si="1"/>
        <v>0</v>
      </c>
      <c r="D6" s="227">
        <f t="shared" si="2"/>
        <v>0</v>
      </c>
      <c r="E6" s="227">
        <f t="shared" si="0"/>
        <v>0</v>
      </c>
    </row>
    <row r="7" spans="1:5" x14ac:dyDescent="0.25">
      <c r="A7" s="222" t="s">
        <v>17</v>
      </c>
      <c r="B7" s="216">
        <v>1.2999999999999999E-2</v>
      </c>
      <c r="C7" s="227">
        <f t="shared" si="1"/>
        <v>0</v>
      </c>
      <c r="D7" s="227">
        <f t="shared" si="2"/>
        <v>0</v>
      </c>
      <c r="E7" s="227">
        <f t="shared" si="0"/>
        <v>0</v>
      </c>
    </row>
    <row r="8" spans="1:5" x14ac:dyDescent="0.25">
      <c r="A8" s="221" t="s">
        <v>13</v>
      </c>
      <c r="B8" s="214">
        <v>0.10199999999999999</v>
      </c>
      <c r="C8" s="227">
        <f t="shared" si="1"/>
        <v>0</v>
      </c>
      <c r="D8" s="227">
        <f t="shared" si="2"/>
        <v>0</v>
      </c>
      <c r="E8" s="227">
        <f t="shared" si="0"/>
        <v>0</v>
      </c>
    </row>
    <row r="9" spans="1:5" x14ac:dyDescent="0.25">
      <c r="A9" s="222" t="s">
        <v>15</v>
      </c>
      <c r="B9" s="216">
        <v>1E-3</v>
      </c>
      <c r="C9" s="227">
        <f t="shared" si="1"/>
        <v>0</v>
      </c>
      <c r="D9" s="227">
        <f t="shared" si="2"/>
        <v>0</v>
      </c>
      <c r="E9" s="227">
        <f t="shared" si="0"/>
        <v>0</v>
      </c>
    </row>
    <row r="10" spans="1:5" x14ac:dyDescent="0.25">
      <c r="A10" s="222" t="s">
        <v>57</v>
      </c>
      <c r="B10" s="216">
        <v>5.0000000000000001E-3</v>
      </c>
      <c r="C10" s="227">
        <f t="shared" si="1"/>
        <v>0</v>
      </c>
      <c r="D10" s="227">
        <f t="shared" si="2"/>
        <v>0</v>
      </c>
      <c r="E10" s="227">
        <f t="shared" si="0"/>
        <v>0</v>
      </c>
    </row>
    <row r="11" spans="1:5" x14ac:dyDescent="0.25">
      <c r="A11" s="222" t="s">
        <v>16</v>
      </c>
      <c r="B11" s="216">
        <v>0</v>
      </c>
      <c r="C11" s="227">
        <f t="shared" si="1"/>
        <v>0</v>
      </c>
      <c r="D11" s="227">
        <f t="shared" si="2"/>
        <v>0</v>
      </c>
      <c r="E11" s="227">
        <f t="shared" si="0"/>
        <v>0</v>
      </c>
    </row>
    <row r="12" spans="1:5" x14ac:dyDescent="0.25">
      <c r="A12" s="221" t="s">
        <v>56</v>
      </c>
      <c r="B12" s="214">
        <v>3.0000000000000001E-3</v>
      </c>
      <c r="C12" s="227">
        <f t="shared" si="1"/>
        <v>0</v>
      </c>
      <c r="D12" s="227">
        <f t="shared" si="2"/>
        <v>0</v>
      </c>
      <c r="E12" s="227">
        <f t="shared" si="0"/>
        <v>0</v>
      </c>
    </row>
    <row r="13" spans="1:5" x14ac:dyDescent="0.25">
      <c r="A13" s="221" t="s">
        <v>19</v>
      </c>
      <c r="B13" s="214">
        <f>0.003+0.002</f>
        <v>5.0000000000000001E-3</v>
      </c>
      <c r="C13" s="227">
        <f t="shared" si="1"/>
        <v>0</v>
      </c>
      <c r="D13" s="227">
        <f t="shared" si="2"/>
        <v>0</v>
      </c>
      <c r="E13" s="227">
        <f t="shared" si="0"/>
        <v>0</v>
      </c>
    </row>
    <row r="14" spans="1:5" x14ac:dyDescent="0.25">
      <c r="A14" s="222" t="s">
        <v>8</v>
      </c>
      <c r="B14" s="216">
        <v>1.2999999999999999E-2</v>
      </c>
      <c r="C14" s="227">
        <f t="shared" si="1"/>
        <v>0</v>
      </c>
      <c r="D14" s="227">
        <f t="shared" si="2"/>
        <v>0</v>
      </c>
      <c r="E14" s="227">
        <f t="shared" si="0"/>
        <v>0</v>
      </c>
    </row>
    <row r="15" spans="1:5" x14ac:dyDescent="0.25">
      <c r="A15" s="222" t="s">
        <v>55</v>
      </c>
      <c r="B15" s="216">
        <v>1E-3</v>
      </c>
      <c r="C15" s="227">
        <f t="shared" si="1"/>
        <v>0</v>
      </c>
      <c r="D15" s="227">
        <f t="shared" si="2"/>
        <v>0</v>
      </c>
      <c r="E15" s="227">
        <f t="shared" si="0"/>
        <v>0</v>
      </c>
    </row>
    <row r="16" spans="1:5" x14ac:dyDescent="0.25">
      <c r="A16" s="223" t="s">
        <v>9</v>
      </c>
      <c r="B16" s="216">
        <v>5.0000000000000001E-3</v>
      </c>
      <c r="C16" s="227">
        <f t="shared" si="1"/>
        <v>0</v>
      </c>
      <c r="D16" s="227">
        <f t="shared" si="2"/>
        <v>0</v>
      </c>
      <c r="E16" s="227">
        <f t="shared" si="0"/>
        <v>0</v>
      </c>
    </row>
    <row r="17" spans="1:6" ht="23" x14ac:dyDescent="0.25">
      <c r="A17" s="224" t="s">
        <v>43</v>
      </c>
      <c r="B17" s="215"/>
      <c r="C17" s="217">
        <f>SUM(C4:C16)</f>
        <v>0</v>
      </c>
      <c r="D17" s="217">
        <f>SUM(D4:D16)</f>
        <v>0</v>
      </c>
      <c r="E17" s="217">
        <f>SUM(E4:E16)</f>
        <v>0</v>
      </c>
      <c r="F17" s="218"/>
    </row>
    <row r="18" spans="1:6" x14ac:dyDescent="0.25">
      <c r="A18" s="225" t="s">
        <v>21</v>
      </c>
      <c r="B18" s="214">
        <v>0.37</v>
      </c>
      <c r="C18" s="227">
        <f>$C$2*B18</f>
        <v>0</v>
      </c>
      <c r="D18" s="227">
        <f>$D$2*B18</f>
        <v>0</v>
      </c>
      <c r="E18" s="227">
        <f t="shared" si="0"/>
        <v>0</v>
      </c>
    </row>
    <row r="19" spans="1:6" x14ac:dyDescent="0.25">
      <c r="A19" s="222" t="s">
        <v>22</v>
      </c>
      <c r="B19" s="216">
        <v>0.35399999999999998</v>
      </c>
      <c r="C19" s="227">
        <f t="shared" ref="C19:C20" si="3">$C$2*B19</f>
        <v>0</v>
      </c>
      <c r="D19" s="227">
        <f t="shared" ref="D19:D20" si="4">$D$2*B19</f>
        <v>0</v>
      </c>
      <c r="E19" s="227">
        <f t="shared" si="0"/>
        <v>0</v>
      </c>
    </row>
    <row r="20" spans="1:6" x14ac:dyDescent="0.25">
      <c r="A20" s="223" t="s">
        <v>81</v>
      </c>
      <c r="B20" s="216">
        <v>1.6E-2</v>
      </c>
      <c r="C20" s="227">
        <f t="shared" si="3"/>
        <v>0</v>
      </c>
      <c r="D20" s="227">
        <f t="shared" si="4"/>
        <v>0</v>
      </c>
      <c r="E20" s="227">
        <f t="shared" si="0"/>
        <v>0</v>
      </c>
    </row>
    <row r="21" spans="1:6" ht="23" x14ac:dyDescent="0.25">
      <c r="A21" s="224" t="s">
        <v>51</v>
      </c>
      <c r="B21" s="219"/>
      <c r="C21" s="229">
        <f>SUM(C18:C20)</f>
        <v>0</v>
      </c>
      <c r="D21" s="229">
        <f>SUM(D18:D20)</f>
        <v>0</v>
      </c>
      <c r="E21" s="229">
        <f>SUM(E18:E20)</f>
        <v>0</v>
      </c>
    </row>
    <row r="22" spans="1:6" ht="13" thickBot="1" x14ac:dyDescent="0.3">
      <c r="A22" s="226" t="s">
        <v>44</v>
      </c>
      <c r="B22" s="213"/>
      <c r="C22" s="227">
        <f>C17+C21</f>
        <v>0</v>
      </c>
      <c r="D22" s="227">
        <f>D17+D21</f>
        <v>0</v>
      </c>
      <c r="E22" s="227">
        <f>E17+E21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0"/>
  <sheetViews>
    <sheetView topLeftCell="A14" zoomScale="85" zoomScaleNormal="85" zoomScaleSheetLayoutView="100" workbookViewId="0">
      <selection activeCell="E28" sqref="E28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57" t="str">
        <f>+Transactions!B1</f>
        <v>AEPTCo Formula Rate -- FERC Docket ER18-195</v>
      </c>
      <c r="D1" s="257"/>
      <c r="E1" s="257"/>
      <c r="F1" s="257"/>
      <c r="G1" s="257"/>
      <c r="H1" s="257"/>
      <c r="I1" s="257"/>
      <c r="J1" s="6">
        <v>2024</v>
      </c>
    </row>
    <row r="2" spans="2:17" ht="13" x14ac:dyDescent="0.3">
      <c r="C2" s="257" t="s">
        <v>36</v>
      </c>
      <c r="D2" s="257"/>
      <c r="E2" s="257"/>
      <c r="F2" s="257"/>
      <c r="G2" s="257"/>
      <c r="H2" s="257"/>
      <c r="I2" s="257"/>
    </row>
    <row r="3" spans="2:17" ht="13" x14ac:dyDescent="0.3">
      <c r="C3" s="257" t="str">
        <f>"for period 01/01/"&amp;F8&amp;" - 12/31/"&amp;F8</f>
        <v>for period 01/01/2024 - 12/31/2024</v>
      </c>
      <c r="D3" s="257"/>
      <c r="E3" s="257"/>
      <c r="F3" s="257"/>
      <c r="G3" s="257"/>
      <c r="H3" s="257"/>
      <c r="I3" s="257"/>
    </row>
    <row r="4" spans="2:17" ht="13" x14ac:dyDescent="0.3">
      <c r="C4" s="257" t="s">
        <v>94</v>
      </c>
      <c r="D4" s="257"/>
      <c r="E4" s="257"/>
      <c r="F4" s="257"/>
      <c r="G4" s="257"/>
      <c r="H4" s="257"/>
      <c r="I4" s="257"/>
    </row>
    <row r="5" spans="2:17" x14ac:dyDescent="0.25">
      <c r="C5" s="7" t="str">
        <f>"Prepared:  May 24_, "&amp;J1+1&amp;""</f>
        <v>Prepared:  May 24_, 2025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2024</v>
      </c>
    </row>
    <row r="9" spans="2:17" ht="20.25" customHeight="1" x14ac:dyDescent="0.3">
      <c r="E9" s="12" t="s">
        <v>93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"&amp;F8+1&amp;" Update of May "&amp;F8+1&amp;")"</f>
        <v>(per 2025 Update of May 2025)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313988211.5286113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307667288.58820981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3093.08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3020.76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92</v>
      </c>
      <c r="I19" s="54" t="s">
        <v>91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50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100</v>
      </c>
      <c r="G20" s="58" t="s">
        <v>101</v>
      </c>
      <c r="H20" s="58" t="s">
        <v>103</v>
      </c>
      <c r="I20" s="56" t="s">
        <v>102</v>
      </c>
      <c r="L20" s="50"/>
      <c r="M20" s="51"/>
      <c r="N20" s="51"/>
      <c r="O20" s="51"/>
      <c r="P20" s="51"/>
      <c r="Q20" s="51"/>
    </row>
    <row r="21" spans="2:17" x14ac:dyDescent="0.25">
      <c r="B21" s="59"/>
      <c r="C21" s="60" t="s">
        <v>14</v>
      </c>
      <c r="D21" s="61">
        <f>GETPIVOTDATA("Sum of "&amp;T(Transactions!$J$19),Pivot!$A$3,"Customer",C21)</f>
        <v>29159396.280000001</v>
      </c>
      <c r="E21" s="61">
        <f>GETPIVOTDATA("Sum of "&amp;T(Transactions!$K$19),Pivot!$A$3,"Customer",C21)</f>
        <v>29857501.239999998</v>
      </c>
      <c r="F21" s="61">
        <f>D21-E21</f>
        <v>-698104.95999999717</v>
      </c>
      <c r="G21" s="51">
        <f>+GETPIVOTDATA("Sum of "&amp;T(Transactions!$M$19),Pivot!$A$3,"Customer","AECC")</f>
        <v>-56090.62392843383</v>
      </c>
      <c r="H21" s="51">
        <f>-'20XX NOLC Refund Detail'!E4</f>
        <v>0</v>
      </c>
      <c r="I21" s="62">
        <f>F21+G21+H21</f>
        <v>-754195.58392843104</v>
      </c>
      <c r="J21" s="59"/>
      <c r="L21" s="50"/>
      <c r="M21" s="51"/>
      <c r="N21" s="51"/>
      <c r="O21" s="51"/>
      <c r="P21" s="51"/>
      <c r="Q21" s="51"/>
    </row>
    <row r="22" spans="2:17" x14ac:dyDescent="0.25">
      <c r="B22" s="59"/>
      <c r="C22" s="63" t="s">
        <v>83</v>
      </c>
      <c r="D22" s="61">
        <f>GETPIVOTDATA("Sum of "&amp;T(Transactions!$J$19),Pivot!$A$3,"Customer",C22)</f>
        <v>1492255.4400000002</v>
      </c>
      <c r="E22" s="61">
        <f>GETPIVOTDATA("Sum of "&amp;T(Transactions!$K$19),Pivot!$A$3,"Customer",C22)</f>
        <v>1527981.52</v>
      </c>
      <c r="F22" s="61">
        <f>D22-E22</f>
        <v>-35726.079999999842</v>
      </c>
      <c r="G22" s="51">
        <f>+GETPIVOTDATA("Sum of "&amp;T(Transactions!$M$19),Pivot!$A$3,"Customer","AECI")</f>
        <v>-2870.4825671445469</v>
      </c>
      <c r="H22" s="51">
        <f>-'20XX NOLC Refund Detail'!E5</f>
        <v>0</v>
      </c>
      <c r="I22" s="62">
        <f t="shared" ref="I22:I33" si="0">F22+G22+H22</f>
        <v>-38596.562567144385</v>
      </c>
      <c r="J22" s="59"/>
      <c r="L22" s="50"/>
      <c r="M22" s="51"/>
      <c r="N22" s="51"/>
      <c r="O22" s="51"/>
      <c r="P22" s="51"/>
      <c r="Q22" s="51"/>
    </row>
    <row r="23" spans="2:17" x14ac:dyDescent="0.25">
      <c r="B23" s="59"/>
      <c r="C23" s="63" t="s">
        <v>54</v>
      </c>
      <c r="D23" s="61">
        <f>GETPIVOTDATA("Sum of "&amp;T(Transactions!$J$19),Pivot!$A$3,"Customer",C23)</f>
        <v>4706344.08</v>
      </c>
      <c r="E23" s="61">
        <f>GETPIVOTDATA("Sum of "&amp;T(Transactions!$K$19),Pivot!$A$3,"Customer",C23)</f>
        <v>4819018.6399999997</v>
      </c>
      <c r="F23" s="61">
        <f t="shared" ref="F23:F35" si="1">D23-E23</f>
        <v>-112674.55999999959</v>
      </c>
      <c r="G23" s="51">
        <f>+GETPIVOTDATA("Sum of "&amp;T(Transactions!$M$19),Pivot!$A$3,"Customer","Bentonville, AR")</f>
        <v>-9053.0604040712642</v>
      </c>
      <c r="H23" s="51">
        <f>-'20XX NOLC Refund Detail'!E6</f>
        <v>0</v>
      </c>
      <c r="I23" s="62">
        <f t="shared" si="0"/>
        <v>-121727.62040407085</v>
      </c>
      <c r="J23" s="59"/>
      <c r="L23" s="50"/>
      <c r="M23" s="51"/>
      <c r="N23" s="51"/>
      <c r="O23" s="51"/>
      <c r="P23" s="51"/>
      <c r="Q23" s="51"/>
    </row>
    <row r="24" spans="2:17" x14ac:dyDescent="0.25">
      <c r="B24" s="59"/>
      <c r="C24" s="60" t="s">
        <v>17</v>
      </c>
      <c r="D24" s="61">
        <f>GETPIVOTDATA("Sum of "&amp;T(Transactions!$J$19),Pivot!$A$3,"Customer",C24)</f>
        <v>3863552.04</v>
      </c>
      <c r="E24" s="61">
        <f>GETPIVOTDATA("Sum of "&amp;T(Transactions!$K$19),Pivot!$A$3,"Customer",C24)</f>
        <v>3956049.3199999994</v>
      </c>
      <c r="F24" s="61">
        <f t="shared" si="1"/>
        <v>-92497.279999999329</v>
      </c>
      <c r="G24" s="51">
        <f>+GETPIVOTDATA("Sum of "&amp;T(Transactions!$M$19),Pivot!$A$3,"Customer","Coffeyville, KS")</f>
        <v>-7431.876929914728</v>
      </c>
      <c r="H24" s="51">
        <f>-'20XX NOLC Refund Detail'!E7</f>
        <v>0</v>
      </c>
      <c r="I24" s="62">
        <f t="shared" si="0"/>
        <v>-99929.156929914054</v>
      </c>
      <c r="J24" s="59"/>
      <c r="L24" s="50"/>
      <c r="M24" s="51"/>
      <c r="N24" s="51"/>
      <c r="O24" s="51"/>
      <c r="P24" s="51"/>
      <c r="Q24" s="51"/>
    </row>
    <row r="25" spans="2:17" x14ac:dyDescent="0.25">
      <c r="B25" s="59"/>
      <c r="C25" s="63" t="s">
        <v>13</v>
      </c>
      <c r="D25" s="61">
        <f>GETPIVOTDATA("Sum of "&amp;T(Transactions!$J$19),Pivot!$A$3,"Customer",C25)</f>
        <v>30624464.879999999</v>
      </c>
      <c r="E25" s="61">
        <f>GETPIVOTDATA("Sum of "&amp;T(Transactions!$K$19),Pivot!$A$3,"Customer",C25)</f>
        <v>31357645.039999999</v>
      </c>
      <c r="F25" s="61">
        <f t="shared" si="1"/>
        <v>-733180.16000000015</v>
      </c>
      <c r="G25" s="51">
        <f>+GETPIVOTDATA("Sum of "&amp;T(Transactions!$M$19),Pivot!$A$3,"Customer","ETEC")</f>
        <v>-58908.810254476564</v>
      </c>
      <c r="H25" s="51">
        <f>-'20XX NOLC Refund Detail'!E8</f>
        <v>0</v>
      </c>
      <c r="I25" s="62">
        <f t="shared" si="0"/>
        <v>-792088.97025447676</v>
      </c>
      <c r="J25" s="59"/>
      <c r="L25" s="52"/>
      <c r="M25" s="51"/>
      <c r="N25" s="51"/>
      <c r="O25" s="51"/>
      <c r="P25" s="51"/>
      <c r="Q25" s="51"/>
    </row>
    <row r="26" spans="2:17" x14ac:dyDescent="0.25">
      <c r="B26" s="59"/>
      <c r="C26" s="60" t="s">
        <v>15</v>
      </c>
      <c r="D26" s="61">
        <f>GETPIVOTDATA("Sum of "&amp;T(Transactions!$J$19),Pivot!$A$3,"Customer",C26)</f>
        <v>338325.12000000005</v>
      </c>
      <c r="E26" s="61">
        <f>GETPIVOTDATA("Sum of "&amp;T(Transactions!$K$19),Pivot!$A$3,"Customer",C26)</f>
        <v>346424.9599999999</v>
      </c>
      <c r="F26" s="61">
        <f t="shared" si="1"/>
        <v>-8099.839999999851</v>
      </c>
      <c r="G26" s="51">
        <f>+GETPIVOTDATA("Sum of "&amp;T(Transactions!$M$19),Pivot!$A$3,"Customer","Greenbelt")</f>
        <v>-650.7976670449176</v>
      </c>
      <c r="H26" s="51">
        <f>-'20XX NOLC Refund Detail'!E9</f>
        <v>0</v>
      </c>
      <c r="I26" s="62">
        <f t="shared" si="0"/>
        <v>-8750.637667044768</v>
      </c>
      <c r="J26" s="59"/>
      <c r="K26" s="64"/>
      <c r="L26" s="64"/>
      <c r="M26" s="64"/>
      <c r="N26" s="64"/>
      <c r="O26" s="51"/>
      <c r="P26" s="51"/>
      <c r="Q26" s="51"/>
    </row>
    <row r="27" spans="2:17" x14ac:dyDescent="0.25">
      <c r="B27" s="59"/>
      <c r="C27" s="60" t="s">
        <v>57</v>
      </c>
      <c r="D27" s="61">
        <f>GETPIVOTDATA("Sum of "&amp;T(Transactions!$J$19),Pivot!$A$3,"Customer",C27)</f>
        <v>1395591.1200000003</v>
      </c>
      <c r="E27" s="61">
        <f>GETPIVOTDATA("Sum of "&amp;T(Transactions!$K$19),Pivot!$A$3,"Customer",C27)</f>
        <v>1429002.96</v>
      </c>
      <c r="F27" s="61">
        <f t="shared" si="1"/>
        <v>-33411.839999999618</v>
      </c>
      <c r="G27" s="51">
        <f>+GETPIVOTDATA("Sum of "&amp;T(Transactions!$M$19),Pivot!$A$3,"Customer","Hope, AR")</f>
        <v>-2684.5403765602855</v>
      </c>
      <c r="H27" s="51">
        <f>-'20XX NOLC Refund Detail'!E10</f>
        <v>0</v>
      </c>
      <c r="I27" s="62">
        <f t="shared" si="0"/>
        <v>-36096.3803765599</v>
      </c>
      <c r="J27" s="59"/>
      <c r="K27" s="64"/>
      <c r="L27" s="64"/>
      <c r="M27" s="64"/>
      <c r="N27" s="64"/>
      <c r="O27" s="51"/>
      <c r="P27" s="51"/>
      <c r="Q27" s="51"/>
    </row>
    <row r="28" spans="2:17" x14ac:dyDescent="0.25">
      <c r="B28" s="59"/>
      <c r="C28" s="60" t="s">
        <v>16</v>
      </c>
      <c r="D28" s="61">
        <f>GETPIVOTDATA("Sum of "&amp;T(Transactions!$J$19),Pivot!$A$3,"Customer",C28)</f>
        <v>135934.19999999998</v>
      </c>
      <c r="E28" s="61">
        <f>GETPIVOTDATA("Sum of "&amp;T(Transactions!$K$19),Pivot!$A$3,"Customer",C28)</f>
        <v>139188.59999999998</v>
      </c>
      <c r="F28" s="61">
        <f t="shared" si="1"/>
        <v>-3254.3999999999942</v>
      </c>
      <c r="G28" s="51">
        <f>+GETPIVOTDATA("Sum of "&amp;T(Transactions!$M$19),Pivot!$A$3,"Customer","Lighthouse")</f>
        <v>-261.48120550911864</v>
      </c>
      <c r="H28" s="51">
        <f>-'20XX NOLC Refund Detail'!E11</f>
        <v>0</v>
      </c>
      <c r="I28" s="62">
        <f t="shared" si="0"/>
        <v>-3515.881205509113</v>
      </c>
      <c r="J28" s="59"/>
      <c r="L28" s="50"/>
      <c r="M28" s="51"/>
      <c r="N28" s="51"/>
      <c r="O28" s="51"/>
      <c r="P28" s="51"/>
      <c r="Q28" s="51"/>
    </row>
    <row r="29" spans="2:17" x14ac:dyDescent="0.25">
      <c r="B29" s="59"/>
      <c r="C29" s="63" t="s">
        <v>56</v>
      </c>
      <c r="D29" s="61">
        <f>GETPIVOTDATA("Sum of "&amp;T(Transactions!$J$19),Pivot!$A$3,"Customer",C29)</f>
        <v>984767.76000000013</v>
      </c>
      <c r="E29" s="61">
        <f>GETPIVOTDATA("Sum of "&amp;T(Transactions!$K$19),Pivot!$A$3,"Customer",C29)</f>
        <v>1008344.0799999998</v>
      </c>
      <c r="F29" s="61">
        <f t="shared" si="1"/>
        <v>-23576.319999999716</v>
      </c>
      <c r="G29" s="51">
        <f>+GETPIVOTDATA("Sum of "&amp;T(Transactions!$M$19),Pivot!$A$3,"Customer","Minden, LA")</f>
        <v>-1894.2860665771709</v>
      </c>
      <c r="H29" s="51">
        <f>-'20XX NOLC Refund Detail'!E12</f>
        <v>0</v>
      </c>
      <c r="I29" s="62">
        <f t="shared" si="0"/>
        <v>-25470.606066576885</v>
      </c>
      <c r="J29" s="59"/>
      <c r="L29" s="50"/>
      <c r="M29" s="51"/>
      <c r="N29" s="51"/>
      <c r="O29" s="51"/>
      <c r="P29" s="51"/>
      <c r="Q29" s="51"/>
    </row>
    <row r="30" spans="2:17" x14ac:dyDescent="0.25">
      <c r="B30" s="59"/>
      <c r="C30" s="63" t="s">
        <v>19</v>
      </c>
      <c r="D30" s="61">
        <f>GETPIVOTDATA("Sum of "&amp;T(Transactions!$J$19),Pivot!$A$3,"Customer",C30)</f>
        <v>2380358.88</v>
      </c>
      <c r="E30" s="61">
        <f>GETPIVOTDATA("Sum of "&amp;T(Transactions!$K$19),Pivot!$A$3,"Customer",C30)</f>
        <v>2437347.04</v>
      </c>
      <c r="F30" s="61">
        <f t="shared" si="1"/>
        <v>-56988.160000000149</v>
      </c>
      <c r="G30" s="51">
        <f>+GETPIVOTDATA("Sum of "&amp;T(Transactions!$M$19),Pivot!$A$3,"Customer","OG&amp;E")</f>
        <v>-4578.8264431374564</v>
      </c>
      <c r="H30" s="51">
        <f>-'20XX NOLC Refund Detail'!E13</f>
        <v>0</v>
      </c>
      <c r="I30" s="62">
        <f t="shared" si="0"/>
        <v>-61566.986443137605</v>
      </c>
      <c r="J30" s="59"/>
    </row>
    <row r="31" spans="2:17" x14ac:dyDescent="0.25">
      <c r="B31" s="59"/>
      <c r="C31" s="60" t="s">
        <v>8</v>
      </c>
      <c r="D31" s="61">
        <f>GETPIVOTDATA("Sum of "&amp;T(Transactions!$J$19),Pivot!$A$3,"Customer",C31)</f>
        <v>3860531.2800000003</v>
      </c>
      <c r="E31" s="61">
        <f>GETPIVOTDATA("Sum of "&amp;T(Transactions!$K$19),Pivot!$A$3,"Customer",C31)</f>
        <v>3952956.24</v>
      </c>
      <c r="F31" s="61">
        <f t="shared" si="1"/>
        <v>-92424.959999999963</v>
      </c>
      <c r="G31" s="51">
        <f>+GETPIVOTDATA("Sum of "&amp;T(Transactions!$M$19),Pivot!$A$3,"Customer","OMPA")</f>
        <v>-7426.0662364589707</v>
      </c>
      <c r="H31" s="51">
        <f>-'20XX NOLC Refund Detail'!E14</f>
        <v>0</v>
      </c>
      <c r="I31" s="62">
        <f t="shared" si="0"/>
        <v>-99851.026236458929</v>
      </c>
      <c r="J31" s="59"/>
    </row>
    <row r="32" spans="2:17" x14ac:dyDescent="0.25">
      <c r="B32" s="59"/>
      <c r="C32" s="60" t="s">
        <v>55</v>
      </c>
      <c r="D32" s="61">
        <f>GETPIVOTDATA("Sum of "&amp;T(Transactions!$J$19),Pivot!$A$3,"Customer",C32)</f>
        <v>359470.43999999994</v>
      </c>
      <c r="E32" s="61">
        <f>GETPIVOTDATA("Sum of "&amp;T(Transactions!$K$19),Pivot!$A$3,"Customer",C32)</f>
        <v>368076.5199999999</v>
      </c>
      <c r="F32" s="61">
        <f t="shared" si="1"/>
        <v>-8606.0799999999581</v>
      </c>
      <c r="G32" s="51">
        <f>+GETPIVOTDATA("Sum of "&amp;T(Transactions!$M$19),Pivot!$A$3,"Customer","Prescott, AR")</f>
        <v>-691.47252123522492</v>
      </c>
      <c r="H32" s="51">
        <f>-'20XX NOLC Refund Detail'!E15</f>
        <v>0</v>
      </c>
      <c r="I32" s="62">
        <f t="shared" si="0"/>
        <v>-9297.5525212351822</v>
      </c>
      <c r="J32" s="59"/>
    </row>
    <row r="33" spans="2:11" x14ac:dyDescent="0.25">
      <c r="B33" s="59"/>
      <c r="C33" s="65" t="s">
        <v>9</v>
      </c>
      <c r="D33" s="61">
        <f>GETPIVOTDATA("Sum of "&amp;T(Transactions!$J$19),Pivot!$A$3,"Customer",C33)</f>
        <v>1942348.6800000002</v>
      </c>
      <c r="E33" s="61">
        <f>GETPIVOTDATA("Sum of "&amp;T(Transactions!$K$19),Pivot!$A$3,"Customer",C33)</f>
        <v>1988850.44</v>
      </c>
      <c r="F33" s="61">
        <f t="shared" si="1"/>
        <v>-46501.759999999776</v>
      </c>
      <c r="G33" s="51">
        <f>+GETPIVOTDATA("Sum of "&amp;T(Transactions!$M$19),Pivot!$A$3,"Customer","WFEC")</f>
        <v>-3736.275892052518</v>
      </c>
      <c r="H33" s="51">
        <f>-'20XX NOLC Refund Detail'!E16</f>
        <v>0</v>
      </c>
      <c r="I33" s="62">
        <f t="shared" si="0"/>
        <v>-50238.035892052292</v>
      </c>
      <c r="J33" s="59"/>
    </row>
    <row r="34" spans="2:11" ht="23" x14ac:dyDescent="0.25">
      <c r="C34" s="66" t="s">
        <v>43</v>
      </c>
      <c r="D34" s="67">
        <f t="shared" ref="D34:I34" si="2">SUM(D21:D33)</f>
        <v>81243340.200000018</v>
      </c>
      <c r="E34" s="67">
        <f t="shared" si="2"/>
        <v>83188386.599999964</v>
      </c>
      <c r="F34" s="67">
        <f t="shared" si="2"/>
        <v>-1945046.3999999953</v>
      </c>
      <c r="G34" s="68">
        <f t="shared" si="2"/>
        <v>-156278.60049261662</v>
      </c>
      <c r="H34" s="68">
        <f t="shared" si="2"/>
        <v>0</v>
      </c>
      <c r="I34" s="69">
        <f t="shared" si="2"/>
        <v>-2101325.0004926114</v>
      </c>
    </row>
    <row r="35" spans="2:11" x14ac:dyDescent="0.25">
      <c r="C35" s="70" t="s">
        <v>21</v>
      </c>
      <c r="D35" s="61">
        <f>GETPIVOTDATA("Sum of "&amp;T(Transactions!$J$19),Pivot!$A$3,"Customer",C35)</f>
        <v>115649796.60000002</v>
      </c>
      <c r="E35" s="61">
        <f>GETPIVOTDATA("Sum of "&amp;T(Transactions!$K$19),Pivot!$A$3,"Customer",C35)</f>
        <v>118418567.8</v>
      </c>
      <c r="F35" s="61">
        <f t="shared" si="1"/>
        <v>-2768771.1999999732</v>
      </c>
      <c r="G35" s="51">
        <f>+GETPIVOTDATA("Sum of "&amp;T(Transactions!$M$19),Pivot!$A$3,"Customer","PSO")</f>
        <v>-222462.39895370242</v>
      </c>
      <c r="H35" s="51">
        <f>-'20XX NOLC Refund Detail'!E18</f>
        <v>0</v>
      </c>
      <c r="I35" s="62">
        <f>F35+G35+H35</f>
        <v>-2991233.5989536755</v>
      </c>
    </row>
    <row r="36" spans="2:11" x14ac:dyDescent="0.25">
      <c r="C36" s="71" t="s">
        <v>22</v>
      </c>
      <c r="D36" s="61">
        <f>GETPIVOTDATA("Sum of "&amp;T(Transactions!$J$19),Pivot!$A$3,"Customer",C36)</f>
        <v>105974302.31999999</v>
      </c>
      <c r="E36" s="61">
        <f>GETPIVOTDATA("Sum of "&amp;T(Transactions!$K$19),Pivot!$A$3,"Customer",C36)</f>
        <v>108511432.56</v>
      </c>
      <c r="F36" s="61">
        <f>D36-E36</f>
        <v>-2537130.2400000095</v>
      </c>
      <c r="G36" s="51">
        <f>+GETPIVOTDATA("Sum of "&amp;T(Transactions!$M$19),Pivot!$A$3,"Customer","SWEPCO")</f>
        <v>-203850.74781490889</v>
      </c>
      <c r="H36" s="51">
        <f>-'20XX NOLC Refund Detail'!E19</f>
        <v>0</v>
      </c>
      <c r="I36" s="62">
        <f t="shared" ref="I36:I37" si="3">F36+G36+H36</f>
        <v>-2740980.9878149186</v>
      </c>
    </row>
    <row r="37" spans="2:11" x14ac:dyDescent="0.25">
      <c r="C37" s="72" t="s">
        <v>81</v>
      </c>
      <c r="D37" s="61">
        <f>GETPIVOTDATA("Sum of "&amp;T(Transactions!$J$19),Pivot!$A$3,"Customer",C37)</f>
        <v>4799987.6400000006</v>
      </c>
      <c r="E37" s="61">
        <f>GETPIVOTDATA("Sum of "&amp;T(Transactions!$K$19),Pivot!$A$3,"Customer",C37)</f>
        <v>4914904.120000001</v>
      </c>
      <c r="F37" s="61">
        <f>D37-E37</f>
        <v>-114916.48000000045</v>
      </c>
      <c r="G37" s="51">
        <f>+GETPIVOTDATA("Sum of "&amp;T(Transactions!$M$19),Pivot!$A$3,"Customer","SWEPCO-Valley")</f>
        <v>-9233.1919011997688</v>
      </c>
      <c r="H37" s="51">
        <f>-'20XX NOLC Refund Detail'!E20</f>
        <v>0</v>
      </c>
      <c r="I37" s="62">
        <f t="shared" si="3"/>
        <v>-124149.67190120021</v>
      </c>
    </row>
    <row r="38" spans="2:11" ht="23" x14ac:dyDescent="0.25">
      <c r="C38" s="73" t="s">
        <v>51</v>
      </c>
      <c r="D38" s="74">
        <f t="shared" ref="D38:I38" si="4">SUM(D35:D37)</f>
        <v>226424086.56</v>
      </c>
      <c r="E38" s="74">
        <f t="shared" si="4"/>
        <v>231844904.48000002</v>
      </c>
      <c r="F38" s="74">
        <f t="shared" si="4"/>
        <v>-5420817.9199999832</v>
      </c>
      <c r="G38" s="75">
        <f t="shared" si="4"/>
        <v>-435546.33866981103</v>
      </c>
      <c r="H38" s="75">
        <f t="shared" si="4"/>
        <v>0</v>
      </c>
      <c r="I38" s="76">
        <f t="shared" si="4"/>
        <v>-5856364.2586697936</v>
      </c>
      <c r="K38" s="77"/>
    </row>
    <row r="39" spans="2:11" ht="23.25" customHeight="1" thickBot="1" x14ac:dyDescent="0.3">
      <c r="C39" s="78" t="s">
        <v>44</v>
      </c>
      <c r="D39" s="79">
        <f t="shared" ref="D39:I39" si="5">SUM(D34,D38)</f>
        <v>307667426.75999999</v>
      </c>
      <c r="E39" s="80">
        <f t="shared" si="5"/>
        <v>315033291.07999998</v>
      </c>
      <c r="F39" s="79">
        <f t="shared" si="5"/>
        <v>-7365864.3199999779</v>
      </c>
      <c r="G39" s="80">
        <f t="shared" si="5"/>
        <v>-591824.93916242768</v>
      </c>
      <c r="H39" s="80">
        <f t="shared" si="5"/>
        <v>0</v>
      </c>
      <c r="I39" s="81">
        <f t="shared" si="5"/>
        <v>-7957689.2591624055</v>
      </c>
      <c r="K39" s="77"/>
    </row>
    <row r="40" spans="2:11" x14ac:dyDescent="0.25">
      <c r="E40" s="50"/>
      <c r="F40" s="50"/>
      <c r="G40" s="50"/>
      <c r="H40" s="50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C29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2.54296875" style="1" bestFit="1" customWidth="1"/>
    <col min="16" max="16384" width="8.7265625" style="1"/>
  </cols>
  <sheetData>
    <row r="3" spans="1:15" x14ac:dyDescent="0.25">
      <c r="A3" s="232"/>
      <c r="B3" s="233"/>
      <c r="C3" s="234" t="s">
        <v>53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5"/>
    </row>
    <row r="4" spans="1:15" x14ac:dyDescent="0.25">
      <c r="A4" s="234" t="s">
        <v>0</v>
      </c>
      <c r="B4" s="234" t="s">
        <v>24</v>
      </c>
      <c r="C4" s="236">
        <v>45292</v>
      </c>
      <c r="D4" s="237">
        <v>45323</v>
      </c>
      <c r="E4" s="237">
        <v>45352</v>
      </c>
      <c r="F4" s="237">
        <v>45383</v>
      </c>
      <c r="G4" s="237">
        <v>45413</v>
      </c>
      <c r="H4" s="237">
        <v>45444</v>
      </c>
      <c r="I4" s="237">
        <v>45474</v>
      </c>
      <c r="J4" s="237">
        <v>45505</v>
      </c>
      <c r="K4" s="237">
        <v>45536</v>
      </c>
      <c r="L4" s="237">
        <v>45566</v>
      </c>
      <c r="M4" s="237">
        <v>45597</v>
      </c>
      <c r="N4" s="237">
        <v>45627</v>
      </c>
      <c r="O4" s="238" t="s">
        <v>18</v>
      </c>
    </row>
    <row r="5" spans="1:15" x14ac:dyDescent="0.25">
      <c r="A5" s="232" t="s">
        <v>14</v>
      </c>
      <c r="B5" s="232" t="s">
        <v>70</v>
      </c>
      <c r="C5" s="239">
        <v>3410438.04</v>
      </c>
      <c r="D5" s="240">
        <v>2232341.64</v>
      </c>
      <c r="E5" s="240">
        <v>1939327.9200000002</v>
      </c>
      <c r="F5" s="240">
        <v>1755061.56</v>
      </c>
      <c r="G5" s="240">
        <v>2274632.2800000003</v>
      </c>
      <c r="H5" s="240">
        <v>3023780.7600000002</v>
      </c>
      <c r="I5" s="240">
        <v>2902950.3600000003</v>
      </c>
      <c r="J5" s="240">
        <v>3072112.9200000004</v>
      </c>
      <c r="K5" s="240">
        <v>2585770.56</v>
      </c>
      <c r="L5" s="240">
        <v>2374317.3600000003</v>
      </c>
      <c r="M5" s="240">
        <v>1398611.8800000001</v>
      </c>
      <c r="N5" s="240">
        <v>2190051</v>
      </c>
      <c r="O5" s="241">
        <v>29159396.280000001</v>
      </c>
    </row>
    <row r="6" spans="1:15" ht="13" x14ac:dyDescent="0.3">
      <c r="A6" s="242"/>
      <c r="B6" s="243" t="s">
        <v>25</v>
      </c>
      <c r="C6" s="251">
        <v>-81649.279999999795</v>
      </c>
      <c r="D6" s="252">
        <v>-53444.479999999981</v>
      </c>
      <c r="E6" s="252">
        <v>-46429.439999999711</v>
      </c>
      <c r="F6" s="252">
        <v>-42017.919999999925</v>
      </c>
      <c r="G6" s="252">
        <v>-54456.959999999497</v>
      </c>
      <c r="H6" s="252">
        <v>-72392.319999999832</v>
      </c>
      <c r="I6" s="252">
        <v>-69499.519999999553</v>
      </c>
      <c r="J6" s="252">
        <v>-73549.439999999478</v>
      </c>
      <c r="K6" s="252">
        <v>-61905.919999999925</v>
      </c>
      <c r="L6" s="252">
        <v>-56843.519999999553</v>
      </c>
      <c r="M6" s="252">
        <v>-33484.159999999916</v>
      </c>
      <c r="N6" s="252">
        <v>-52432</v>
      </c>
      <c r="O6" s="253">
        <v>-698104.95999999717</v>
      </c>
    </row>
    <row r="7" spans="1:15" ht="13" x14ac:dyDescent="0.3">
      <c r="A7" s="242"/>
      <c r="B7" s="243" t="s">
        <v>26</v>
      </c>
      <c r="C7" s="251">
        <v>-6560.2729115509992</v>
      </c>
      <c r="D7" s="252">
        <v>-4294.1024638053041</v>
      </c>
      <c r="E7" s="252">
        <v>-3730.4651985967594</v>
      </c>
      <c r="F7" s="252">
        <v>-3376.0128977955101</v>
      </c>
      <c r="G7" s="252">
        <v>-4375.4521721859192</v>
      </c>
      <c r="H7" s="252">
        <v>-5816.5041492139508</v>
      </c>
      <c r="I7" s="252">
        <v>-5584.0764109836227</v>
      </c>
      <c r="J7" s="252">
        <v>-5909.4752445060822</v>
      </c>
      <c r="K7" s="252">
        <v>-4973.9535981290128</v>
      </c>
      <c r="L7" s="252">
        <v>-4567.2050562259392</v>
      </c>
      <c r="M7" s="252">
        <v>-2690.3510700160432</v>
      </c>
      <c r="N7" s="252">
        <v>-4212.7527554246899</v>
      </c>
      <c r="O7" s="253">
        <v>-56090.62392843383</v>
      </c>
    </row>
    <row r="8" spans="1:15" ht="13" x14ac:dyDescent="0.3">
      <c r="A8" s="242"/>
      <c r="B8" s="243" t="s">
        <v>27</v>
      </c>
      <c r="C8" s="251">
        <v>-88209.552911550796</v>
      </c>
      <c r="D8" s="252">
        <v>-57738.582463805287</v>
      </c>
      <c r="E8" s="252">
        <v>-50159.905198596469</v>
      </c>
      <c r="F8" s="252">
        <v>-45393.932897795436</v>
      </c>
      <c r="G8" s="252">
        <v>-58832.412172185417</v>
      </c>
      <c r="H8" s="252">
        <v>-78208.824149213789</v>
      </c>
      <c r="I8" s="252">
        <v>-75083.596410983169</v>
      </c>
      <c r="J8" s="252">
        <v>-79458.915244505566</v>
      </c>
      <c r="K8" s="252">
        <v>-66879.873598128936</v>
      </c>
      <c r="L8" s="252">
        <v>-61410.725056225492</v>
      </c>
      <c r="M8" s="252">
        <v>-36174.511070015957</v>
      </c>
      <c r="N8" s="252">
        <v>-56644.752755424692</v>
      </c>
      <c r="O8" s="253">
        <v>-754195.58392843104</v>
      </c>
    </row>
    <row r="9" spans="1:15" x14ac:dyDescent="0.25">
      <c r="A9" s="242"/>
      <c r="B9" s="243" t="s">
        <v>49</v>
      </c>
      <c r="C9" s="244">
        <v>3492087.32</v>
      </c>
      <c r="D9" s="82">
        <v>2285786.12</v>
      </c>
      <c r="E9" s="82">
        <v>1985757.3599999999</v>
      </c>
      <c r="F9" s="82">
        <v>1797079.48</v>
      </c>
      <c r="G9" s="82">
        <v>2329089.2399999998</v>
      </c>
      <c r="H9" s="82">
        <v>3096173.08</v>
      </c>
      <c r="I9" s="82">
        <v>2972449.88</v>
      </c>
      <c r="J9" s="82">
        <v>3145662.36</v>
      </c>
      <c r="K9" s="82">
        <v>2647676.48</v>
      </c>
      <c r="L9" s="82">
        <v>2431160.88</v>
      </c>
      <c r="M9" s="82">
        <v>1432096.04</v>
      </c>
      <c r="N9" s="82">
        <v>2242483</v>
      </c>
      <c r="O9" s="245">
        <v>29857501.239999998</v>
      </c>
    </row>
    <row r="10" spans="1:15" x14ac:dyDescent="0.25">
      <c r="A10" s="242"/>
      <c r="B10" s="243" t="s">
        <v>87</v>
      </c>
      <c r="C10" s="244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245">
        <v>0</v>
      </c>
    </row>
    <row r="11" spans="1:15" x14ac:dyDescent="0.25">
      <c r="A11" s="242"/>
      <c r="B11" s="243" t="s">
        <v>89</v>
      </c>
      <c r="C11" s="244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245">
        <v>0</v>
      </c>
    </row>
    <row r="12" spans="1:15" x14ac:dyDescent="0.25">
      <c r="A12" s="232" t="s">
        <v>17</v>
      </c>
      <c r="B12" s="232" t="s">
        <v>70</v>
      </c>
      <c r="C12" s="239">
        <v>314159.04000000004</v>
      </c>
      <c r="D12" s="240">
        <v>299055.24000000005</v>
      </c>
      <c r="E12" s="240">
        <v>299055.24000000005</v>
      </c>
      <c r="F12" s="240">
        <v>299055.24000000005</v>
      </c>
      <c r="G12" s="240">
        <v>320200.56</v>
      </c>
      <c r="H12" s="240">
        <v>362491.2</v>
      </c>
      <c r="I12" s="240">
        <v>353428.92000000004</v>
      </c>
      <c r="J12" s="240">
        <v>356449.68000000005</v>
      </c>
      <c r="K12" s="240">
        <v>353428.92000000004</v>
      </c>
      <c r="L12" s="240">
        <v>323221.32</v>
      </c>
      <c r="M12" s="240">
        <v>274889.16000000003</v>
      </c>
      <c r="N12" s="240">
        <v>308117.52</v>
      </c>
      <c r="O12" s="241">
        <v>3863552.04</v>
      </c>
    </row>
    <row r="13" spans="1:15" ht="13" x14ac:dyDescent="0.3">
      <c r="A13" s="242"/>
      <c r="B13" s="243" t="s">
        <v>25</v>
      </c>
      <c r="C13" s="251">
        <v>-7521.2799999999697</v>
      </c>
      <c r="D13" s="252">
        <v>-7159.6799999999348</v>
      </c>
      <c r="E13" s="252">
        <v>-7159.6799999999348</v>
      </c>
      <c r="F13" s="252">
        <v>-7159.6799999999348</v>
      </c>
      <c r="G13" s="252">
        <v>-7665.9199999999837</v>
      </c>
      <c r="H13" s="252">
        <v>-8678.3999999999651</v>
      </c>
      <c r="I13" s="252">
        <v>-8461.4399999999441</v>
      </c>
      <c r="J13" s="252">
        <v>-8533.7599999999511</v>
      </c>
      <c r="K13" s="252">
        <v>-8461.4399999999441</v>
      </c>
      <c r="L13" s="252">
        <v>-7738.2399999999907</v>
      </c>
      <c r="M13" s="252">
        <v>-6581.1199999999371</v>
      </c>
      <c r="N13" s="252">
        <v>-7376.6399999999558</v>
      </c>
      <c r="O13" s="253">
        <v>-92497.279999999446</v>
      </c>
    </row>
    <row r="14" spans="1:15" ht="13" x14ac:dyDescent="0.3">
      <c r="A14" s="242"/>
      <c r="B14" s="243" t="s">
        <v>26</v>
      </c>
      <c r="C14" s="251">
        <v>-604.31211939885202</v>
      </c>
      <c r="D14" s="252">
        <v>-575.25865212006102</v>
      </c>
      <c r="E14" s="252">
        <v>-575.25865212006102</v>
      </c>
      <c r="F14" s="252">
        <v>-575.25865212006102</v>
      </c>
      <c r="G14" s="252">
        <v>-615.93350631036844</v>
      </c>
      <c r="H14" s="252">
        <v>-697.28321469098307</v>
      </c>
      <c r="I14" s="252">
        <v>-679.85113432370861</v>
      </c>
      <c r="J14" s="252">
        <v>-685.66182777946676</v>
      </c>
      <c r="K14" s="252">
        <v>-679.85113432370861</v>
      </c>
      <c r="L14" s="252">
        <v>-621.7441997661266</v>
      </c>
      <c r="M14" s="252">
        <v>-528.77310447399555</v>
      </c>
      <c r="N14" s="252">
        <v>-592.69073248733559</v>
      </c>
      <c r="O14" s="253">
        <v>-7431.876929914728</v>
      </c>
    </row>
    <row r="15" spans="1:15" ht="13" x14ac:dyDescent="0.3">
      <c r="A15" s="242"/>
      <c r="B15" s="243" t="s">
        <v>27</v>
      </c>
      <c r="C15" s="251">
        <v>-8125.5921193988215</v>
      </c>
      <c r="D15" s="252">
        <v>-7734.9386521199958</v>
      </c>
      <c r="E15" s="252">
        <v>-7734.9386521199958</v>
      </c>
      <c r="F15" s="252">
        <v>-7734.9386521199958</v>
      </c>
      <c r="G15" s="252">
        <v>-8281.8535063103518</v>
      </c>
      <c r="H15" s="252">
        <v>-9375.6832146909474</v>
      </c>
      <c r="I15" s="252">
        <v>-9141.2911343236519</v>
      </c>
      <c r="J15" s="252">
        <v>-9219.4218277794171</v>
      </c>
      <c r="K15" s="252">
        <v>-9141.2911343236519</v>
      </c>
      <c r="L15" s="252">
        <v>-8359.9841997661169</v>
      </c>
      <c r="M15" s="252">
        <v>-7109.8931044739329</v>
      </c>
      <c r="N15" s="252">
        <v>-7969.3307324872912</v>
      </c>
      <c r="O15" s="253">
        <v>-99929.156929914141</v>
      </c>
    </row>
    <row r="16" spans="1:15" x14ac:dyDescent="0.25">
      <c r="A16" s="242"/>
      <c r="B16" s="243" t="s">
        <v>49</v>
      </c>
      <c r="C16" s="244">
        <v>321680.32</v>
      </c>
      <c r="D16" s="82">
        <v>306214.92</v>
      </c>
      <c r="E16" s="82">
        <v>306214.92</v>
      </c>
      <c r="F16" s="82">
        <v>306214.92</v>
      </c>
      <c r="G16" s="82">
        <v>327866.48</v>
      </c>
      <c r="H16" s="82">
        <v>371169.6</v>
      </c>
      <c r="I16" s="82">
        <v>361890.36</v>
      </c>
      <c r="J16" s="82">
        <v>364983.44</v>
      </c>
      <c r="K16" s="82">
        <v>361890.36</v>
      </c>
      <c r="L16" s="82">
        <v>330959.56</v>
      </c>
      <c r="M16" s="82">
        <v>281470.27999999997</v>
      </c>
      <c r="N16" s="82">
        <v>315494.15999999997</v>
      </c>
      <c r="O16" s="245">
        <v>3956049.3199999994</v>
      </c>
    </row>
    <row r="17" spans="1:15" x14ac:dyDescent="0.25">
      <c r="A17" s="242"/>
      <c r="B17" s="243" t="s">
        <v>87</v>
      </c>
      <c r="C17" s="244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245">
        <v>0</v>
      </c>
    </row>
    <row r="18" spans="1:15" x14ac:dyDescent="0.25">
      <c r="A18" s="242"/>
      <c r="B18" s="243" t="s">
        <v>89</v>
      </c>
      <c r="C18" s="244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245">
        <v>0</v>
      </c>
    </row>
    <row r="19" spans="1:15" x14ac:dyDescent="0.25">
      <c r="A19" s="232" t="s">
        <v>13</v>
      </c>
      <c r="B19" s="232" t="s">
        <v>70</v>
      </c>
      <c r="C19" s="239">
        <v>4386143.5200000005</v>
      </c>
      <c r="D19" s="240">
        <v>2918054.16</v>
      </c>
      <c r="E19" s="240">
        <v>2211196.3200000003</v>
      </c>
      <c r="F19" s="240">
        <v>1652355.7200000002</v>
      </c>
      <c r="G19" s="240">
        <v>2256507.7200000002</v>
      </c>
      <c r="H19" s="240">
        <v>2770036.9200000004</v>
      </c>
      <c r="I19" s="240">
        <v>2869722</v>
      </c>
      <c r="J19" s="240">
        <v>2839514.4000000004</v>
      </c>
      <c r="K19" s="240">
        <v>2464940.16</v>
      </c>
      <c r="L19" s="240">
        <v>2063179.08</v>
      </c>
      <c r="M19" s="240">
        <v>1585899</v>
      </c>
      <c r="N19" s="240">
        <v>2606915.8800000004</v>
      </c>
      <c r="O19" s="241">
        <v>30624464.879999999</v>
      </c>
    </row>
    <row r="20" spans="1:15" ht="13" x14ac:dyDescent="0.3">
      <c r="A20" s="242"/>
      <c r="B20" s="243" t="s">
        <v>25</v>
      </c>
      <c r="C20" s="251">
        <v>-105008.63999999966</v>
      </c>
      <c r="D20" s="252">
        <v>-69861.119999999646</v>
      </c>
      <c r="E20" s="252">
        <v>-52938.239999999758</v>
      </c>
      <c r="F20" s="252">
        <v>-39559.039999999804</v>
      </c>
      <c r="G20" s="252">
        <v>-54023.039999999572</v>
      </c>
      <c r="H20" s="252">
        <v>-66317.439999999478</v>
      </c>
      <c r="I20" s="252">
        <v>-68704</v>
      </c>
      <c r="J20" s="252">
        <v>-67980.799999999348</v>
      </c>
      <c r="K20" s="252">
        <v>-59013.119999999646</v>
      </c>
      <c r="L20" s="252">
        <v>-49394.560000000056</v>
      </c>
      <c r="M20" s="252">
        <v>-37968</v>
      </c>
      <c r="N20" s="252">
        <v>-62412.159999999683</v>
      </c>
      <c r="O20" s="253">
        <v>-733180.15999999666</v>
      </c>
    </row>
    <row r="21" spans="1:15" ht="13" x14ac:dyDescent="0.3">
      <c r="A21" s="242"/>
      <c r="B21" s="243" t="s">
        <v>26</v>
      </c>
      <c r="C21" s="251">
        <v>-8437.1268977608961</v>
      </c>
      <c r="D21" s="252">
        <v>-5613.1298782624135</v>
      </c>
      <c r="E21" s="252">
        <v>-4253.427609614997</v>
      </c>
      <c r="F21" s="252">
        <v>-3178.4493202997314</v>
      </c>
      <c r="G21" s="252">
        <v>-4340.5880114513702</v>
      </c>
      <c r="H21" s="252">
        <v>-5328.405898930263</v>
      </c>
      <c r="I21" s="252">
        <v>-5520.158782970283</v>
      </c>
      <c r="J21" s="252">
        <v>-5462.0518484127006</v>
      </c>
      <c r="K21" s="252">
        <v>-4741.5258598986848</v>
      </c>
      <c r="L21" s="252">
        <v>-3968.7036302828456</v>
      </c>
      <c r="M21" s="252">
        <v>-3050.6140642730511</v>
      </c>
      <c r="N21" s="252">
        <v>-5014.6284523193199</v>
      </c>
      <c r="O21" s="253">
        <v>-58908.810254476564</v>
      </c>
    </row>
    <row r="22" spans="1:15" ht="13" x14ac:dyDescent="0.3">
      <c r="A22" s="242"/>
      <c r="B22" s="243" t="s">
        <v>27</v>
      </c>
      <c r="C22" s="251">
        <v>-113445.76689776056</v>
      </c>
      <c r="D22" s="252">
        <v>-75474.249878262053</v>
      </c>
      <c r="E22" s="252">
        <v>-57191.667609614757</v>
      </c>
      <c r="F22" s="252">
        <v>-42737.489320299537</v>
      </c>
      <c r="G22" s="252">
        <v>-58363.628011450943</v>
      </c>
      <c r="H22" s="252">
        <v>-71645.845898929736</v>
      </c>
      <c r="I22" s="252">
        <v>-74224.158782970277</v>
      </c>
      <c r="J22" s="252">
        <v>-73442.851848412043</v>
      </c>
      <c r="K22" s="252">
        <v>-63754.64585989833</v>
      </c>
      <c r="L22" s="252">
        <v>-53363.263630282905</v>
      </c>
      <c r="M22" s="252">
        <v>-41018.614064273053</v>
      </c>
      <c r="N22" s="252">
        <v>-67426.788452319</v>
      </c>
      <c r="O22" s="253">
        <v>-792088.97025447327</v>
      </c>
    </row>
    <row r="23" spans="1:15" x14ac:dyDescent="0.25">
      <c r="A23" s="242"/>
      <c r="B23" s="243" t="s">
        <v>49</v>
      </c>
      <c r="C23" s="244">
        <v>4491152.16</v>
      </c>
      <c r="D23" s="82">
        <v>2987915.28</v>
      </c>
      <c r="E23" s="82">
        <v>2264134.56</v>
      </c>
      <c r="F23" s="82">
        <v>1691914.76</v>
      </c>
      <c r="G23" s="82">
        <v>2310530.7599999998</v>
      </c>
      <c r="H23" s="82">
        <v>2836354.36</v>
      </c>
      <c r="I23" s="82">
        <v>2938426</v>
      </c>
      <c r="J23" s="82">
        <v>2907495.1999999997</v>
      </c>
      <c r="K23" s="82">
        <v>2523953.2799999998</v>
      </c>
      <c r="L23" s="82">
        <v>2112573.64</v>
      </c>
      <c r="M23" s="82">
        <v>1623867</v>
      </c>
      <c r="N23" s="82">
        <v>2669328.04</v>
      </c>
      <c r="O23" s="245">
        <v>31357645.039999999</v>
      </c>
    </row>
    <row r="24" spans="1:15" x14ac:dyDescent="0.25">
      <c r="A24" s="242"/>
      <c r="B24" s="243" t="s">
        <v>87</v>
      </c>
      <c r="C24" s="244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245">
        <v>0</v>
      </c>
    </row>
    <row r="25" spans="1:15" x14ac:dyDescent="0.25">
      <c r="A25" s="242"/>
      <c r="B25" s="243" t="s">
        <v>89</v>
      </c>
      <c r="C25" s="244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245">
        <v>0</v>
      </c>
    </row>
    <row r="26" spans="1:15" x14ac:dyDescent="0.25">
      <c r="A26" s="232" t="s">
        <v>15</v>
      </c>
      <c r="B26" s="232" t="s">
        <v>70</v>
      </c>
      <c r="C26" s="239">
        <v>24166.080000000002</v>
      </c>
      <c r="D26" s="240">
        <v>15103.800000000001</v>
      </c>
      <c r="E26" s="240">
        <v>15103.800000000001</v>
      </c>
      <c r="F26" s="240">
        <v>18124.560000000001</v>
      </c>
      <c r="G26" s="240">
        <v>27186.840000000004</v>
      </c>
      <c r="H26" s="240">
        <v>42290.64</v>
      </c>
      <c r="I26" s="240">
        <v>51352.920000000006</v>
      </c>
      <c r="J26" s="240">
        <v>57394.44</v>
      </c>
      <c r="K26" s="240">
        <v>33228.36</v>
      </c>
      <c r="L26" s="240">
        <v>18124.560000000001</v>
      </c>
      <c r="M26" s="240">
        <v>18124.560000000001</v>
      </c>
      <c r="N26" s="240">
        <v>18124.560000000001</v>
      </c>
      <c r="O26" s="241">
        <v>338325.12000000005</v>
      </c>
    </row>
    <row r="27" spans="1:15" ht="13" x14ac:dyDescent="0.3">
      <c r="A27" s="242"/>
      <c r="B27" s="243" t="s">
        <v>25</v>
      </c>
      <c r="C27" s="251">
        <v>-578.55999999999767</v>
      </c>
      <c r="D27" s="252">
        <v>-361.59999999999854</v>
      </c>
      <c r="E27" s="252">
        <v>-361.59999999999854</v>
      </c>
      <c r="F27" s="252">
        <v>-433.91999999999825</v>
      </c>
      <c r="G27" s="252">
        <v>-650.87999999999738</v>
      </c>
      <c r="H27" s="252">
        <v>-1012.4799999999959</v>
      </c>
      <c r="I27" s="252">
        <v>-1229.4399999999951</v>
      </c>
      <c r="J27" s="252">
        <v>-1374.0799999999945</v>
      </c>
      <c r="K27" s="252">
        <v>-795.5199999999968</v>
      </c>
      <c r="L27" s="252">
        <v>-433.91999999999825</v>
      </c>
      <c r="M27" s="252">
        <v>-433.91999999999825</v>
      </c>
      <c r="N27" s="252">
        <v>-433.91999999999825</v>
      </c>
      <c r="O27" s="253">
        <v>-8099.8399999999674</v>
      </c>
    </row>
    <row r="28" spans="1:15" ht="13" x14ac:dyDescent="0.3">
      <c r="A28" s="242"/>
      <c r="B28" s="243" t="s">
        <v>26</v>
      </c>
      <c r="C28" s="251">
        <v>-46.485547646065541</v>
      </c>
      <c r="D28" s="252">
        <v>-29.053467278790965</v>
      </c>
      <c r="E28" s="252">
        <v>-29.053467278790965</v>
      </c>
      <c r="F28" s="252">
        <v>-34.864160734549152</v>
      </c>
      <c r="G28" s="252">
        <v>-52.296241101823739</v>
      </c>
      <c r="H28" s="252">
        <v>-81.3497083806147</v>
      </c>
      <c r="I28" s="252">
        <v>-98.78178874788928</v>
      </c>
      <c r="J28" s="252">
        <v>-110.40317565940566</v>
      </c>
      <c r="K28" s="252">
        <v>-63.917628013340114</v>
      </c>
      <c r="L28" s="252">
        <v>-34.864160734549152</v>
      </c>
      <c r="M28" s="252">
        <v>-34.864160734549152</v>
      </c>
      <c r="N28" s="252">
        <v>-34.864160734549152</v>
      </c>
      <c r="O28" s="253">
        <v>-650.7976670449176</v>
      </c>
    </row>
    <row r="29" spans="1:15" ht="13" x14ac:dyDescent="0.3">
      <c r="A29" s="242"/>
      <c r="B29" s="243" t="s">
        <v>27</v>
      </c>
      <c r="C29" s="251">
        <v>-625.04554764606326</v>
      </c>
      <c r="D29" s="252">
        <v>-390.65346727878949</v>
      </c>
      <c r="E29" s="252">
        <v>-390.65346727878949</v>
      </c>
      <c r="F29" s="252">
        <v>-468.78416073454741</v>
      </c>
      <c r="G29" s="252">
        <v>-703.17624110182112</v>
      </c>
      <c r="H29" s="252">
        <v>-1093.8297083806106</v>
      </c>
      <c r="I29" s="252">
        <v>-1328.2217887478844</v>
      </c>
      <c r="J29" s="252">
        <v>-1484.4831756594001</v>
      </c>
      <c r="K29" s="252">
        <v>-859.43762801333696</v>
      </c>
      <c r="L29" s="252">
        <v>-468.78416073454741</v>
      </c>
      <c r="M29" s="252">
        <v>-468.78416073454741</v>
      </c>
      <c r="N29" s="252">
        <v>-468.78416073454741</v>
      </c>
      <c r="O29" s="253">
        <v>-8750.6376670448844</v>
      </c>
    </row>
    <row r="30" spans="1:15" x14ac:dyDescent="0.25">
      <c r="A30" s="242"/>
      <c r="B30" s="243" t="s">
        <v>49</v>
      </c>
      <c r="C30" s="244">
        <v>24744.639999999999</v>
      </c>
      <c r="D30" s="82">
        <v>15465.4</v>
      </c>
      <c r="E30" s="82">
        <v>15465.4</v>
      </c>
      <c r="F30" s="82">
        <v>18558.48</v>
      </c>
      <c r="G30" s="82">
        <v>27837.72</v>
      </c>
      <c r="H30" s="82">
        <v>43303.119999999995</v>
      </c>
      <c r="I30" s="82">
        <v>52582.36</v>
      </c>
      <c r="J30" s="82">
        <v>58768.52</v>
      </c>
      <c r="K30" s="82">
        <v>34023.879999999997</v>
      </c>
      <c r="L30" s="82">
        <v>18558.48</v>
      </c>
      <c r="M30" s="82">
        <v>18558.48</v>
      </c>
      <c r="N30" s="82">
        <v>18558.48</v>
      </c>
      <c r="O30" s="245">
        <v>346424.9599999999</v>
      </c>
    </row>
    <row r="31" spans="1:15" x14ac:dyDescent="0.25">
      <c r="A31" s="242"/>
      <c r="B31" s="243" t="s">
        <v>87</v>
      </c>
      <c r="C31" s="244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245">
        <v>0</v>
      </c>
    </row>
    <row r="32" spans="1:15" x14ac:dyDescent="0.25">
      <c r="A32" s="242"/>
      <c r="B32" s="243" t="s">
        <v>89</v>
      </c>
      <c r="C32" s="244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245">
        <v>0</v>
      </c>
    </row>
    <row r="33" spans="1:15" x14ac:dyDescent="0.25">
      <c r="A33" s="232" t="s">
        <v>16</v>
      </c>
      <c r="B33" s="232" t="s">
        <v>70</v>
      </c>
      <c r="C33" s="239">
        <v>12083.04</v>
      </c>
      <c r="D33" s="240">
        <v>9062.2800000000007</v>
      </c>
      <c r="E33" s="240">
        <v>9062.2800000000007</v>
      </c>
      <c r="F33" s="240">
        <v>6041.52</v>
      </c>
      <c r="G33" s="240">
        <v>12083.04</v>
      </c>
      <c r="H33" s="240">
        <v>12083.04</v>
      </c>
      <c r="I33" s="240">
        <v>18124.560000000001</v>
      </c>
      <c r="J33" s="240">
        <v>18124.560000000001</v>
      </c>
      <c r="K33" s="240">
        <v>9062.2800000000007</v>
      </c>
      <c r="L33" s="240">
        <v>18124.560000000001</v>
      </c>
      <c r="M33" s="240">
        <v>3020.76</v>
      </c>
      <c r="N33" s="240">
        <v>9062.2800000000007</v>
      </c>
      <c r="O33" s="241">
        <v>135934.19999999998</v>
      </c>
    </row>
    <row r="34" spans="1:15" ht="13" x14ac:dyDescent="0.3">
      <c r="A34" s="242"/>
      <c r="B34" s="243" t="s">
        <v>25</v>
      </c>
      <c r="C34" s="251">
        <v>-289.27999999999884</v>
      </c>
      <c r="D34" s="252">
        <v>-216.95999999999913</v>
      </c>
      <c r="E34" s="252">
        <v>-216.95999999999913</v>
      </c>
      <c r="F34" s="252">
        <v>-144.63999999999942</v>
      </c>
      <c r="G34" s="252">
        <v>-289.27999999999884</v>
      </c>
      <c r="H34" s="252">
        <v>-289.27999999999884</v>
      </c>
      <c r="I34" s="252">
        <v>-433.91999999999825</v>
      </c>
      <c r="J34" s="252">
        <v>-433.91999999999825</v>
      </c>
      <c r="K34" s="252">
        <v>-216.95999999999913</v>
      </c>
      <c r="L34" s="252">
        <v>-433.91999999999825</v>
      </c>
      <c r="M34" s="252">
        <v>-72.319999999999709</v>
      </c>
      <c r="N34" s="252">
        <v>-216.95999999999913</v>
      </c>
      <c r="O34" s="253">
        <v>-3254.3999999999869</v>
      </c>
    </row>
    <row r="35" spans="1:15" ht="13" x14ac:dyDescent="0.3">
      <c r="A35" s="242"/>
      <c r="B35" s="243" t="s">
        <v>26</v>
      </c>
      <c r="C35" s="251">
        <v>-23.242773823032771</v>
      </c>
      <c r="D35" s="252">
        <v>-17.432080367274576</v>
      </c>
      <c r="E35" s="252">
        <v>-17.432080367274576</v>
      </c>
      <c r="F35" s="252">
        <v>-11.621386911516385</v>
      </c>
      <c r="G35" s="252">
        <v>-23.242773823032771</v>
      </c>
      <c r="H35" s="252">
        <v>-23.242773823032771</v>
      </c>
      <c r="I35" s="252">
        <v>-34.864160734549152</v>
      </c>
      <c r="J35" s="252">
        <v>-34.864160734549152</v>
      </c>
      <c r="K35" s="252">
        <v>-17.432080367274576</v>
      </c>
      <c r="L35" s="252">
        <v>-34.864160734549152</v>
      </c>
      <c r="M35" s="252">
        <v>-5.8106934557581926</v>
      </c>
      <c r="N35" s="252">
        <v>-17.432080367274576</v>
      </c>
      <c r="O35" s="253">
        <v>-261.48120550911864</v>
      </c>
    </row>
    <row r="36" spans="1:15" ht="13" x14ac:dyDescent="0.3">
      <c r="A36" s="242"/>
      <c r="B36" s="243" t="s">
        <v>27</v>
      </c>
      <c r="C36" s="251">
        <v>-312.52277382303163</v>
      </c>
      <c r="D36" s="252">
        <v>-234.39208036727371</v>
      </c>
      <c r="E36" s="252">
        <v>-234.39208036727371</v>
      </c>
      <c r="F36" s="252">
        <v>-156.26138691151581</v>
      </c>
      <c r="G36" s="252">
        <v>-312.52277382303163</v>
      </c>
      <c r="H36" s="252">
        <v>-312.52277382303163</v>
      </c>
      <c r="I36" s="252">
        <v>-468.78416073454741</v>
      </c>
      <c r="J36" s="252">
        <v>-468.78416073454741</v>
      </c>
      <c r="K36" s="252">
        <v>-234.39208036727371</v>
      </c>
      <c r="L36" s="252">
        <v>-468.78416073454741</v>
      </c>
      <c r="M36" s="252">
        <v>-78.130693455757907</v>
      </c>
      <c r="N36" s="252">
        <v>-234.39208036727371</v>
      </c>
      <c r="O36" s="253">
        <v>-3515.8812055091057</v>
      </c>
    </row>
    <row r="37" spans="1:15" x14ac:dyDescent="0.25">
      <c r="A37" s="242"/>
      <c r="B37" s="243" t="s">
        <v>49</v>
      </c>
      <c r="C37" s="244">
        <v>12372.32</v>
      </c>
      <c r="D37" s="82">
        <v>9279.24</v>
      </c>
      <c r="E37" s="82">
        <v>9279.24</v>
      </c>
      <c r="F37" s="82">
        <v>6186.16</v>
      </c>
      <c r="G37" s="82">
        <v>12372.32</v>
      </c>
      <c r="H37" s="82">
        <v>12372.32</v>
      </c>
      <c r="I37" s="82">
        <v>18558.48</v>
      </c>
      <c r="J37" s="82">
        <v>18558.48</v>
      </c>
      <c r="K37" s="82">
        <v>9279.24</v>
      </c>
      <c r="L37" s="82">
        <v>18558.48</v>
      </c>
      <c r="M37" s="82">
        <v>3093.08</v>
      </c>
      <c r="N37" s="82">
        <v>9279.24</v>
      </c>
      <c r="O37" s="245">
        <v>139188.59999999998</v>
      </c>
    </row>
    <row r="38" spans="1:15" x14ac:dyDescent="0.25">
      <c r="A38" s="242"/>
      <c r="B38" s="243" t="s">
        <v>87</v>
      </c>
      <c r="C38" s="244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245">
        <v>0</v>
      </c>
    </row>
    <row r="39" spans="1:15" x14ac:dyDescent="0.25">
      <c r="A39" s="242"/>
      <c r="B39" s="243" t="s">
        <v>89</v>
      </c>
      <c r="C39" s="244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245">
        <v>0</v>
      </c>
    </row>
    <row r="40" spans="1:15" x14ac:dyDescent="0.25">
      <c r="A40" s="232" t="s">
        <v>19</v>
      </c>
      <c r="B40" s="232" t="s">
        <v>70</v>
      </c>
      <c r="C40" s="239">
        <v>196349.40000000002</v>
      </c>
      <c r="D40" s="240">
        <v>196349.40000000002</v>
      </c>
      <c r="E40" s="240">
        <v>193328.64000000001</v>
      </c>
      <c r="F40" s="240">
        <v>196349.40000000002</v>
      </c>
      <c r="G40" s="240">
        <v>154058.76</v>
      </c>
      <c r="H40" s="240">
        <v>178224.84000000003</v>
      </c>
      <c r="I40" s="240">
        <v>202390.92</v>
      </c>
      <c r="J40" s="240">
        <v>211453.2</v>
      </c>
      <c r="K40" s="240">
        <v>217494.72000000003</v>
      </c>
      <c r="L40" s="240">
        <v>220515.48</v>
      </c>
      <c r="M40" s="240">
        <v>217494.72000000003</v>
      </c>
      <c r="N40" s="240">
        <v>196349.40000000002</v>
      </c>
      <c r="O40" s="241">
        <v>2380358.88</v>
      </c>
    </row>
    <row r="41" spans="1:15" ht="13" x14ac:dyDescent="0.3">
      <c r="A41" s="242"/>
      <c r="B41" s="243" t="s">
        <v>25</v>
      </c>
      <c r="C41" s="251">
        <v>-4700.7999999999593</v>
      </c>
      <c r="D41" s="252">
        <v>-4700.7999999999593</v>
      </c>
      <c r="E41" s="252">
        <v>-4628.4799999999814</v>
      </c>
      <c r="F41" s="252">
        <v>-4700.7999999999593</v>
      </c>
      <c r="G41" s="252">
        <v>-3688.3199999999779</v>
      </c>
      <c r="H41" s="252">
        <v>-4266.8799999999756</v>
      </c>
      <c r="I41" s="252">
        <v>-4845.4399999999732</v>
      </c>
      <c r="J41" s="252">
        <v>-5062.3999999999942</v>
      </c>
      <c r="K41" s="252">
        <v>-5207.039999999979</v>
      </c>
      <c r="L41" s="252">
        <v>-5279.359999999986</v>
      </c>
      <c r="M41" s="252">
        <v>-5207.039999999979</v>
      </c>
      <c r="N41" s="252">
        <v>-4700.7999999999593</v>
      </c>
      <c r="O41" s="253">
        <v>-56988.159999999683</v>
      </c>
    </row>
    <row r="42" spans="1:15" ht="13" x14ac:dyDescent="0.3">
      <c r="A42" s="242"/>
      <c r="B42" s="243" t="s">
        <v>26</v>
      </c>
      <c r="C42" s="251">
        <v>-377.69507462428254</v>
      </c>
      <c r="D42" s="252">
        <v>-377.69507462428254</v>
      </c>
      <c r="E42" s="252">
        <v>-371.88438116852433</v>
      </c>
      <c r="F42" s="252">
        <v>-377.69507462428254</v>
      </c>
      <c r="G42" s="252">
        <v>-296.3453662436678</v>
      </c>
      <c r="H42" s="252">
        <v>-342.83091388973338</v>
      </c>
      <c r="I42" s="252">
        <v>-389.31646153579891</v>
      </c>
      <c r="J42" s="252">
        <v>-406.74854190307349</v>
      </c>
      <c r="K42" s="252">
        <v>-418.36992881458991</v>
      </c>
      <c r="L42" s="252">
        <v>-424.18062227034801</v>
      </c>
      <c r="M42" s="252">
        <v>-418.36992881458991</v>
      </c>
      <c r="N42" s="252">
        <v>-377.69507462428254</v>
      </c>
      <c r="O42" s="253">
        <v>-4578.8264431374564</v>
      </c>
    </row>
    <row r="43" spans="1:15" ht="13" x14ac:dyDescent="0.3">
      <c r="A43" s="242"/>
      <c r="B43" s="243" t="s">
        <v>27</v>
      </c>
      <c r="C43" s="251">
        <v>-5078.4950746242421</v>
      </c>
      <c r="D43" s="252">
        <v>-5078.4950746242421</v>
      </c>
      <c r="E43" s="252">
        <v>-5000.364381168506</v>
      </c>
      <c r="F43" s="252">
        <v>-5078.4950746242421</v>
      </c>
      <c r="G43" s="252">
        <v>-3984.6653662436456</v>
      </c>
      <c r="H43" s="252">
        <v>-4609.7109138897085</v>
      </c>
      <c r="I43" s="252">
        <v>-5234.7564615357724</v>
      </c>
      <c r="J43" s="252">
        <v>-5469.1485419030678</v>
      </c>
      <c r="K43" s="252">
        <v>-5625.409928814569</v>
      </c>
      <c r="L43" s="252">
        <v>-5703.5406222703341</v>
      </c>
      <c r="M43" s="252">
        <v>-5625.409928814569</v>
      </c>
      <c r="N43" s="252">
        <v>-5078.4950746242421</v>
      </c>
      <c r="O43" s="253">
        <v>-61566.986443137124</v>
      </c>
    </row>
    <row r="44" spans="1:15" x14ac:dyDescent="0.25">
      <c r="A44" s="242"/>
      <c r="B44" s="243" t="s">
        <v>49</v>
      </c>
      <c r="C44" s="244">
        <v>201050.19999999998</v>
      </c>
      <c r="D44" s="82">
        <v>201050.19999999998</v>
      </c>
      <c r="E44" s="82">
        <v>197957.12</v>
      </c>
      <c r="F44" s="82">
        <v>201050.19999999998</v>
      </c>
      <c r="G44" s="82">
        <v>157747.07999999999</v>
      </c>
      <c r="H44" s="82">
        <v>182491.72</v>
      </c>
      <c r="I44" s="82">
        <v>207236.36</v>
      </c>
      <c r="J44" s="82">
        <v>216515.6</v>
      </c>
      <c r="K44" s="82">
        <v>222701.76</v>
      </c>
      <c r="L44" s="82">
        <v>225794.84</v>
      </c>
      <c r="M44" s="82">
        <v>222701.76</v>
      </c>
      <c r="N44" s="82">
        <v>201050.19999999998</v>
      </c>
      <c r="O44" s="245">
        <v>2437347.04</v>
      </c>
    </row>
    <row r="45" spans="1:15" x14ac:dyDescent="0.25">
      <c r="A45" s="242"/>
      <c r="B45" s="243" t="s">
        <v>87</v>
      </c>
      <c r="C45" s="244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245">
        <v>0</v>
      </c>
    </row>
    <row r="46" spans="1:15" x14ac:dyDescent="0.25">
      <c r="A46" s="242"/>
      <c r="B46" s="243" t="s">
        <v>89</v>
      </c>
      <c r="C46" s="244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245">
        <v>0</v>
      </c>
    </row>
    <row r="47" spans="1:15" x14ac:dyDescent="0.25">
      <c r="A47" s="232" t="s">
        <v>8</v>
      </c>
      <c r="B47" s="232" t="s">
        <v>70</v>
      </c>
      <c r="C47" s="239">
        <v>283951.44</v>
      </c>
      <c r="D47" s="240">
        <v>187287.12000000002</v>
      </c>
      <c r="E47" s="240">
        <v>181245.6</v>
      </c>
      <c r="F47" s="240">
        <v>277909.92000000004</v>
      </c>
      <c r="G47" s="240">
        <v>356449.68000000005</v>
      </c>
      <c r="H47" s="240">
        <v>431968.68000000005</v>
      </c>
      <c r="I47" s="240">
        <v>456134.76</v>
      </c>
      <c r="J47" s="240">
        <v>474259.32</v>
      </c>
      <c r="K47" s="240">
        <v>441030.96</v>
      </c>
      <c r="L47" s="240">
        <v>350408.16000000003</v>
      </c>
      <c r="M47" s="240">
        <v>187287.12000000002</v>
      </c>
      <c r="N47" s="240">
        <v>232598.52000000002</v>
      </c>
      <c r="O47" s="241">
        <v>3860531.2800000003</v>
      </c>
    </row>
    <row r="48" spans="1:15" ht="13" x14ac:dyDescent="0.3">
      <c r="A48" s="242"/>
      <c r="B48" s="243" t="s">
        <v>25</v>
      </c>
      <c r="C48" s="251">
        <v>-6798.0800000000163</v>
      </c>
      <c r="D48" s="252">
        <v>-4483.8399999999674</v>
      </c>
      <c r="E48" s="252">
        <v>-4339.1999999999825</v>
      </c>
      <c r="F48" s="252">
        <v>-6653.4399999999441</v>
      </c>
      <c r="G48" s="252">
        <v>-8533.7599999999511</v>
      </c>
      <c r="H48" s="252">
        <v>-10341.759999999951</v>
      </c>
      <c r="I48" s="252">
        <v>-10920.320000000007</v>
      </c>
      <c r="J48" s="252">
        <v>-11354.239999999991</v>
      </c>
      <c r="K48" s="252">
        <v>-10558.719999999972</v>
      </c>
      <c r="L48" s="252">
        <v>-8389.1199999999371</v>
      </c>
      <c r="M48" s="252">
        <v>-4483.8399999999674</v>
      </c>
      <c r="N48" s="252">
        <v>-5568.6399999999849</v>
      </c>
      <c r="O48" s="253">
        <v>-92424.959999999672</v>
      </c>
    </row>
    <row r="49" spans="1:15" ht="13" x14ac:dyDescent="0.3">
      <c r="A49" s="242"/>
      <c r="B49" s="243" t="s">
        <v>26</v>
      </c>
      <c r="C49" s="251">
        <v>-546.20518484127012</v>
      </c>
      <c r="D49" s="252">
        <v>-360.2629942570079</v>
      </c>
      <c r="E49" s="252">
        <v>-348.64160734549154</v>
      </c>
      <c r="F49" s="252">
        <v>-534.5837979297537</v>
      </c>
      <c r="G49" s="252">
        <v>-685.66182777946676</v>
      </c>
      <c r="H49" s="252">
        <v>-830.92916417342155</v>
      </c>
      <c r="I49" s="252">
        <v>-877.41471181948702</v>
      </c>
      <c r="J49" s="252">
        <v>-912.27887255403618</v>
      </c>
      <c r="K49" s="252">
        <v>-848.36124454069602</v>
      </c>
      <c r="L49" s="252">
        <v>-674.04044086795034</v>
      </c>
      <c r="M49" s="252">
        <v>-360.2629942570079</v>
      </c>
      <c r="N49" s="252">
        <v>-447.4233960933808</v>
      </c>
      <c r="O49" s="253">
        <v>-7426.0662364589707</v>
      </c>
    </row>
    <row r="50" spans="1:15" ht="13" x14ac:dyDescent="0.3">
      <c r="A50" s="242"/>
      <c r="B50" s="243" t="s">
        <v>27</v>
      </c>
      <c r="C50" s="251">
        <v>-7344.2851848412865</v>
      </c>
      <c r="D50" s="252">
        <v>-4844.1029942569749</v>
      </c>
      <c r="E50" s="252">
        <v>-4687.8416073454737</v>
      </c>
      <c r="F50" s="252">
        <v>-7188.023797929698</v>
      </c>
      <c r="G50" s="252">
        <v>-9219.4218277794171</v>
      </c>
      <c r="H50" s="252">
        <v>-11172.689164173373</v>
      </c>
      <c r="I50" s="252">
        <v>-11797.734711819494</v>
      </c>
      <c r="J50" s="252">
        <v>-12266.518872554027</v>
      </c>
      <c r="K50" s="252">
        <v>-11407.081244540668</v>
      </c>
      <c r="L50" s="252">
        <v>-9063.1604408678868</v>
      </c>
      <c r="M50" s="252">
        <v>-4844.1029942569749</v>
      </c>
      <c r="N50" s="252">
        <v>-6016.0633960933656</v>
      </c>
      <c r="O50" s="253">
        <v>-99851.026236458623</v>
      </c>
    </row>
    <row r="51" spans="1:15" x14ac:dyDescent="0.25">
      <c r="A51" s="242"/>
      <c r="B51" s="243" t="s">
        <v>49</v>
      </c>
      <c r="C51" s="244">
        <v>290749.52</v>
      </c>
      <c r="D51" s="82">
        <v>191770.96</v>
      </c>
      <c r="E51" s="82">
        <v>185584.8</v>
      </c>
      <c r="F51" s="82">
        <v>284563.36</v>
      </c>
      <c r="G51" s="82">
        <v>364983.44</v>
      </c>
      <c r="H51" s="82">
        <v>442310.44</v>
      </c>
      <c r="I51" s="82">
        <v>467055.08</v>
      </c>
      <c r="J51" s="82">
        <v>485613.56</v>
      </c>
      <c r="K51" s="82">
        <v>451589.68</v>
      </c>
      <c r="L51" s="82">
        <v>358797.27999999997</v>
      </c>
      <c r="M51" s="82">
        <v>191770.96</v>
      </c>
      <c r="N51" s="82">
        <v>238167.16</v>
      </c>
      <c r="O51" s="245">
        <v>3952956.24</v>
      </c>
    </row>
    <row r="52" spans="1:15" x14ac:dyDescent="0.25">
      <c r="A52" s="242"/>
      <c r="B52" s="243" t="s">
        <v>87</v>
      </c>
      <c r="C52" s="244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245">
        <v>0</v>
      </c>
    </row>
    <row r="53" spans="1:15" x14ac:dyDescent="0.25">
      <c r="A53" s="242"/>
      <c r="B53" s="243" t="s">
        <v>89</v>
      </c>
      <c r="C53" s="244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245">
        <v>0</v>
      </c>
    </row>
    <row r="54" spans="1:15" x14ac:dyDescent="0.25">
      <c r="A54" s="232" t="s">
        <v>21</v>
      </c>
      <c r="B54" s="232" t="s">
        <v>70</v>
      </c>
      <c r="C54" s="239">
        <v>9823511.5200000014</v>
      </c>
      <c r="D54" s="240">
        <v>7062536.8800000008</v>
      </c>
      <c r="E54" s="240">
        <v>6694004.1600000001</v>
      </c>
      <c r="F54" s="240">
        <v>8388650.5200000014</v>
      </c>
      <c r="G54" s="240">
        <v>9802366.2000000011</v>
      </c>
      <c r="H54" s="240">
        <v>12324700.800000001</v>
      </c>
      <c r="I54" s="240">
        <v>12533133.24</v>
      </c>
      <c r="J54" s="240">
        <v>12539174.760000002</v>
      </c>
      <c r="K54" s="240">
        <v>11657112.840000002</v>
      </c>
      <c r="L54" s="240">
        <v>10358186.040000001</v>
      </c>
      <c r="M54" s="240">
        <v>6706087.2000000002</v>
      </c>
      <c r="N54" s="240">
        <v>7760332.4400000004</v>
      </c>
      <c r="O54" s="241">
        <v>115649796.60000002</v>
      </c>
    </row>
    <row r="55" spans="1:15" ht="13" x14ac:dyDescent="0.3">
      <c r="A55" s="242"/>
      <c r="B55" s="243" t="s">
        <v>25</v>
      </c>
      <c r="C55" s="251">
        <v>-235184.63999999873</v>
      </c>
      <c r="D55" s="252">
        <v>-169084.15999999922</v>
      </c>
      <c r="E55" s="252">
        <v>-160261.12000000011</v>
      </c>
      <c r="F55" s="252">
        <v>-200832.63999999873</v>
      </c>
      <c r="G55" s="252">
        <v>-234678.39999999851</v>
      </c>
      <c r="H55" s="252">
        <v>-295065.59999999963</v>
      </c>
      <c r="I55" s="252">
        <v>-300055.6799999997</v>
      </c>
      <c r="J55" s="252">
        <v>-300200.31999999844</v>
      </c>
      <c r="K55" s="252">
        <v>-279082.87999999709</v>
      </c>
      <c r="L55" s="252">
        <v>-247985.27999999933</v>
      </c>
      <c r="M55" s="252">
        <v>-160550.39999999944</v>
      </c>
      <c r="N55" s="252">
        <v>-185790.07999999914</v>
      </c>
      <c r="O55" s="253">
        <v>-2768771.1999999881</v>
      </c>
    </row>
    <row r="56" spans="1:15" ht="13" x14ac:dyDescent="0.3">
      <c r="A56" s="242"/>
      <c r="B56" s="243" t="s">
        <v>26</v>
      </c>
      <c r="C56" s="251">
        <v>-18896.375118125641</v>
      </c>
      <c r="D56" s="252">
        <v>-13585.401299562654</v>
      </c>
      <c r="E56" s="252">
        <v>-12876.496697960154</v>
      </c>
      <c r="F56" s="252">
        <v>-16136.295726640501</v>
      </c>
      <c r="G56" s="252">
        <v>-18855.700263935334</v>
      </c>
      <c r="H56" s="252">
        <v>-23707.629299493427</v>
      </c>
      <c r="I56" s="252">
        <v>-24108.567147940739</v>
      </c>
      <c r="J56" s="252">
        <v>-24120.188534852259</v>
      </c>
      <c r="K56" s="252">
        <v>-22423.466045770867</v>
      </c>
      <c r="L56" s="252">
        <v>-19924.867859794846</v>
      </c>
      <c r="M56" s="252">
        <v>-12899.739471783187</v>
      </c>
      <c r="N56" s="252">
        <v>-14927.671487842796</v>
      </c>
      <c r="O56" s="253">
        <v>-222462.39895370242</v>
      </c>
    </row>
    <row r="57" spans="1:15" ht="13" x14ac:dyDescent="0.3">
      <c r="A57" s="242"/>
      <c r="B57" s="243" t="s">
        <v>27</v>
      </c>
      <c r="C57" s="251">
        <v>-254081.01511812437</v>
      </c>
      <c r="D57" s="252">
        <v>-182669.56129956187</v>
      </c>
      <c r="E57" s="252">
        <v>-173137.61669796027</v>
      </c>
      <c r="F57" s="252">
        <v>-216968.93572663923</v>
      </c>
      <c r="G57" s="252">
        <v>-253534.10026393385</v>
      </c>
      <c r="H57" s="252">
        <v>-318773.22929949308</v>
      </c>
      <c r="I57" s="252">
        <v>-324164.24714794045</v>
      </c>
      <c r="J57" s="252">
        <v>-324320.50853485067</v>
      </c>
      <c r="K57" s="252">
        <v>-301506.34604576795</v>
      </c>
      <c r="L57" s="252">
        <v>-267910.1478597942</v>
      </c>
      <c r="M57" s="252">
        <v>-173450.13947178263</v>
      </c>
      <c r="N57" s="252">
        <v>-200717.75148784195</v>
      </c>
      <c r="O57" s="253">
        <v>-2991233.5989536904</v>
      </c>
    </row>
    <row r="58" spans="1:15" x14ac:dyDescent="0.25">
      <c r="A58" s="242"/>
      <c r="B58" s="243" t="s">
        <v>49</v>
      </c>
      <c r="C58" s="244">
        <v>10058696.16</v>
      </c>
      <c r="D58" s="82">
        <v>7231621.04</v>
      </c>
      <c r="E58" s="82">
        <v>6854265.2800000003</v>
      </c>
      <c r="F58" s="82">
        <v>8589483.1600000001</v>
      </c>
      <c r="G58" s="82">
        <v>10037044.6</v>
      </c>
      <c r="H58" s="82">
        <v>12619766.4</v>
      </c>
      <c r="I58" s="82">
        <v>12833188.92</v>
      </c>
      <c r="J58" s="82">
        <v>12839375.08</v>
      </c>
      <c r="K58" s="82">
        <v>11936195.719999999</v>
      </c>
      <c r="L58" s="82">
        <v>10606171.32</v>
      </c>
      <c r="M58" s="82">
        <v>6866637.5999999996</v>
      </c>
      <c r="N58" s="82">
        <v>7946122.5199999996</v>
      </c>
      <c r="O58" s="245">
        <v>118418567.8</v>
      </c>
    </row>
    <row r="59" spans="1:15" x14ac:dyDescent="0.25">
      <c r="A59" s="242"/>
      <c r="B59" s="243" t="s">
        <v>87</v>
      </c>
      <c r="C59" s="244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245">
        <v>0</v>
      </c>
    </row>
    <row r="60" spans="1:15" x14ac:dyDescent="0.25">
      <c r="A60" s="242"/>
      <c r="B60" s="243" t="s">
        <v>89</v>
      </c>
      <c r="C60" s="244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245">
        <v>0</v>
      </c>
    </row>
    <row r="61" spans="1:15" x14ac:dyDescent="0.25">
      <c r="A61" s="232" t="s">
        <v>22</v>
      </c>
      <c r="B61" s="232" t="s">
        <v>70</v>
      </c>
      <c r="C61" s="239">
        <v>9986632.5600000005</v>
      </c>
      <c r="D61" s="240">
        <v>7887204.3600000003</v>
      </c>
      <c r="E61" s="240">
        <v>6953789.5200000005</v>
      </c>
      <c r="F61" s="240">
        <v>7509609.3600000003</v>
      </c>
      <c r="G61" s="240">
        <v>8971657.2000000011</v>
      </c>
      <c r="H61" s="240">
        <v>10521307.08</v>
      </c>
      <c r="I61" s="240">
        <v>10602867.600000001</v>
      </c>
      <c r="J61" s="240">
        <v>10796196.24</v>
      </c>
      <c r="K61" s="240">
        <v>9630182.8800000008</v>
      </c>
      <c r="L61" s="240">
        <v>8436982.6799999997</v>
      </c>
      <c r="M61" s="240">
        <v>7065557.6400000006</v>
      </c>
      <c r="N61" s="240">
        <v>7612315.2000000002</v>
      </c>
      <c r="O61" s="241">
        <v>105974302.31999999</v>
      </c>
    </row>
    <row r="62" spans="1:15" ht="13" x14ac:dyDescent="0.3">
      <c r="A62" s="242"/>
      <c r="B62" s="243" t="s">
        <v>25</v>
      </c>
      <c r="C62" s="251">
        <v>-239089.91999999993</v>
      </c>
      <c r="D62" s="252">
        <v>-188827.51999999955</v>
      </c>
      <c r="E62" s="252">
        <v>-166480.63999999966</v>
      </c>
      <c r="F62" s="252">
        <v>-179787.51999999955</v>
      </c>
      <c r="G62" s="252">
        <v>-214790.39999999851</v>
      </c>
      <c r="H62" s="252">
        <v>-251890.56000000052</v>
      </c>
      <c r="I62" s="252">
        <v>-253843.19999999739</v>
      </c>
      <c r="J62" s="252">
        <v>-258471.6799999997</v>
      </c>
      <c r="K62" s="252">
        <v>-230556.15999999829</v>
      </c>
      <c r="L62" s="252">
        <v>-201989.75999999978</v>
      </c>
      <c r="M62" s="252">
        <v>-169156.47999999952</v>
      </c>
      <c r="N62" s="252">
        <v>-182246.39999999944</v>
      </c>
      <c r="O62" s="253">
        <v>-2537130.2399999918</v>
      </c>
    </row>
    <row r="63" spans="1:15" ht="13" x14ac:dyDescent="0.3">
      <c r="A63" s="242"/>
      <c r="B63" s="243" t="s">
        <v>26</v>
      </c>
      <c r="C63" s="251">
        <v>-19210.152564736585</v>
      </c>
      <c r="D63" s="252">
        <v>-15171.72061298464</v>
      </c>
      <c r="E63" s="252">
        <v>-13376.216335155359</v>
      </c>
      <c r="F63" s="252">
        <v>-14445.383931014867</v>
      </c>
      <c r="G63" s="252">
        <v>-17257.759563601834</v>
      </c>
      <c r="H63" s="252">
        <v>-20238.645306405782</v>
      </c>
      <c r="I63" s="252">
        <v>-20395.534029711256</v>
      </c>
      <c r="J63" s="252">
        <v>-20767.418410879782</v>
      </c>
      <c r="K63" s="252">
        <v>-18524.490736957116</v>
      </c>
      <c r="L63" s="252">
        <v>-16229.266821932633</v>
      </c>
      <c r="M63" s="252">
        <v>-13591.211993018413</v>
      </c>
      <c r="N63" s="252">
        <v>-14642.947508510646</v>
      </c>
      <c r="O63" s="253">
        <v>-203850.74781490889</v>
      </c>
    </row>
    <row r="64" spans="1:15" ht="13" x14ac:dyDescent="0.3">
      <c r="A64" s="242"/>
      <c r="B64" s="243" t="s">
        <v>27</v>
      </c>
      <c r="C64" s="251">
        <v>-258300.0725647365</v>
      </c>
      <c r="D64" s="252">
        <v>-203999.2406129842</v>
      </c>
      <c r="E64" s="252">
        <v>-179856.85633515503</v>
      </c>
      <c r="F64" s="252">
        <v>-194232.90393101441</v>
      </c>
      <c r="G64" s="252">
        <v>-232048.15956360035</v>
      </c>
      <c r="H64" s="252">
        <v>-272129.20530640631</v>
      </c>
      <c r="I64" s="252">
        <v>-274238.73402970866</v>
      </c>
      <c r="J64" s="252">
        <v>-279239.09841087949</v>
      </c>
      <c r="K64" s="252">
        <v>-249080.6507369554</v>
      </c>
      <c r="L64" s="252">
        <v>-218219.02682193241</v>
      </c>
      <c r="M64" s="252">
        <v>-182747.69199301791</v>
      </c>
      <c r="N64" s="252">
        <v>-196889.34750851008</v>
      </c>
      <c r="O64" s="253">
        <v>-2740980.9878149009</v>
      </c>
    </row>
    <row r="65" spans="1:15" x14ac:dyDescent="0.25">
      <c r="A65" s="242"/>
      <c r="B65" s="243" t="s">
        <v>49</v>
      </c>
      <c r="C65" s="244">
        <v>10225722.48</v>
      </c>
      <c r="D65" s="82">
        <v>8076031.8799999999</v>
      </c>
      <c r="E65" s="82">
        <v>7120270.1600000001</v>
      </c>
      <c r="F65" s="82">
        <v>7689396.8799999999</v>
      </c>
      <c r="G65" s="82">
        <v>9186447.5999999996</v>
      </c>
      <c r="H65" s="82">
        <v>10773197.640000001</v>
      </c>
      <c r="I65" s="82">
        <v>10856710.799999999</v>
      </c>
      <c r="J65" s="82">
        <v>11054667.92</v>
      </c>
      <c r="K65" s="82">
        <v>9860739.0399999991</v>
      </c>
      <c r="L65" s="82">
        <v>8638972.4399999995</v>
      </c>
      <c r="M65" s="82">
        <v>7234714.1200000001</v>
      </c>
      <c r="N65" s="82">
        <v>7794561.5999999996</v>
      </c>
      <c r="O65" s="245">
        <v>108511432.56</v>
      </c>
    </row>
    <row r="66" spans="1:15" x14ac:dyDescent="0.25">
      <c r="A66" s="242"/>
      <c r="B66" s="243" t="s">
        <v>87</v>
      </c>
      <c r="C66" s="244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245">
        <v>0</v>
      </c>
    </row>
    <row r="67" spans="1:15" x14ac:dyDescent="0.25">
      <c r="A67" s="242"/>
      <c r="B67" s="243" t="s">
        <v>89</v>
      </c>
      <c r="C67" s="244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245">
        <v>0</v>
      </c>
    </row>
    <row r="68" spans="1:15" x14ac:dyDescent="0.25">
      <c r="A68" s="232" t="s">
        <v>9</v>
      </c>
      <c r="B68" s="232" t="s">
        <v>70</v>
      </c>
      <c r="C68" s="239">
        <v>226557.00000000003</v>
      </c>
      <c r="D68" s="240">
        <v>163121.04</v>
      </c>
      <c r="E68" s="240">
        <v>148017.24000000002</v>
      </c>
      <c r="F68" s="240">
        <v>129892.68000000001</v>
      </c>
      <c r="G68" s="240">
        <v>151038</v>
      </c>
      <c r="H68" s="240">
        <v>178224.84000000003</v>
      </c>
      <c r="I68" s="240">
        <v>181245.6</v>
      </c>
      <c r="J68" s="240">
        <v>169162.56</v>
      </c>
      <c r="K68" s="240">
        <v>166141.80000000002</v>
      </c>
      <c r="L68" s="240">
        <v>154058.76</v>
      </c>
      <c r="M68" s="240">
        <v>120830.40000000001</v>
      </c>
      <c r="N68" s="240">
        <v>154058.76</v>
      </c>
      <c r="O68" s="241">
        <v>1942348.6800000002</v>
      </c>
    </row>
    <row r="69" spans="1:15" ht="13" x14ac:dyDescent="0.3">
      <c r="A69" s="242"/>
      <c r="B69" s="243" t="s">
        <v>25</v>
      </c>
      <c r="C69" s="251">
        <v>-5423.9999999999709</v>
      </c>
      <c r="D69" s="252">
        <v>-3905.2799999999988</v>
      </c>
      <c r="E69" s="252">
        <v>-3543.6799999999639</v>
      </c>
      <c r="F69" s="252">
        <v>-3109.7599999999948</v>
      </c>
      <c r="G69" s="252">
        <v>-3616</v>
      </c>
      <c r="H69" s="252">
        <v>-4266.8799999999756</v>
      </c>
      <c r="I69" s="252">
        <v>-4339.1999999999825</v>
      </c>
      <c r="J69" s="252">
        <v>-4049.9199999999837</v>
      </c>
      <c r="K69" s="252">
        <v>-3977.5999999999767</v>
      </c>
      <c r="L69" s="252">
        <v>-3688.3199999999779</v>
      </c>
      <c r="M69" s="252">
        <v>-2892.7999999999884</v>
      </c>
      <c r="N69" s="252">
        <v>-3688.3199999999779</v>
      </c>
      <c r="O69" s="253">
        <v>-46501.759999999791</v>
      </c>
    </row>
    <row r="70" spans="1:15" ht="13" x14ac:dyDescent="0.3">
      <c r="A70" s="242"/>
      <c r="B70" s="243" t="s">
        <v>26</v>
      </c>
      <c r="C70" s="251">
        <v>-435.80200918186443</v>
      </c>
      <c r="D70" s="252">
        <v>-313.77744661094243</v>
      </c>
      <c r="E70" s="252">
        <v>-284.72397933215143</v>
      </c>
      <c r="F70" s="252">
        <v>-249.85981859760227</v>
      </c>
      <c r="G70" s="252">
        <v>-290.53467278790964</v>
      </c>
      <c r="H70" s="252">
        <v>-342.83091388973338</v>
      </c>
      <c r="I70" s="252">
        <v>-348.64160734549154</v>
      </c>
      <c r="J70" s="252">
        <v>-325.3988335224588</v>
      </c>
      <c r="K70" s="252">
        <v>-319.58814006670059</v>
      </c>
      <c r="L70" s="252">
        <v>-296.3453662436678</v>
      </c>
      <c r="M70" s="252">
        <v>-232.42773823032772</v>
      </c>
      <c r="N70" s="252">
        <v>-296.3453662436678</v>
      </c>
      <c r="O70" s="253">
        <v>-3736.275892052518</v>
      </c>
    </row>
    <row r="71" spans="1:15" ht="13" x14ac:dyDescent="0.3">
      <c r="A71" s="242"/>
      <c r="B71" s="243" t="s">
        <v>27</v>
      </c>
      <c r="C71" s="251">
        <v>-5859.8020091818353</v>
      </c>
      <c r="D71" s="252">
        <v>-4219.057446610941</v>
      </c>
      <c r="E71" s="252">
        <v>-3828.4039793321153</v>
      </c>
      <c r="F71" s="252">
        <v>-3359.6198185975973</v>
      </c>
      <c r="G71" s="252">
        <v>-3906.5346727879096</v>
      </c>
      <c r="H71" s="252">
        <v>-4609.7109138897085</v>
      </c>
      <c r="I71" s="252">
        <v>-4687.8416073454737</v>
      </c>
      <c r="J71" s="252">
        <v>-4375.3188335224422</v>
      </c>
      <c r="K71" s="252">
        <v>-4297.1881400666771</v>
      </c>
      <c r="L71" s="252">
        <v>-3984.6653662436456</v>
      </c>
      <c r="M71" s="252">
        <v>-3125.2277382303159</v>
      </c>
      <c r="N71" s="252">
        <v>-3984.6653662436456</v>
      </c>
      <c r="O71" s="253">
        <v>-50238.035892052292</v>
      </c>
    </row>
    <row r="72" spans="1:15" x14ac:dyDescent="0.25">
      <c r="A72" s="242"/>
      <c r="B72" s="243" t="s">
        <v>49</v>
      </c>
      <c r="C72" s="244">
        <v>231981</v>
      </c>
      <c r="D72" s="82">
        <v>167026.32</v>
      </c>
      <c r="E72" s="82">
        <v>151560.91999999998</v>
      </c>
      <c r="F72" s="82">
        <v>133002.44</v>
      </c>
      <c r="G72" s="82">
        <v>154654</v>
      </c>
      <c r="H72" s="82">
        <v>182491.72</v>
      </c>
      <c r="I72" s="82">
        <v>185584.8</v>
      </c>
      <c r="J72" s="82">
        <v>173212.47999999998</v>
      </c>
      <c r="K72" s="82">
        <v>170119.4</v>
      </c>
      <c r="L72" s="82">
        <v>157747.07999999999</v>
      </c>
      <c r="M72" s="82">
        <v>123723.2</v>
      </c>
      <c r="N72" s="82">
        <v>157747.07999999999</v>
      </c>
      <c r="O72" s="245">
        <v>1988850.44</v>
      </c>
    </row>
    <row r="73" spans="1:15" x14ac:dyDescent="0.25">
      <c r="A73" s="242"/>
      <c r="B73" s="243" t="s">
        <v>87</v>
      </c>
      <c r="C73" s="244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245">
        <v>0</v>
      </c>
    </row>
    <row r="74" spans="1:15" x14ac:dyDescent="0.25">
      <c r="A74" s="242"/>
      <c r="B74" s="243" t="s">
        <v>89</v>
      </c>
      <c r="C74" s="244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245">
        <v>0</v>
      </c>
    </row>
    <row r="75" spans="1:15" x14ac:dyDescent="0.25">
      <c r="A75" s="232" t="s">
        <v>54</v>
      </c>
      <c r="B75" s="232" t="s">
        <v>70</v>
      </c>
      <c r="C75" s="239">
        <v>438010.2</v>
      </c>
      <c r="D75" s="240">
        <v>302076</v>
      </c>
      <c r="E75" s="240">
        <v>277909.92000000004</v>
      </c>
      <c r="F75" s="240">
        <v>305096.76</v>
      </c>
      <c r="G75" s="240">
        <v>356449.68000000005</v>
      </c>
      <c r="H75" s="240">
        <v>522591.48000000004</v>
      </c>
      <c r="I75" s="240">
        <v>495404.64</v>
      </c>
      <c r="J75" s="240">
        <v>513529.2</v>
      </c>
      <c r="K75" s="240">
        <v>471238.56000000006</v>
      </c>
      <c r="L75" s="240">
        <v>419885.64</v>
      </c>
      <c r="M75" s="240">
        <v>271868.40000000002</v>
      </c>
      <c r="N75" s="240">
        <v>332283.60000000003</v>
      </c>
      <c r="O75" s="241">
        <v>4706344.08</v>
      </c>
    </row>
    <row r="76" spans="1:15" x14ac:dyDescent="0.25">
      <c r="A76" s="242"/>
      <c r="B76" s="243" t="s">
        <v>25</v>
      </c>
      <c r="C76" s="244">
        <v>-10486.399999999965</v>
      </c>
      <c r="D76" s="82">
        <v>-7232</v>
      </c>
      <c r="E76" s="82">
        <v>-6653.4399999999441</v>
      </c>
      <c r="F76" s="82">
        <v>-7304.320000000007</v>
      </c>
      <c r="G76" s="82">
        <v>-8533.7599999999511</v>
      </c>
      <c r="H76" s="82">
        <v>-12511.359999999928</v>
      </c>
      <c r="I76" s="82">
        <v>-11860.479999999981</v>
      </c>
      <c r="J76" s="82">
        <v>-12294.399999999965</v>
      </c>
      <c r="K76" s="82">
        <v>-11281.919999999925</v>
      </c>
      <c r="L76" s="82">
        <v>-10052.479999999981</v>
      </c>
      <c r="M76" s="82">
        <v>-6508.7999999999884</v>
      </c>
      <c r="N76" s="82">
        <v>-7955.1999999999534</v>
      </c>
      <c r="O76" s="245">
        <v>-112674.55999999959</v>
      </c>
    </row>
    <row r="77" spans="1:15" x14ac:dyDescent="0.25">
      <c r="A77" s="242"/>
      <c r="B77" s="243" t="s">
        <v>26</v>
      </c>
      <c r="C77" s="244">
        <v>-842.55055108493798</v>
      </c>
      <c r="D77" s="82">
        <v>-581.06934557581928</v>
      </c>
      <c r="E77" s="82">
        <v>-534.5837979297537</v>
      </c>
      <c r="F77" s="82">
        <v>-586.88003903157744</v>
      </c>
      <c r="G77" s="82">
        <v>-685.66182777946676</v>
      </c>
      <c r="H77" s="82">
        <v>-1005.2499678461672</v>
      </c>
      <c r="I77" s="82">
        <v>-952.95372674434361</v>
      </c>
      <c r="J77" s="82">
        <v>-987.81788747889277</v>
      </c>
      <c r="K77" s="82">
        <v>-906.46817909827803</v>
      </c>
      <c r="L77" s="82">
        <v>-807.68639035038882</v>
      </c>
      <c r="M77" s="82">
        <v>-522.96241101823739</v>
      </c>
      <c r="N77" s="82">
        <v>-639.17628013340118</v>
      </c>
      <c r="O77" s="245">
        <v>-9053.0604040712642</v>
      </c>
    </row>
    <row r="78" spans="1:15" x14ac:dyDescent="0.25">
      <c r="A78" s="242"/>
      <c r="B78" s="243" t="s">
        <v>27</v>
      </c>
      <c r="C78" s="244">
        <v>-11328.950551084903</v>
      </c>
      <c r="D78" s="82">
        <v>-7813.0693455758192</v>
      </c>
      <c r="E78" s="82">
        <v>-7188.023797929698</v>
      </c>
      <c r="F78" s="82">
        <v>-7891.2000390315843</v>
      </c>
      <c r="G78" s="82">
        <v>-9219.4218277794171</v>
      </c>
      <c r="H78" s="82">
        <v>-13516.609967846096</v>
      </c>
      <c r="I78" s="82">
        <v>-12813.433726744324</v>
      </c>
      <c r="J78" s="82">
        <v>-13282.217887478859</v>
      </c>
      <c r="K78" s="82">
        <v>-12188.388179098203</v>
      </c>
      <c r="L78" s="82">
        <v>-10860.16639035037</v>
      </c>
      <c r="M78" s="82">
        <v>-7031.762411018226</v>
      </c>
      <c r="N78" s="82">
        <v>-8594.3762801333542</v>
      </c>
      <c r="O78" s="245">
        <v>-121727.62040407084</v>
      </c>
    </row>
    <row r="79" spans="1:15" x14ac:dyDescent="0.25">
      <c r="A79" s="242"/>
      <c r="B79" s="243" t="s">
        <v>49</v>
      </c>
      <c r="C79" s="244">
        <v>448496.6</v>
      </c>
      <c r="D79" s="82">
        <v>309308</v>
      </c>
      <c r="E79" s="82">
        <v>284563.36</v>
      </c>
      <c r="F79" s="82">
        <v>312401.08</v>
      </c>
      <c r="G79" s="82">
        <v>364983.44</v>
      </c>
      <c r="H79" s="82">
        <v>535102.84</v>
      </c>
      <c r="I79" s="82">
        <v>507265.12</v>
      </c>
      <c r="J79" s="82">
        <v>525823.6</v>
      </c>
      <c r="K79" s="82">
        <v>482520.48</v>
      </c>
      <c r="L79" s="82">
        <v>429938.12</v>
      </c>
      <c r="M79" s="82">
        <v>278377.2</v>
      </c>
      <c r="N79" s="82">
        <v>340238.8</v>
      </c>
      <c r="O79" s="245">
        <v>4819018.6399999997</v>
      </c>
    </row>
    <row r="80" spans="1:15" x14ac:dyDescent="0.25">
      <c r="A80" s="242"/>
      <c r="B80" s="243" t="s">
        <v>87</v>
      </c>
      <c r="C80" s="244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245">
        <v>0</v>
      </c>
    </row>
    <row r="81" spans="1:15" x14ac:dyDescent="0.25">
      <c r="A81" s="242"/>
      <c r="B81" s="243" t="s">
        <v>89</v>
      </c>
      <c r="C81" s="244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245">
        <v>0</v>
      </c>
    </row>
    <row r="82" spans="1:15" x14ac:dyDescent="0.25">
      <c r="A82" s="232" t="s">
        <v>55</v>
      </c>
      <c r="B82" s="232" t="s">
        <v>70</v>
      </c>
      <c r="C82" s="239">
        <v>27186.840000000004</v>
      </c>
      <c r="D82" s="240">
        <v>24166.080000000002</v>
      </c>
      <c r="E82" s="240">
        <v>30207.600000000002</v>
      </c>
      <c r="F82" s="240">
        <v>21145.32</v>
      </c>
      <c r="G82" s="240">
        <v>30207.600000000002</v>
      </c>
      <c r="H82" s="240">
        <v>30207.600000000002</v>
      </c>
      <c r="I82" s="240">
        <v>36249.120000000003</v>
      </c>
      <c r="J82" s="240">
        <v>36249.120000000003</v>
      </c>
      <c r="K82" s="240">
        <v>33228.36</v>
      </c>
      <c r="L82" s="240">
        <v>30207.600000000002</v>
      </c>
      <c r="M82" s="240">
        <v>30207.600000000002</v>
      </c>
      <c r="N82" s="240">
        <v>30207.600000000002</v>
      </c>
      <c r="O82" s="241">
        <v>359470.43999999994</v>
      </c>
    </row>
    <row r="83" spans="1:15" x14ac:dyDescent="0.25">
      <c r="A83" s="242"/>
      <c r="B83" s="243" t="s">
        <v>25</v>
      </c>
      <c r="C83" s="244">
        <v>-650.87999999999738</v>
      </c>
      <c r="D83" s="82">
        <v>-578.55999999999767</v>
      </c>
      <c r="E83" s="82">
        <v>-723.19999999999709</v>
      </c>
      <c r="F83" s="82">
        <v>-506.23999999999796</v>
      </c>
      <c r="G83" s="82">
        <v>-723.19999999999709</v>
      </c>
      <c r="H83" s="82">
        <v>-723.19999999999709</v>
      </c>
      <c r="I83" s="82">
        <v>-867.83999999999651</v>
      </c>
      <c r="J83" s="82">
        <v>-867.83999999999651</v>
      </c>
      <c r="K83" s="82">
        <v>-795.5199999999968</v>
      </c>
      <c r="L83" s="82">
        <v>-723.19999999999709</v>
      </c>
      <c r="M83" s="82">
        <v>-723.19999999999709</v>
      </c>
      <c r="N83" s="82">
        <v>-723.19999999999709</v>
      </c>
      <c r="O83" s="245">
        <v>-8606.0799999999654</v>
      </c>
    </row>
    <row r="84" spans="1:15" x14ac:dyDescent="0.25">
      <c r="A84" s="242"/>
      <c r="B84" s="243" t="s">
        <v>26</v>
      </c>
      <c r="C84" s="244">
        <v>-52.296241101823739</v>
      </c>
      <c r="D84" s="82">
        <v>-46.485547646065541</v>
      </c>
      <c r="E84" s="82">
        <v>-58.10693455758193</v>
      </c>
      <c r="F84" s="82">
        <v>-40.67485419030735</v>
      </c>
      <c r="G84" s="82">
        <v>-58.10693455758193</v>
      </c>
      <c r="H84" s="82">
        <v>-58.10693455758193</v>
      </c>
      <c r="I84" s="82">
        <v>-69.728321469098304</v>
      </c>
      <c r="J84" s="82">
        <v>-69.728321469098304</v>
      </c>
      <c r="K84" s="82">
        <v>-63.917628013340114</v>
      </c>
      <c r="L84" s="82">
        <v>-58.10693455758193</v>
      </c>
      <c r="M84" s="82">
        <v>-58.10693455758193</v>
      </c>
      <c r="N84" s="82">
        <v>-58.10693455758193</v>
      </c>
      <c r="O84" s="245">
        <v>-691.47252123522492</v>
      </c>
    </row>
    <row r="85" spans="1:15" x14ac:dyDescent="0.25">
      <c r="A85" s="242"/>
      <c r="B85" s="243" t="s">
        <v>27</v>
      </c>
      <c r="C85" s="244">
        <v>-703.17624110182112</v>
      </c>
      <c r="D85" s="82">
        <v>-625.04554764606326</v>
      </c>
      <c r="E85" s="82">
        <v>-781.30693455757898</v>
      </c>
      <c r="F85" s="82">
        <v>-546.91485419030528</v>
      </c>
      <c r="G85" s="82">
        <v>-781.30693455757898</v>
      </c>
      <c r="H85" s="82">
        <v>-781.30693455757898</v>
      </c>
      <c r="I85" s="82">
        <v>-937.56832146909483</v>
      </c>
      <c r="J85" s="82">
        <v>-937.56832146909483</v>
      </c>
      <c r="K85" s="82">
        <v>-859.43762801333696</v>
      </c>
      <c r="L85" s="82">
        <v>-781.30693455757898</v>
      </c>
      <c r="M85" s="82">
        <v>-781.30693455757898</v>
      </c>
      <c r="N85" s="82">
        <v>-781.30693455757898</v>
      </c>
      <c r="O85" s="245">
        <v>-9297.5525212351877</v>
      </c>
    </row>
    <row r="86" spans="1:15" x14ac:dyDescent="0.25">
      <c r="A86" s="242"/>
      <c r="B86" s="243" t="s">
        <v>49</v>
      </c>
      <c r="C86" s="244">
        <v>27837.72</v>
      </c>
      <c r="D86" s="82">
        <v>24744.639999999999</v>
      </c>
      <c r="E86" s="82">
        <v>30930.799999999999</v>
      </c>
      <c r="F86" s="82">
        <v>21651.559999999998</v>
      </c>
      <c r="G86" s="82">
        <v>30930.799999999999</v>
      </c>
      <c r="H86" s="82">
        <v>30930.799999999999</v>
      </c>
      <c r="I86" s="82">
        <v>37116.959999999999</v>
      </c>
      <c r="J86" s="82">
        <v>37116.959999999999</v>
      </c>
      <c r="K86" s="82">
        <v>34023.879999999997</v>
      </c>
      <c r="L86" s="82">
        <v>30930.799999999999</v>
      </c>
      <c r="M86" s="82">
        <v>30930.799999999999</v>
      </c>
      <c r="N86" s="82">
        <v>30930.799999999999</v>
      </c>
      <c r="O86" s="245">
        <v>368076.5199999999</v>
      </c>
    </row>
    <row r="87" spans="1:15" x14ac:dyDescent="0.25">
      <c r="A87" s="242"/>
      <c r="B87" s="243" t="s">
        <v>87</v>
      </c>
      <c r="C87" s="244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245">
        <v>0</v>
      </c>
    </row>
    <row r="88" spans="1:15" x14ac:dyDescent="0.25">
      <c r="A88" s="242"/>
      <c r="B88" s="243" t="s">
        <v>89</v>
      </c>
      <c r="C88" s="244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245">
        <v>0</v>
      </c>
    </row>
    <row r="89" spans="1:15" x14ac:dyDescent="0.25">
      <c r="A89" s="232" t="s">
        <v>56</v>
      </c>
      <c r="B89" s="232" t="s">
        <v>70</v>
      </c>
      <c r="C89" s="239">
        <v>78539.760000000009</v>
      </c>
      <c r="D89" s="240">
        <v>57394.44</v>
      </c>
      <c r="E89" s="240">
        <v>54373.680000000008</v>
      </c>
      <c r="F89" s="240">
        <v>66456.72</v>
      </c>
      <c r="G89" s="240">
        <v>93643.560000000012</v>
      </c>
      <c r="H89" s="240">
        <v>108747.36000000002</v>
      </c>
      <c r="I89" s="240">
        <v>114788.88</v>
      </c>
      <c r="J89" s="240">
        <v>123851.16</v>
      </c>
      <c r="K89" s="240">
        <v>87602.040000000008</v>
      </c>
      <c r="L89" s="240">
        <v>78539.760000000009</v>
      </c>
      <c r="M89" s="240">
        <v>66456.72</v>
      </c>
      <c r="N89" s="240">
        <v>54373.680000000008</v>
      </c>
      <c r="O89" s="241">
        <v>984767.76000000013</v>
      </c>
    </row>
    <row r="90" spans="1:15" x14ac:dyDescent="0.25">
      <c r="A90" s="242"/>
      <c r="B90" s="243" t="s">
        <v>25</v>
      </c>
      <c r="C90" s="244">
        <v>-1880.3199999999924</v>
      </c>
      <c r="D90" s="82">
        <v>-1374.0799999999945</v>
      </c>
      <c r="E90" s="82">
        <v>-1301.7599999999948</v>
      </c>
      <c r="F90" s="82">
        <v>-1591.0399999999936</v>
      </c>
      <c r="G90" s="82">
        <v>-2241.9199999999837</v>
      </c>
      <c r="H90" s="82">
        <v>-2603.5199999999895</v>
      </c>
      <c r="I90" s="82">
        <v>-2748.1599999999889</v>
      </c>
      <c r="J90" s="82">
        <v>-2965.1199999999953</v>
      </c>
      <c r="K90" s="82">
        <v>-2097.2799999999843</v>
      </c>
      <c r="L90" s="82">
        <v>-1880.3199999999924</v>
      </c>
      <c r="M90" s="82">
        <v>-1591.0399999999936</v>
      </c>
      <c r="N90" s="82">
        <v>-1301.7599999999948</v>
      </c>
      <c r="O90" s="245">
        <v>-23576.319999999898</v>
      </c>
    </row>
    <row r="91" spans="1:15" x14ac:dyDescent="0.25">
      <c r="A91" s="242"/>
      <c r="B91" s="243" t="s">
        <v>26</v>
      </c>
      <c r="C91" s="244">
        <v>-151.078029849713</v>
      </c>
      <c r="D91" s="82">
        <v>-110.40317565940566</v>
      </c>
      <c r="E91" s="82">
        <v>-104.59248220364748</v>
      </c>
      <c r="F91" s="82">
        <v>-127.83525602668023</v>
      </c>
      <c r="G91" s="82">
        <v>-180.13149712850395</v>
      </c>
      <c r="H91" s="82">
        <v>-209.18496440729496</v>
      </c>
      <c r="I91" s="82">
        <v>-220.80635131881132</v>
      </c>
      <c r="J91" s="82">
        <v>-238.2384316860859</v>
      </c>
      <c r="K91" s="82">
        <v>-168.51011021698758</v>
      </c>
      <c r="L91" s="82">
        <v>-151.078029849713</v>
      </c>
      <c r="M91" s="82">
        <v>-127.83525602668023</v>
      </c>
      <c r="N91" s="82">
        <v>-104.59248220364748</v>
      </c>
      <c r="O91" s="245">
        <v>-1894.2860665771709</v>
      </c>
    </row>
    <row r="92" spans="1:15" x14ac:dyDescent="0.25">
      <c r="A92" s="242"/>
      <c r="B92" s="243" t="s">
        <v>27</v>
      </c>
      <c r="C92" s="244">
        <v>-2031.3980298497054</v>
      </c>
      <c r="D92" s="82">
        <v>-1484.4831756594001</v>
      </c>
      <c r="E92" s="82">
        <v>-1406.3524822036422</v>
      </c>
      <c r="F92" s="82">
        <v>-1718.8752560266739</v>
      </c>
      <c r="G92" s="82">
        <v>-2422.0514971284874</v>
      </c>
      <c r="H92" s="82">
        <v>-2812.7049644072845</v>
      </c>
      <c r="I92" s="82">
        <v>-2968.9663513188002</v>
      </c>
      <c r="J92" s="82">
        <v>-3203.3584316860811</v>
      </c>
      <c r="K92" s="82">
        <v>-2265.7901102169717</v>
      </c>
      <c r="L92" s="82">
        <v>-2031.3980298497054</v>
      </c>
      <c r="M92" s="82">
        <v>-1718.8752560266739</v>
      </c>
      <c r="N92" s="82">
        <v>-1406.3524822036422</v>
      </c>
      <c r="O92" s="245">
        <v>-25470.606066577064</v>
      </c>
    </row>
    <row r="93" spans="1:15" x14ac:dyDescent="0.25">
      <c r="A93" s="242"/>
      <c r="B93" s="243" t="s">
        <v>49</v>
      </c>
      <c r="C93" s="244">
        <v>80420.08</v>
      </c>
      <c r="D93" s="82">
        <v>58768.52</v>
      </c>
      <c r="E93" s="82">
        <v>55675.44</v>
      </c>
      <c r="F93" s="82">
        <v>68047.759999999995</v>
      </c>
      <c r="G93" s="82">
        <v>95885.48</v>
      </c>
      <c r="H93" s="82">
        <v>111350.88</v>
      </c>
      <c r="I93" s="82">
        <v>117537.04</v>
      </c>
      <c r="J93" s="82">
        <v>126816.28</v>
      </c>
      <c r="K93" s="82">
        <v>89699.319999999992</v>
      </c>
      <c r="L93" s="82">
        <v>80420.08</v>
      </c>
      <c r="M93" s="82">
        <v>68047.759999999995</v>
      </c>
      <c r="N93" s="82">
        <v>55675.44</v>
      </c>
      <c r="O93" s="245">
        <v>1008344.0799999998</v>
      </c>
    </row>
    <row r="94" spans="1:15" x14ac:dyDescent="0.25">
      <c r="A94" s="242"/>
      <c r="B94" s="243" t="s">
        <v>87</v>
      </c>
      <c r="C94" s="244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245">
        <v>0</v>
      </c>
    </row>
    <row r="95" spans="1:15" x14ac:dyDescent="0.25">
      <c r="A95" s="242"/>
      <c r="B95" s="243" t="s">
        <v>89</v>
      </c>
      <c r="C95" s="244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245">
        <v>0</v>
      </c>
    </row>
    <row r="96" spans="1:15" x14ac:dyDescent="0.25">
      <c r="A96" s="232" t="s">
        <v>57</v>
      </c>
      <c r="B96" s="232" t="s">
        <v>70</v>
      </c>
      <c r="C96" s="239">
        <v>102705.84000000001</v>
      </c>
      <c r="D96" s="240">
        <v>96664.320000000007</v>
      </c>
      <c r="E96" s="240">
        <v>96664.320000000007</v>
      </c>
      <c r="F96" s="240">
        <v>99685.08</v>
      </c>
      <c r="G96" s="240">
        <v>120830.40000000001</v>
      </c>
      <c r="H96" s="240">
        <v>141975.72</v>
      </c>
      <c r="I96" s="240">
        <v>141975.72</v>
      </c>
      <c r="J96" s="240">
        <v>154058.76</v>
      </c>
      <c r="K96" s="240">
        <v>129892.68000000001</v>
      </c>
      <c r="L96" s="240">
        <v>111768.12000000001</v>
      </c>
      <c r="M96" s="240">
        <v>102705.84000000001</v>
      </c>
      <c r="N96" s="240">
        <v>96664.320000000007</v>
      </c>
      <c r="O96" s="241">
        <v>1395591.1200000003</v>
      </c>
    </row>
    <row r="97" spans="1:15" x14ac:dyDescent="0.25">
      <c r="A97" s="242"/>
      <c r="B97" s="243" t="s">
        <v>25</v>
      </c>
      <c r="C97" s="244">
        <v>-2458.8799999999901</v>
      </c>
      <c r="D97" s="82">
        <v>-2314.2399999999907</v>
      </c>
      <c r="E97" s="82">
        <v>-2314.2399999999907</v>
      </c>
      <c r="F97" s="82">
        <v>-2386.5599999999977</v>
      </c>
      <c r="G97" s="82">
        <v>-2892.7999999999884</v>
      </c>
      <c r="H97" s="82">
        <v>-3399.0400000000081</v>
      </c>
      <c r="I97" s="82">
        <v>-3399.0400000000081</v>
      </c>
      <c r="J97" s="82">
        <v>-3688.3199999999779</v>
      </c>
      <c r="K97" s="82">
        <v>-3109.7599999999948</v>
      </c>
      <c r="L97" s="82">
        <v>-2675.839999999982</v>
      </c>
      <c r="M97" s="82">
        <v>-2458.8799999999901</v>
      </c>
      <c r="N97" s="82">
        <v>-2314.2399999999907</v>
      </c>
      <c r="O97" s="245">
        <v>-33411.839999999909</v>
      </c>
    </row>
    <row r="98" spans="1:15" x14ac:dyDescent="0.25">
      <c r="A98" s="242"/>
      <c r="B98" s="243" t="s">
        <v>26</v>
      </c>
      <c r="C98" s="244">
        <v>-197.56357749577856</v>
      </c>
      <c r="D98" s="82">
        <v>-185.94219058426216</v>
      </c>
      <c r="E98" s="82">
        <v>-185.94219058426216</v>
      </c>
      <c r="F98" s="82">
        <v>-191.75288404002035</v>
      </c>
      <c r="G98" s="82">
        <v>-232.42773823032772</v>
      </c>
      <c r="H98" s="82">
        <v>-273.10259242063506</v>
      </c>
      <c r="I98" s="82">
        <v>-273.10259242063506</v>
      </c>
      <c r="J98" s="82">
        <v>-296.3453662436678</v>
      </c>
      <c r="K98" s="82">
        <v>-249.85981859760227</v>
      </c>
      <c r="L98" s="82">
        <v>-214.99565786305311</v>
      </c>
      <c r="M98" s="82">
        <v>-197.56357749577856</v>
      </c>
      <c r="N98" s="82">
        <v>-185.94219058426216</v>
      </c>
      <c r="O98" s="245">
        <v>-2684.5403765602855</v>
      </c>
    </row>
    <row r="99" spans="1:15" x14ac:dyDescent="0.25">
      <c r="A99" s="242"/>
      <c r="B99" s="243" t="s">
        <v>27</v>
      </c>
      <c r="C99" s="244">
        <v>-2656.4435774957687</v>
      </c>
      <c r="D99" s="82">
        <v>-2500.182190584253</v>
      </c>
      <c r="E99" s="82">
        <v>-2500.182190584253</v>
      </c>
      <c r="F99" s="82">
        <v>-2578.3128840400182</v>
      </c>
      <c r="G99" s="82">
        <v>-3125.2277382303159</v>
      </c>
      <c r="H99" s="82">
        <v>-3672.1425924206433</v>
      </c>
      <c r="I99" s="82">
        <v>-3672.1425924206433</v>
      </c>
      <c r="J99" s="82">
        <v>-3984.6653662436456</v>
      </c>
      <c r="K99" s="82">
        <v>-3359.6198185975973</v>
      </c>
      <c r="L99" s="82">
        <v>-2890.8356578630351</v>
      </c>
      <c r="M99" s="82">
        <v>-2656.4435774957687</v>
      </c>
      <c r="N99" s="82">
        <v>-2500.182190584253</v>
      </c>
      <c r="O99" s="245">
        <v>-36096.380376560184</v>
      </c>
    </row>
    <row r="100" spans="1:15" x14ac:dyDescent="0.25">
      <c r="A100" s="242"/>
      <c r="B100" s="243" t="s">
        <v>49</v>
      </c>
      <c r="C100" s="244">
        <v>105164.72</v>
      </c>
      <c r="D100" s="82">
        <v>98978.559999999998</v>
      </c>
      <c r="E100" s="82">
        <v>98978.559999999998</v>
      </c>
      <c r="F100" s="82">
        <v>102071.64</v>
      </c>
      <c r="G100" s="82">
        <v>123723.2</v>
      </c>
      <c r="H100" s="82">
        <v>145374.76</v>
      </c>
      <c r="I100" s="82">
        <v>145374.76</v>
      </c>
      <c r="J100" s="82">
        <v>157747.07999999999</v>
      </c>
      <c r="K100" s="82">
        <v>133002.44</v>
      </c>
      <c r="L100" s="82">
        <v>114443.95999999999</v>
      </c>
      <c r="M100" s="82">
        <v>105164.72</v>
      </c>
      <c r="N100" s="82">
        <v>98978.559999999998</v>
      </c>
      <c r="O100" s="245">
        <v>1429002.96</v>
      </c>
    </row>
    <row r="101" spans="1:15" x14ac:dyDescent="0.25">
      <c r="A101" s="242"/>
      <c r="B101" s="243" t="s">
        <v>87</v>
      </c>
      <c r="C101" s="244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245">
        <v>0</v>
      </c>
    </row>
    <row r="102" spans="1:15" x14ac:dyDescent="0.25">
      <c r="A102" s="242"/>
      <c r="B102" s="243" t="s">
        <v>89</v>
      </c>
      <c r="C102" s="244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245">
        <v>0</v>
      </c>
    </row>
    <row r="103" spans="1:15" x14ac:dyDescent="0.25">
      <c r="A103" s="232" t="s">
        <v>81</v>
      </c>
      <c r="B103" s="232" t="s">
        <v>70</v>
      </c>
      <c r="C103" s="239">
        <v>652484.16</v>
      </c>
      <c r="D103" s="240">
        <v>441030.96</v>
      </c>
      <c r="E103" s="240">
        <v>341345.88</v>
      </c>
      <c r="F103" s="240">
        <v>229577.76</v>
      </c>
      <c r="G103" s="240">
        <v>362491.2</v>
      </c>
      <c r="H103" s="240">
        <v>444051.72000000003</v>
      </c>
      <c r="I103" s="240">
        <v>468217.80000000005</v>
      </c>
      <c r="J103" s="240">
        <v>474259.32</v>
      </c>
      <c r="K103" s="240">
        <v>380615.76</v>
      </c>
      <c r="L103" s="240">
        <v>338325.12</v>
      </c>
      <c r="M103" s="240">
        <v>280930.68</v>
      </c>
      <c r="N103" s="240">
        <v>386657.28000000003</v>
      </c>
      <c r="O103" s="241">
        <v>4799987.6400000006</v>
      </c>
    </row>
    <row r="104" spans="1:15" x14ac:dyDescent="0.25">
      <c r="A104" s="242"/>
      <c r="B104" s="243" t="s">
        <v>25</v>
      </c>
      <c r="C104" s="244">
        <v>-15621.119999999995</v>
      </c>
      <c r="D104" s="82">
        <v>-10558.719999999972</v>
      </c>
      <c r="E104" s="82">
        <v>-8172.1599999999744</v>
      </c>
      <c r="F104" s="82">
        <v>-5496.3199999999779</v>
      </c>
      <c r="G104" s="82">
        <v>-8678.3999999999651</v>
      </c>
      <c r="H104" s="82">
        <v>-10631.039999999979</v>
      </c>
      <c r="I104" s="82">
        <v>-11209.599999999919</v>
      </c>
      <c r="J104" s="82">
        <v>-11354.239999999991</v>
      </c>
      <c r="K104" s="82">
        <v>-9112.320000000007</v>
      </c>
      <c r="L104" s="82">
        <v>-8099.8399999999674</v>
      </c>
      <c r="M104" s="82">
        <v>-6725.7600000000093</v>
      </c>
      <c r="N104" s="82">
        <v>-9256.9599999999627</v>
      </c>
      <c r="O104" s="245">
        <v>-114916.47999999972</v>
      </c>
    </row>
    <row r="105" spans="1:15" x14ac:dyDescent="0.25">
      <c r="A105" s="242"/>
      <c r="B105" s="243" t="s">
        <v>26</v>
      </c>
      <c r="C105" s="244">
        <v>-1255.1097864437697</v>
      </c>
      <c r="D105" s="82">
        <v>-848.36124454069602</v>
      </c>
      <c r="E105" s="82">
        <v>-656.60836050067576</v>
      </c>
      <c r="F105" s="82">
        <v>-441.61270263762265</v>
      </c>
      <c r="G105" s="82">
        <v>-697.28321469098307</v>
      </c>
      <c r="H105" s="82">
        <v>-854.17193799645429</v>
      </c>
      <c r="I105" s="82">
        <v>-900.65748564251987</v>
      </c>
      <c r="J105" s="82">
        <v>-912.27887255403618</v>
      </c>
      <c r="K105" s="82">
        <v>-732.14737542553223</v>
      </c>
      <c r="L105" s="82">
        <v>-650.7976670449176</v>
      </c>
      <c r="M105" s="82">
        <v>-540.39449138551186</v>
      </c>
      <c r="N105" s="82">
        <v>-743.76876233704866</v>
      </c>
      <c r="O105" s="245">
        <v>-9233.1919011997688</v>
      </c>
    </row>
    <row r="106" spans="1:15" x14ac:dyDescent="0.25">
      <c r="A106" s="242"/>
      <c r="B106" s="243" t="s">
        <v>27</v>
      </c>
      <c r="C106" s="244">
        <v>-16876.229786443764</v>
      </c>
      <c r="D106" s="82">
        <v>-11407.081244540668</v>
      </c>
      <c r="E106" s="82">
        <v>-8828.7683605006496</v>
      </c>
      <c r="F106" s="82">
        <v>-5937.9327026376004</v>
      </c>
      <c r="G106" s="82">
        <v>-9375.6832146909474</v>
      </c>
      <c r="H106" s="82">
        <v>-11485.211937996433</v>
      </c>
      <c r="I106" s="82">
        <v>-12110.257485642438</v>
      </c>
      <c r="J106" s="82">
        <v>-12266.518872554027</v>
      </c>
      <c r="K106" s="82">
        <v>-9844.46737542554</v>
      </c>
      <c r="L106" s="82">
        <v>-8750.6376670448844</v>
      </c>
      <c r="M106" s="82">
        <v>-7266.1544913855214</v>
      </c>
      <c r="N106" s="82">
        <v>-10000.728762337012</v>
      </c>
      <c r="O106" s="245">
        <v>-124149.67190119946</v>
      </c>
    </row>
    <row r="107" spans="1:15" x14ac:dyDescent="0.25">
      <c r="A107" s="242"/>
      <c r="B107" s="243" t="s">
        <v>49</v>
      </c>
      <c r="C107" s="244">
        <v>668105.28</v>
      </c>
      <c r="D107" s="82">
        <v>451589.68</v>
      </c>
      <c r="E107" s="82">
        <v>349518.04</v>
      </c>
      <c r="F107" s="82">
        <v>235074.08</v>
      </c>
      <c r="G107" s="82">
        <v>371169.6</v>
      </c>
      <c r="H107" s="82">
        <v>454682.76</v>
      </c>
      <c r="I107" s="82">
        <v>479427.39999999997</v>
      </c>
      <c r="J107" s="82">
        <v>485613.56</v>
      </c>
      <c r="K107" s="82">
        <v>389728.08</v>
      </c>
      <c r="L107" s="82">
        <v>346424.95999999996</v>
      </c>
      <c r="M107" s="82">
        <v>287656.44</v>
      </c>
      <c r="N107" s="82">
        <v>395914.23999999999</v>
      </c>
      <c r="O107" s="245">
        <v>4914904.120000001</v>
      </c>
    </row>
    <row r="108" spans="1:15" x14ac:dyDescent="0.25">
      <c r="A108" s="242"/>
      <c r="B108" s="243" t="s">
        <v>87</v>
      </c>
      <c r="C108" s="244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245">
        <v>0</v>
      </c>
    </row>
    <row r="109" spans="1:15" x14ac:dyDescent="0.25">
      <c r="A109" s="242"/>
      <c r="B109" s="243" t="s">
        <v>89</v>
      </c>
      <c r="C109" s="244">
        <v>0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245">
        <v>0</v>
      </c>
    </row>
    <row r="110" spans="1:15" x14ac:dyDescent="0.25">
      <c r="A110" s="232" t="s">
        <v>83</v>
      </c>
      <c r="B110" s="232" t="s">
        <v>70</v>
      </c>
      <c r="C110" s="239">
        <v>175204.08000000002</v>
      </c>
      <c r="D110" s="240">
        <v>108747.36000000002</v>
      </c>
      <c r="E110" s="240">
        <v>87602.040000000008</v>
      </c>
      <c r="F110" s="240">
        <v>81560.52</v>
      </c>
      <c r="G110" s="240">
        <v>108747.36000000002</v>
      </c>
      <c r="H110" s="240">
        <v>160100.28</v>
      </c>
      <c r="I110" s="240">
        <v>160100.28</v>
      </c>
      <c r="J110" s="240">
        <v>163121.04</v>
      </c>
      <c r="K110" s="240">
        <v>144996.48000000001</v>
      </c>
      <c r="L110" s="240">
        <v>123851.16</v>
      </c>
      <c r="M110" s="240">
        <v>66456.72</v>
      </c>
      <c r="N110" s="240">
        <v>111768.12000000001</v>
      </c>
      <c r="O110" s="241">
        <v>1492255.4400000002</v>
      </c>
    </row>
    <row r="111" spans="1:15" x14ac:dyDescent="0.25">
      <c r="A111" s="242"/>
      <c r="B111" s="243" t="s">
        <v>25</v>
      </c>
      <c r="C111" s="244">
        <v>-4194.5599999999686</v>
      </c>
      <c r="D111" s="82">
        <v>-2603.5199999999895</v>
      </c>
      <c r="E111" s="82">
        <v>-2097.2799999999843</v>
      </c>
      <c r="F111" s="82">
        <v>-1952.6399999999994</v>
      </c>
      <c r="G111" s="82">
        <v>-2603.5199999999895</v>
      </c>
      <c r="H111" s="82">
        <v>-3832.9599999999919</v>
      </c>
      <c r="I111" s="82">
        <v>-3832.9599999999919</v>
      </c>
      <c r="J111" s="82">
        <v>-3905.2799999999988</v>
      </c>
      <c r="K111" s="82">
        <v>-3471.359999999986</v>
      </c>
      <c r="L111" s="82">
        <v>-2965.1199999999953</v>
      </c>
      <c r="M111" s="82">
        <v>-1591.0399999999936</v>
      </c>
      <c r="N111" s="82">
        <v>-2675.839999999982</v>
      </c>
      <c r="O111" s="245">
        <v>-35726.079999999871</v>
      </c>
    </row>
    <row r="112" spans="1:15" x14ac:dyDescent="0.25">
      <c r="A112" s="242"/>
      <c r="B112" s="243" t="s">
        <v>26</v>
      </c>
      <c r="C112" s="244">
        <v>-337.02022043397517</v>
      </c>
      <c r="D112" s="82">
        <v>-209.18496440729496</v>
      </c>
      <c r="E112" s="82">
        <v>-168.51011021698758</v>
      </c>
      <c r="F112" s="82">
        <v>-156.88872330547122</v>
      </c>
      <c r="G112" s="82">
        <v>-209.18496440729496</v>
      </c>
      <c r="H112" s="82">
        <v>-307.96675315518422</v>
      </c>
      <c r="I112" s="82">
        <v>-307.96675315518422</v>
      </c>
      <c r="J112" s="82">
        <v>-313.77744661094243</v>
      </c>
      <c r="K112" s="82">
        <v>-278.91328587639322</v>
      </c>
      <c r="L112" s="82">
        <v>-238.2384316860859</v>
      </c>
      <c r="M112" s="82">
        <v>-127.83525602668023</v>
      </c>
      <c r="N112" s="82">
        <v>-214.99565786305311</v>
      </c>
      <c r="O112" s="245">
        <v>-2870.4825671445469</v>
      </c>
    </row>
    <row r="113" spans="1:15" x14ac:dyDescent="0.25">
      <c r="A113" s="242"/>
      <c r="B113" s="243" t="s">
        <v>27</v>
      </c>
      <c r="C113" s="244">
        <v>-4531.5802204339434</v>
      </c>
      <c r="D113" s="82">
        <v>-2812.7049644072845</v>
      </c>
      <c r="E113" s="82">
        <v>-2265.7901102169717</v>
      </c>
      <c r="F113" s="82">
        <v>-2109.5287233054705</v>
      </c>
      <c r="G113" s="82">
        <v>-2812.7049644072845</v>
      </c>
      <c r="H113" s="82">
        <v>-4140.9267531551759</v>
      </c>
      <c r="I113" s="82">
        <v>-4140.9267531551759</v>
      </c>
      <c r="J113" s="82">
        <v>-4219.057446610941</v>
      </c>
      <c r="K113" s="82">
        <v>-3750.2732858763793</v>
      </c>
      <c r="L113" s="82">
        <v>-3203.3584316860811</v>
      </c>
      <c r="M113" s="82">
        <v>-1718.8752560266739</v>
      </c>
      <c r="N113" s="82">
        <v>-2890.8356578630351</v>
      </c>
      <c r="O113" s="245">
        <v>-38596.562567144407</v>
      </c>
    </row>
    <row r="114" spans="1:15" x14ac:dyDescent="0.25">
      <c r="A114" s="242"/>
      <c r="B114" s="243" t="s">
        <v>49</v>
      </c>
      <c r="C114" s="244">
        <v>179398.63999999998</v>
      </c>
      <c r="D114" s="82">
        <v>111350.88</v>
      </c>
      <c r="E114" s="82">
        <v>89699.319999999992</v>
      </c>
      <c r="F114" s="82">
        <v>83513.16</v>
      </c>
      <c r="G114" s="82">
        <v>111350.88</v>
      </c>
      <c r="H114" s="82">
        <v>163933.24</v>
      </c>
      <c r="I114" s="82">
        <v>163933.24</v>
      </c>
      <c r="J114" s="82">
        <v>167026.32</v>
      </c>
      <c r="K114" s="82">
        <v>148467.84</v>
      </c>
      <c r="L114" s="82">
        <v>126816.28</v>
      </c>
      <c r="M114" s="82">
        <v>68047.759999999995</v>
      </c>
      <c r="N114" s="82">
        <v>114443.95999999999</v>
      </c>
      <c r="O114" s="245">
        <v>1527981.52</v>
      </c>
    </row>
    <row r="115" spans="1:15" x14ac:dyDescent="0.25">
      <c r="A115" s="242"/>
      <c r="B115" s="243" t="s">
        <v>87</v>
      </c>
      <c r="C115" s="244">
        <v>0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245">
        <v>0</v>
      </c>
    </row>
    <row r="116" spans="1:15" x14ac:dyDescent="0.25">
      <c r="A116" s="242"/>
      <c r="B116" s="243" t="s">
        <v>89</v>
      </c>
      <c r="C116" s="244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245">
        <v>0</v>
      </c>
    </row>
    <row r="117" spans="1:15" x14ac:dyDescent="0.25">
      <c r="A117" s="232" t="s">
        <v>71</v>
      </c>
      <c r="B117" s="233"/>
      <c r="C117" s="239">
        <v>30138122.52</v>
      </c>
      <c r="D117" s="240">
        <v>22000195.080000002</v>
      </c>
      <c r="E117" s="240">
        <v>19532234.16</v>
      </c>
      <c r="F117" s="240">
        <v>21036572.640000001</v>
      </c>
      <c r="G117" s="240">
        <v>25398550.079999998</v>
      </c>
      <c r="H117" s="240">
        <v>31252782.960000001</v>
      </c>
      <c r="I117" s="240">
        <v>31588087.320000004</v>
      </c>
      <c r="J117" s="240">
        <v>31998910.680000003</v>
      </c>
      <c r="K117" s="240">
        <v>28805967.360000007</v>
      </c>
      <c r="L117" s="240">
        <v>25419695.40000001</v>
      </c>
      <c r="M117" s="240">
        <v>18396428.399999995</v>
      </c>
      <c r="N117" s="240">
        <v>22099880.160000008</v>
      </c>
      <c r="O117" s="241">
        <v>307667426.75999999</v>
      </c>
    </row>
    <row r="118" spans="1:15" ht="13" x14ac:dyDescent="0.3">
      <c r="A118" s="232" t="s">
        <v>28</v>
      </c>
      <c r="B118" s="233"/>
      <c r="C118" s="254">
        <v>-721536.63999999792</v>
      </c>
      <c r="D118" s="255">
        <v>-526706.55999999831</v>
      </c>
      <c r="E118" s="255">
        <v>-467621.11999999901</v>
      </c>
      <c r="F118" s="255">
        <v>-503636.47999999789</v>
      </c>
      <c r="G118" s="255">
        <v>-608066.55999999586</v>
      </c>
      <c r="H118" s="255">
        <v>-748222.71999999927</v>
      </c>
      <c r="I118" s="255">
        <v>-756250.2399999965</v>
      </c>
      <c r="J118" s="255">
        <v>-766085.75999999663</v>
      </c>
      <c r="K118" s="255">
        <v>-689643.51999999478</v>
      </c>
      <c r="L118" s="255">
        <v>-608572.79999999842</v>
      </c>
      <c r="M118" s="255">
        <v>-440428.79999999871</v>
      </c>
      <c r="N118" s="255">
        <v>-529093.11999999813</v>
      </c>
      <c r="O118" s="256">
        <v>-7365864.3199999714</v>
      </c>
    </row>
    <row r="119" spans="1:15" ht="13" x14ac:dyDescent="0.3">
      <c r="A119" s="232" t="s">
        <v>29</v>
      </c>
      <c r="B119" s="233"/>
      <c r="C119" s="254">
        <v>-57973.288608099479</v>
      </c>
      <c r="D119" s="255">
        <v>-42319.280438286914</v>
      </c>
      <c r="E119" s="255">
        <v>-37571.943884932465</v>
      </c>
      <c r="F119" s="255">
        <v>-40465.669225900048</v>
      </c>
      <c r="G119" s="255">
        <v>-48856.310576014883</v>
      </c>
      <c r="H119" s="255">
        <v>-60117.434493274253</v>
      </c>
      <c r="I119" s="255">
        <v>-60762.421466863409</v>
      </c>
      <c r="J119" s="255">
        <v>-61552.675776846532</v>
      </c>
      <c r="K119" s="255">
        <v>-55410.772794110118</v>
      </c>
      <c r="L119" s="255">
        <v>-48896.985430205197</v>
      </c>
      <c r="M119" s="255">
        <v>-35387.123145567384</v>
      </c>
      <c r="N119" s="255">
        <v>-42511.033322326934</v>
      </c>
      <c r="O119" s="256">
        <v>-591824.93916242768</v>
      </c>
    </row>
    <row r="120" spans="1:15" ht="13" x14ac:dyDescent="0.3">
      <c r="A120" s="232" t="s">
        <v>30</v>
      </c>
      <c r="B120" s="233"/>
      <c r="C120" s="254">
        <v>-779509.92860809749</v>
      </c>
      <c r="D120" s="255">
        <v>-569025.84043828526</v>
      </c>
      <c r="E120" s="255">
        <v>-505193.0638849315</v>
      </c>
      <c r="F120" s="255">
        <v>-544102.14922589785</v>
      </c>
      <c r="G120" s="255">
        <v>-656922.87057601078</v>
      </c>
      <c r="H120" s="255">
        <v>-808340.15449327359</v>
      </c>
      <c r="I120" s="255">
        <v>-817012.66146685998</v>
      </c>
      <c r="J120" s="255">
        <v>-827638.43577684357</v>
      </c>
      <c r="K120" s="255">
        <v>-745054.29279410478</v>
      </c>
      <c r="L120" s="255">
        <v>-657469.78543020377</v>
      </c>
      <c r="M120" s="255">
        <v>-475815.92314556608</v>
      </c>
      <c r="N120" s="255">
        <v>-571604.15332232509</v>
      </c>
      <c r="O120" s="256">
        <v>-7957689.2591624008</v>
      </c>
    </row>
    <row r="121" spans="1:15" x14ac:dyDescent="0.25">
      <c r="A121" s="232" t="s">
        <v>61</v>
      </c>
      <c r="B121" s="233"/>
      <c r="C121" s="239">
        <v>30859659.16</v>
      </c>
      <c r="D121" s="240">
        <v>22526901.639999997</v>
      </c>
      <c r="E121" s="240">
        <v>19999855.280000001</v>
      </c>
      <c r="F121" s="240">
        <v>21540209.119999997</v>
      </c>
      <c r="G121" s="240">
        <v>26006616.640000004</v>
      </c>
      <c r="H121" s="240">
        <v>32001005.68</v>
      </c>
      <c r="I121" s="240">
        <v>32344337.560000002</v>
      </c>
      <c r="J121" s="240">
        <v>32764996.439999998</v>
      </c>
      <c r="K121" s="240">
        <v>29495610.879999995</v>
      </c>
      <c r="L121" s="240">
        <v>26028268.200000003</v>
      </c>
      <c r="M121" s="240">
        <v>18836857.200000003</v>
      </c>
      <c r="N121" s="240">
        <v>22628973.279999997</v>
      </c>
      <c r="O121" s="241">
        <v>315033291.07999992</v>
      </c>
    </row>
    <row r="122" spans="1:15" x14ac:dyDescent="0.25">
      <c r="A122" s="232" t="s">
        <v>88</v>
      </c>
      <c r="B122" s="233"/>
      <c r="C122" s="239">
        <v>0</v>
      </c>
      <c r="D122" s="240">
        <v>0</v>
      </c>
      <c r="E122" s="240">
        <v>0</v>
      </c>
      <c r="F122" s="240">
        <v>0</v>
      </c>
      <c r="G122" s="240">
        <v>0</v>
      </c>
      <c r="H122" s="240">
        <v>0</v>
      </c>
      <c r="I122" s="240">
        <v>0</v>
      </c>
      <c r="J122" s="240">
        <v>0</v>
      </c>
      <c r="K122" s="240">
        <v>0</v>
      </c>
      <c r="L122" s="240">
        <v>0</v>
      </c>
      <c r="M122" s="240">
        <v>0</v>
      </c>
      <c r="N122" s="240">
        <v>0</v>
      </c>
      <c r="O122" s="241">
        <v>0</v>
      </c>
    </row>
    <row r="123" spans="1:15" x14ac:dyDescent="0.25">
      <c r="A123" s="246" t="s">
        <v>90</v>
      </c>
      <c r="B123" s="247"/>
      <c r="C123" s="248">
        <v>0</v>
      </c>
      <c r="D123" s="249">
        <v>0</v>
      </c>
      <c r="E123" s="249">
        <v>0</v>
      </c>
      <c r="F123" s="249">
        <v>0</v>
      </c>
      <c r="G123" s="249">
        <v>0</v>
      </c>
      <c r="H123" s="249">
        <v>0</v>
      </c>
      <c r="I123" s="249">
        <v>0</v>
      </c>
      <c r="J123" s="249">
        <v>0</v>
      </c>
      <c r="K123" s="249">
        <v>0</v>
      </c>
      <c r="L123" s="249">
        <v>0</v>
      </c>
      <c r="M123" s="249">
        <v>0</v>
      </c>
      <c r="N123" s="249">
        <v>0</v>
      </c>
      <c r="O123" s="250">
        <v>0</v>
      </c>
    </row>
  </sheetData>
  <phoneticPr fontId="6" type="noConversion"/>
  <pageMargins left="0.5" right="0.5" top="0.73" bottom="0.98" header="0.5" footer="0.5"/>
  <pageSetup scale="52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tabSelected="1" zoomScale="80" zoomScaleNormal="80" zoomScaleSheetLayoutView="100" workbookViewId="0">
      <selection activeCell="E28" sqref="E28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29" customWidth="1"/>
    <col min="5" max="5" width="24.26953125" style="1" customWidth="1"/>
    <col min="6" max="6" width="7.7265625" style="129" customWidth="1"/>
    <col min="7" max="7" width="8.54296875" style="129" bestFit="1" customWidth="1"/>
    <col min="8" max="8" width="11.1796875" style="129" bestFit="1" customWidth="1"/>
    <col min="9" max="9" width="11.26953125" style="130" customWidth="1"/>
    <col min="10" max="10" width="15.81640625" style="129" bestFit="1" customWidth="1"/>
    <col min="11" max="11" width="16.1796875" style="131" customWidth="1"/>
    <col min="12" max="12" width="14.7265625" style="129" customWidth="1"/>
    <col min="13" max="13" width="14.453125" style="93" bestFit="1" customWidth="1"/>
    <col min="14" max="15" width="13.453125" style="93" customWidth="1"/>
    <col min="16" max="16" width="14.81640625" style="93" bestFit="1" customWidth="1"/>
    <col min="17" max="17" width="13.453125" style="93" customWidth="1"/>
    <col min="18" max="18" width="15.54296875" style="199" customWidth="1"/>
    <col min="19" max="16384" width="8.7265625" style="1"/>
  </cols>
  <sheetData>
    <row r="1" spans="2:18" ht="21.5" x14ac:dyDescent="0.3">
      <c r="B1" s="10" t="s">
        <v>95</v>
      </c>
      <c r="C1" s="83"/>
      <c r="D1" s="84"/>
      <c r="E1" s="83"/>
      <c r="F1" s="85" t="s">
        <v>12</v>
      </c>
      <c r="G1" s="86"/>
      <c r="H1" s="87"/>
      <c r="I1" s="88"/>
      <c r="J1" s="206" t="str">
        <f>"True-Up ARR
(CY"&amp;R1&amp;")"</f>
        <v>True-Up ARR
(CY2024)</v>
      </c>
      <c r="K1" s="206" t="str">
        <f>"Projected ARR
(Jan'"&amp;RIGHT(R$1,2)&amp;" - Dec'"&amp;RIGHT(R$1,2)&amp;")"</f>
        <v>Projected ARR
(Jan'24 - Dec'24)</v>
      </c>
      <c r="L1" s="89" t="s">
        <v>45</v>
      </c>
      <c r="M1" s="90"/>
      <c r="N1" s="50"/>
      <c r="O1" s="50"/>
      <c r="P1" s="50"/>
      <c r="Q1" s="50"/>
      <c r="R1" s="91">
        <v>2024</v>
      </c>
    </row>
    <row r="2" spans="2:18" ht="13" x14ac:dyDescent="0.3">
      <c r="B2" s="10" t="s">
        <v>52</v>
      </c>
      <c r="C2" s="83"/>
      <c r="D2" s="84"/>
      <c r="E2" s="83"/>
      <c r="F2" s="92">
        <v>9</v>
      </c>
      <c r="G2" s="258"/>
      <c r="H2" s="258"/>
      <c r="I2" s="94" t="s">
        <v>6</v>
      </c>
      <c r="J2" s="95">
        <v>307667288.58820981</v>
      </c>
      <c r="K2" s="95">
        <v>313988211.5286113</v>
      </c>
      <c r="L2" s="209"/>
      <c r="M2" s="97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CY2024 SPP Network Transmission Service</v>
      </c>
      <c r="C3" s="83"/>
      <c r="D3" s="84"/>
      <c r="E3" s="83"/>
      <c r="F3" s="92"/>
      <c r="G3" s="258"/>
      <c r="H3" s="258"/>
      <c r="I3" s="94" t="s">
        <v>10</v>
      </c>
      <c r="J3" s="98">
        <v>3020.76</v>
      </c>
      <c r="K3" s="98">
        <v>3093.08</v>
      </c>
      <c r="L3" s="118" t="str">
        <f>"Inv. Jan-Dec'"&amp;RIGHT(R1,2)</f>
        <v>Inv. Jan-Dec'24</v>
      </c>
      <c r="M3" s="97"/>
      <c r="N3" s="50"/>
      <c r="O3" s="50"/>
      <c r="P3" s="50"/>
      <c r="Q3" s="50"/>
      <c r="R3" s="1"/>
    </row>
    <row r="4" spans="2:18" ht="13" x14ac:dyDescent="0.3">
      <c r="B4" s="9"/>
      <c r="C4" s="83"/>
      <c r="D4" s="84"/>
      <c r="E4" s="83"/>
      <c r="F4" s="92"/>
      <c r="G4" s="93"/>
      <c r="H4" s="93"/>
      <c r="I4" s="49"/>
      <c r="J4" s="93"/>
      <c r="K4" s="99"/>
      <c r="L4" s="93"/>
      <c r="M4" s="100"/>
      <c r="R4" s="1"/>
    </row>
    <row r="5" spans="2:18" ht="13" x14ac:dyDescent="0.3">
      <c r="B5" s="9"/>
      <c r="C5" s="83"/>
      <c r="D5" s="84"/>
      <c r="E5" s="83"/>
      <c r="F5" s="92"/>
      <c r="G5" s="93"/>
      <c r="H5" s="93"/>
      <c r="I5" s="94"/>
      <c r="J5" s="93"/>
      <c r="K5" s="95">
        <v>0</v>
      </c>
      <c r="L5" s="96"/>
      <c r="M5" s="101"/>
      <c r="N5" s="102"/>
      <c r="O5" s="102"/>
      <c r="P5" s="102"/>
      <c r="Q5" s="102"/>
      <c r="R5" s="103"/>
    </row>
    <row r="6" spans="2:18" ht="13" x14ac:dyDescent="0.3">
      <c r="B6" s="10" t="s">
        <v>23</v>
      </c>
      <c r="D6" s="84"/>
      <c r="E6" s="83"/>
      <c r="F6" s="104"/>
      <c r="G6" s="105"/>
      <c r="H6" s="106"/>
      <c r="I6" s="107"/>
      <c r="J6" s="108"/>
      <c r="K6" s="98">
        <v>0</v>
      </c>
      <c r="L6" s="200"/>
      <c r="M6" s="101"/>
      <c r="N6" s="102"/>
      <c r="O6" s="102"/>
      <c r="P6" s="102"/>
      <c r="Q6" s="102"/>
      <c r="R6" s="1"/>
    </row>
    <row r="7" spans="2:18" ht="13" x14ac:dyDescent="0.3">
      <c r="B7" s="9" t="s">
        <v>77</v>
      </c>
      <c r="D7" s="84"/>
      <c r="E7" s="83"/>
      <c r="F7" s="92"/>
      <c r="G7" s="259"/>
      <c r="H7" s="258"/>
      <c r="I7" s="94"/>
      <c r="J7" s="109"/>
      <c r="K7" s="96"/>
      <c r="L7" s="96"/>
      <c r="M7" s="110"/>
      <c r="N7" s="111"/>
      <c r="O7" s="111"/>
      <c r="P7" s="111"/>
      <c r="Q7" s="111"/>
      <c r="R7" s="1"/>
    </row>
    <row r="8" spans="2:18" ht="13" x14ac:dyDescent="0.3">
      <c r="B8" s="10"/>
      <c r="C8" s="83"/>
      <c r="D8" s="84"/>
      <c r="E8" s="83"/>
      <c r="F8" s="92"/>
      <c r="G8" s="258"/>
      <c r="H8" s="258"/>
      <c r="I8" s="94"/>
      <c r="J8" s="112"/>
      <c r="K8" s="96"/>
      <c r="L8" s="113"/>
      <c r="M8" s="97"/>
      <c r="N8" s="50"/>
      <c r="O8" s="50"/>
      <c r="P8" s="50"/>
      <c r="Q8" s="50"/>
      <c r="R8" s="103"/>
    </row>
    <row r="9" spans="2:18" ht="13" x14ac:dyDescent="0.3">
      <c r="B9" s="114"/>
      <c r="C9" s="83"/>
      <c r="D9" s="84"/>
      <c r="E9" s="83"/>
      <c r="F9" s="92"/>
      <c r="G9" s="93"/>
      <c r="H9" s="93"/>
      <c r="I9" s="115"/>
      <c r="J9" s="116"/>
      <c r="K9" s="117"/>
      <c r="L9" s="118"/>
      <c r="M9" s="97"/>
      <c r="N9" s="50"/>
      <c r="O9" s="50"/>
      <c r="P9" s="50"/>
      <c r="Q9" s="50"/>
      <c r="R9" s="103"/>
    </row>
    <row r="10" spans="2:18" ht="13.5" thickBot="1" x14ac:dyDescent="0.35">
      <c r="B10" s="9"/>
      <c r="D10" s="1"/>
      <c r="E10" s="119"/>
      <c r="F10" s="120"/>
      <c r="G10" s="121"/>
      <c r="H10" s="122"/>
      <c r="I10" s="123"/>
      <c r="J10" s="124"/>
      <c r="K10" s="124"/>
      <c r="L10" s="125"/>
      <c r="M10" s="126"/>
      <c r="R10" s="127"/>
    </row>
    <row r="11" spans="2:18" ht="13" x14ac:dyDescent="0.3">
      <c r="B11" s="128"/>
      <c r="E11" s="119"/>
      <c r="L11" s="132"/>
      <c r="M11" s="1"/>
      <c r="N11" s="1"/>
      <c r="O11" s="1"/>
      <c r="P11" s="1"/>
      <c r="Q11" s="1"/>
      <c r="R11" s="103"/>
    </row>
    <row r="12" spans="2:18" x14ac:dyDescent="0.25">
      <c r="E12" s="119"/>
      <c r="L12" s="132"/>
      <c r="R12" s="133" t="s">
        <v>60</v>
      </c>
    </row>
    <row r="13" spans="2:18" ht="13" x14ac:dyDescent="0.3">
      <c r="E13" s="119"/>
      <c r="F13" s="134"/>
      <c r="G13" s="135"/>
      <c r="H13" s="135"/>
      <c r="I13" s="136" t="s">
        <v>58</v>
      </c>
      <c r="J13" s="137">
        <f t="shared" ref="J13:R13" si="0">SUM(J56:J211)</f>
        <v>81243340.200000033</v>
      </c>
      <c r="K13" s="137">
        <f t="shared" si="0"/>
        <v>83188386.599999964</v>
      </c>
      <c r="L13" s="138">
        <f t="shared" si="0"/>
        <v>-1945046.3999999915</v>
      </c>
      <c r="M13" s="139">
        <f t="shared" si="0"/>
        <v>-156278.60049261682</v>
      </c>
      <c r="N13" s="137">
        <f t="shared" si="0"/>
        <v>-2101325.0004926082</v>
      </c>
      <c r="O13" s="137">
        <f t="shared" si="0"/>
        <v>0</v>
      </c>
      <c r="P13" s="137">
        <f t="shared" si="0"/>
        <v>0</v>
      </c>
      <c r="Q13" s="137">
        <f t="shared" si="0"/>
        <v>0</v>
      </c>
      <c r="R13" s="138">
        <f t="shared" si="0"/>
        <v>-2101325.0004926082</v>
      </c>
    </row>
    <row r="14" spans="2:18" ht="13" x14ac:dyDescent="0.3">
      <c r="E14" s="119"/>
      <c r="F14" s="140"/>
      <c r="G14" s="140"/>
      <c r="H14" s="140"/>
      <c r="I14" s="141" t="s">
        <v>59</v>
      </c>
      <c r="J14" s="137">
        <f>SUM(J20:J211)</f>
        <v>307667426.76000023</v>
      </c>
      <c r="K14" s="137">
        <f>SUM(K20:K211)</f>
        <v>315033291.08000022</v>
      </c>
      <c r="L14" s="138">
        <f>SUM(L20:L211)</f>
        <v>-7365864.3199999742</v>
      </c>
      <c r="M14" s="201">
        <v>-591824.93916242768</v>
      </c>
      <c r="N14" s="137">
        <f>SUM(N20:N211)</f>
        <v>-7957689.2591623971</v>
      </c>
      <c r="O14" s="137">
        <f>SUM(O20:O211)</f>
        <v>0</v>
      </c>
      <c r="P14" s="137">
        <f>SUM(P20:P211)</f>
        <v>0</v>
      </c>
      <c r="Q14" s="137">
        <f>SUM(Q20:Q211)</f>
        <v>0</v>
      </c>
      <c r="R14" s="138">
        <f>SUM(R20:R211)</f>
        <v>-7957689.2591623971</v>
      </c>
    </row>
    <row r="15" spans="2:18" x14ac:dyDescent="0.25">
      <c r="B15" s="142" t="s">
        <v>82</v>
      </c>
      <c r="E15" s="119"/>
      <c r="J15" s="130"/>
      <c r="L15" s="132"/>
      <c r="M15" s="210"/>
      <c r="N15" s="143"/>
      <c r="O15" s="143"/>
      <c r="P15" s="143"/>
      <c r="Q15" s="143"/>
      <c r="R15" s="144" t="s">
        <v>20</v>
      </c>
    </row>
    <row r="16" spans="2:18" x14ac:dyDescent="0.25">
      <c r="B16" s="145" t="str">
        <f>"** Actual Trued-Up CY"&amp;R1&amp;" Charge reflects "&amp;R1&amp;" True-UP Rate x MW"</f>
        <v>** Actual Trued-Up CY2024 Charge reflects 2024 True-UP Rate x MW</v>
      </c>
      <c r="E16" s="119"/>
      <c r="F16" s="93"/>
      <c r="G16" s="5"/>
      <c r="J16" s="146"/>
      <c r="L16" s="147" t="s">
        <v>11</v>
      </c>
      <c r="M16" s="143"/>
      <c r="N16" s="143"/>
      <c r="O16" s="143"/>
      <c r="P16" s="143"/>
      <c r="Q16" s="143"/>
      <c r="R16" s="148"/>
    </row>
    <row r="17" spans="1:18" x14ac:dyDescent="0.25">
      <c r="B17" s="149" t="s">
        <v>62</v>
      </c>
      <c r="E17" s="119"/>
      <c r="I17" s="150"/>
      <c r="J17" s="151"/>
      <c r="K17" s="152"/>
      <c r="L17" s="152"/>
      <c r="M17" s="152"/>
      <c r="N17" s="152"/>
      <c r="O17" s="152"/>
      <c r="P17" s="152"/>
      <c r="Q17" s="152"/>
      <c r="R17" s="153"/>
    </row>
    <row r="18" spans="1:18" ht="3.65" customHeight="1" x14ac:dyDescent="0.25">
      <c r="I18" s="154"/>
      <c r="J18" s="151"/>
      <c r="K18" s="154"/>
      <c r="L18" s="154"/>
      <c r="M18" s="155"/>
      <c r="N18" s="155"/>
      <c r="O18" s="155"/>
      <c r="P18" s="155"/>
      <c r="Q18" s="155"/>
      <c r="R18" s="156"/>
    </row>
    <row r="19" spans="1:18" ht="38.25" customHeight="1" x14ac:dyDescent="0.25">
      <c r="B19" s="157" t="s">
        <v>53</v>
      </c>
      <c r="C19" s="211" t="s">
        <v>4</v>
      </c>
      <c r="D19" s="211" t="s">
        <v>5</v>
      </c>
      <c r="E19" s="207" t="s">
        <v>0</v>
      </c>
      <c r="F19" s="208" t="s">
        <v>12</v>
      </c>
      <c r="G19" s="212" t="s">
        <v>1</v>
      </c>
      <c r="H19" s="158" t="s">
        <v>48</v>
      </c>
      <c r="I19" s="158" t="s">
        <v>46</v>
      </c>
      <c r="J19" s="159" t="str">
        <f>"True-Up Charge"</f>
        <v>True-Up Charge</v>
      </c>
      <c r="K19" s="159" t="s">
        <v>47</v>
      </c>
      <c r="L19" s="160" t="s">
        <v>3</v>
      </c>
      <c r="M19" s="161" t="s">
        <v>7</v>
      </c>
      <c r="N19" s="162" t="s">
        <v>99</v>
      </c>
      <c r="O19" s="162" t="s">
        <v>84</v>
      </c>
      <c r="P19" s="162" t="s">
        <v>85</v>
      </c>
      <c r="Q19" s="162" t="s">
        <v>86</v>
      </c>
      <c r="R19" s="163" t="s">
        <v>2</v>
      </c>
    </row>
    <row r="20" spans="1:18" s="50" customFormat="1" ht="12.75" customHeight="1" x14ac:dyDescent="0.25">
      <c r="A20" s="93">
        <v>1</v>
      </c>
      <c r="B20" s="164">
        <f>DATE($R$1,A20,1)</f>
        <v>45292</v>
      </c>
      <c r="C20" s="165">
        <v>45327</v>
      </c>
      <c r="D20" s="165">
        <v>45348</v>
      </c>
      <c r="E20" s="166" t="s">
        <v>21</v>
      </c>
      <c r="F20" s="116">
        <v>9</v>
      </c>
      <c r="G20" s="167">
        <v>3252</v>
      </c>
      <c r="H20" s="168">
        <f>+$K$3</f>
        <v>3093.08</v>
      </c>
      <c r="I20" s="205">
        <f t="shared" ref="I20:I63" si="1">$J$3</f>
        <v>3020.76</v>
      </c>
      <c r="J20" s="169">
        <f t="shared" ref="J20:J108" si="2">+$G20*I20</f>
        <v>9823511.5200000014</v>
      </c>
      <c r="K20" s="170">
        <f>+$G20*H20</f>
        <v>10058696.16</v>
      </c>
      <c r="L20" s="171">
        <f t="shared" ref="L20:L34" si="3">+J20-K20</f>
        <v>-235184.63999999873</v>
      </c>
      <c r="M20" s="172">
        <f>G20/$G$212*$M$14</f>
        <v>-18896.375118125641</v>
      </c>
      <c r="N20" s="173">
        <f>SUM(L20:M20)</f>
        <v>-254081.01511812437</v>
      </c>
      <c r="O20" s="172">
        <v>0</v>
      </c>
      <c r="P20" s="172">
        <v>0</v>
      </c>
      <c r="Q20" s="172">
        <v>0</v>
      </c>
      <c r="R20" s="173">
        <f>+N20-Q20</f>
        <v>-254081.01511812437</v>
      </c>
    </row>
    <row r="21" spans="1:18" x14ac:dyDescent="0.25">
      <c r="A21" s="129">
        <v>2</v>
      </c>
      <c r="B21" s="164">
        <f t="shared" ref="B21:B108" si="4">DATE($R$1,A21,1)</f>
        <v>45323</v>
      </c>
      <c r="C21" s="165">
        <v>45356</v>
      </c>
      <c r="D21" s="165">
        <v>45376</v>
      </c>
      <c r="E21" s="174" t="s">
        <v>21</v>
      </c>
      <c r="F21" s="202">
        <v>9</v>
      </c>
      <c r="G21" s="167">
        <v>2338</v>
      </c>
      <c r="H21" s="168">
        <f t="shared" ref="H21:H84" si="5">+$K$3</f>
        <v>3093.08</v>
      </c>
      <c r="I21" s="168">
        <f t="shared" si="1"/>
        <v>3020.76</v>
      </c>
      <c r="J21" s="169">
        <f t="shared" si="2"/>
        <v>7062536.8800000008</v>
      </c>
      <c r="K21" s="170">
        <f t="shared" ref="K21:K33" si="6">+$G21*H21</f>
        <v>7231621.04</v>
      </c>
      <c r="L21" s="171">
        <f t="shared" si="3"/>
        <v>-169084.15999999922</v>
      </c>
      <c r="M21" s="172">
        <f t="shared" ref="M21:M84" si="7">G21/$G$212*$M$14</f>
        <v>-13585.401299562654</v>
      </c>
      <c r="N21" s="173">
        <f t="shared" ref="N21:N84" si="8">SUM(L21:M21)</f>
        <v>-182669.56129956187</v>
      </c>
      <c r="O21" s="172">
        <v>0</v>
      </c>
      <c r="P21" s="172">
        <v>0</v>
      </c>
      <c r="Q21" s="172">
        <v>0</v>
      </c>
      <c r="R21" s="173">
        <f t="shared" ref="R21:R84" si="9">+N21-Q21</f>
        <v>-182669.56129956187</v>
      </c>
    </row>
    <row r="22" spans="1:18" x14ac:dyDescent="0.25">
      <c r="A22" s="129">
        <v>3</v>
      </c>
      <c r="B22" s="164">
        <f t="shared" si="4"/>
        <v>45352</v>
      </c>
      <c r="C22" s="165">
        <v>45385</v>
      </c>
      <c r="D22" s="165">
        <v>45406</v>
      </c>
      <c r="E22" s="174" t="s">
        <v>21</v>
      </c>
      <c r="F22" s="202">
        <v>9</v>
      </c>
      <c r="G22" s="167">
        <v>2216</v>
      </c>
      <c r="H22" s="168">
        <f t="shared" si="5"/>
        <v>3093.08</v>
      </c>
      <c r="I22" s="168">
        <f t="shared" si="1"/>
        <v>3020.76</v>
      </c>
      <c r="J22" s="169">
        <f t="shared" si="2"/>
        <v>6694004.1600000001</v>
      </c>
      <c r="K22" s="170">
        <f t="shared" si="6"/>
        <v>6854265.2800000003</v>
      </c>
      <c r="L22" s="171">
        <f t="shared" si="3"/>
        <v>-160261.12000000011</v>
      </c>
      <c r="M22" s="172">
        <f t="shared" si="7"/>
        <v>-12876.496697960154</v>
      </c>
      <c r="N22" s="173">
        <f t="shared" si="8"/>
        <v>-173137.61669796027</v>
      </c>
      <c r="O22" s="172">
        <v>0</v>
      </c>
      <c r="P22" s="172">
        <v>0</v>
      </c>
      <c r="Q22" s="172">
        <v>0</v>
      </c>
      <c r="R22" s="173">
        <f t="shared" si="9"/>
        <v>-173137.61669796027</v>
      </c>
    </row>
    <row r="23" spans="1:18" x14ac:dyDescent="0.25">
      <c r="A23" s="93">
        <v>4</v>
      </c>
      <c r="B23" s="164">
        <f t="shared" si="4"/>
        <v>45383</v>
      </c>
      <c r="C23" s="165">
        <v>45415</v>
      </c>
      <c r="D23" s="165">
        <v>45436</v>
      </c>
      <c r="E23" s="174" t="s">
        <v>21</v>
      </c>
      <c r="F23" s="202">
        <v>9</v>
      </c>
      <c r="G23" s="167">
        <v>2777</v>
      </c>
      <c r="H23" s="168">
        <f t="shared" si="5"/>
        <v>3093.08</v>
      </c>
      <c r="I23" s="168">
        <f t="shared" si="1"/>
        <v>3020.76</v>
      </c>
      <c r="J23" s="169">
        <f t="shared" si="2"/>
        <v>8388650.5200000014</v>
      </c>
      <c r="K23" s="170">
        <f t="shared" si="6"/>
        <v>8589483.1600000001</v>
      </c>
      <c r="L23" s="171">
        <f t="shared" si="3"/>
        <v>-200832.63999999873</v>
      </c>
      <c r="M23" s="172">
        <f t="shared" si="7"/>
        <v>-16136.295726640501</v>
      </c>
      <c r="N23" s="173">
        <f t="shared" si="8"/>
        <v>-216968.93572663923</v>
      </c>
      <c r="O23" s="172">
        <v>0</v>
      </c>
      <c r="P23" s="172">
        <v>0</v>
      </c>
      <c r="Q23" s="172">
        <v>0</v>
      </c>
      <c r="R23" s="173">
        <f t="shared" si="9"/>
        <v>-216968.93572663923</v>
      </c>
    </row>
    <row r="24" spans="1:18" ht="12" customHeight="1" x14ac:dyDescent="0.25">
      <c r="A24" s="129">
        <v>5</v>
      </c>
      <c r="B24" s="164">
        <f t="shared" si="4"/>
        <v>45413</v>
      </c>
      <c r="C24" s="165">
        <v>45448</v>
      </c>
      <c r="D24" s="165">
        <v>45467</v>
      </c>
      <c r="E24" s="52" t="s">
        <v>21</v>
      </c>
      <c r="F24" s="202">
        <v>9</v>
      </c>
      <c r="G24" s="167">
        <v>3245</v>
      </c>
      <c r="H24" s="168">
        <f t="shared" si="5"/>
        <v>3093.08</v>
      </c>
      <c r="I24" s="168">
        <f t="shared" si="1"/>
        <v>3020.76</v>
      </c>
      <c r="J24" s="169">
        <f t="shared" si="2"/>
        <v>9802366.2000000011</v>
      </c>
      <c r="K24" s="170">
        <f t="shared" si="6"/>
        <v>10037044.6</v>
      </c>
      <c r="L24" s="171">
        <f t="shared" si="3"/>
        <v>-234678.39999999851</v>
      </c>
      <c r="M24" s="172">
        <f t="shared" si="7"/>
        <v>-18855.700263935334</v>
      </c>
      <c r="N24" s="173">
        <f t="shared" si="8"/>
        <v>-253534.10026393385</v>
      </c>
      <c r="O24" s="172">
        <v>0</v>
      </c>
      <c r="P24" s="172">
        <v>0</v>
      </c>
      <c r="Q24" s="172">
        <v>0</v>
      </c>
      <c r="R24" s="173">
        <f t="shared" si="9"/>
        <v>-253534.10026393385</v>
      </c>
    </row>
    <row r="25" spans="1:18" x14ac:dyDescent="0.25">
      <c r="A25" s="129">
        <v>6</v>
      </c>
      <c r="B25" s="164">
        <f t="shared" si="4"/>
        <v>45444</v>
      </c>
      <c r="C25" s="165">
        <v>45476</v>
      </c>
      <c r="D25" s="165">
        <v>45497</v>
      </c>
      <c r="E25" s="52" t="s">
        <v>21</v>
      </c>
      <c r="F25" s="202">
        <v>9</v>
      </c>
      <c r="G25" s="167">
        <v>4080</v>
      </c>
      <c r="H25" s="168">
        <f t="shared" si="5"/>
        <v>3093.08</v>
      </c>
      <c r="I25" s="168">
        <f t="shared" si="1"/>
        <v>3020.76</v>
      </c>
      <c r="J25" s="169">
        <f t="shared" si="2"/>
        <v>12324700.800000001</v>
      </c>
      <c r="K25" s="170">
        <f t="shared" si="6"/>
        <v>12619766.4</v>
      </c>
      <c r="L25" s="175">
        <f t="shared" si="3"/>
        <v>-295065.59999999963</v>
      </c>
      <c r="M25" s="172">
        <f t="shared" si="7"/>
        <v>-23707.629299493427</v>
      </c>
      <c r="N25" s="173">
        <f t="shared" si="8"/>
        <v>-318773.22929949308</v>
      </c>
      <c r="O25" s="172">
        <v>0</v>
      </c>
      <c r="P25" s="172">
        <v>0</v>
      </c>
      <c r="Q25" s="172">
        <v>0</v>
      </c>
      <c r="R25" s="173">
        <f t="shared" si="9"/>
        <v>-318773.22929949308</v>
      </c>
    </row>
    <row r="26" spans="1:18" x14ac:dyDescent="0.25">
      <c r="A26" s="93">
        <v>7</v>
      </c>
      <c r="B26" s="164">
        <f t="shared" si="4"/>
        <v>45474</v>
      </c>
      <c r="C26" s="165">
        <v>45509</v>
      </c>
      <c r="D26" s="165">
        <v>45530</v>
      </c>
      <c r="E26" s="52" t="s">
        <v>21</v>
      </c>
      <c r="F26" s="202">
        <v>9</v>
      </c>
      <c r="G26" s="167">
        <v>4149</v>
      </c>
      <c r="H26" s="168">
        <f t="shared" si="5"/>
        <v>3093.08</v>
      </c>
      <c r="I26" s="168">
        <f t="shared" si="1"/>
        <v>3020.76</v>
      </c>
      <c r="J26" s="169">
        <f t="shared" si="2"/>
        <v>12533133.24</v>
      </c>
      <c r="K26" s="176">
        <f t="shared" si="6"/>
        <v>12833188.92</v>
      </c>
      <c r="L26" s="175">
        <f t="shared" si="3"/>
        <v>-300055.6799999997</v>
      </c>
      <c r="M26" s="172">
        <f t="shared" si="7"/>
        <v>-24108.567147940739</v>
      </c>
      <c r="N26" s="173">
        <f t="shared" si="8"/>
        <v>-324164.24714794045</v>
      </c>
      <c r="O26" s="172">
        <v>0</v>
      </c>
      <c r="P26" s="172">
        <v>0</v>
      </c>
      <c r="Q26" s="172">
        <v>0</v>
      </c>
      <c r="R26" s="173">
        <f t="shared" si="9"/>
        <v>-324164.24714794045</v>
      </c>
    </row>
    <row r="27" spans="1:18" x14ac:dyDescent="0.25">
      <c r="A27" s="129">
        <v>8</v>
      </c>
      <c r="B27" s="164">
        <f t="shared" si="4"/>
        <v>45505</v>
      </c>
      <c r="C27" s="165">
        <v>45539</v>
      </c>
      <c r="D27" s="165">
        <v>45559</v>
      </c>
      <c r="E27" s="52" t="s">
        <v>21</v>
      </c>
      <c r="F27" s="202">
        <v>9</v>
      </c>
      <c r="G27" s="167">
        <v>4151</v>
      </c>
      <c r="H27" s="168">
        <f t="shared" si="5"/>
        <v>3093.08</v>
      </c>
      <c r="I27" s="168">
        <f t="shared" si="1"/>
        <v>3020.76</v>
      </c>
      <c r="J27" s="169">
        <f t="shared" si="2"/>
        <v>12539174.760000002</v>
      </c>
      <c r="K27" s="176">
        <f t="shared" si="6"/>
        <v>12839375.08</v>
      </c>
      <c r="L27" s="175">
        <f t="shared" si="3"/>
        <v>-300200.31999999844</v>
      </c>
      <c r="M27" s="172">
        <f t="shared" si="7"/>
        <v>-24120.188534852259</v>
      </c>
      <c r="N27" s="173">
        <f t="shared" si="8"/>
        <v>-324320.50853485067</v>
      </c>
      <c r="O27" s="172">
        <v>0</v>
      </c>
      <c r="P27" s="172">
        <v>0</v>
      </c>
      <c r="Q27" s="172">
        <v>0</v>
      </c>
      <c r="R27" s="173">
        <f t="shared" si="9"/>
        <v>-324320.50853485067</v>
      </c>
    </row>
    <row r="28" spans="1:18" x14ac:dyDescent="0.25">
      <c r="A28" s="129">
        <v>9</v>
      </c>
      <c r="B28" s="164">
        <f t="shared" si="4"/>
        <v>45536</v>
      </c>
      <c r="C28" s="165">
        <v>45568</v>
      </c>
      <c r="D28" s="165">
        <v>45589</v>
      </c>
      <c r="E28" s="52" t="s">
        <v>21</v>
      </c>
      <c r="F28" s="202">
        <v>9</v>
      </c>
      <c r="G28" s="167">
        <v>3859</v>
      </c>
      <c r="H28" s="168">
        <f t="shared" si="5"/>
        <v>3093.08</v>
      </c>
      <c r="I28" s="168">
        <f t="shared" si="1"/>
        <v>3020.76</v>
      </c>
      <c r="J28" s="169">
        <f t="shared" si="2"/>
        <v>11657112.840000002</v>
      </c>
      <c r="K28" s="176">
        <f t="shared" si="6"/>
        <v>11936195.719999999</v>
      </c>
      <c r="L28" s="175">
        <f t="shared" si="3"/>
        <v>-279082.87999999709</v>
      </c>
      <c r="M28" s="172">
        <f t="shared" si="7"/>
        <v>-22423.466045770867</v>
      </c>
      <c r="N28" s="173">
        <f t="shared" si="8"/>
        <v>-301506.34604576795</v>
      </c>
      <c r="O28" s="172">
        <v>0</v>
      </c>
      <c r="P28" s="172">
        <v>0</v>
      </c>
      <c r="Q28" s="172">
        <v>0</v>
      </c>
      <c r="R28" s="173">
        <f t="shared" si="9"/>
        <v>-301506.34604576795</v>
      </c>
    </row>
    <row r="29" spans="1:18" x14ac:dyDescent="0.25">
      <c r="A29" s="93">
        <v>10</v>
      </c>
      <c r="B29" s="164">
        <f t="shared" si="4"/>
        <v>45566</v>
      </c>
      <c r="C29" s="165">
        <v>45601</v>
      </c>
      <c r="D29" s="165">
        <v>45621</v>
      </c>
      <c r="E29" s="52" t="s">
        <v>21</v>
      </c>
      <c r="F29" s="202">
        <v>9</v>
      </c>
      <c r="G29" s="167">
        <v>3429</v>
      </c>
      <c r="H29" s="168">
        <f t="shared" si="5"/>
        <v>3093.08</v>
      </c>
      <c r="I29" s="168">
        <f t="shared" si="1"/>
        <v>3020.76</v>
      </c>
      <c r="J29" s="169">
        <f t="shared" si="2"/>
        <v>10358186.040000001</v>
      </c>
      <c r="K29" s="176">
        <f t="shared" si="6"/>
        <v>10606171.32</v>
      </c>
      <c r="L29" s="175">
        <f t="shared" si="3"/>
        <v>-247985.27999999933</v>
      </c>
      <c r="M29" s="172">
        <f t="shared" si="7"/>
        <v>-19924.867859794846</v>
      </c>
      <c r="N29" s="173">
        <f t="shared" si="8"/>
        <v>-267910.1478597942</v>
      </c>
      <c r="O29" s="172">
        <v>0</v>
      </c>
      <c r="P29" s="172">
        <v>0</v>
      </c>
      <c r="Q29" s="172">
        <v>0</v>
      </c>
      <c r="R29" s="173">
        <f t="shared" si="9"/>
        <v>-267910.1478597942</v>
      </c>
    </row>
    <row r="30" spans="1:18" x14ac:dyDescent="0.25">
      <c r="A30" s="129">
        <v>11</v>
      </c>
      <c r="B30" s="164">
        <f t="shared" si="4"/>
        <v>45597</v>
      </c>
      <c r="C30" s="165">
        <v>45630</v>
      </c>
      <c r="D30" s="165">
        <v>45650</v>
      </c>
      <c r="E30" s="52" t="s">
        <v>21</v>
      </c>
      <c r="F30" s="202">
        <v>9</v>
      </c>
      <c r="G30" s="167">
        <v>2220</v>
      </c>
      <c r="H30" s="168">
        <f t="shared" si="5"/>
        <v>3093.08</v>
      </c>
      <c r="I30" s="168">
        <f t="shared" si="1"/>
        <v>3020.76</v>
      </c>
      <c r="J30" s="169">
        <f t="shared" si="2"/>
        <v>6706087.2000000002</v>
      </c>
      <c r="K30" s="176">
        <f t="shared" si="6"/>
        <v>6866637.5999999996</v>
      </c>
      <c r="L30" s="175">
        <f t="shared" si="3"/>
        <v>-160550.39999999944</v>
      </c>
      <c r="M30" s="172">
        <f t="shared" si="7"/>
        <v>-12899.739471783187</v>
      </c>
      <c r="N30" s="173">
        <f t="shared" si="8"/>
        <v>-173450.13947178263</v>
      </c>
      <c r="O30" s="172">
        <v>0</v>
      </c>
      <c r="P30" s="172">
        <v>0</v>
      </c>
      <c r="Q30" s="172">
        <v>0</v>
      </c>
      <c r="R30" s="173">
        <f t="shared" si="9"/>
        <v>-173450.13947178263</v>
      </c>
    </row>
    <row r="31" spans="1:18" x14ac:dyDescent="0.25">
      <c r="A31" s="129">
        <v>12</v>
      </c>
      <c r="B31" s="164">
        <f t="shared" si="4"/>
        <v>45627</v>
      </c>
      <c r="C31" s="177">
        <v>45660</v>
      </c>
      <c r="D31" s="178">
        <v>45681</v>
      </c>
      <c r="E31" s="52" t="s">
        <v>21</v>
      </c>
      <c r="F31" s="202">
        <v>9</v>
      </c>
      <c r="G31" s="167">
        <v>2569</v>
      </c>
      <c r="H31" s="180">
        <f t="shared" si="5"/>
        <v>3093.08</v>
      </c>
      <c r="I31" s="180">
        <f t="shared" si="1"/>
        <v>3020.76</v>
      </c>
      <c r="J31" s="181">
        <f t="shared" si="2"/>
        <v>7760332.4400000004</v>
      </c>
      <c r="K31" s="182">
        <f t="shared" si="6"/>
        <v>7946122.5199999996</v>
      </c>
      <c r="L31" s="183">
        <f t="shared" si="3"/>
        <v>-185790.07999999914</v>
      </c>
      <c r="M31" s="172">
        <f t="shared" si="7"/>
        <v>-14927.671487842796</v>
      </c>
      <c r="N31" s="173">
        <f t="shared" si="8"/>
        <v>-200717.75148784195</v>
      </c>
      <c r="O31" s="172">
        <v>0</v>
      </c>
      <c r="P31" s="172">
        <v>0</v>
      </c>
      <c r="Q31" s="172">
        <v>0</v>
      </c>
      <c r="R31" s="173">
        <f t="shared" si="9"/>
        <v>-200717.75148784195</v>
      </c>
    </row>
    <row r="32" spans="1:18" x14ac:dyDescent="0.25">
      <c r="A32" s="93">
        <v>1</v>
      </c>
      <c r="B32" s="184">
        <f t="shared" si="4"/>
        <v>45292</v>
      </c>
      <c r="C32" s="185">
        <f t="shared" ref="C32:D43" si="10">+C20</f>
        <v>45327</v>
      </c>
      <c r="D32" s="185">
        <f t="shared" si="10"/>
        <v>45348</v>
      </c>
      <c r="E32" s="186" t="s">
        <v>22</v>
      </c>
      <c r="F32" s="203">
        <v>9</v>
      </c>
      <c r="G32" s="167">
        <v>3306</v>
      </c>
      <c r="H32" s="168">
        <f t="shared" si="5"/>
        <v>3093.08</v>
      </c>
      <c r="I32" s="168">
        <f t="shared" si="1"/>
        <v>3020.76</v>
      </c>
      <c r="J32" s="169">
        <f t="shared" si="2"/>
        <v>9986632.5600000005</v>
      </c>
      <c r="K32" s="170">
        <f t="shared" si="6"/>
        <v>10225722.48</v>
      </c>
      <c r="L32" s="171">
        <f t="shared" si="3"/>
        <v>-239089.91999999993</v>
      </c>
      <c r="M32" s="172">
        <f t="shared" si="7"/>
        <v>-19210.152564736585</v>
      </c>
      <c r="N32" s="173">
        <f t="shared" si="8"/>
        <v>-258300.0725647365</v>
      </c>
      <c r="O32" s="172">
        <v>0</v>
      </c>
      <c r="P32" s="172">
        <v>0</v>
      </c>
      <c r="Q32" s="172">
        <v>0</v>
      </c>
      <c r="R32" s="173">
        <f t="shared" si="9"/>
        <v>-258300.0725647365</v>
      </c>
    </row>
    <row r="33" spans="1:18" x14ac:dyDescent="0.25">
      <c r="A33" s="129">
        <v>2</v>
      </c>
      <c r="B33" s="164">
        <f t="shared" si="4"/>
        <v>45323</v>
      </c>
      <c r="C33" s="187">
        <f t="shared" si="10"/>
        <v>45356</v>
      </c>
      <c r="D33" s="187">
        <f t="shared" si="10"/>
        <v>45376</v>
      </c>
      <c r="E33" s="174" t="s">
        <v>22</v>
      </c>
      <c r="F33" s="202">
        <v>9</v>
      </c>
      <c r="G33" s="167">
        <v>2611</v>
      </c>
      <c r="H33" s="168">
        <f t="shared" si="5"/>
        <v>3093.08</v>
      </c>
      <c r="I33" s="168">
        <f t="shared" si="1"/>
        <v>3020.76</v>
      </c>
      <c r="J33" s="169">
        <f t="shared" si="2"/>
        <v>7887204.3600000003</v>
      </c>
      <c r="K33" s="170">
        <f t="shared" si="6"/>
        <v>8076031.8799999999</v>
      </c>
      <c r="L33" s="171">
        <f t="shared" si="3"/>
        <v>-188827.51999999955</v>
      </c>
      <c r="M33" s="172">
        <f t="shared" si="7"/>
        <v>-15171.72061298464</v>
      </c>
      <c r="N33" s="173">
        <f t="shared" si="8"/>
        <v>-203999.2406129842</v>
      </c>
      <c r="O33" s="172">
        <v>0</v>
      </c>
      <c r="P33" s="172">
        <v>0</v>
      </c>
      <c r="Q33" s="172">
        <v>0</v>
      </c>
      <c r="R33" s="173">
        <f t="shared" si="9"/>
        <v>-203999.2406129842</v>
      </c>
    </row>
    <row r="34" spans="1:18" x14ac:dyDescent="0.25">
      <c r="A34" s="129">
        <v>3</v>
      </c>
      <c r="B34" s="164">
        <f t="shared" si="4"/>
        <v>45352</v>
      </c>
      <c r="C34" s="187">
        <f t="shared" si="10"/>
        <v>45385</v>
      </c>
      <c r="D34" s="187">
        <f t="shared" si="10"/>
        <v>45406</v>
      </c>
      <c r="E34" s="174" t="s">
        <v>22</v>
      </c>
      <c r="F34" s="202">
        <v>9</v>
      </c>
      <c r="G34" s="167">
        <v>2302</v>
      </c>
      <c r="H34" s="168">
        <f t="shared" si="5"/>
        <v>3093.08</v>
      </c>
      <c r="I34" s="168">
        <f t="shared" si="1"/>
        <v>3020.76</v>
      </c>
      <c r="J34" s="169">
        <f t="shared" si="2"/>
        <v>6953789.5200000005</v>
      </c>
      <c r="K34" s="170">
        <f t="shared" ref="K34:K93" si="11">+$G34*H34</f>
        <v>7120270.1600000001</v>
      </c>
      <c r="L34" s="171">
        <f t="shared" si="3"/>
        <v>-166480.63999999966</v>
      </c>
      <c r="M34" s="172">
        <f t="shared" si="7"/>
        <v>-13376.216335155359</v>
      </c>
      <c r="N34" s="173">
        <f t="shared" si="8"/>
        <v>-179856.85633515503</v>
      </c>
      <c r="O34" s="172">
        <v>0</v>
      </c>
      <c r="P34" s="172">
        <v>0</v>
      </c>
      <c r="Q34" s="172">
        <v>0</v>
      </c>
      <c r="R34" s="173">
        <f t="shared" si="9"/>
        <v>-179856.85633515503</v>
      </c>
    </row>
    <row r="35" spans="1:18" x14ac:dyDescent="0.25">
      <c r="A35" s="93">
        <v>4</v>
      </c>
      <c r="B35" s="164">
        <f t="shared" si="4"/>
        <v>45383</v>
      </c>
      <c r="C35" s="187">
        <f t="shared" si="10"/>
        <v>45415</v>
      </c>
      <c r="D35" s="187">
        <f t="shared" si="10"/>
        <v>45436</v>
      </c>
      <c r="E35" s="174" t="s">
        <v>22</v>
      </c>
      <c r="F35" s="202">
        <v>9</v>
      </c>
      <c r="G35" s="167">
        <v>2486</v>
      </c>
      <c r="H35" s="168">
        <f t="shared" si="5"/>
        <v>3093.08</v>
      </c>
      <c r="I35" s="168">
        <f t="shared" si="1"/>
        <v>3020.76</v>
      </c>
      <c r="J35" s="169">
        <f t="shared" si="2"/>
        <v>7509609.3600000003</v>
      </c>
      <c r="K35" s="170">
        <f t="shared" si="11"/>
        <v>7689396.8799999999</v>
      </c>
      <c r="L35" s="171">
        <f t="shared" ref="L35:L57" si="12">+J35-K35</f>
        <v>-179787.51999999955</v>
      </c>
      <c r="M35" s="172">
        <f t="shared" si="7"/>
        <v>-14445.383931014867</v>
      </c>
      <c r="N35" s="173">
        <f t="shared" si="8"/>
        <v>-194232.90393101441</v>
      </c>
      <c r="O35" s="172">
        <v>0</v>
      </c>
      <c r="P35" s="172">
        <v>0</v>
      </c>
      <c r="Q35" s="172">
        <v>0</v>
      </c>
      <c r="R35" s="173">
        <f t="shared" si="9"/>
        <v>-194232.90393101441</v>
      </c>
    </row>
    <row r="36" spans="1:18" x14ac:dyDescent="0.25">
      <c r="A36" s="129">
        <v>5</v>
      </c>
      <c r="B36" s="164">
        <f t="shared" si="4"/>
        <v>45413</v>
      </c>
      <c r="C36" s="187">
        <f t="shared" si="10"/>
        <v>45448</v>
      </c>
      <c r="D36" s="187">
        <f t="shared" si="10"/>
        <v>45467</v>
      </c>
      <c r="E36" s="52" t="s">
        <v>22</v>
      </c>
      <c r="F36" s="202">
        <v>9</v>
      </c>
      <c r="G36" s="167">
        <v>2970</v>
      </c>
      <c r="H36" s="168">
        <f t="shared" si="5"/>
        <v>3093.08</v>
      </c>
      <c r="I36" s="168">
        <f t="shared" si="1"/>
        <v>3020.76</v>
      </c>
      <c r="J36" s="169">
        <f t="shared" si="2"/>
        <v>8971657.2000000011</v>
      </c>
      <c r="K36" s="170">
        <f t="shared" si="11"/>
        <v>9186447.5999999996</v>
      </c>
      <c r="L36" s="171">
        <f t="shared" si="12"/>
        <v>-214790.39999999851</v>
      </c>
      <c r="M36" s="172">
        <f t="shared" si="7"/>
        <v>-17257.759563601834</v>
      </c>
      <c r="N36" s="173">
        <f t="shared" si="8"/>
        <v>-232048.15956360035</v>
      </c>
      <c r="O36" s="172">
        <v>0</v>
      </c>
      <c r="P36" s="172">
        <v>0</v>
      </c>
      <c r="Q36" s="172">
        <v>0</v>
      </c>
      <c r="R36" s="173">
        <f t="shared" si="9"/>
        <v>-232048.15956360035</v>
      </c>
    </row>
    <row r="37" spans="1:18" x14ac:dyDescent="0.25">
      <c r="A37" s="129">
        <v>6</v>
      </c>
      <c r="B37" s="164">
        <f t="shared" si="4"/>
        <v>45444</v>
      </c>
      <c r="C37" s="187">
        <f t="shared" si="10"/>
        <v>45476</v>
      </c>
      <c r="D37" s="187">
        <f t="shared" si="10"/>
        <v>45497</v>
      </c>
      <c r="E37" s="52" t="s">
        <v>22</v>
      </c>
      <c r="F37" s="202">
        <v>9</v>
      </c>
      <c r="G37" s="167">
        <v>3483</v>
      </c>
      <c r="H37" s="168">
        <f t="shared" si="5"/>
        <v>3093.08</v>
      </c>
      <c r="I37" s="168">
        <f t="shared" si="1"/>
        <v>3020.76</v>
      </c>
      <c r="J37" s="169">
        <f t="shared" si="2"/>
        <v>10521307.08</v>
      </c>
      <c r="K37" s="170">
        <f t="shared" si="11"/>
        <v>10773197.640000001</v>
      </c>
      <c r="L37" s="175">
        <f t="shared" si="12"/>
        <v>-251890.56000000052</v>
      </c>
      <c r="M37" s="172">
        <f t="shared" si="7"/>
        <v>-20238.645306405782</v>
      </c>
      <c r="N37" s="173">
        <f t="shared" si="8"/>
        <v>-272129.20530640631</v>
      </c>
      <c r="O37" s="172">
        <v>0</v>
      </c>
      <c r="P37" s="172">
        <v>0</v>
      </c>
      <c r="Q37" s="172">
        <v>0</v>
      </c>
      <c r="R37" s="173">
        <f t="shared" si="9"/>
        <v>-272129.20530640631</v>
      </c>
    </row>
    <row r="38" spans="1:18" x14ac:dyDescent="0.25">
      <c r="A38" s="93">
        <v>7</v>
      </c>
      <c r="B38" s="164">
        <f t="shared" si="4"/>
        <v>45474</v>
      </c>
      <c r="C38" s="187">
        <f t="shared" si="10"/>
        <v>45509</v>
      </c>
      <c r="D38" s="187">
        <f t="shared" si="10"/>
        <v>45530</v>
      </c>
      <c r="E38" s="52" t="s">
        <v>22</v>
      </c>
      <c r="F38" s="202">
        <v>9</v>
      </c>
      <c r="G38" s="167">
        <v>3510</v>
      </c>
      <c r="H38" s="168">
        <f t="shared" si="5"/>
        <v>3093.08</v>
      </c>
      <c r="I38" s="168">
        <f t="shared" si="1"/>
        <v>3020.76</v>
      </c>
      <c r="J38" s="169">
        <f t="shared" si="2"/>
        <v>10602867.600000001</v>
      </c>
      <c r="K38" s="176">
        <f t="shared" si="11"/>
        <v>10856710.799999999</v>
      </c>
      <c r="L38" s="175">
        <f t="shared" si="12"/>
        <v>-253843.19999999739</v>
      </c>
      <c r="M38" s="172">
        <f t="shared" si="7"/>
        <v>-20395.534029711256</v>
      </c>
      <c r="N38" s="173">
        <f t="shared" si="8"/>
        <v>-274238.73402970866</v>
      </c>
      <c r="O38" s="172">
        <v>0</v>
      </c>
      <c r="P38" s="172">
        <v>0</v>
      </c>
      <c r="Q38" s="172">
        <v>0</v>
      </c>
      <c r="R38" s="173">
        <f t="shared" si="9"/>
        <v>-274238.73402970866</v>
      </c>
    </row>
    <row r="39" spans="1:18" x14ac:dyDescent="0.25">
      <c r="A39" s="129">
        <v>8</v>
      </c>
      <c r="B39" s="164">
        <f t="shared" si="4"/>
        <v>45505</v>
      </c>
      <c r="C39" s="187">
        <f t="shared" si="10"/>
        <v>45539</v>
      </c>
      <c r="D39" s="187">
        <f t="shared" si="10"/>
        <v>45559</v>
      </c>
      <c r="E39" s="52" t="s">
        <v>22</v>
      </c>
      <c r="F39" s="202">
        <v>9</v>
      </c>
      <c r="G39" s="167">
        <v>3574</v>
      </c>
      <c r="H39" s="168">
        <f t="shared" si="5"/>
        <v>3093.08</v>
      </c>
      <c r="I39" s="168">
        <f t="shared" si="1"/>
        <v>3020.76</v>
      </c>
      <c r="J39" s="169">
        <f t="shared" si="2"/>
        <v>10796196.24</v>
      </c>
      <c r="K39" s="176">
        <f t="shared" si="11"/>
        <v>11054667.92</v>
      </c>
      <c r="L39" s="175">
        <f t="shared" si="12"/>
        <v>-258471.6799999997</v>
      </c>
      <c r="M39" s="172">
        <f t="shared" si="7"/>
        <v>-20767.418410879782</v>
      </c>
      <c r="N39" s="173">
        <f t="shared" si="8"/>
        <v>-279239.09841087949</v>
      </c>
      <c r="O39" s="172">
        <v>0</v>
      </c>
      <c r="P39" s="172">
        <v>0</v>
      </c>
      <c r="Q39" s="172">
        <v>0</v>
      </c>
      <c r="R39" s="173">
        <f t="shared" si="9"/>
        <v>-279239.09841087949</v>
      </c>
    </row>
    <row r="40" spans="1:18" x14ac:dyDescent="0.25">
      <c r="A40" s="129">
        <v>9</v>
      </c>
      <c r="B40" s="164">
        <f t="shared" si="4"/>
        <v>45536</v>
      </c>
      <c r="C40" s="187">
        <f t="shared" si="10"/>
        <v>45568</v>
      </c>
      <c r="D40" s="187">
        <f t="shared" si="10"/>
        <v>45589</v>
      </c>
      <c r="E40" s="52" t="s">
        <v>22</v>
      </c>
      <c r="F40" s="202">
        <v>9</v>
      </c>
      <c r="G40" s="167">
        <v>3188</v>
      </c>
      <c r="H40" s="168">
        <f t="shared" si="5"/>
        <v>3093.08</v>
      </c>
      <c r="I40" s="168">
        <f t="shared" si="1"/>
        <v>3020.76</v>
      </c>
      <c r="J40" s="169">
        <f t="shared" si="2"/>
        <v>9630182.8800000008</v>
      </c>
      <c r="K40" s="176">
        <f t="shared" si="11"/>
        <v>9860739.0399999991</v>
      </c>
      <c r="L40" s="175">
        <f t="shared" si="12"/>
        <v>-230556.15999999829</v>
      </c>
      <c r="M40" s="172">
        <f t="shared" si="7"/>
        <v>-18524.490736957116</v>
      </c>
      <c r="N40" s="173">
        <f t="shared" si="8"/>
        <v>-249080.6507369554</v>
      </c>
      <c r="O40" s="172">
        <v>0</v>
      </c>
      <c r="P40" s="172">
        <v>0</v>
      </c>
      <c r="Q40" s="172">
        <v>0</v>
      </c>
      <c r="R40" s="173">
        <f t="shared" si="9"/>
        <v>-249080.6507369554</v>
      </c>
    </row>
    <row r="41" spans="1:18" x14ac:dyDescent="0.25">
      <c r="A41" s="93">
        <v>10</v>
      </c>
      <c r="B41" s="164">
        <f t="shared" si="4"/>
        <v>45566</v>
      </c>
      <c r="C41" s="187">
        <f t="shared" si="10"/>
        <v>45601</v>
      </c>
      <c r="D41" s="187">
        <f t="shared" si="10"/>
        <v>45621</v>
      </c>
      <c r="E41" s="52" t="s">
        <v>22</v>
      </c>
      <c r="F41" s="202">
        <v>9</v>
      </c>
      <c r="G41" s="167">
        <v>2793</v>
      </c>
      <c r="H41" s="168">
        <f t="shared" si="5"/>
        <v>3093.08</v>
      </c>
      <c r="I41" s="168">
        <f t="shared" si="1"/>
        <v>3020.76</v>
      </c>
      <c r="J41" s="169">
        <f t="shared" si="2"/>
        <v>8436982.6799999997</v>
      </c>
      <c r="K41" s="176">
        <f t="shared" si="11"/>
        <v>8638972.4399999995</v>
      </c>
      <c r="L41" s="175">
        <f t="shared" si="12"/>
        <v>-201989.75999999978</v>
      </c>
      <c r="M41" s="172">
        <f t="shared" si="7"/>
        <v>-16229.266821932633</v>
      </c>
      <c r="N41" s="173">
        <f t="shared" si="8"/>
        <v>-218219.02682193241</v>
      </c>
      <c r="O41" s="172">
        <v>0</v>
      </c>
      <c r="P41" s="172">
        <v>0</v>
      </c>
      <c r="Q41" s="172">
        <v>0</v>
      </c>
      <c r="R41" s="173">
        <f t="shared" si="9"/>
        <v>-218219.02682193241</v>
      </c>
    </row>
    <row r="42" spans="1:18" x14ac:dyDescent="0.25">
      <c r="A42" s="129">
        <v>11</v>
      </c>
      <c r="B42" s="164">
        <f t="shared" si="4"/>
        <v>45597</v>
      </c>
      <c r="C42" s="187">
        <f t="shared" si="10"/>
        <v>45630</v>
      </c>
      <c r="D42" s="187">
        <f t="shared" si="10"/>
        <v>45650</v>
      </c>
      <c r="E42" s="52" t="s">
        <v>22</v>
      </c>
      <c r="F42" s="202">
        <v>9</v>
      </c>
      <c r="G42" s="167">
        <v>2339</v>
      </c>
      <c r="H42" s="168">
        <f t="shared" si="5"/>
        <v>3093.08</v>
      </c>
      <c r="I42" s="168">
        <f t="shared" si="1"/>
        <v>3020.76</v>
      </c>
      <c r="J42" s="169">
        <f t="shared" si="2"/>
        <v>7065557.6400000006</v>
      </c>
      <c r="K42" s="176">
        <f t="shared" si="11"/>
        <v>7234714.1200000001</v>
      </c>
      <c r="L42" s="175">
        <f t="shared" si="12"/>
        <v>-169156.47999999952</v>
      </c>
      <c r="M42" s="172">
        <f t="shared" si="7"/>
        <v>-13591.211993018413</v>
      </c>
      <c r="N42" s="173">
        <f t="shared" si="8"/>
        <v>-182747.69199301791</v>
      </c>
      <c r="O42" s="172">
        <v>0</v>
      </c>
      <c r="P42" s="172">
        <v>0</v>
      </c>
      <c r="Q42" s="172">
        <v>0</v>
      </c>
      <c r="R42" s="173">
        <f t="shared" si="9"/>
        <v>-182747.69199301791</v>
      </c>
    </row>
    <row r="43" spans="1:18" x14ac:dyDescent="0.25">
      <c r="A43" s="129">
        <v>12</v>
      </c>
      <c r="B43" s="164">
        <f t="shared" si="4"/>
        <v>45627</v>
      </c>
      <c r="C43" s="187">
        <f t="shared" si="10"/>
        <v>45660</v>
      </c>
      <c r="D43" s="187">
        <f t="shared" si="10"/>
        <v>45681</v>
      </c>
      <c r="E43" s="52" t="s">
        <v>22</v>
      </c>
      <c r="F43" s="202">
        <v>9</v>
      </c>
      <c r="G43" s="167">
        <v>2520</v>
      </c>
      <c r="H43" s="180">
        <f t="shared" si="5"/>
        <v>3093.08</v>
      </c>
      <c r="I43" s="180">
        <f t="shared" si="1"/>
        <v>3020.76</v>
      </c>
      <c r="J43" s="181">
        <f t="shared" si="2"/>
        <v>7612315.2000000002</v>
      </c>
      <c r="K43" s="182">
        <f t="shared" si="11"/>
        <v>7794561.5999999996</v>
      </c>
      <c r="L43" s="183">
        <f t="shared" si="12"/>
        <v>-182246.39999999944</v>
      </c>
      <c r="M43" s="172">
        <f t="shared" si="7"/>
        <v>-14642.947508510646</v>
      </c>
      <c r="N43" s="173">
        <f t="shared" si="8"/>
        <v>-196889.34750851008</v>
      </c>
      <c r="O43" s="172">
        <v>0</v>
      </c>
      <c r="P43" s="172">
        <v>0</v>
      </c>
      <c r="Q43" s="172">
        <v>0</v>
      </c>
      <c r="R43" s="173">
        <f t="shared" si="9"/>
        <v>-196889.34750851008</v>
      </c>
    </row>
    <row r="44" spans="1:18" x14ac:dyDescent="0.25">
      <c r="A44" s="93">
        <v>1</v>
      </c>
      <c r="B44" s="184">
        <f t="shared" ref="B44:B55" si="13">DATE($R$1,A44,1)</f>
        <v>45292</v>
      </c>
      <c r="C44" s="185">
        <f t="shared" ref="C44:D55" si="14">+C32</f>
        <v>45327</v>
      </c>
      <c r="D44" s="185">
        <f t="shared" si="14"/>
        <v>45348</v>
      </c>
      <c r="E44" s="186" t="s">
        <v>81</v>
      </c>
      <c r="F44" s="203">
        <v>9</v>
      </c>
      <c r="G44" s="167">
        <v>216</v>
      </c>
      <c r="H44" s="168">
        <f t="shared" si="5"/>
        <v>3093.08</v>
      </c>
      <c r="I44" s="168">
        <f t="shared" si="1"/>
        <v>3020.76</v>
      </c>
      <c r="J44" s="172">
        <f t="shared" ref="J44:J55" si="15">+$G44*I44</f>
        <v>652484.16</v>
      </c>
      <c r="K44" s="176">
        <f t="shared" ref="K44:K55" si="16">+$G44*H44</f>
        <v>668105.28</v>
      </c>
      <c r="L44" s="175">
        <f t="shared" ref="L44:L55" si="17">+J44-K44</f>
        <v>-15621.119999999995</v>
      </c>
      <c r="M44" s="172">
        <f t="shared" si="7"/>
        <v>-1255.1097864437697</v>
      </c>
      <c r="N44" s="173">
        <f t="shared" si="8"/>
        <v>-16876.229786443764</v>
      </c>
      <c r="O44" s="172">
        <v>0</v>
      </c>
      <c r="P44" s="172">
        <v>0</v>
      </c>
      <c r="Q44" s="172">
        <v>0</v>
      </c>
      <c r="R44" s="173">
        <f t="shared" si="9"/>
        <v>-16876.229786443764</v>
      </c>
    </row>
    <row r="45" spans="1:18" x14ac:dyDescent="0.25">
      <c r="A45" s="129">
        <v>2</v>
      </c>
      <c r="B45" s="164">
        <f t="shared" si="13"/>
        <v>45323</v>
      </c>
      <c r="C45" s="187">
        <f t="shared" si="14"/>
        <v>45356</v>
      </c>
      <c r="D45" s="187">
        <f t="shared" si="14"/>
        <v>45376</v>
      </c>
      <c r="E45" s="174" t="s">
        <v>81</v>
      </c>
      <c r="F45" s="202">
        <v>9</v>
      </c>
      <c r="G45" s="167">
        <v>146</v>
      </c>
      <c r="H45" s="168">
        <f t="shared" si="5"/>
        <v>3093.08</v>
      </c>
      <c r="I45" s="168">
        <f t="shared" si="1"/>
        <v>3020.76</v>
      </c>
      <c r="J45" s="172">
        <f t="shared" si="15"/>
        <v>441030.96</v>
      </c>
      <c r="K45" s="176">
        <f t="shared" si="16"/>
        <v>451589.68</v>
      </c>
      <c r="L45" s="175">
        <f t="shared" si="17"/>
        <v>-10558.719999999972</v>
      </c>
      <c r="M45" s="172">
        <f t="shared" si="7"/>
        <v>-848.36124454069602</v>
      </c>
      <c r="N45" s="173">
        <f t="shared" si="8"/>
        <v>-11407.081244540668</v>
      </c>
      <c r="O45" s="172">
        <v>0</v>
      </c>
      <c r="P45" s="172">
        <v>0</v>
      </c>
      <c r="Q45" s="172">
        <v>0</v>
      </c>
      <c r="R45" s="173">
        <f t="shared" si="9"/>
        <v>-11407.081244540668</v>
      </c>
    </row>
    <row r="46" spans="1:18" x14ac:dyDescent="0.25">
      <c r="A46" s="129">
        <v>3</v>
      </c>
      <c r="B46" s="164">
        <f t="shared" si="13"/>
        <v>45352</v>
      </c>
      <c r="C46" s="187">
        <f t="shared" si="14"/>
        <v>45385</v>
      </c>
      <c r="D46" s="187">
        <f t="shared" si="14"/>
        <v>45406</v>
      </c>
      <c r="E46" s="174" t="s">
        <v>81</v>
      </c>
      <c r="F46" s="202">
        <v>9</v>
      </c>
      <c r="G46" s="167">
        <v>113</v>
      </c>
      <c r="H46" s="168">
        <f t="shared" si="5"/>
        <v>3093.08</v>
      </c>
      <c r="I46" s="168">
        <f t="shared" si="1"/>
        <v>3020.76</v>
      </c>
      <c r="J46" s="172">
        <f t="shared" si="15"/>
        <v>341345.88</v>
      </c>
      <c r="K46" s="176">
        <f t="shared" si="16"/>
        <v>349518.04</v>
      </c>
      <c r="L46" s="175">
        <f t="shared" si="17"/>
        <v>-8172.1599999999744</v>
      </c>
      <c r="M46" s="172">
        <f t="shared" si="7"/>
        <v>-656.60836050067576</v>
      </c>
      <c r="N46" s="173">
        <f t="shared" si="8"/>
        <v>-8828.7683605006496</v>
      </c>
      <c r="O46" s="172">
        <v>0</v>
      </c>
      <c r="P46" s="172">
        <v>0</v>
      </c>
      <c r="Q46" s="172">
        <v>0</v>
      </c>
      <c r="R46" s="173">
        <f t="shared" si="9"/>
        <v>-8828.7683605006496</v>
      </c>
    </row>
    <row r="47" spans="1:18" x14ac:dyDescent="0.25">
      <c r="A47" s="93">
        <v>4</v>
      </c>
      <c r="B47" s="164">
        <f t="shared" si="13"/>
        <v>45383</v>
      </c>
      <c r="C47" s="187">
        <f t="shared" si="14"/>
        <v>45415</v>
      </c>
      <c r="D47" s="187">
        <f t="shared" si="14"/>
        <v>45436</v>
      </c>
      <c r="E47" s="174" t="s">
        <v>81</v>
      </c>
      <c r="F47" s="202">
        <v>9</v>
      </c>
      <c r="G47" s="167">
        <v>76</v>
      </c>
      <c r="H47" s="168">
        <f t="shared" si="5"/>
        <v>3093.08</v>
      </c>
      <c r="I47" s="168">
        <f t="shared" si="1"/>
        <v>3020.76</v>
      </c>
      <c r="J47" s="172">
        <f t="shared" si="15"/>
        <v>229577.76</v>
      </c>
      <c r="K47" s="176">
        <f t="shared" si="16"/>
        <v>235074.08</v>
      </c>
      <c r="L47" s="175">
        <f t="shared" si="17"/>
        <v>-5496.3199999999779</v>
      </c>
      <c r="M47" s="172">
        <f t="shared" si="7"/>
        <v>-441.61270263762265</v>
      </c>
      <c r="N47" s="173">
        <f t="shared" si="8"/>
        <v>-5937.9327026376004</v>
      </c>
      <c r="O47" s="172">
        <v>0</v>
      </c>
      <c r="P47" s="172">
        <v>0</v>
      </c>
      <c r="Q47" s="172">
        <v>0</v>
      </c>
      <c r="R47" s="173">
        <f t="shared" si="9"/>
        <v>-5937.9327026376004</v>
      </c>
    </row>
    <row r="48" spans="1:18" x14ac:dyDescent="0.25">
      <c r="A48" s="129">
        <v>5</v>
      </c>
      <c r="B48" s="164">
        <f t="shared" si="13"/>
        <v>45413</v>
      </c>
      <c r="C48" s="187">
        <f t="shared" si="14"/>
        <v>45448</v>
      </c>
      <c r="D48" s="187">
        <f t="shared" si="14"/>
        <v>45467</v>
      </c>
      <c r="E48" s="174" t="s">
        <v>81</v>
      </c>
      <c r="F48" s="202">
        <v>9</v>
      </c>
      <c r="G48" s="167">
        <v>120</v>
      </c>
      <c r="H48" s="168">
        <f t="shared" si="5"/>
        <v>3093.08</v>
      </c>
      <c r="I48" s="168">
        <f t="shared" si="1"/>
        <v>3020.76</v>
      </c>
      <c r="J48" s="172">
        <f t="shared" si="15"/>
        <v>362491.2</v>
      </c>
      <c r="K48" s="176">
        <f t="shared" si="16"/>
        <v>371169.6</v>
      </c>
      <c r="L48" s="175">
        <f t="shared" si="17"/>
        <v>-8678.3999999999651</v>
      </c>
      <c r="M48" s="172">
        <f t="shared" si="7"/>
        <v>-697.28321469098307</v>
      </c>
      <c r="N48" s="173">
        <f t="shared" si="8"/>
        <v>-9375.6832146909474</v>
      </c>
      <c r="O48" s="172">
        <v>0</v>
      </c>
      <c r="P48" s="172">
        <v>0</v>
      </c>
      <c r="Q48" s="172">
        <v>0</v>
      </c>
      <c r="R48" s="173">
        <f t="shared" si="9"/>
        <v>-9375.6832146909474</v>
      </c>
    </row>
    <row r="49" spans="1:18" x14ac:dyDescent="0.25">
      <c r="A49" s="129">
        <v>6</v>
      </c>
      <c r="B49" s="164">
        <f t="shared" si="13"/>
        <v>45444</v>
      </c>
      <c r="C49" s="187">
        <f t="shared" si="14"/>
        <v>45476</v>
      </c>
      <c r="D49" s="187">
        <f t="shared" si="14"/>
        <v>45497</v>
      </c>
      <c r="E49" s="174" t="s">
        <v>81</v>
      </c>
      <c r="F49" s="202">
        <v>9</v>
      </c>
      <c r="G49" s="167">
        <v>147</v>
      </c>
      <c r="H49" s="168">
        <f t="shared" si="5"/>
        <v>3093.08</v>
      </c>
      <c r="I49" s="168">
        <f t="shared" si="1"/>
        <v>3020.76</v>
      </c>
      <c r="J49" s="172">
        <f t="shared" si="15"/>
        <v>444051.72000000003</v>
      </c>
      <c r="K49" s="176">
        <f t="shared" si="16"/>
        <v>454682.76</v>
      </c>
      <c r="L49" s="175">
        <f t="shared" si="17"/>
        <v>-10631.039999999979</v>
      </c>
      <c r="M49" s="172">
        <f t="shared" si="7"/>
        <v>-854.17193799645429</v>
      </c>
      <c r="N49" s="173">
        <f t="shared" si="8"/>
        <v>-11485.211937996433</v>
      </c>
      <c r="O49" s="172">
        <v>0</v>
      </c>
      <c r="P49" s="172">
        <v>0</v>
      </c>
      <c r="Q49" s="172">
        <v>0</v>
      </c>
      <c r="R49" s="173">
        <f t="shared" si="9"/>
        <v>-11485.211937996433</v>
      </c>
    </row>
    <row r="50" spans="1:18" x14ac:dyDescent="0.25">
      <c r="A50" s="93">
        <v>7</v>
      </c>
      <c r="B50" s="164">
        <f t="shared" si="13"/>
        <v>45474</v>
      </c>
      <c r="C50" s="187">
        <f t="shared" si="14"/>
        <v>45509</v>
      </c>
      <c r="D50" s="187">
        <f t="shared" si="14"/>
        <v>45530</v>
      </c>
      <c r="E50" s="174" t="s">
        <v>81</v>
      </c>
      <c r="F50" s="202">
        <v>9</v>
      </c>
      <c r="G50" s="167">
        <v>155</v>
      </c>
      <c r="H50" s="168">
        <f t="shared" si="5"/>
        <v>3093.08</v>
      </c>
      <c r="I50" s="168">
        <f t="shared" si="1"/>
        <v>3020.76</v>
      </c>
      <c r="J50" s="172">
        <f t="shared" si="15"/>
        <v>468217.80000000005</v>
      </c>
      <c r="K50" s="176">
        <f t="shared" si="16"/>
        <v>479427.39999999997</v>
      </c>
      <c r="L50" s="175">
        <f t="shared" si="17"/>
        <v>-11209.599999999919</v>
      </c>
      <c r="M50" s="172">
        <f t="shared" si="7"/>
        <v>-900.65748564251987</v>
      </c>
      <c r="N50" s="173">
        <f t="shared" si="8"/>
        <v>-12110.257485642438</v>
      </c>
      <c r="O50" s="172">
        <v>0</v>
      </c>
      <c r="P50" s="172">
        <v>0</v>
      </c>
      <c r="Q50" s="172">
        <v>0</v>
      </c>
      <c r="R50" s="173">
        <f t="shared" si="9"/>
        <v>-12110.257485642438</v>
      </c>
    </row>
    <row r="51" spans="1:18" x14ac:dyDescent="0.25">
      <c r="A51" s="129">
        <v>8</v>
      </c>
      <c r="B51" s="164">
        <f t="shared" si="13"/>
        <v>45505</v>
      </c>
      <c r="C51" s="187">
        <f t="shared" si="14"/>
        <v>45539</v>
      </c>
      <c r="D51" s="187">
        <f t="shared" si="14"/>
        <v>45559</v>
      </c>
      <c r="E51" s="174" t="s">
        <v>81</v>
      </c>
      <c r="F51" s="202">
        <v>9</v>
      </c>
      <c r="G51" s="167">
        <v>157</v>
      </c>
      <c r="H51" s="168">
        <f t="shared" si="5"/>
        <v>3093.08</v>
      </c>
      <c r="I51" s="168">
        <f t="shared" si="1"/>
        <v>3020.76</v>
      </c>
      <c r="J51" s="172">
        <f t="shared" si="15"/>
        <v>474259.32</v>
      </c>
      <c r="K51" s="176">
        <f t="shared" si="16"/>
        <v>485613.56</v>
      </c>
      <c r="L51" s="175">
        <f t="shared" si="17"/>
        <v>-11354.239999999991</v>
      </c>
      <c r="M51" s="172">
        <f t="shared" si="7"/>
        <v>-912.27887255403618</v>
      </c>
      <c r="N51" s="173">
        <f t="shared" si="8"/>
        <v>-12266.518872554027</v>
      </c>
      <c r="O51" s="172">
        <v>0</v>
      </c>
      <c r="P51" s="172">
        <v>0</v>
      </c>
      <c r="Q51" s="172">
        <v>0</v>
      </c>
      <c r="R51" s="173">
        <f t="shared" si="9"/>
        <v>-12266.518872554027</v>
      </c>
    </row>
    <row r="52" spans="1:18" x14ac:dyDescent="0.25">
      <c r="A52" s="129">
        <v>9</v>
      </c>
      <c r="B52" s="164">
        <f t="shared" si="13"/>
        <v>45536</v>
      </c>
      <c r="C52" s="187">
        <f t="shared" si="14"/>
        <v>45568</v>
      </c>
      <c r="D52" s="187">
        <f t="shared" si="14"/>
        <v>45589</v>
      </c>
      <c r="E52" s="174" t="s">
        <v>81</v>
      </c>
      <c r="F52" s="202">
        <v>9</v>
      </c>
      <c r="G52" s="167">
        <v>126</v>
      </c>
      <c r="H52" s="168">
        <f t="shared" si="5"/>
        <v>3093.08</v>
      </c>
      <c r="I52" s="168">
        <f t="shared" si="1"/>
        <v>3020.76</v>
      </c>
      <c r="J52" s="172">
        <f t="shared" si="15"/>
        <v>380615.76</v>
      </c>
      <c r="K52" s="176">
        <f t="shared" si="16"/>
        <v>389728.08</v>
      </c>
      <c r="L52" s="175">
        <f t="shared" si="17"/>
        <v>-9112.320000000007</v>
      </c>
      <c r="M52" s="172">
        <f t="shared" si="7"/>
        <v>-732.14737542553223</v>
      </c>
      <c r="N52" s="173">
        <f t="shared" si="8"/>
        <v>-9844.46737542554</v>
      </c>
      <c r="O52" s="172">
        <v>0</v>
      </c>
      <c r="P52" s="172">
        <v>0</v>
      </c>
      <c r="Q52" s="172">
        <v>0</v>
      </c>
      <c r="R52" s="173">
        <f t="shared" si="9"/>
        <v>-9844.46737542554</v>
      </c>
    </row>
    <row r="53" spans="1:18" x14ac:dyDescent="0.25">
      <c r="A53" s="93">
        <v>10</v>
      </c>
      <c r="B53" s="164">
        <f t="shared" si="13"/>
        <v>45566</v>
      </c>
      <c r="C53" s="187">
        <f t="shared" si="14"/>
        <v>45601</v>
      </c>
      <c r="D53" s="187">
        <f t="shared" si="14"/>
        <v>45621</v>
      </c>
      <c r="E53" s="174" t="s">
        <v>81</v>
      </c>
      <c r="F53" s="202">
        <v>9</v>
      </c>
      <c r="G53" s="167">
        <v>112</v>
      </c>
      <c r="H53" s="168">
        <f t="shared" si="5"/>
        <v>3093.08</v>
      </c>
      <c r="I53" s="168">
        <f t="shared" si="1"/>
        <v>3020.76</v>
      </c>
      <c r="J53" s="172">
        <f t="shared" si="15"/>
        <v>338325.12</v>
      </c>
      <c r="K53" s="176">
        <f t="shared" si="16"/>
        <v>346424.95999999996</v>
      </c>
      <c r="L53" s="175">
        <f t="shared" si="17"/>
        <v>-8099.8399999999674</v>
      </c>
      <c r="M53" s="172">
        <f t="shared" si="7"/>
        <v>-650.7976670449176</v>
      </c>
      <c r="N53" s="173">
        <f t="shared" si="8"/>
        <v>-8750.6376670448844</v>
      </c>
      <c r="O53" s="172">
        <v>0</v>
      </c>
      <c r="P53" s="172">
        <v>0</v>
      </c>
      <c r="Q53" s="172">
        <v>0</v>
      </c>
      <c r="R53" s="173">
        <f t="shared" si="9"/>
        <v>-8750.6376670448844</v>
      </c>
    </row>
    <row r="54" spans="1:18" x14ac:dyDescent="0.25">
      <c r="A54" s="129">
        <v>11</v>
      </c>
      <c r="B54" s="164">
        <f t="shared" si="13"/>
        <v>45597</v>
      </c>
      <c r="C54" s="187">
        <f t="shared" si="14"/>
        <v>45630</v>
      </c>
      <c r="D54" s="187">
        <f t="shared" si="14"/>
        <v>45650</v>
      </c>
      <c r="E54" s="174" t="s">
        <v>81</v>
      </c>
      <c r="F54" s="202">
        <v>9</v>
      </c>
      <c r="G54" s="167">
        <v>93</v>
      </c>
      <c r="H54" s="168">
        <f t="shared" si="5"/>
        <v>3093.08</v>
      </c>
      <c r="I54" s="168">
        <f t="shared" si="1"/>
        <v>3020.76</v>
      </c>
      <c r="J54" s="172">
        <f t="shared" si="15"/>
        <v>280930.68</v>
      </c>
      <c r="K54" s="176">
        <f t="shared" si="16"/>
        <v>287656.44</v>
      </c>
      <c r="L54" s="175">
        <f t="shared" si="17"/>
        <v>-6725.7600000000093</v>
      </c>
      <c r="M54" s="172">
        <f t="shared" si="7"/>
        <v>-540.39449138551186</v>
      </c>
      <c r="N54" s="173">
        <f t="shared" si="8"/>
        <v>-7266.1544913855214</v>
      </c>
      <c r="O54" s="172">
        <v>0</v>
      </c>
      <c r="P54" s="172">
        <v>0</v>
      </c>
      <c r="Q54" s="172">
        <v>0</v>
      </c>
      <c r="R54" s="173">
        <f t="shared" si="9"/>
        <v>-7266.1544913855214</v>
      </c>
    </row>
    <row r="55" spans="1:18" x14ac:dyDescent="0.25">
      <c r="A55" s="129">
        <v>12</v>
      </c>
      <c r="B55" s="164">
        <f t="shared" si="13"/>
        <v>45627</v>
      </c>
      <c r="C55" s="187">
        <f t="shared" si="14"/>
        <v>45660</v>
      </c>
      <c r="D55" s="187">
        <f t="shared" si="14"/>
        <v>45681</v>
      </c>
      <c r="E55" s="174" t="s">
        <v>81</v>
      </c>
      <c r="F55" s="202">
        <v>9</v>
      </c>
      <c r="G55" s="179">
        <v>128</v>
      </c>
      <c r="H55" s="180">
        <f t="shared" si="5"/>
        <v>3093.08</v>
      </c>
      <c r="I55" s="180">
        <f t="shared" si="1"/>
        <v>3020.76</v>
      </c>
      <c r="J55" s="181">
        <f t="shared" si="15"/>
        <v>386657.28000000003</v>
      </c>
      <c r="K55" s="182">
        <f t="shared" si="16"/>
        <v>395914.23999999999</v>
      </c>
      <c r="L55" s="183">
        <f t="shared" si="17"/>
        <v>-9256.9599999999627</v>
      </c>
      <c r="M55" s="172">
        <f t="shared" si="7"/>
        <v>-743.76876233704866</v>
      </c>
      <c r="N55" s="173">
        <f t="shared" si="8"/>
        <v>-10000.728762337012</v>
      </c>
      <c r="O55" s="172">
        <v>0</v>
      </c>
      <c r="P55" s="172">
        <v>0</v>
      </c>
      <c r="Q55" s="172">
        <v>0</v>
      </c>
      <c r="R55" s="173">
        <f t="shared" si="9"/>
        <v>-10000.728762337012</v>
      </c>
    </row>
    <row r="56" spans="1:18" s="188" customFormat="1" x14ac:dyDescent="0.25">
      <c r="A56" s="93">
        <v>1</v>
      </c>
      <c r="B56" s="184">
        <f t="shared" si="4"/>
        <v>45292</v>
      </c>
      <c r="C56" s="185">
        <f t="shared" ref="C56:D67" si="18">+C32</f>
        <v>45327</v>
      </c>
      <c r="D56" s="185">
        <f t="shared" si="18"/>
        <v>45348</v>
      </c>
      <c r="E56" s="186" t="s">
        <v>14</v>
      </c>
      <c r="F56" s="203">
        <v>9</v>
      </c>
      <c r="G56" s="167">
        <v>1129</v>
      </c>
      <c r="H56" s="168">
        <f t="shared" si="5"/>
        <v>3093.08</v>
      </c>
      <c r="I56" s="168">
        <f t="shared" si="1"/>
        <v>3020.76</v>
      </c>
      <c r="J56" s="169">
        <f t="shared" si="2"/>
        <v>3410438.04</v>
      </c>
      <c r="K56" s="170">
        <f t="shared" si="11"/>
        <v>3492087.32</v>
      </c>
      <c r="L56" s="171">
        <f t="shared" si="12"/>
        <v>-81649.279999999795</v>
      </c>
      <c r="M56" s="172">
        <f t="shared" si="7"/>
        <v>-6560.2729115509992</v>
      </c>
      <c r="N56" s="173">
        <f t="shared" si="8"/>
        <v>-88209.552911550796</v>
      </c>
      <c r="O56" s="172">
        <v>0</v>
      </c>
      <c r="P56" s="172">
        <v>0</v>
      </c>
      <c r="Q56" s="172">
        <v>0</v>
      </c>
      <c r="R56" s="173">
        <f t="shared" si="9"/>
        <v>-88209.552911550796</v>
      </c>
    </row>
    <row r="57" spans="1:18" x14ac:dyDescent="0.25">
      <c r="A57" s="129">
        <v>2</v>
      </c>
      <c r="B57" s="164">
        <f t="shared" si="4"/>
        <v>45323</v>
      </c>
      <c r="C57" s="187">
        <f t="shared" si="18"/>
        <v>45356</v>
      </c>
      <c r="D57" s="187">
        <f t="shared" si="18"/>
        <v>45376</v>
      </c>
      <c r="E57" s="174" t="s">
        <v>14</v>
      </c>
      <c r="F57" s="202">
        <v>9</v>
      </c>
      <c r="G57" s="167">
        <v>739</v>
      </c>
      <c r="H57" s="168">
        <f t="shared" si="5"/>
        <v>3093.08</v>
      </c>
      <c r="I57" s="168">
        <f t="shared" si="1"/>
        <v>3020.76</v>
      </c>
      <c r="J57" s="169">
        <f t="shared" si="2"/>
        <v>2232341.64</v>
      </c>
      <c r="K57" s="170">
        <f t="shared" si="11"/>
        <v>2285786.12</v>
      </c>
      <c r="L57" s="171">
        <f t="shared" si="12"/>
        <v>-53444.479999999981</v>
      </c>
      <c r="M57" s="172">
        <f t="shared" si="7"/>
        <v>-4294.1024638053041</v>
      </c>
      <c r="N57" s="173">
        <f t="shared" si="8"/>
        <v>-57738.582463805287</v>
      </c>
      <c r="O57" s="172">
        <v>0</v>
      </c>
      <c r="P57" s="172">
        <v>0</v>
      </c>
      <c r="Q57" s="172">
        <v>0</v>
      </c>
      <c r="R57" s="173">
        <f t="shared" si="9"/>
        <v>-57738.582463805287</v>
      </c>
    </row>
    <row r="58" spans="1:18" x14ac:dyDescent="0.25">
      <c r="A58" s="129">
        <v>3</v>
      </c>
      <c r="B58" s="164">
        <f t="shared" si="4"/>
        <v>45352</v>
      </c>
      <c r="C58" s="187">
        <f t="shared" si="18"/>
        <v>45385</v>
      </c>
      <c r="D58" s="187">
        <f t="shared" si="18"/>
        <v>45406</v>
      </c>
      <c r="E58" s="174" t="s">
        <v>14</v>
      </c>
      <c r="F58" s="202">
        <v>9</v>
      </c>
      <c r="G58" s="167">
        <v>642</v>
      </c>
      <c r="H58" s="168">
        <f t="shared" si="5"/>
        <v>3093.08</v>
      </c>
      <c r="I58" s="168">
        <f t="shared" si="1"/>
        <v>3020.76</v>
      </c>
      <c r="J58" s="169">
        <f t="shared" si="2"/>
        <v>1939327.9200000002</v>
      </c>
      <c r="K58" s="170">
        <f t="shared" si="11"/>
        <v>1985757.3599999999</v>
      </c>
      <c r="L58" s="171">
        <f>+J58-K58</f>
        <v>-46429.439999999711</v>
      </c>
      <c r="M58" s="172">
        <f t="shared" si="7"/>
        <v>-3730.4651985967594</v>
      </c>
      <c r="N58" s="173">
        <f t="shared" si="8"/>
        <v>-50159.905198596469</v>
      </c>
      <c r="O58" s="172">
        <v>0</v>
      </c>
      <c r="P58" s="172">
        <v>0</v>
      </c>
      <c r="Q58" s="172">
        <v>0</v>
      </c>
      <c r="R58" s="173">
        <f t="shared" si="9"/>
        <v>-50159.905198596469</v>
      </c>
    </row>
    <row r="59" spans="1:18" x14ac:dyDescent="0.25">
      <c r="A59" s="93">
        <v>4</v>
      </c>
      <c r="B59" s="164">
        <f t="shared" si="4"/>
        <v>45383</v>
      </c>
      <c r="C59" s="187">
        <f t="shared" si="18"/>
        <v>45415</v>
      </c>
      <c r="D59" s="187">
        <f t="shared" si="18"/>
        <v>45436</v>
      </c>
      <c r="E59" s="174" t="s">
        <v>14</v>
      </c>
      <c r="F59" s="202">
        <v>9</v>
      </c>
      <c r="G59" s="167">
        <v>581</v>
      </c>
      <c r="H59" s="168">
        <f t="shared" si="5"/>
        <v>3093.08</v>
      </c>
      <c r="I59" s="168">
        <f t="shared" si="1"/>
        <v>3020.76</v>
      </c>
      <c r="J59" s="169">
        <f t="shared" si="2"/>
        <v>1755061.56</v>
      </c>
      <c r="K59" s="170">
        <f t="shared" si="11"/>
        <v>1797079.48</v>
      </c>
      <c r="L59" s="171">
        <f t="shared" ref="L59:L81" si="19">+J59-K59</f>
        <v>-42017.919999999925</v>
      </c>
      <c r="M59" s="172">
        <f t="shared" si="7"/>
        <v>-3376.0128977955101</v>
      </c>
      <c r="N59" s="173">
        <f t="shared" si="8"/>
        <v>-45393.932897795436</v>
      </c>
      <c r="O59" s="172">
        <v>0</v>
      </c>
      <c r="P59" s="172">
        <v>0</v>
      </c>
      <c r="Q59" s="172">
        <v>0</v>
      </c>
      <c r="R59" s="173">
        <f t="shared" si="9"/>
        <v>-45393.932897795436</v>
      </c>
    </row>
    <row r="60" spans="1:18" x14ac:dyDescent="0.25">
      <c r="A60" s="129">
        <v>5</v>
      </c>
      <c r="B60" s="164">
        <f t="shared" si="4"/>
        <v>45413</v>
      </c>
      <c r="C60" s="187">
        <f t="shared" si="18"/>
        <v>45448</v>
      </c>
      <c r="D60" s="187">
        <f t="shared" si="18"/>
        <v>45467</v>
      </c>
      <c r="E60" s="52" t="s">
        <v>14</v>
      </c>
      <c r="F60" s="202">
        <v>9</v>
      </c>
      <c r="G60" s="167">
        <v>753</v>
      </c>
      <c r="H60" s="168">
        <f t="shared" si="5"/>
        <v>3093.08</v>
      </c>
      <c r="I60" s="168">
        <f t="shared" si="1"/>
        <v>3020.76</v>
      </c>
      <c r="J60" s="169">
        <f t="shared" si="2"/>
        <v>2274632.2800000003</v>
      </c>
      <c r="K60" s="170">
        <f t="shared" si="11"/>
        <v>2329089.2399999998</v>
      </c>
      <c r="L60" s="171">
        <f t="shared" si="19"/>
        <v>-54456.959999999497</v>
      </c>
      <c r="M60" s="172">
        <f t="shared" si="7"/>
        <v>-4375.4521721859192</v>
      </c>
      <c r="N60" s="173">
        <f t="shared" si="8"/>
        <v>-58832.412172185417</v>
      </c>
      <c r="O60" s="172">
        <v>0</v>
      </c>
      <c r="P60" s="172">
        <v>0</v>
      </c>
      <c r="Q60" s="172">
        <v>0</v>
      </c>
      <c r="R60" s="173">
        <f t="shared" si="9"/>
        <v>-58832.412172185417</v>
      </c>
    </row>
    <row r="61" spans="1:18" x14ac:dyDescent="0.25">
      <c r="A61" s="129">
        <v>6</v>
      </c>
      <c r="B61" s="164">
        <f t="shared" si="4"/>
        <v>45444</v>
      </c>
      <c r="C61" s="187">
        <f t="shared" si="18"/>
        <v>45476</v>
      </c>
      <c r="D61" s="187">
        <f t="shared" si="18"/>
        <v>45497</v>
      </c>
      <c r="E61" s="52" t="s">
        <v>14</v>
      </c>
      <c r="F61" s="202">
        <v>9</v>
      </c>
      <c r="G61" s="167">
        <v>1001</v>
      </c>
      <c r="H61" s="168">
        <f t="shared" si="5"/>
        <v>3093.08</v>
      </c>
      <c r="I61" s="168">
        <f t="shared" si="1"/>
        <v>3020.76</v>
      </c>
      <c r="J61" s="169">
        <f t="shared" si="2"/>
        <v>3023780.7600000002</v>
      </c>
      <c r="K61" s="170">
        <f t="shared" si="11"/>
        <v>3096173.08</v>
      </c>
      <c r="L61" s="175">
        <f t="shared" si="19"/>
        <v>-72392.319999999832</v>
      </c>
      <c r="M61" s="172">
        <f t="shared" si="7"/>
        <v>-5816.5041492139508</v>
      </c>
      <c r="N61" s="173">
        <f t="shared" si="8"/>
        <v>-78208.824149213789</v>
      </c>
      <c r="O61" s="172">
        <v>0</v>
      </c>
      <c r="P61" s="172">
        <v>0</v>
      </c>
      <c r="Q61" s="172">
        <v>0</v>
      </c>
      <c r="R61" s="173">
        <f t="shared" si="9"/>
        <v>-78208.824149213789</v>
      </c>
    </row>
    <row r="62" spans="1:18" x14ac:dyDescent="0.25">
      <c r="A62" s="93">
        <v>7</v>
      </c>
      <c r="B62" s="164">
        <f t="shared" si="4"/>
        <v>45474</v>
      </c>
      <c r="C62" s="187">
        <f t="shared" si="18"/>
        <v>45509</v>
      </c>
      <c r="D62" s="187">
        <f t="shared" si="18"/>
        <v>45530</v>
      </c>
      <c r="E62" s="52" t="s">
        <v>14</v>
      </c>
      <c r="F62" s="202">
        <v>9</v>
      </c>
      <c r="G62" s="167">
        <v>961</v>
      </c>
      <c r="H62" s="168">
        <f t="shared" si="5"/>
        <v>3093.08</v>
      </c>
      <c r="I62" s="168">
        <f t="shared" si="1"/>
        <v>3020.76</v>
      </c>
      <c r="J62" s="169">
        <f t="shared" si="2"/>
        <v>2902950.3600000003</v>
      </c>
      <c r="K62" s="176">
        <f t="shared" si="11"/>
        <v>2972449.88</v>
      </c>
      <c r="L62" s="175">
        <f t="shared" si="19"/>
        <v>-69499.519999999553</v>
      </c>
      <c r="M62" s="172">
        <f t="shared" si="7"/>
        <v>-5584.0764109836227</v>
      </c>
      <c r="N62" s="173">
        <f t="shared" si="8"/>
        <v>-75083.596410983169</v>
      </c>
      <c r="O62" s="172">
        <v>0</v>
      </c>
      <c r="P62" s="172">
        <v>0</v>
      </c>
      <c r="Q62" s="172">
        <v>0</v>
      </c>
      <c r="R62" s="173">
        <f t="shared" si="9"/>
        <v>-75083.596410983169</v>
      </c>
    </row>
    <row r="63" spans="1:18" x14ac:dyDescent="0.25">
      <c r="A63" s="129">
        <v>8</v>
      </c>
      <c r="B63" s="164">
        <f t="shared" si="4"/>
        <v>45505</v>
      </c>
      <c r="C63" s="187">
        <f t="shared" si="18"/>
        <v>45539</v>
      </c>
      <c r="D63" s="187">
        <f t="shared" si="18"/>
        <v>45559</v>
      </c>
      <c r="E63" s="52" t="s">
        <v>14</v>
      </c>
      <c r="F63" s="202">
        <v>9</v>
      </c>
      <c r="G63" s="167">
        <v>1017</v>
      </c>
      <c r="H63" s="168">
        <f t="shared" si="5"/>
        <v>3093.08</v>
      </c>
      <c r="I63" s="168">
        <f t="shared" si="1"/>
        <v>3020.76</v>
      </c>
      <c r="J63" s="169">
        <f t="shared" si="2"/>
        <v>3072112.9200000004</v>
      </c>
      <c r="K63" s="176">
        <f t="shared" si="11"/>
        <v>3145662.36</v>
      </c>
      <c r="L63" s="175">
        <f t="shared" si="19"/>
        <v>-73549.439999999478</v>
      </c>
      <c r="M63" s="172">
        <f t="shared" si="7"/>
        <v>-5909.4752445060822</v>
      </c>
      <c r="N63" s="173">
        <f t="shared" si="8"/>
        <v>-79458.915244505566</v>
      </c>
      <c r="O63" s="172">
        <v>0</v>
      </c>
      <c r="P63" s="172">
        <v>0</v>
      </c>
      <c r="Q63" s="172">
        <v>0</v>
      </c>
      <c r="R63" s="173">
        <f t="shared" si="9"/>
        <v>-79458.915244505566</v>
      </c>
    </row>
    <row r="64" spans="1:18" x14ac:dyDescent="0.25">
      <c r="A64" s="129">
        <v>9</v>
      </c>
      <c r="B64" s="164">
        <f t="shared" si="4"/>
        <v>45536</v>
      </c>
      <c r="C64" s="187">
        <f t="shared" si="18"/>
        <v>45568</v>
      </c>
      <c r="D64" s="187">
        <f t="shared" si="18"/>
        <v>45589</v>
      </c>
      <c r="E64" s="52" t="s">
        <v>14</v>
      </c>
      <c r="F64" s="202">
        <v>9</v>
      </c>
      <c r="G64" s="167">
        <v>856</v>
      </c>
      <c r="H64" s="168">
        <f t="shared" si="5"/>
        <v>3093.08</v>
      </c>
      <c r="I64" s="168">
        <f t="shared" ref="I64:I107" si="20">$J$3</f>
        <v>3020.76</v>
      </c>
      <c r="J64" s="169">
        <f t="shared" si="2"/>
        <v>2585770.56</v>
      </c>
      <c r="K64" s="176">
        <f t="shared" si="11"/>
        <v>2647676.48</v>
      </c>
      <c r="L64" s="175">
        <f t="shared" si="19"/>
        <v>-61905.919999999925</v>
      </c>
      <c r="M64" s="172">
        <f t="shared" si="7"/>
        <v>-4973.9535981290128</v>
      </c>
      <c r="N64" s="173">
        <f t="shared" si="8"/>
        <v>-66879.873598128936</v>
      </c>
      <c r="O64" s="172">
        <v>0</v>
      </c>
      <c r="P64" s="172">
        <v>0</v>
      </c>
      <c r="Q64" s="172">
        <v>0</v>
      </c>
      <c r="R64" s="173">
        <f t="shared" si="9"/>
        <v>-66879.873598128936</v>
      </c>
    </row>
    <row r="65" spans="1:18" x14ac:dyDescent="0.25">
      <c r="A65" s="93">
        <v>10</v>
      </c>
      <c r="B65" s="164">
        <f t="shared" si="4"/>
        <v>45566</v>
      </c>
      <c r="C65" s="187">
        <f t="shared" si="18"/>
        <v>45601</v>
      </c>
      <c r="D65" s="187">
        <f t="shared" si="18"/>
        <v>45621</v>
      </c>
      <c r="E65" s="52" t="s">
        <v>14</v>
      </c>
      <c r="F65" s="202">
        <v>9</v>
      </c>
      <c r="G65" s="167">
        <v>786</v>
      </c>
      <c r="H65" s="168">
        <f t="shared" si="5"/>
        <v>3093.08</v>
      </c>
      <c r="I65" s="168">
        <f t="shared" si="20"/>
        <v>3020.76</v>
      </c>
      <c r="J65" s="169">
        <f t="shared" si="2"/>
        <v>2374317.3600000003</v>
      </c>
      <c r="K65" s="176">
        <f t="shared" si="11"/>
        <v>2431160.88</v>
      </c>
      <c r="L65" s="175">
        <f t="shared" si="19"/>
        <v>-56843.519999999553</v>
      </c>
      <c r="M65" s="172">
        <f t="shared" si="7"/>
        <v>-4567.2050562259392</v>
      </c>
      <c r="N65" s="173">
        <f t="shared" si="8"/>
        <v>-61410.725056225492</v>
      </c>
      <c r="O65" s="172">
        <v>0</v>
      </c>
      <c r="P65" s="172">
        <v>0</v>
      </c>
      <c r="Q65" s="172">
        <v>0</v>
      </c>
      <c r="R65" s="173">
        <f t="shared" si="9"/>
        <v>-61410.725056225492</v>
      </c>
    </row>
    <row r="66" spans="1:18" x14ac:dyDescent="0.25">
      <c r="A66" s="129">
        <v>11</v>
      </c>
      <c r="B66" s="164">
        <f t="shared" si="4"/>
        <v>45597</v>
      </c>
      <c r="C66" s="187">
        <f t="shared" si="18"/>
        <v>45630</v>
      </c>
      <c r="D66" s="187">
        <f t="shared" si="18"/>
        <v>45650</v>
      </c>
      <c r="E66" s="52" t="s">
        <v>14</v>
      </c>
      <c r="F66" s="202">
        <v>9</v>
      </c>
      <c r="G66" s="167">
        <v>463</v>
      </c>
      <c r="H66" s="168">
        <f t="shared" si="5"/>
        <v>3093.08</v>
      </c>
      <c r="I66" s="168">
        <f t="shared" si="20"/>
        <v>3020.76</v>
      </c>
      <c r="J66" s="169">
        <f t="shared" si="2"/>
        <v>1398611.8800000001</v>
      </c>
      <c r="K66" s="176">
        <f t="shared" si="11"/>
        <v>1432096.04</v>
      </c>
      <c r="L66" s="175">
        <f t="shared" si="19"/>
        <v>-33484.159999999916</v>
      </c>
      <c r="M66" s="172">
        <f t="shared" si="7"/>
        <v>-2690.3510700160432</v>
      </c>
      <c r="N66" s="173">
        <f t="shared" si="8"/>
        <v>-36174.511070015957</v>
      </c>
      <c r="O66" s="172">
        <v>0</v>
      </c>
      <c r="P66" s="172">
        <v>0</v>
      </c>
      <c r="Q66" s="172">
        <v>0</v>
      </c>
      <c r="R66" s="173">
        <f t="shared" si="9"/>
        <v>-36174.511070015957</v>
      </c>
    </row>
    <row r="67" spans="1:18" s="191" customFormat="1" x14ac:dyDescent="0.25">
      <c r="A67" s="129">
        <v>12</v>
      </c>
      <c r="B67" s="189">
        <f t="shared" si="4"/>
        <v>45627</v>
      </c>
      <c r="C67" s="187">
        <f t="shared" si="18"/>
        <v>45660</v>
      </c>
      <c r="D67" s="187">
        <f t="shared" si="18"/>
        <v>45681</v>
      </c>
      <c r="E67" s="190" t="s">
        <v>14</v>
      </c>
      <c r="F67" s="204">
        <v>9</v>
      </c>
      <c r="G67" s="179">
        <v>725</v>
      </c>
      <c r="H67" s="180">
        <f t="shared" si="5"/>
        <v>3093.08</v>
      </c>
      <c r="I67" s="180">
        <f t="shared" si="20"/>
        <v>3020.76</v>
      </c>
      <c r="J67" s="181">
        <f t="shared" si="2"/>
        <v>2190051</v>
      </c>
      <c r="K67" s="182">
        <f t="shared" si="11"/>
        <v>2242483</v>
      </c>
      <c r="L67" s="183">
        <f t="shared" si="19"/>
        <v>-52432</v>
      </c>
      <c r="M67" s="172">
        <f t="shared" si="7"/>
        <v>-4212.7527554246899</v>
      </c>
      <c r="N67" s="173">
        <f t="shared" si="8"/>
        <v>-56644.752755424692</v>
      </c>
      <c r="O67" s="172">
        <v>0</v>
      </c>
      <c r="P67" s="172">
        <v>0</v>
      </c>
      <c r="Q67" s="172">
        <v>0</v>
      </c>
      <c r="R67" s="173">
        <f t="shared" si="9"/>
        <v>-56644.752755424692</v>
      </c>
    </row>
    <row r="68" spans="1:18" x14ac:dyDescent="0.25">
      <c r="A68" s="93">
        <v>1</v>
      </c>
      <c r="B68" s="164">
        <f t="shared" si="4"/>
        <v>45292</v>
      </c>
      <c r="C68" s="185">
        <f t="shared" ref="C68:D79" si="21">+C56</f>
        <v>45327</v>
      </c>
      <c r="D68" s="185">
        <f t="shared" si="21"/>
        <v>45348</v>
      </c>
      <c r="E68" s="166" t="s">
        <v>83</v>
      </c>
      <c r="F68" s="116">
        <v>9</v>
      </c>
      <c r="G68" s="167">
        <v>58</v>
      </c>
      <c r="H68" s="168">
        <f t="shared" si="5"/>
        <v>3093.08</v>
      </c>
      <c r="I68" s="168">
        <f t="shared" si="20"/>
        <v>3020.76</v>
      </c>
      <c r="J68" s="169">
        <f t="shared" si="2"/>
        <v>175204.08000000002</v>
      </c>
      <c r="K68" s="170">
        <f t="shared" si="11"/>
        <v>179398.63999999998</v>
      </c>
      <c r="L68" s="171">
        <f t="shared" si="19"/>
        <v>-4194.5599999999686</v>
      </c>
      <c r="M68" s="172">
        <f t="shared" si="7"/>
        <v>-337.02022043397517</v>
      </c>
      <c r="N68" s="173">
        <f t="shared" si="8"/>
        <v>-4531.5802204339434</v>
      </c>
      <c r="O68" s="172">
        <v>0</v>
      </c>
      <c r="P68" s="172">
        <v>0</v>
      </c>
      <c r="Q68" s="172">
        <v>0</v>
      </c>
      <c r="R68" s="173">
        <f t="shared" si="9"/>
        <v>-4531.5802204339434</v>
      </c>
    </row>
    <row r="69" spans="1:18" x14ac:dyDescent="0.25">
      <c r="A69" s="129">
        <v>2</v>
      </c>
      <c r="B69" s="164">
        <f t="shared" si="4"/>
        <v>45323</v>
      </c>
      <c r="C69" s="187">
        <f t="shared" si="21"/>
        <v>45356</v>
      </c>
      <c r="D69" s="187">
        <f t="shared" si="21"/>
        <v>45376</v>
      </c>
      <c r="E69" s="174" t="s">
        <v>83</v>
      </c>
      <c r="F69" s="202">
        <v>9</v>
      </c>
      <c r="G69" s="167">
        <v>36</v>
      </c>
      <c r="H69" s="168">
        <f t="shared" si="5"/>
        <v>3093.08</v>
      </c>
      <c r="I69" s="168">
        <f t="shared" si="20"/>
        <v>3020.76</v>
      </c>
      <c r="J69" s="169">
        <f t="shared" si="2"/>
        <v>108747.36000000002</v>
      </c>
      <c r="K69" s="170">
        <f t="shared" si="11"/>
        <v>111350.88</v>
      </c>
      <c r="L69" s="171">
        <f t="shared" si="19"/>
        <v>-2603.5199999999895</v>
      </c>
      <c r="M69" s="172">
        <f t="shared" si="7"/>
        <v>-209.18496440729496</v>
      </c>
      <c r="N69" s="173">
        <f t="shared" si="8"/>
        <v>-2812.7049644072845</v>
      </c>
      <c r="O69" s="172">
        <v>0</v>
      </c>
      <c r="P69" s="172">
        <v>0</v>
      </c>
      <c r="Q69" s="172">
        <v>0</v>
      </c>
      <c r="R69" s="173">
        <f t="shared" si="9"/>
        <v>-2812.7049644072845</v>
      </c>
    </row>
    <row r="70" spans="1:18" x14ac:dyDescent="0.25">
      <c r="A70" s="129">
        <v>3</v>
      </c>
      <c r="B70" s="164">
        <f t="shared" si="4"/>
        <v>45352</v>
      </c>
      <c r="C70" s="187">
        <f t="shared" si="21"/>
        <v>45385</v>
      </c>
      <c r="D70" s="187">
        <f t="shared" si="21"/>
        <v>45406</v>
      </c>
      <c r="E70" s="174" t="s">
        <v>83</v>
      </c>
      <c r="F70" s="202">
        <v>9</v>
      </c>
      <c r="G70" s="167">
        <v>29</v>
      </c>
      <c r="H70" s="168">
        <f t="shared" si="5"/>
        <v>3093.08</v>
      </c>
      <c r="I70" s="168">
        <f t="shared" si="20"/>
        <v>3020.76</v>
      </c>
      <c r="J70" s="169">
        <f t="shared" si="2"/>
        <v>87602.040000000008</v>
      </c>
      <c r="K70" s="170">
        <f t="shared" si="11"/>
        <v>89699.319999999992</v>
      </c>
      <c r="L70" s="171">
        <f>+J70-K70</f>
        <v>-2097.2799999999843</v>
      </c>
      <c r="M70" s="172">
        <f t="shared" si="7"/>
        <v>-168.51011021698758</v>
      </c>
      <c r="N70" s="173">
        <f t="shared" si="8"/>
        <v>-2265.7901102169717</v>
      </c>
      <c r="O70" s="172">
        <v>0</v>
      </c>
      <c r="P70" s="172">
        <v>0</v>
      </c>
      <c r="Q70" s="172">
        <v>0</v>
      </c>
      <c r="R70" s="173">
        <f t="shared" si="9"/>
        <v>-2265.7901102169717</v>
      </c>
    </row>
    <row r="71" spans="1:18" x14ac:dyDescent="0.25">
      <c r="A71" s="93">
        <v>4</v>
      </c>
      <c r="B71" s="164">
        <f t="shared" si="4"/>
        <v>45383</v>
      </c>
      <c r="C71" s="187">
        <f t="shared" si="21"/>
        <v>45415</v>
      </c>
      <c r="D71" s="187">
        <f t="shared" si="21"/>
        <v>45436</v>
      </c>
      <c r="E71" s="174" t="s">
        <v>83</v>
      </c>
      <c r="F71" s="202">
        <v>9</v>
      </c>
      <c r="G71" s="167">
        <v>27</v>
      </c>
      <c r="H71" s="168">
        <f t="shared" si="5"/>
        <v>3093.08</v>
      </c>
      <c r="I71" s="168">
        <f t="shared" si="20"/>
        <v>3020.76</v>
      </c>
      <c r="J71" s="169">
        <f t="shared" si="2"/>
        <v>81560.52</v>
      </c>
      <c r="K71" s="170">
        <f t="shared" si="11"/>
        <v>83513.16</v>
      </c>
      <c r="L71" s="171">
        <f t="shared" ref="L71:L79" si="22">+J71-K71</f>
        <v>-1952.6399999999994</v>
      </c>
      <c r="M71" s="172">
        <f t="shared" si="7"/>
        <v>-156.88872330547122</v>
      </c>
      <c r="N71" s="173">
        <f t="shared" si="8"/>
        <v>-2109.5287233054705</v>
      </c>
      <c r="O71" s="172">
        <v>0</v>
      </c>
      <c r="P71" s="172">
        <v>0</v>
      </c>
      <c r="Q71" s="172">
        <v>0</v>
      </c>
      <c r="R71" s="173">
        <f t="shared" si="9"/>
        <v>-2109.5287233054705</v>
      </c>
    </row>
    <row r="72" spans="1:18" x14ac:dyDescent="0.25">
      <c r="A72" s="129">
        <v>5</v>
      </c>
      <c r="B72" s="164">
        <f t="shared" si="4"/>
        <v>45413</v>
      </c>
      <c r="C72" s="187">
        <f t="shared" si="21"/>
        <v>45448</v>
      </c>
      <c r="D72" s="187">
        <f t="shared" si="21"/>
        <v>45467</v>
      </c>
      <c r="E72" s="174" t="s">
        <v>83</v>
      </c>
      <c r="F72" s="202">
        <v>9</v>
      </c>
      <c r="G72" s="167">
        <v>36</v>
      </c>
      <c r="H72" s="168">
        <f t="shared" si="5"/>
        <v>3093.08</v>
      </c>
      <c r="I72" s="168">
        <f t="shared" si="20"/>
        <v>3020.76</v>
      </c>
      <c r="J72" s="169">
        <f t="shared" si="2"/>
        <v>108747.36000000002</v>
      </c>
      <c r="K72" s="170">
        <f t="shared" si="11"/>
        <v>111350.88</v>
      </c>
      <c r="L72" s="171">
        <f t="shared" si="22"/>
        <v>-2603.5199999999895</v>
      </c>
      <c r="M72" s="172">
        <f t="shared" si="7"/>
        <v>-209.18496440729496</v>
      </c>
      <c r="N72" s="173">
        <f t="shared" si="8"/>
        <v>-2812.7049644072845</v>
      </c>
      <c r="O72" s="172">
        <v>0</v>
      </c>
      <c r="P72" s="172">
        <v>0</v>
      </c>
      <c r="Q72" s="172">
        <v>0</v>
      </c>
      <c r="R72" s="173">
        <f t="shared" si="9"/>
        <v>-2812.7049644072845</v>
      </c>
    </row>
    <row r="73" spans="1:18" x14ac:dyDescent="0.25">
      <c r="A73" s="129">
        <v>6</v>
      </c>
      <c r="B73" s="164">
        <f t="shared" si="4"/>
        <v>45444</v>
      </c>
      <c r="C73" s="187">
        <f t="shared" si="21"/>
        <v>45476</v>
      </c>
      <c r="D73" s="187">
        <f t="shared" si="21"/>
        <v>45497</v>
      </c>
      <c r="E73" s="174" t="s">
        <v>83</v>
      </c>
      <c r="F73" s="202">
        <v>9</v>
      </c>
      <c r="G73" s="167">
        <v>53</v>
      </c>
      <c r="H73" s="168">
        <f t="shared" si="5"/>
        <v>3093.08</v>
      </c>
      <c r="I73" s="168">
        <f t="shared" si="20"/>
        <v>3020.76</v>
      </c>
      <c r="J73" s="169">
        <f t="shared" si="2"/>
        <v>160100.28</v>
      </c>
      <c r="K73" s="170">
        <f t="shared" si="11"/>
        <v>163933.24</v>
      </c>
      <c r="L73" s="175">
        <f t="shared" si="22"/>
        <v>-3832.9599999999919</v>
      </c>
      <c r="M73" s="172">
        <f t="shared" si="7"/>
        <v>-307.96675315518422</v>
      </c>
      <c r="N73" s="173">
        <f t="shared" si="8"/>
        <v>-4140.9267531551759</v>
      </c>
      <c r="O73" s="172">
        <v>0</v>
      </c>
      <c r="P73" s="172">
        <v>0</v>
      </c>
      <c r="Q73" s="172">
        <v>0</v>
      </c>
      <c r="R73" s="173">
        <f t="shared" si="9"/>
        <v>-4140.9267531551759</v>
      </c>
    </row>
    <row r="74" spans="1:18" x14ac:dyDescent="0.25">
      <c r="A74" s="93">
        <v>7</v>
      </c>
      <c r="B74" s="164">
        <f t="shared" si="4"/>
        <v>45474</v>
      </c>
      <c r="C74" s="187">
        <f t="shared" si="21"/>
        <v>45509</v>
      </c>
      <c r="D74" s="187">
        <f t="shared" si="21"/>
        <v>45530</v>
      </c>
      <c r="E74" s="174" t="s">
        <v>83</v>
      </c>
      <c r="F74" s="202">
        <v>9</v>
      </c>
      <c r="G74" s="167">
        <v>53</v>
      </c>
      <c r="H74" s="168">
        <f t="shared" si="5"/>
        <v>3093.08</v>
      </c>
      <c r="I74" s="168">
        <f t="shared" si="20"/>
        <v>3020.76</v>
      </c>
      <c r="J74" s="169">
        <f t="shared" si="2"/>
        <v>160100.28</v>
      </c>
      <c r="K74" s="176">
        <f t="shared" si="11"/>
        <v>163933.24</v>
      </c>
      <c r="L74" s="175">
        <f t="shared" si="22"/>
        <v>-3832.9599999999919</v>
      </c>
      <c r="M74" s="172">
        <f t="shared" si="7"/>
        <v>-307.96675315518422</v>
      </c>
      <c r="N74" s="173">
        <f t="shared" si="8"/>
        <v>-4140.9267531551759</v>
      </c>
      <c r="O74" s="172">
        <v>0</v>
      </c>
      <c r="P74" s="172">
        <v>0</v>
      </c>
      <c r="Q74" s="172">
        <v>0</v>
      </c>
      <c r="R74" s="173">
        <f t="shared" si="9"/>
        <v>-4140.9267531551759</v>
      </c>
    </row>
    <row r="75" spans="1:18" x14ac:dyDescent="0.25">
      <c r="A75" s="129">
        <v>8</v>
      </c>
      <c r="B75" s="164">
        <f t="shared" si="4"/>
        <v>45505</v>
      </c>
      <c r="C75" s="187">
        <f t="shared" si="21"/>
        <v>45539</v>
      </c>
      <c r="D75" s="187">
        <f t="shared" si="21"/>
        <v>45559</v>
      </c>
      <c r="E75" s="174" t="s">
        <v>83</v>
      </c>
      <c r="F75" s="202">
        <v>9</v>
      </c>
      <c r="G75" s="167">
        <v>54</v>
      </c>
      <c r="H75" s="168">
        <f t="shared" si="5"/>
        <v>3093.08</v>
      </c>
      <c r="I75" s="168">
        <f t="shared" si="20"/>
        <v>3020.76</v>
      </c>
      <c r="J75" s="169">
        <f t="shared" si="2"/>
        <v>163121.04</v>
      </c>
      <c r="K75" s="176">
        <f t="shared" si="11"/>
        <v>167026.32</v>
      </c>
      <c r="L75" s="175">
        <f t="shared" si="22"/>
        <v>-3905.2799999999988</v>
      </c>
      <c r="M75" s="172">
        <f t="shared" si="7"/>
        <v>-313.77744661094243</v>
      </c>
      <c r="N75" s="173">
        <f t="shared" si="8"/>
        <v>-4219.057446610941</v>
      </c>
      <c r="O75" s="172">
        <v>0</v>
      </c>
      <c r="P75" s="172">
        <v>0</v>
      </c>
      <c r="Q75" s="172">
        <v>0</v>
      </c>
      <c r="R75" s="173">
        <f t="shared" si="9"/>
        <v>-4219.057446610941</v>
      </c>
    </row>
    <row r="76" spans="1:18" x14ac:dyDescent="0.25">
      <c r="A76" s="129">
        <v>9</v>
      </c>
      <c r="B76" s="164">
        <f t="shared" si="4"/>
        <v>45536</v>
      </c>
      <c r="C76" s="187">
        <f t="shared" si="21"/>
        <v>45568</v>
      </c>
      <c r="D76" s="187">
        <f t="shared" si="21"/>
        <v>45589</v>
      </c>
      <c r="E76" s="174" t="s">
        <v>83</v>
      </c>
      <c r="F76" s="202">
        <v>9</v>
      </c>
      <c r="G76" s="167">
        <v>48</v>
      </c>
      <c r="H76" s="168">
        <f t="shared" si="5"/>
        <v>3093.08</v>
      </c>
      <c r="I76" s="168">
        <f t="shared" si="20"/>
        <v>3020.76</v>
      </c>
      <c r="J76" s="169">
        <f t="shared" si="2"/>
        <v>144996.48000000001</v>
      </c>
      <c r="K76" s="176">
        <f t="shared" si="11"/>
        <v>148467.84</v>
      </c>
      <c r="L76" s="175">
        <f t="shared" si="22"/>
        <v>-3471.359999999986</v>
      </c>
      <c r="M76" s="172">
        <f t="shared" si="7"/>
        <v>-278.91328587639322</v>
      </c>
      <c r="N76" s="173">
        <f t="shared" si="8"/>
        <v>-3750.2732858763793</v>
      </c>
      <c r="O76" s="172">
        <v>0</v>
      </c>
      <c r="P76" s="172">
        <v>0</v>
      </c>
      <c r="Q76" s="172">
        <v>0</v>
      </c>
      <c r="R76" s="173">
        <f t="shared" si="9"/>
        <v>-3750.2732858763793</v>
      </c>
    </row>
    <row r="77" spans="1:18" x14ac:dyDescent="0.25">
      <c r="A77" s="93">
        <v>10</v>
      </c>
      <c r="B77" s="164">
        <f t="shared" si="4"/>
        <v>45566</v>
      </c>
      <c r="C77" s="187">
        <f t="shared" si="21"/>
        <v>45601</v>
      </c>
      <c r="D77" s="187">
        <f t="shared" si="21"/>
        <v>45621</v>
      </c>
      <c r="E77" s="174" t="s">
        <v>83</v>
      </c>
      <c r="F77" s="202">
        <v>9</v>
      </c>
      <c r="G77" s="167">
        <v>41</v>
      </c>
      <c r="H77" s="168">
        <f t="shared" si="5"/>
        <v>3093.08</v>
      </c>
      <c r="I77" s="168">
        <f t="shared" si="20"/>
        <v>3020.76</v>
      </c>
      <c r="J77" s="169">
        <f t="shared" si="2"/>
        <v>123851.16</v>
      </c>
      <c r="K77" s="176">
        <f t="shared" si="11"/>
        <v>126816.28</v>
      </c>
      <c r="L77" s="175">
        <f t="shared" si="22"/>
        <v>-2965.1199999999953</v>
      </c>
      <c r="M77" s="172">
        <f t="shared" si="7"/>
        <v>-238.2384316860859</v>
      </c>
      <c r="N77" s="173">
        <f t="shared" si="8"/>
        <v>-3203.3584316860811</v>
      </c>
      <c r="O77" s="172">
        <v>0</v>
      </c>
      <c r="P77" s="172">
        <v>0</v>
      </c>
      <c r="Q77" s="172">
        <v>0</v>
      </c>
      <c r="R77" s="173">
        <f t="shared" si="9"/>
        <v>-3203.3584316860811</v>
      </c>
    </row>
    <row r="78" spans="1:18" x14ac:dyDescent="0.25">
      <c r="A78" s="129">
        <v>11</v>
      </c>
      <c r="B78" s="164">
        <f t="shared" si="4"/>
        <v>45597</v>
      </c>
      <c r="C78" s="187">
        <f t="shared" si="21"/>
        <v>45630</v>
      </c>
      <c r="D78" s="187">
        <f t="shared" si="21"/>
        <v>45650</v>
      </c>
      <c r="E78" s="174" t="s">
        <v>83</v>
      </c>
      <c r="F78" s="202">
        <v>9</v>
      </c>
      <c r="G78" s="167">
        <v>22</v>
      </c>
      <c r="H78" s="168">
        <f t="shared" si="5"/>
        <v>3093.08</v>
      </c>
      <c r="I78" s="168">
        <f t="shared" si="20"/>
        <v>3020.76</v>
      </c>
      <c r="J78" s="169">
        <f t="shared" si="2"/>
        <v>66456.72</v>
      </c>
      <c r="K78" s="176">
        <f>+$G78*H78</f>
        <v>68047.759999999995</v>
      </c>
      <c r="L78" s="175">
        <f t="shared" si="22"/>
        <v>-1591.0399999999936</v>
      </c>
      <c r="M78" s="172">
        <f t="shared" si="7"/>
        <v>-127.83525602668023</v>
      </c>
      <c r="N78" s="173">
        <f t="shared" si="8"/>
        <v>-1718.8752560266739</v>
      </c>
      <c r="O78" s="172">
        <v>0</v>
      </c>
      <c r="P78" s="172">
        <v>0</v>
      </c>
      <c r="Q78" s="172">
        <v>0</v>
      </c>
      <c r="R78" s="173">
        <f t="shared" si="9"/>
        <v>-1718.8752560266739</v>
      </c>
    </row>
    <row r="79" spans="1:18" s="191" customFormat="1" x14ac:dyDescent="0.25">
      <c r="A79" s="129">
        <v>12</v>
      </c>
      <c r="B79" s="189">
        <f t="shared" si="4"/>
        <v>45627</v>
      </c>
      <c r="C79" s="192">
        <f t="shared" si="21"/>
        <v>45660</v>
      </c>
      <c r="D79" s="192">
        <f t="shared" si="21"/>
        <v>45681</v>
      </c>
      <c r="E79" s="193" t="s">
        <v>83</v>
      </c>
      <c r="F79" s="204">
        <v>9</v>
      </c>
      <c r="G79" s="179">
        <v>37</v>
      </c>
      <c r="H79" s="180">
        <f t="shared" si="5"/>
        <v>3093.08</v>
      </c>
      <c r="I79" s="180">
        <f t="shared" si="20"/>
        <v>3020.76</v>
      </c>
      <c r="J79" s="181">
        <f t="shared" si="2"/>
        <v>111768.12000000001</v>
      </c>
      <c r="K79" s="182">
        <f>+$G79*H79</f>
        <v>114443.95999999999</v>
      </c>
      <c r="L79" s="183">
        <f t="shared" si="22"/>
        <v>-2675.839999999982</v>
      </c>
      <c r="M79" s="172">
        <f t="shared" si="7"/>
        <v>-214.99565786305311</v>
      </c>
      <c r="N79" s="173">
        <f t="shared" si="8"/>
        <v>-2890.8356578630351</v>
      </c>
      <c r="O79" s="172">
        <v>0</v>
      </c>
      <c r="P79" s="172">
        <v>0</v>
      </c>
      <c r="Q79" s="172">
        <v>0</v>
      </c>
      <c r="R79" s="173">
        <f t="shared" si="9"/>
        <v>-2890.8356578630351</v>
      </c>
    </row>
    <row r="80" spans="1:18" s="50" customFormat="1" ht="12.75" customHeight="1" x14ac:dyDescent="0.25">
      <c r="A80" s="93">
        <v>1</v>
      </c>
      <c r="B80" s="164">
        <f t="shared" si="4"/>
        <v>45292</v>
      </c>
      <c r="C80" s="185">
        <f t="shared" ref="C80:D91" si="23">+C56</f>
        <v>45327</v>
      </c>
      <c r="D80" s="185">
        <f t="shared" si="23"/>
        <v>45348</v>
      </c>
      <c r="E80" s="166" t="s">
        <v>9</v>
      </c>
      <c r="F80" s="116">
        <v>9</v>
      </c>
      <c r="G80" s="167">
        <v>75</v>
      </c>
      <c r="H80" s="168">
        <f t="shared" si="5"/>
        <v>3093.08</v>
      </c>
      <c r="I80" s="168">
        <f t="shared" si="20"/>
        <v>3020.76</v>
      </c>
      <c r="J80" s="169">
        <f t="shared" si="2"/>
        <v>226557.00000000003</v>
      </c>
      <c r="K80" s="170">
        <f t="shared" si="11"/>
        <v>231981</v>
      </c>
      <c r="L80" s="171">
        <f t="shared" si="19"/>
        <v>-5423.9999999999709</v>
      </c>
      <c r="M80" s="172">
        <f t="shared" si="7"/>
        <v>-435.80200918186443</v>
      </c>
      <c r="N80" s="173">
        <f t="shared" si="8"/>
        <v>-5859.8020091818353</v>
      </c>
      <c r="O80" s="172">
        <v>0</v>
      </c>
      <c r="P80" s="172">
        <v>0</v>
      </c>
      <c r="Q80" s="172">
        <v>0</v>
      </c>
      <c r="R80" s="173">
        <f t="shared" si="9"/>
        <v>-5859.8020091818353</v>
      </c>
    </row>
    <row r="81" spans="1:18" x14ac:dyDescent="0.25">
      <c r="A81" s="129">
        <v>2</v>
      </c>
      <c r="B81" s="164">
        <f t="shared" si="4"/>
        <v>45323</v>
      </c>
      <c r="C81" s="187">
        <f t="shared" si="23"/>
        <v>45356</v>
      </c>
      <c r="D81" s="187">
        <f t="shared" si="23"/>
        <v>45376</v>
      </c>
      <c r="E81" s="174" t="s">
        <v>9</v>
      </c>
      <c r="F81" s="202">
        <v>9</v>
      </c>
      <c r="G81" s="167">
        <v>54</v>
      </c>
      <c r="H81" s="168">
        <f t="shared" si="5"/>
        <v>3093.08</v>
      </c>
      <c r="I81" s="168">
        <f t="shared" si="20"/>
        <v>3020.76</v>
      </c>
      <c r="J81" s="169">
        <f t="shared" si="2"/>
        <v>163121.04</v>
      </c>
      <c r="K81" s="170">
        <f t="shared" si="11"/>
        <v>167026.32</v>
      </c>
      <c r="L81" s="171">
        <f t="shared" si="19"/>
        <v>-3905.2799999999988</v>
      </c>
      <c r="M81" s="172">
        <f t="shared" si="7"/>
        <v>-313.77744661094243</v>
      </c>
      <c r="N81" s="173">
        <f t="shared" si="8"/>
        <v>-4219.057446610941</v>
      </c>
      <c r="O81" s="172">
        <v>0</v>
      </c>
      <c r="P81" s="172">
        <v>0</v>
      </c>
      <c r="Q81" s="172">
        <v>0</v>
      </c>
      <c r="R81" s="173">
        <f t="shared" si="9"/>
        <v>-4219.057446610941</v>
      </c>
    </row>
    <row r="82" spans="1:18" x14ac:dyDescent="0.25">
      <c r="A82" s="129">
        <v>3</v>
      </c>
      <c r="B82" s="164">
        <f t="shared" si="4"/>
        <v>45352</v>
      </c>
      <c r="C82" s="187">
        <f t="shared" si="23"/>
        <v>45385</v>
      </c>
      <c r="D82" s="187">
        <f t="shared" si="23"/>
        <v>45406</v>
      </c>
      <c r="E82" s="174" t="s">
        <v>9</v>
      </c>
      <c r="F82" s="202">
        <v>9</v>
      </c>
      <c r="G82" s="167">
        <v>49</v>
      </c>
      <c r="H82" s="168">
        <f t="shared" si="5"/>
        <v>3093.08</v>
      </c>
      <c r="I82" s="168">
        <f t="shared" si="20"/>
        <v>3020.76</v>
      </c>
      <c r="J82" s="169">
        <f t="shared" si="2"/>
        <v>148017.24000000002</v>
      </c>
      <c r="K82" s="170">
        <f t="shared" si="11"/>
        <v>151560.91999999998</v>
      </c>
      <c r="L82" s="171">
        <f>+J82-K82</f>
        <v>-3543.6799999999639</v>
      </c>
      <c r="M82" s="172">
        <f t="shared" si="7"/>
        <v>-284.72397933215143</v>
      </c>
      <c r="N82" s="173">
        <f t="shared" si="8"/>
        <v>-3828.4039793321153</v>
      </c>
      <c r="O82" s="172">
        <v>0</v>
      </c>
      <c r="P82" s="172">
        <v>0</v>
      </c>
      <c r="Q82" s="172">
        <v>0</v>
      </c>
      <c r="R82" s="173">
        <f t="shared" si="9"/>
        <v>-3828.4039793321153</v>
      </c>
    </row>
    <row r="83" spans="1:18" ht="12" customHeight="1" x14ac:dyDescent="0.25">
      <c r="A83" s="93">
        <v>4</v>
      </c>
      <c r="B83" s="164">
        <f t="shared" si="4"/>
        <v>45383</v>
      </c>
      <c r="C83" s="187">
        <f t="shared" si="23"/>
        <v>45415</v>
      </c>
      <c r="D83" s="187">
        <f t="shared" si="23"/>
        <v>45436</v>
      </c>
      <c r="E83" s="52" t="s">
        <v>9</v>
      </c>
      <c r="F83" s="202">
        <v>9</v>
      </c>
      <c r="G83" s="167">
        <v>43</v>
      </c>
      <c r="H83" s="168">
        <f t="shared" si="5"/>
        <v>3093.08</v>
      </c>
      <c r="I83" s="168">
        <f t="shared" si="20"/>
        <v>3020.76</v>
      </c>
      <c r="J83" s="169">
        <f t="shared" si="2"/>
        <v>129892.68000000001</v>
      </c>
      <c r="K83" s="170">
        <f t="shared" si="11"/>
        <v>133002.44</v>
      </c>
      <c r="L83" s="171">
        <f t="shared" ref="L83:L93" si="24">+J83-K83</f>
        <v>-3109.7599999999948</v>
      </c>
      <c r="M83" s="172">
        <f t="shared" si="7"/>
        <v>-249.85981859760227</v>
      </c>
      <c r="N83" s="173">
        <f t="shared" si="8"/>
        <v>-3359.6198185975973</v>
      </c>
      <c r="O83" s="172">
        <v>0</v>
      </c>
      <c r="P83" s="172">
        <v>0</v>
      </c>
      <c r="Q83" s="172">
        <v>0</v>
      </c>
      <c r="R83" s="173">
        <f t="shared" si="9"/>
        <v>-3359.6198185975973</v>
      </c>
    </row>
    <row r="84" spans="1:18" ht="12" customHeight="1" x14ac:dyDescent="0.25">
      <c r="A84" s="129">
        <v>5</v>
      </c>
      <c r="B84" s="164">
        <f t="shared" si="4"/>
        <v>45413</v>
      </c>
      <c r="C84" s="187">
        <f t="shared" si="23"/>
        <v>45448</v>
      </c>
      <c r="D84" s="187">
        <f t="shared" si="23"/>
        <v>45467</v>
      </c>
      <c r="E84" s="52" t="s">
        <v>9</v>
      </c>
      <c r="F84" s="202">
        <v>9</v>
      </c>
      <c r="G84" s="167">
        <v>50</v>
      </c>
      <c r="H84" s="168">
        <f t="shared" si="5"/>
        <v>3093.08</v>
      </c>
      <c r="I84" s="168">
        <f t="shared" si="20"/>
        <v>3020.76</v>
      </c>
      <c r="J84" s="169">
        <f t="shared" si="2"/>
        <v>151038</v>
      </c>
      <c r="K84" s="170">
        <f t="shared" si="11"/>
        <v>154654</v>
      </c>
      <c r="L84" s="171">
        <f t="shared" si="24"/>
        <v>-3616</v>
      </c>
      <c r="M84" s="172">
        <f t="shared" si="7"/>
        <v>-290.53467278790964</v>
      </c>
      <c r="N84" s="173">
        <f t="shared" si="8"/>
        <v>-3906.5346727879096</v>
      </c>
      <c r="O84" s="172">
        <v>0</v>
      </c>
      <c r="P84" s="172">
        <v>0</v>
      </c>
      <c r="Q84" s="172">
        <v>0</v>
      </c>
      <c r="R84" s="173">
        <f t="shared" si="9"/>
        <v>-3906.5346727879096</v>
      </c>
    </row>
    <row r="85" spans="1:18" x14ac:dyDescent="0.25">
      <c r="A85" s="129">
        <v>6</v>
      </c>
      <c r="B85" s="164">
        <f t="shared" si="4"/>
        <v>45444</v>
      </c>
      <c r="C85" s="187">
        <f t="shared" si="23"/>
        <v>45476</v>
      </c>
      <c r="D85" s="187">
        <f t="shared" si="23"/>
        <v>45497</v>
      </c>
      <c r="E85" s="52" t="s">
        <v>9</v>
      </c>
      <c r="F85" s="202">
        <v>9</v>
      </c>
      <c r="G85" s="167">
        <v>59</v>
      </c>
      <c r="H85" s="168">
        <f t="shared" ref="H85:H148" si="25">+$K$3</f>
        <v>3093.08</v>
      </c>
      <c r="I85" s="168">
        <f t="shared" si="20"/>
        <v>3020.76</v>
      </c>
      <c r="J85" s="169">
        <f t="shared" si="2"/>
        <v>178224.84000000003</v>
      </c>
      <c r="K85" s="170">
        <f t="shared" si="11"/>
        <v>182491.72</v>
      </c>
      <c r="L85" s="175">
        <f t="shared" si="24"/>
        <v>-4266.8799999999756</v>
      </c>
      <c r="M85" s="172">
        <f t="shared" ref="M85:M148" si="26">G85/$G$212*$M$14</f>
        <v>-342.83091388973338</v>
      </c>
      <c r="N85" s="173">
        <f t="shared" ref="N85:N148" si="27">SUM(L85:M85)</f>
        <v>-4609.7109138897085</v>
      </c>
      <c r="O85" s="172">
        <v>0</v>
      </c>
      <c r="P85" s="172">
        <v>0</v>
      </c>
      <c r="Q85" s="172">
        <v>0</v>
      </c>
      <c r="R85" s="173">
        <f t="shared" ref="R85:R148" si="28">+N85-Q85</f>
        <v>-4609.7109138897085</v>
      </c>
    </row>
    <row r="86" spans="1:18" x14ac:dyDescent="0.25">
      <c r="A86" s="93">
        <v>7</v>
      </c>
      <c r="B86" s="164">
        <f t="shared" si="4"/>
        <v>45474</v>
      </c>
      <c r="C86" s="187">
        <f t="shared" si="23"/>
        <v>45509</v>
      </c>
      <c r="D86" s="187">
        <f t="shared" si="23"/>
        <v>45530</v>
      </c>
      <c r="E86" s="52" t="s">
        <v>9</v>
      </c>
      <c r="F86" s="202">
        <v>9</v>
      </c>
      <c r="G86" s="167">
        <v>60</v>
      </c>
      <c r="H86" s="168">
        <f t="shared" si="25"/>
        <v>3093.08</v>
      </c>
      <c r="I86" s="168">
        <f t="shared" si="20"/>
        <v>3020.76</v>
      </c>
      <c r="J86" s="169">
        <f t="shared" si="2"/>
        <v>181245.6</v>
      </c>
      <c r="K86" s="176">
        <f t="shared" si="11"/>
        <v>185584.8</v>
      </c>
      <c r="L86" s="175">
        <f t="shared" si="24"/>
        <v>-4339.1999999999825</v>
      </c>
      <c r="M86" s="172">
        <f t="shared" si="26"/>
        <v>-348.64160734549154</v>
      </c>
      <c r="N86" s="173">
        <f t="shared" si="27"/>
        <v>-4687.8416073454737</v>
      </c>
      <c r="O86" s="172">
        <v>0</v>
      </c>
      <c r="P86" s="172">
        <v>0</v>
      </c>
      <c r="Q86" s="172">
        <v>0</v>
      </c>
      <c r="R86" s="173">
        <f t="shared" si="28"/>
        <v>-4687.8416073454737</v>
      </c>
    </row>
    <row r="87" spans="1:18" x14ac:dyDescent="0.25">
      <c r="A87" s="129">
        <v>8</v>
      </c>
      <c r="B87" s="164">
        <f t="shared" si="4"/>
        <v>45505</v>
      </c>
      <c r="C87" s="187">
        <f t="shared" si="23"/>
        <v>45539</v>
      </c>
      <c r="D87" s="187">
        <f t="shared" si="23"/>
        <v>45559</v>
      </c>
      <c r="E87" s="52" t="s">
        <v>9</v>
      </c>
      <c r="F87" s="202">
        <v>9</v>
      </c>
      <c r="G87" s="167">
        <v>56</v>
      </c>
      <c r="H87" s="168">
        <f t="shared" si="25"/>
        <v>3093.08</v>
      </c>
      <c r="I87" s="168">
        <f t="shared" si="20"/>
        <v>3020.76</v>
      </c>
      <c r="J87" s="169">
        <f t="shared" si="2"/>
        <v>169162.56</v>
      </c>
      <c r="K87" s="176">
        <f t="shared" si="11"/>
        <v>173212.47999999998</v>
      </c>
      <c r="L87" s="175">
        <f t="shared" si="24"/>
        <v>-4049.9199999999837</v>
      </c>
      <c r="M87" s="172">
        <f t="shared" si="26"/>
        <v>-325.3988335224588</v>
      </c>
      <c r="N87" s="173">
        <f t="shared" si="27"/>
        <v>-4375.3188335224422</v>
      </c>
      <c r="O87" s="172">
        <v>0</v>
      </c>
      <c r="P87" s="172">
        <v>0</v>
      </c>
      <c r="Q87" s="172">
        <v>0</v>
      </c>
      <c r="R87" s="173">
        <f t="shared" si="28"/>
        <v>-4375.3188335224422</v>
      </c>
    </row>
    <row r="88" spans="1:18" x14ac:dyDescent="0.25">
      <c r="A88" s="129">
        <v>9</v>
      </c>
      <c r="B88" s="164">
        <f t="shared" si="4"/>
        <v>45536</v>
      </c>
      <c r="C88" s="187">
        <f t="shared" si="23"/>
        <v>45568</v>
      </c>
      <c r="D88" s="187">
        <f t="shared" si="23"/>
        <v>45589</v>
      </c>
      <c r="E88" s="52" t="s">
        <v>9</v>
      </c>
      <c r="F88" s="202">
        <v>9</v>
      </c>
      <c r="G88" s="167">
        <v>55</v>
      </c>
      <c r="H88" s="168">
        <f t="shared" si="25"/>
        <v>3093.08</v>
      </c>
      <c r="I88" s="168">
        <f t="shared" si="20"/>
        <v>3020.76</v>
      </c>
      <c r="J88" s="169">
        <f t="shared" si="2"/>
        <v>166141.80000000002</v>
      </c>
      <c r="K88" s="176">
        <f t="shared" si="11"/>
        <v>170119.4</v>
      </c>
      <c r="L88" s="175">
        <f t="shared" si="24"/>
        <v>-3977.5999999999767</v>
      </c>
      <c r="M88" s="172">
        <f t="shared" si="26"/>
        <v>-319.58814006670059</v>
      </c>
      <c r="N88" s="173">
        <f t="shared" si="27"/>
        <v>-4297.1881400666771</v>
      </c>
      <c r="O88" s="172">
        <v>0</v>
      </c>
      <c r="P88" s="172">
        <v>0</v>
      </c>
      <c r="Q88" s="172">
        <v>0</v>
      </c>
      <c r="R88" s="173">
        <f t="shared" si="28"/>
        <v>-4297.1881400666771</v>
      </c>
    </row>
    <row r="89" spans="1:18" x14ac:dyDescent="0.25">
      <c r="A89" s="93">
        <v>10</v>
      </c>
      <c r="B89" s="164">
        <f t="shared" si="4"/>
        <v>45566</v>
      </c>
      <c r="C89" s="187">
        <f t="shared" si="23"/>
        <v>45601</v>
      </c>
      <c r="D89" s="187">
        <f t="shared" si="23"/>
        <v>45621</v>
      </c>
      <c r="E89" s="52" t="s">
        <v>9</v>
      </c>
      <c r="F89" s="202">
        <v>9</v>
      </c>
      <c r="G89" s="167">
        <v>51</v>
      </c>
      <c r="H89" s="168">
        <f t="shared" si="25"/>
        <v>3093.08</v>
      </c>
      <c r="I89" s="168">
        <f t="shared" si="20"/>
        <v>3020.76</v>
      </c>
      <c r="J89" s="169">
        <f t="shared" si="2"/>
        <v>154058.76</v>
      </c>
      <c r="K89" s="176">
        <f t="shared" si="11"/>
        <v>157747.07999999999</v>
      </c>
      <c r="L89" s="175">
        <f t="shared" si="24"/>
        <v>-3688.3199999999779</v>
      </c>
      <c r="M89" s="172">
        <f t="shared" si="26"/>
        <v>-296.3453662436678</v>
      </c>
      <c r="N89" s="173">
        <f t="shared" si="27"/>
        <v>-3984.6653662436456</v>
      </c>
      <c r="O89" s="172">
        <v>0</v>
      </c>
      <c r="P89" s="172">
        <v>0</v>
      </c>
      <c r="Q89" s="172">
        <v>0</v>
      </c>
      <c r="R89" s="173">
        <f t="shared" si="28"/>
        <v>-3984.6653662436456</v>
      </c>
    </row>
    <row r="90" spans="1:18" x14ac:dyDescent="0.25">
      <c r="A90" s="129">
        <v>11</v>
      </c>
      <c r="B90" s="164">
        <f t="shared" si="4"/>
        <v>45597</v>
      </c>
      <c r="C90" s="187">
        <f t="shared" si="23"/>
        <v>45630</v>
      </c>
      <c r="D90" s="187">
        <f t="shared" si="23"/>
        <v>45650</v>
      </c>
      <c r="E90" s="52" t="s">
        <v>9</v>
      </c>
      <c r="F90" s="202">
        <v>9</v>
      </c>
      <c r="G90" s="167">
        <v>40</v>
      </c>
      <c r="H90" s="168">
        <f t="shared" si="25"/>
        <v>3093.08</v>
      </c>
      <c r="I90" s="168">
        <f t="shared" si="20"/>
        <v>3020.76</v>
      </c>
      <c r="J90" s="169">
        <f t="shared" si="2"/>
        <v>120830.40000000001</v>
      </c>
      <c r="K90" s="176">
        <f t="shared" si="11"/>
        <v>123723.2</v>
      </c>
      <c r="L90" s="175">
        <f t="shared" si="24"/>
        <v>-2892.7999999999884</v>
      </c>
      <c r="M90" s="172">
        <f t="shared" si="26"/>
        <v>-232.42773823032772</v>
      </c>
      <c r="N90" s="173">
        <f t="shared" si="27"/>
        <v>-3125.2277382303159</v>
      </c>
      <c r="O90" s="172">
        <v>0</v>
      </c>
      <c r="P90" s="172">
        <v>0</v>
      </c>
      <c r="Q90" s="172">
        <v>0</v>
      </c>
      <c r="R90" s="173">
        <f t="shared" si="28"/>
        <v>-3125.2277382303159</v>
      </c>
    </row>
    <row r="91" spans="1:18" s="191" customFormat="1" x14ac:dyDescent="0.25">
      <c r="A91" s="129">
        <v>12</v>
      </c>
      <c r="B91" s="189">
        <f t="shared" si="4"/>
        <v>45627</v>
      </c>
      <c r="C91" s="187">
        <f t="shared" si="23"/>
        <v>45660</v>
      </c>
      <c r="D91" s="187">
        <f t="shared" si="23"/>
        <v>45681</v>
      </c>
      <c r="E91" s="190" t="s">
        <v>9</v>
      </c>
      <c r="F91" s="204">
        <v>9</v>
      </c>
      <c r="G91" s="179">
        <v>51</v>
      </c>
      <c r="H91" s="180">
        <f t="shared" si="25"/>
        <v>3093.08</v>
      </c>
      <c r="I91" s="180">
        <f t="shared" si="20"/>
        <v>3020.76</v>
      </c>
      <c r="J91" s="181">
        <f t="shared" si="2"/>
        <v>154058.76</v>
      </c>
      <c r="K91" s="182">
        <f t="shared" si="11"/>
        <v>157747.07999999999</v>
      </c>
      <c r="L91" s="183">
        <f t="shared" si="24"/>
        <v>-3688.3199999999779</v>
      </c>
      <c r="M91" s="172">
        <f t="shared" si="26"/>
        <v>-296.3453662436678</v>
      </c>
      <c r="N91" s="173">
        <f t="shared" si="27"/>
        <v>-3984.6653662436456</v>
      </c>
      <c r="O91" s="172">
        <v>0</v>
      </c>
      <c r="P91" s="172">
        <v>0</v>
      </c>
      <c r="Q91" s="172">
        <v>0</v>
      </c>
      <c r="R91" s="173">
        <f t="shared" si="28"/>
        <v>-3984.6653662436456</v>
      </c>
    </row>
    <row r="92" spans="1:18" x14ac:dyDescent="0.25">
      <c r="A92" s="93">
        <v>1</v>
      </c>
      <c r="B92" s="164">
        <f t="shared" si="4"/>
        <v>45292</v>
      </c>
      <c r="C92" s="185">
        <f t="shared" ref="C92:D95" si="29">+C80</f>
        <v>45327</v>
      </c>
      <c r="D92" s="185">
        <f t="shared" si="29"/>
        <v>45348</v>
      </c>
      <c r="E92" s="166" t="s">
        <v>8</v>
      </c>
      <c r="F92" s="116">
        <v>9</v>
      </c>
      <c r="G92" s="167">
        <v>94</v>
      </c>
      <c r="H92" s="168">
        <f t="shared" si="25"/>
        <v>3093.08</v>
      </c>
      <c r="I92" s="168">
        <f t="shared" si="20"/>
        <v>3020.76</v>
      </c>
      <c r="J92" s="169">
        <f t="shared" si="2"/>
        <v>283951.44</v>
      </c>
      <c r="K92" s="170">
        <f t="shared" si="11"/>
        <v>290749.52</v>
      </c>
      <c r="L92" s="171">
        <f t="shared" si="24"/>
        <v>-6798.0800000000163</v>
      </c>
      <c r="M92" s="172">
        <f t="shared" si="26"/>
        <v>-546.20518484127012</v>
      </c>
      <c r="N92" s="173">
        <f t="shared" si="27"/>
        <v>-7344.2851848412865</v>
      </c>
      <c r="O92" s="172">
        <v>0</v>
      </c>
      <c r="P92" s="172">
        <v>0</v>
      </c>
      <c r="Q92" s="172">
        <v>0</v>
      </c>
      <c r="R92" s="173">
        <f t="shared" si="28"/>
        <v>-7344.2851848412865</v>
      </c>
    </row>
    <row r="93" spans="1:18" x14ac:dyDescent="0.25">
      <c r="A93" s="129">
        <v>2</v>
      </c>
      <c r="B93" s="164">
        <f t="shared" si="4"/>
        <v>45323</v>
      </c>
      <c r="C93" s="187">
        <f t="shared" si="29"/>
        <v>45356</v>
      </c>
      <c r="D93" s="187">
        <f t="shared" si="29"/>
        <v>45376</v>
      </c>
      <c r="E93" s="174" t="s">
        <v>8</v>
      </c>
      <c r="F93" s="202">
        <v>9</v>
      </c>
      <c r="G93" s="167">
        <v>62</v>
      </c>
      <c r="H93" s="168">
        <f t="shared" si="25"/>
        <v>3093.08</v>
      </c>
      <c r="I93" s="168">
        <f t="shared" si="20"/>
        <v>3020.76</v>
      </c>
      <c r="J93" s="169">
        <f t="shared" si="2"/>
        <v>187287.12000000002</v>
      </c>
      <c r="K93" s="170">
        <f t="shared" si="11"/>
        <v>191770.96</v>
      </c>
      <c r="L93" s="171">
        <f t="shared" si="24"/>
        <v>-4483.8399999999674</v>
      </c>
      <c r="M93" s="172">
        <f t="shared" si="26"/>
        <v>-360.2629942570079</v>
      </c>
      <c r="N93" s="173">
        <f t="shared" si="27"/>
        <v>-4844.1029942569749</v>
      </c>
      <c r="O93" s="172">
        <v>0</v>
      </c>
      <c r="P93" s="172">
        <v>0</v>
      </c>
      <c r="Q93" s="172">
        <v>0</v>
      </c>
      <c r="R93" s="173">
        <f t="shared" si="28"/>
        <v>-4844.1029942569749</v>
      </c>
    </row>
    <row r="94" spans="1:18" x14ac:dyDescent="0.25">
      <c r="A94" s="129">
        <v>3</v>
      </c>
      <c r="B94" s="164">
        <f t="shared" si="4"/>
        <v>45352</v>
      </c>
      <c r="C94" s="187">
        <f t="shared" si="29"/>
        <v>45385</v>
      </c>
      <c r="D94" s="187">
        <f t="shared" si="29"/>
        <v>45406</v>
      </c>
      <c r="E94" s="174" t="s">
        <v>8</v>
      </c>
      <c r="F94" s="202">
        <v>9</v>
      </c>
      <c r="G94" s="167">
        <v>60</v>
      </c>
      <c r="H94" s="168">
        <f t="shared" si="25"/>
        <v>3093.08</v>
      </c>
      <c r="I94" s="168">
        <f t="shared" si="20"/>
        <v>3020.76</v>
      </c>
      <c r="J94" s="169">
        <f t="shared" si="2"/>
        <v>181245.6</v>
      </c>
      <c r="K94" s="170">
        <f t="shared" ref="K94:K133" si="30">+$G94*H94</f>
        <v>185584.8</v>
      </c>
      <c r="L94" s="171">
        <f>+J94-K94</f>
        <v>-4339.1999999999825</v>
      </c>
      <c r="M94" s="172">
        <f t="shared" si="26"/>
        <v>-348.64160734549154</v>
      </c>
      <c r="N94" s="173">
        <f t="shared" si="27"/>
        <v>-4687.8416073454737</v>
      </c>
      <c r="O94" s="172">
        <v>0</v>
      </c>
      <c r="P94" s="172">
        <v>0</v>
      </c>
      <c r="Q94" s="172">
        <v>0</v>
      </c>
      <c r="R94" s="173">
        <f t="shared" si="28"/>
        <v>-4687.8416073454737</v>
      </c>
    </row>
    <row r="95" spans="1:18" x14ac:dyDescent="0.25">
      <c r="A95" s="93">
        <v>4</v>
      </c>
      <c r="B95" s="164">
        <f t="shared" si="4"/>
        <v>45383</v>
      </c>
      <c r="C95" s="187">
        <f t="shared" si="29"/>
        <v>45415</v>
      </c>
      <c r="D95" s="187">
        <f t="shared" si="29"/>
        <v>45436</v>
      </c>
      <c r="E95" s="174" t="s">
        <v>8</v>
      </c>
      <c r="F95" s="202">
        <v>9</v>
      </c>
      <c r="G95" s="167">
        <v>92</v>
      </c>
      <c r="H95" s="168">
        <f t="shared" si="25"/>
        <v>3093.08</v>
      </c>
      <c r="I95" s="168">
        <f t="shared" si="20"/>
        <v>3020.76</v>
      </c>
      <c r="J95" s="169">
        <f t="shared" si="2"/>
        <v>277909.92000000004</v>
      </c>
      <c r="K95" s="170">
        <f t="shared" si="30"/>
        <v>284563.36</v>
      </c>
      <c r="L95" s="171">
        <f t="shared" ref="L95:L105" si="31">+J95-K95</f>
        <v>-6653.4399999999441</v>
      </c>
      <c r="M95" s="172">
        <f t="shared" si="26"/>
        <v>-534.5837979297537</v>
      </c>
      <c r="N95" s="173">
        <f t="shared" si="27"/>
        <v>-7188.023797929698</v>
      </c>
      <c r="O95" s="172">
        <v>0</v>
      </c>
      <c r="P95" s="172">
        <v>0</v>
      </c>
      <c r="Q95" s="172">
        <v>0</v>
      </c>
      <c r="R95" s="173">
        <f t="shared" si="28"/>
        <v>-7188.023797929698</v>
      </c>
    </row>
    <row r="96" spans="1:18" x14ac:dyDescent="0.25">
      <c r="A96" s="129">
        <v>5</v>
      </c>
      <c r="B96" s="164">
        <f t="shared" si="4"/>
        <v>45413</v>
      </c>
      <c r="C96" s="187">
        <f t="shared" ref="C96:D116" si="32">+C84</f>
        <v>45448</v>
      </c>
      <c r="D96" s="187">
        <f t="shared" si="32"/>
        <v>45467</v>
      </c>
      <c r="E96" s="52" t="s">
        <v>8</v>
      </c>
      <c r="F96" s="202">
        <v>9</v>
      </c>
      <c r="G96" s="167">
        <v>118</v>
      </c>
      <c r="H96" s="168">
        <f t="shared" si="25"/>
        <v>3093.08</v>
      </c>
      <c r="I96" s="168">
        <f t="shared" si="20"/>
        <v>3020.76</v>
      </c>
      <c r="J96" s="169">
        <f t="shared" si="2"/>
        <v>356449.68000000005</v>
      </c>
      <c r="K96" s="170">
        <f t="shared" si="30"/>
        <v>364983.44</v>
      </c>
      <c r="L96" s="171">
        <f t="shared" si="31"/>
        <v>-8533.7599999999511</v>
      </c>
      <c r="M96" s="172">
        <f t="shared" si="26"/>
        <v>-685.66182777946676</v>
      </c>
      <c r="N96" s="173">
        <f t="shared" si="27"/>
        <v>-9219.4218277794171</v>
      </c>
      <c r="O96" s="172">
        <v>0</v>
      </c>
      <c r="P96" s="172">
        <v>0</v>
      </c>
      <c r="Q96" s="172">
        <v>0</v>
      </c>
      <c r="R96" s="173">
        <f t="shared" si="28"/>
        <v>-9219.4218277794171</v>
      </c>
    </row>
    <row r="97" spans="1:18" x14ac:dyDescent="0.25">
      <c r="A97" s="129">
        <v>6</v>
      </c>
      <c r="B97" s="164">
        <f t="shared" si="4"/>
        <v>45444</v>
      </c>
      <c r="C97" s="187">
        <f t="shared" si="32"/>
        <v>45476</v>
      </c>
      <c r="D97" s="187">
        <f t="shared" si="32"/>
        <v>45497</v>
      </c>
      <c r="E97" s="52" t="s">
        <v>8</v>
      </c>
      <c r="F97" s="202">
        <v>9</v>
      </c>
      <c r="G97" s="167">
        <v>143</v>
      </c>
      <c r="H97" s="168">
        <f t="shared" si="25"/>
        <v>3093.08</v>
      </c>
      <c r="I97" s="168">
        <f t="shared" si="20"/>
        <v>3020.76</v>
      </c>
      <c r="J97" s="169">
        <f t="shared" si="2"/>
        <v>431968.68000000005</v>
      </c>
      <c r="K97" s="170">
        <f t="shared" si="30"/>
        <v>442310.44</v>
      </c>
      <c r="L97" s="175">
        <f t="shared" si="31"/>
        <v>-10341.759999999951</v>
      </c>
      <c r="M97" s="172">
        <f t="shared" si="26"/>
        <v>-830.92916417342155</v>
      </c>
      <c r="N97" s="173">
        <f t="shared" si="27"/>
        <v>-11172.689164173373</v>
      </c>
      <c r="O97" s="172">
        <v>0</v>
      </c>
      <c r="P97" s="172">
        <v>0</v>
      </c>
      <c r="Q97" s="172">
        <v>0</v>
      </c>
      <c r="R97" s="173">
        <f t="shared" si="28"/>
        <v>-11172.689164173373</v>
      </c>
    </row>
    <row r="98" spans="1:18" x14ac:dyDescent="0.25">
      <c r="A98" s="93">
        <v>7</v>
      </c>
      <c r="B98" s="164">
        <f t="shared" si="4"/>
        <v>45474</v>
      </c>
      <c r="C98" s="187">
        <f t="shared" si="32"/>
        <v>45509</v>
      </c>
      <c r="D98" s="187">
        <f t="shared" si="32"/>
        <v>45530</v>
      </c>
      <c r="E98" s="52" t="s">
        <v>8</v>
      </c>
      <c r="F98" s="202">
        <v>9</v>
      </c>
      <c r="G98" s="167">
        <v>151</v>
      </c>
      <c r="H98" s="168">
        <f t="shared" si="25"/>
        <v>3093.08</v>
      </c>
      <c r="I98" s="168">
        <f t="shared" si="20"/>
        <v>3020.76</v>
      </c>
      <c r="J98" s="169">
        <f t="shared" si="2"/>
        <v>456134.76</v>
      </c>
      <c r="K98" s="176">
        <f t="shared" si="30"/>
        <v>467055.08</v>
      </c>
      <c r="L98" s="175">
        <f t="shared" si="31"/>
        <v>-10920.320000000007</v>
      </c>
      <c r="M98" s="172">
        <f t="shared" si="26"/>
        <v>-877.41471181948702</v>
      </c>
      <c r="N98" s="173">
        <f t="shared" si="27"/>
        <v>-11797.734711819494</v>
      </c>
      <c r="O98" s="172">
        <v>0</v>
      </c>
      <c r="P98" s="172">
        <v>0</v>
      </c>
      <c r="Q98" s="172">
        <v>0</v>
      </c>
      <c r="R98" s="173">
        <f t="shared" si="28"/>
        <v>-11797.734711819494</v>
      </c>
    </row>
    <row r="99" spans="1:18" x14ac:dyDescent="0.25">
      <c r="A99" s="129">
        <v>8</v>
      </c>
      <c r="B99" s="164">
        <f t="shared" si="4"/>
        <v>45505</v>
      </c>
      <c r="C99" s="187">
        <f t="shared" si="32"/>
        <v>45539</v>
      </c>
      <c r="D99" s="187">
        <f t="shared" si="32"/>
        <v>45559</v>
      </c>
      <c r="E99" s="52" t="s">
        <v>8</v>
      </c>
      <c r="F99" s="202">
        <v>9</v>
      </c>
      <c r="G99" s="167">
        <v>157</v>
      </c>
      <c r="H99" s="168">
        <f t="shared" si="25"/>
        <v>3093.08</v>
      </c>
      <c r="I99" s="168">
        <f t="shared" si="20"/>
        <v>3020.76</v>
      </c>
      <c r="J99" s="169">
        <f t="shared" si="2"/>
        <v>474259.32</v>
      </c>
      <c r="K99" s="176">
        <f t="shared" si="30"/>
        <v>485613.56</v>
      </c>
      <c r="L99" s="175">
        <f t="shared" si="31"/>
        <v>-11354.239999999991</v>
      </c>
      <c r="M99" s="172">
        <f t="shared" si="26"/>
        <v>-912.27887255403618</v>
      </c>
      <c r="N99" s="173">
        <f t="shared" si="27"/>
        <v>-12266.518872554027</v>
      </c>
      <c r="O99" s="172">
        <v>0</v>
      </c>
      <c r="P99" s="172">
        <v>0</v>
      </c>
      <c r="Q99" s="172">
        <v>0</v>
      </c>
      <c r="R99" s="173">
        <f t="shared" si="28"/>
        <v>-12266.518872554027</v>
      </c>
    </row>
    <row r="100" spans="1:18" x14ac:dyDescent="0.25">
      <c r="A100" s="129">
        <v>9</v>
      </c>
      <c r="B100" s="164">
        <f t="shared" si="4"/>
        <v>45536</v>
      </c>
      <c r="C100" s="187">
        <f t="shared" si="32"/>
        <v>45568</v>
      </c>
      <c r="D100" s="187">
        <f t="shared" si="32"/>
        <v>45589</v>
      </c>
      <c r="E100" s="52" t="s">
        <v>8</v>
      </c>
      <c r="F100" s="202">
        <v>9</v>
      </c>
      <c r="G100" s="167">
        <v>146</v>
      </c>
      <c r="H100" s="168">
        <f t="shared" si="25"/>
        <v>3093.08</v>
      </c>
      <c r="I100" s="168">
        <f t="shared" si="20"/>
        <v>3020.76</v>
      </c>
      <c r="J100" s="169">
        <f t="shared" si="2"/>
        <v>441030.96</v>
      </c>
      <c r="K100" s="176">
        <f t="shared" si="30"/>
        <v>451589.68</v>
      </c>
      <c r="L100" s="175">
        <f t="shared" si="31"/>
        <v>-10558.719999999972</v>
      </c>
      <c r="M100" s="172">
        <f t="shared" si="26"/>
        <v>-848.36124454069602</v>
      </c>
      <c r="N100" s="173">
        <f t="shared" si="27"/>
        <v>-11407.081244540668</v>
      </c>
      <c r="O100" s="172">
        <v>0</v>
      </c>
      <c r="P100" s="172">
        <v>0</v>
      </c>
      <c r="Q100" s="172">
        <v>0</v>
      </c>
      <c r="R100" s="173">
        <f t="shared" si="28"/>
        <v>-11407.081244540668</v>
      </c>
    </row>
    <row r="101" spans="1:18" x14ac:dyDescent="0.25">
      <c r="A101" s="93">
        <v>10</v>
      </c>
      <c r="B101" s="164">
        <f t="shared" si="4"/>
        <v>45566</v>
      </c>
      <c r="C101" s="187">
        <f t="shared" si="32"/>
        <v>45601</v>
      </c>
      <c r="D101" s="187">
        <f t="shared" si="32"/>
        <v>45621</v>
      </c>
      <c r="E101" s="52" t="s">
        <v>8</v>
      </c>
      <c r="F101" s="202">
        <v>9</v>
      </c>
      <c r="G101" s="167">
        <v>116</v>
      </c>
      <c r="H101" s="168">
        <f t="shared" si="25"/>
        <v>3093.08</v>
      </c>
      <c r="I101" s="168">
        <f t="shared" si="20"/>
        <v>3020.76</v>
      </c>
      <c r="J101" s="169">
        <f t="shared" si="2"/>
        <v>350408.16000000003</v>
      </c>
      <c r="K101" s="176">
        <f t="shared" si="30"/>
        <v>358797.27999999997</v>
      </c>
      <c r="L101" s="175">
        <f t="shared" si="31"/>
        <v>-8389.1199999999371</v>
      </c>
      <c r="M101" s="172">
        <f t="shared" si="26"/>
        <v>-674.04044086795034</v>
      </c>
      <c r="N101" s="173">
        <f t="shared" si="27"/>
        <v>-9063.1604408678868</v>
      </c>
      <c r="O101" s="172">
        <v>0</v>
      </c>
      <c r="P101" s="172">
        <v>0</v>
      </c>
      <c r="Q101" s="172">
        <v>0</v>
      </c>
      <c r="R101" s="173">
        <f t="shared" si="28"/>
        <v>-9063.1604408678868</v>
      </c>
    </row>
    <row r="102" spans="1:18" x14ac:dyDescent="0.25">
      <c r="A102" s="129">
        <v>11</v>
      </c>
      <c r="B102" s="164">
        <f t="shared" si="4"/>
        <v>45597</v>
      </c>
      <c r="C102" s="187">
        <f t="shared" si="32"/>
        <v>45630</v>
      </c>
      <c r="D102" s="187">
        <f t="shared" si="32"/>
        <v>45650</v>
      </c>
      <c r="E102" s="52" t="s">
        <v>8</v>
      </c>
      <c r="F102" s="202">
        <v>9</v>
      </c>
      <c r="G102" s="167">
        <v>62</v>
      </c>
      <c r="H102" s="168">
        <f t="shared" si="25"/>
        <v>3093.08</v>
      </c>
      <c r="I102" s="168">
        <f t="shared" si="20"/>
        <v>3020.76</v>
      </c>
      <c r="J102" s="169">
        <f t="shared" si="2"/>
        <v>187287.12000000002</v>
      </c>
      <c r="K102" s="176">
        <f t="shared" si="30"/>
        <v>191770.96</v>
      </c>
      <c r="L102" s="175">
        <f t="shared" si="31"/>
        <v>-4483.8399999999674</v>
      </c>
      <c r="M102" s="172">
        <f t="shared" si="26"/>
        <v>-360.2629942570079</v>
      </c>
      <c r="N102" s="173">
        <f t="shared" si="27"/>
        <v>-4844.1029942569749</v>
      </c>
      <c r="O102" s="172">
        <v>0</v>
      </c>
      <c r="P102" s="172">
        <v>0</v>
      </c>
      <c r="Q102" s="172">
        <v>0</v>
      </c>
      <c r="R102" s="173">
        <f t="shared" si="28"/>
        <v>-4844.1029942569749</v>
      </c>
    </row>
    <row r="103" spans="1:18" s="191" customFormat="1" x14ac:dyDescent="0.25">
      <c r="A103" s="129">
        <v>12</v>
      </c>
      <c r="B103" s="189">
        <f t="shared" si="4"/>
        <v>45627</v>
      </c>
      <c r="C103" s="187">
        <f t="shared" si="32"/>
        <v>45660</v>
      </c>
      <c r="D103" s="187">
        <f t="shared" si="32"/>
        <v>45681</v>
      </c>
      <c r="E103" s="190" t="s">
        <v>8</v>
      </c>
      <c r="F103" s="204">
        <v>9</v>
      </c>
      <c r="G103" s="179">
        <v>77</v>
      </c>
      <c r="H103" s="180">
        <f t="shared" si="25"/>
        <v>3093.08</v>
      </c>
      <c r="I103" s="180">
        <f t="shared" si="20"/>
        <v>3020.76</v>
      </c>
      <c r="J103" s="181">
        <f t="shared" si="2"/>
        <v>232598.52000000002</v>
      </c>
      <c r="K103" s="182">
        <f t="shared" si="30"/>
        <v>238167.16</v>
      </c>
      <c r="L103" s="183">
        <f t="shared" si="31"/>
        <v>-5568.6399999999849</v>
      </c>
      <c r="M103" s="172">
        <f t="shared" si="26"/>
        <v>-447.4233960933808</v>
      </c>
      <c r="N103" s="173">
        <f t="shared" si="27"/>
        <v>-6016.0633960933656</v>
      </c>
      <c r="O103" s="172">
        <v>0</v>
      </c>
      <c r="P103" s="172">
        <v>0</v>
      </c>
      <c r="Q103" s="172">
        <v>0</v>
      </c>
      <c r="R103" s="173">
        <f t="shared" si="28"/>
        <v>-6016.0633960933656</v>
      </c>
    </row>
    <row r="104" spans="1:18" x14ac:dyDescent="0.25">
      <c r="A104" s="93">
        <v>1</v>
      </c>
      <c r="B104" s="164">
        <f t="shared" si="4"/>
        <v>45292</v>
      </c>
      <c r="C104" s="185">
        <f t="shared" si="32"/>
        <v>45327</v>
      </c>
      <c r="D104" s="185">
        <f t="shared" si="32"/>
        <v>45348</v>
      </c>
      <c r="E104" s="166" t="s">
        <v>19</v>
      </c>
      <c r="F104" s="116">
        <v>9</v>
      </c>
      <c r="G104" s="167">
        <v>65</v>
      </c>
      <c r="H104" s="168">
        <f t="shared" si="25"/>
        <v>3093.08</v>
      </c>
      <c r="I104" s="168">
        <f t="shared" si="20"/>
        <v>3020.76</v>
      </c>
      <c r="J104" s="169">
        <f t="shared" si="2"/>
        <v>196349.40000000002</v>
      </c>
      <c r="K104" s="170">
        <f t="shared" si="30"/>
        <v>201050.19999999998</v>
      </c>
      <c r="L104" s="171">
        <f t="shared" si="31"/>
        <v>-4700.7999999999593</v>
      </c>
      <c r="M104" s="172">
        <f t="shared" si="26"/>
        <v>-377.69507462428254</v>
      </c>
      <c r="N104" s="173">
        <f t="shared" si="27"/>
        <v>-5078.4950746242421</v>
      </c>
      <c r="O104" s="172">
        <v>0</v>
      </c>
      <c r="P104" s="172">
        <v>0</v>
      </c>
      <c r="Q104" s="172">
        <v>0</v>
      </c>
      <c r="R104" s="173">
        <f t="shared" si="28"/>
        <v>-5078.4950746242421</v>
      </c>
    </row>
    <row r="105" spans="1:18" x14ac:dyDescent="0.25">
      <c r="A105" s="129">
        <v>2</v>
      </c>
      <c r="B105" s="164">
        <f t="shared" si="4"/>
        <v>45323</v>
      </c>
      <c r="C105" s="187">
        <f t="shared" si="32"/>
        <v>45356</v>
      </c>
      <c r="D105" s="187">
        <f t="shared" si="32"/>
        <v>45376</v>
      </c>
      <c r="E105" s="174" t="s">
        <v>19</v>
      </c>
      <c r="F105" s="202">
        <v>9</v>
      </c>
      <c r="G105" s="167">
        <v>65</v>
      </c>
      <c r="H105" s="168">
        <f t="shared" si="25"/>
        <v>3093.08</v>
      </c>
      <c r="I105" s="168">
        <f t="shared" si="20"/>
        <v>3020.76</v>
      </c>
      <c r="J105" s="169">
        <f t="shared" si="2"/>
        <v>196349.40000000002</v>
      </c>
      <c r="K105" s="170">
        <f t="shared" si="30"/>
        <v>201050.19999999998</v>
      </c>
      <c r="L105" s="171">
        <f t="shared" si="31"/>
        <v>-4700.7999999999593</v>
      </c>
      <c r="M105" s="172">
        <f t="shared" si="26"/>
        <v>-377.69507462428254</v>
      </c>
      <c r="N105" s="173">
        <f t="shared" si="27"/>
        <v>-5078.4950746242421</v>
      </c>
      <c r="O105" s="172">
        <v>0</v>
      </c>
      <c r="P105" s="172">
        <v>0</v>
      </c>
      <c r="Q105" s="172">
        <v>0</v>
      </c>
      <c r="R105" s="173">
        <f t="shared" si="28"/>
        <v>-5078.4950746242421</v>
      </c>
    </row>
    <row r="106" spans="1:18" x14ac:dyDescent="0.25">
      <c r="A106" s="129">
        <v>3</v>
      </c>
      <c r="B106" s="164">
        <f t="shared" si="4"/>
        <v>45352</v>
      </c>
      <c r="C106" s="187">
        <f t="shared" si="32"/>
        <v>45385</v>
      </c>
      <c r="D106" s="187">
        <f t="shared" si="32"/>
        <v>45406</v>
      </c>
      <c r="E106" s="174" t="s">
        <v>19</v>
      </c>
      <c r="F106" s="202">
        <v>9</v>
      </c>
      <c r="G106" s="167">
        <v>64</v>
      </c>
      <c r="H106" s="168">
        <f t="shared" si="25"/>
        <v>3093.08</v>
      </c>
      <c r="I106" s="168">
        <f t="shared" si="20"/>
        <v>3020.76</v>
      </c>
      <c r="J106" s="169">
        <f t="shared" si="2"/>
        <v>193328.64000000001</v>
      </c>
      <c r="K106" s="170">
        <f t="shared" si="30"/>
        <v>197957.12</v>
      </c>
      <c r="L106" s="171">
        <f>+J106-K106</f>
        <v>-4628.4799999999814</v>
      </c>
      <c r="M106" s="172">
        <f t="shared" si="26"/>
        <v>-371.88438116852433</v>
      </c>
      <c r="N106" s="173">
        <f t="shared" si="27"/>
        <v>-5000.364381168506</v>
      </c>
      <c r="O106" s="172">
        <v>0</v>
      </c>
      <c r="P106" s="172">
        <v>0</v>
      </c>
      <c r="Q106" s="172">
        <v>0</v>
      </c>
      <c r="R106" s="173">
        <f t="shared" si="28"/>
        <v>-5000.364381168506</v>
      </c>
    </row>
    <row r="107" spans="1:18" x14ac:dyDescent="0.25">
      <c r="A107" s="93">
        <v>4</v>
      </c>
      <c r="B107" s="164">
        <f t="shared" si="4"/>
        <v>45383</v>
      </c>
      <c r="C107" s="187">
        <f t="shared" si="32"/>
        <v>45415</v>
      </c>
      <c r="D107" s="187">
        <f t="shared" si="32"/>
        <v>45436</v>
      </c>
      <c r="E107" s="52" t="s">
        <v>19</v>
      </c>
      <c r="F107" s="202">
        <v>9</v>
      </c>
      <c r="G107" s="167">
        <v>65</v>
      </c>
      <c r="H107" s="168">
        <f t="shared" si="25"/>
        <v>3093.08</v>
      </c>
      <c r="I107" s="168">
        <f t="shared" si="20"/>
        <v>3020.76</v>
      </c>
      <c r="J107" s="169">
        <f t="shared" si="2"/>
        <v>196349.40000000002</v>
      </c>
      <c r="K107" s="170">
        <f t="shared" si="30"/>
        <v>201050.19999999998</v>
      </c>
      <c r="L107" s="171">
        <f t="shared" ref="L107:L115" si="33">+J107-K107</f>
        <v>-4700.7999999999593</v>
      </c>
      <c r="M107" s="172">
        <f t="shared" si="26"/>
        <v>-377.69507462428254</v>
      </c>
      <c r="N107" s="173">
        <f t="shared" si="27"/>
        <v>-5078.4950746242421</v>
      </c>
      <c r="O107" s="172">
        <v>0</v>
      </c>
      <c r="P107" s="172">
        <v>0</v>
      </c>
      <c r="Q107" s="172">
        <v>0</v>
      </c>
      <c r="R107" s="173">
        <f t="shared" si="28"/>
        <v>-5078.4950746242421</v>
      </c>
    </row>
    <row r="108" spans="1:18" x14ac:dyDescent="0.25">
      <c r="A108" s="129">
        <v>5</v>
      </c>
      <c r="B108" s="164">
        <f t="shared" si="4"/>
        <v>45413</v>
      </c>
      <c r="C108" s="187">
        <f t="shared" si="32"/>
        <v>45448</v>
      </c>
      <c r="D108" s="187">
        <f t="shared" si="32"/>
        <v>45467</v>
      </c>
      <c r="E108" s="52" t="s">
        <v>19</v>
      </c>
      <c r="F108" s="202">
        <v>9</v>
      </c>
      <c r="G108" s="167">
        <v>51</v>
      </c>
      <c r="H108" s="168">
        <f t="shared" si="25"/>
        <v>3093.08</v>
      </c>
      <c r="I108" s="168">
        <f t="shared" ref="I108:I127" si="34">$J$3</f>
        <v>3020.76</v>
      </c>
      <c r="J108" s="169">
        <f t="shared" si="2"/>
        <v>154058.76</v>
      </c>
      <c r="K108" s="170">
        <f t="shared" si="30"/>
        <v>157747.07999999999</v>
      </c>
      <c r="L108" s="171">
        <f t="shared" si="33"/>
        <v>-3688.3199999999779</v>
      </c>
      <c r="M108" s="172">
        <f t="shared" si="26"/>
        <v>-296.3453662436678</v>
      </c>
      <c r="N108" s="173">
        <f t="shared" si="27"/>
        <v>-3984.6653662436456</v>
      </c>
      <c r="O108" s="172">
        <v>0</v>
      </c>
      <c r="P108" s="172">
        <v>0</v>
      </c>
      <c r="Q108" s="172">
        <v>0</v>
      </c>
      <c r="R108" s="173">
        <f t="shared" si="28"/>
        <v>-3984.6653662436456</v>
      </c>
    </row>
    <row r="109" spans="1:18" x14ac:dyDescent="0.25">
      <c r="A109" s="129">
        <v>6</v>
      </c>
      <c r="B109" s="164">
        <f t="shared" ref="B109:B148" si="35">DATE($R$1,A109,1)</f>
        <v>45444</v>
      </c>
      <c r="C109" s="187">
        <f t="shared" si="32"/>
        <v>45476</v>
      </c>
      <c r="D109" s="187">
        <f t="shared" si="32"/>
        <v>45497</v>
      </c>
      <c r="E109" s="52" t="s">
        <v>19</v>
      </c>
      <c r="F109" s="202">
        <v>9</v>
      </c>
      <c r="G109" s="167">
        <v>59</v>
      </c>
      <c r="H109" s="168">
        <f t="shared" si="25"/>
        <v>3093.08</v>
      </c>
      <c r="I109" s="168">
        <f t="shared" si="34"/>
        <v>3020.76</v>
      </c>
      <c r="J109" s="169">
        <f t="shared" ref="J109:J148" si="36">+$G109*I109</f>
        <v>178224.84000000003</v>
      </c>
      <c r="K109" s="170">
        <f t="shared" si="30"/>
        <v>182491.72</v>
      </c>
      <c r="L109" s="175">
        <f t="shared" si="33"/>
        <v>-4266.8799999999756</v>
      </c>
      <c r="M109" s="172">
        <f t="shared" si="26"/>
        <v>-342.83091388973338</v>
      </c>
      <c r="N109" s="173">
        <f t="shared" si="27"/>
        <v>-4609.7109138897085</v>
      </c>
      <c r="O109" s="172">
        <v>0</v>
      </c>
      <c r="P109" s="172">
        <v>0</v>
      </c>
      <c r="Q109" s="172">
        <v>0</v>
      </c>
      <c r="R109" s="173">
        <f t="shared" si="28"/>
        <v>-4609.7109138897085</v>
      </c>
    </row>
    <row r="110" spans="1:18" x14ac:dyDescent="0.25">
      <c r="A110" s="93">
        <v>7</v>
      </c>
      <c r="B110" s="164">
        <f t="shared" si="35"/>
        <v>45474</v>
      </c>
      <c r="C110" s="187">
        <f t="shared" si="32"/>
        <v>45509</v>
      </c>
      <c r="D110" s="187">
        <f t="shared" si="32"/>
        <v>45530</v>
      </c>
      <c r="E110" s="52" t="s">
        <v>19</v>
      </c>
      <c r="F110" s="202">
        <v>9</v>
      </c>
      <c r="G110" s="167">
        <v>67</v>
      </c>
      <c r="H110" s="168">
        <f t="shared" si="25"/>
        <v>3093.08</v>
      </c>
      <c r="I110" s="168">
        <f t="shared" si="34"/>
        <v>3020.76</v>
      </c>
      <c r="J110" s="169">
        <f t="shared" si="36"/>
        <v>202390.92</v>
      </c>
      <c r="K110" s="176">
        <f t="shared" si="30"/>
        <v>207236.36</v>
      </c>
      <c r="L110" s="175">
        <f t="shared" si="33"/>
        <v>-4845.4399999999732</v>
      </c>
      <c r="M110" s="172">
        <f t="shared" si="26"/>
        <v>-389.31646153579891</v>
      </c>
      <c r="N110" s="173">
        <f t="shared" si="27"/>
        <v>-5234.7564615357724</v>
      </c>
      <c r="O110" s="172">
        <v>0</v>
      </c>
      <c r="P110" s="172">
        <v>0</v>
      </c>
      <c r="Q110" s="172">
        <v>0</v>
      </c>
      <c r="R110" s="173">
        <f t="shared" si="28"/>
        <v>-5234.7564615357724</v>
      </c>
    </row>
    <row r="111" spans="1:18" x14ac:dyDescent="0.25">
      <c r="A111" s="129">
        <v>8</v>
      </c>
      <c r="B111" s="164">
        <f t="shared" si="35"/>
        <v>45505</v>
      </c>
      <c r="C111" s="187">
        <f t="shared" si="32"/>
        <v>45539</v>
      </c>
      <c r="D111" s="187">
        <f t="shared" si="32"/>
        <v>45559</v>
      </c>
      <c r="E111" s="52" t="s">
        <v>19</v>
      </c>
      <c r="F111" s="202">
        <v>9</v>
      </c>
      <c r="G111" s="167">
        <v>70</v>
      </c>
      <c r="H111" s="168">
        <f t="shared" si="25"/>
        <v>3093.08</v>
      </c>
      <c r="I111" s="168">
        <f t="shared" si="34"/>
        <v>3020.76</v>
      </c>
      <c r="J111" s="169">
        <f t="shared" si="36"/>
        <v>211453.2</v>
      </c>
      <c r="K111" s="176">
        <f t="shared" si="30"/>
        <v>216515.6</v>
      </c>
      <c r="L111" s="175">
        <f t="shared" si="33"/>
        <v>-5062.3999999999942</v>
      </c>
      <c r="M111" s="172">
        <f t="shared" si="26"/>
        <v>-406.74854190307349</v>
      </c>
      <c r="N111" s="173">
        <f t="shared" si="27"/>
        <v>-5469.1485419030678</v>
      </c>
      <c r="O111" s="172">
        <v>0</v>
      </c>
      <c r="P111" s="172">
        <v>0</v>
      </c>
      <c r="Q111" s="172">
        <v>0</v>
      </c>
      <c r="R111" s="173">
        <f t="shared" si="28"/>
        <v>-5469.1485419030678</v>
      </c>
    </row>
    <row r="112" spans="1:18" x14ac:dyDescent="0.25">
      <c r="A112" s="129">
        <v>9</v>
      </c>
      <c r="B112" s="164">
        <f t="shared" si="35"/>
        <v>45536</v>
      </c>
      <c r="C112" s="187">
        <f t="shared" si="32"/>
        <v>45568</v>
      </c>
      <c r="D112" s="187">
        <f t="shared" si="32"/>
        <v>45589</v>
      </c>
      <c r="E112" s="52" t="s">
        <v>19</v>
      </c>
      <c r="F112" s="202">
        <v>9</v>
      </c>
      <c r="G112" s="167">
        <v>72</v>
      </c>
      <c r="H112" s="168">
        <f t="shared" si="25"/>
        <v>3093.08</v>
      </c>
      <c r="I112" s="168">
        <f t="shared" si="34"/>
        <v>3020.76</v>
      </c>
      <c r="J112" s="169">
        <f t="shared" si="36"/>
        <v>217494.72000000003</v>
      </c>
      <c r="K112" s="176">
        <f t="shared" si="30"/>
        <v>222701.76</v>
      </c>
      <c r="L112" s="175">
        <f t="shared" si="33"/>
        <v>-5207.039999999979</v>
      </c>
      <c r="M112" s="172">
        <f t="shared" si="26"/>
        <v>-418.36992881458991</v>
      </c>
      <c r="N112" s="173">
        <f t="shared" si="27"/>
        <v>-5625.409928814569</v>
      </c>
      <c r="O112" s="172">
        <v>0</v>
      </c>
      <c r="P112" s="172">
        <v>0</v>
      </c>
      <c r="Q112" s="172">
        <v>0</v>
      </c>
      <c r="R112" s="173">
        <f t="shared" si="28"/>
        <v>-5625.409928814569</v>
      </c>
    </row>
    <row r="113" spans="1:18" x14ac:dyDescent="0.25">
      <c r="A113" s="93">
        <v>10</v>
      </c>
      <c r="B113" s="164">
        <f t="shared" si="35"/>
        <v>45566</v>
      </c>
      <c r="C113" s="187">
        <f t="shared" si="32"/>
        <v>45601</v>
      </c>
      <c r="D113" s="187">
        <f t="shared" si="32"/>
        <v>45621</v>
      </c>
      <c r="E113" s="52" t="s">
        <v>19</v>
      </c>
      <c r="F113" s="202">
        <v>9</v>
      </c>
      <c r="G113" s="167">
        <v>73</v>
      </c>
      <c r="H113" s="168">
        <f t="shared" si="25"/>
        <v>3093.08</v>
      </c>
      <c r="I113" s="168">
        <f t="shared" si="34"/>
        <v>3020.76</v>
      </c>
      <c r="J113" s="169">
        <f t="shared" si="36"/>
        <v>220515.48</v>
      </c>
      <c r="K113" s="176">
        <f t="shared" si="30"/>
        <v>225794.84</v>
      </c>
      <c r="L113" s="175">
        <f t="shared" si="33"/>
        <v>-5279.359999999986</v>
      </c>
      <c r="M113" s="172">
        <f t="shared" si="26"/>
        <v>-424.18062227034801</v>
      </c>
      <c r="N113" s="173">
        <f t="shared" si="27"/>
        <v>-5703.5406222703341</v>
      </c>
      <c r="O113" s="172">
        <v>0</v>
      </c>
      <c r="P113" s="172">
        <v>0</v>
      </c>
      <c r="Q113" s="172">
        <v>0</v>
      </c>
      <c r="R113" s="173">
        <f t="shared" si="28"/>
        <v>-5703.5406222703341</v>
      </c>
    </row>
    <row r="114" spans="1:18" x14ac:dyDescent="0.25">
      <c r="A114" s="129">
        <v>11</v>
      </c>
      <c r="B114" s="164">
        <f t="shared" si="35"/>
        <v>45597</v>
      </c>
      <c r="C114" s="187">
        <f t="shared" si="32"/>
        <v>45630</v>
      </c>
      <c r="D114" s="187">
        <f t="shared" si="32"/>
        <v>45650</v>
      </c>
      <c r="E114" s="52" t="s">
        <v>19</v>
      </c>
      <c r="F114" s="202">
        <v>9</v>
      </c>
      <c r="G114" s="167">
        <v>72</v>
      </c>
      <c r="H114" s="168">
        <f t="shared" si="25"/>
        <v>3093.08</v>
      </c>
      <c r="I114" s="168">
        <f t="shared" si="34"/>
        <v>3020.76</v>
      </c>
      <c r="J114" s="169">
        <f t="shared" si="36"/>
        <v>217494.72000000003</v>
      </c>
      <c r="K114" s="176">
        <f t="shared" si="30"/>
        <v>222701.76</v>
      </c>
      <c r="L114" s="175">
        <f t="shared" si="33"/>
        <v>-5207.039999999979</v>
      </c>
      <c r="M114" s="172">
        <f t="shared" si="26"/>
        <v>-418.36992881458991</v>
      </c>
      <c r="N114" s="173">
        <f t="shared" si="27"/>
        <v>-5625.409928814569</v>
      </c>
      <c r="O114" s="172">
        <v>0</v>
      </c>
      <c r="P114" s="172">
        <v>0</v>
      </c>
      <c r="Q114" s="172">
        <v>0</v>
      </c>
      <c r="R114" s="173">
        <f t="shared" si="28"/>
        <v>-5625.409928814569</v>
      </c>
    </row>
    <row r="115" spans="1:18" s="191" customFormat="1" x14ac:dyDescent="0.25">
      <c r="A115" s="129">
        <v>12</v>
      </c>
      <c r="B115" s="189">
        <f t="shared" si="35"/>
        <v>45627</v>
      </c>
      <c r="C115" s="192">
        <f t="shared" si="32"/>
        <v>45660</v>
      </c>
      <c r="D115" s="192">
        <f t="shared" si="32"/>
        <v>45681</v>
      </c>
      <c r="E115" s="190" t="s">
        <v>19</v>
      </c>
      <c r="F115" s="204">
        <v>9</v>
      </c>
      <c r="G115" s="167">
        <v>65</v>
      </c>
      <c r="H115" s="180">
        <f t="shared" si="25"/>
        <v>3093.08</v>
      </c>
      <c r="I115" s="180">
        <f t="shared" si="34"/>
        <v>3020.76</v>
      </c>
      <c r="J115" s="181">
        <f t="shared" si="36"/>
        <v>196349.40000000002</v>
      </c>
      <c r="K115" s="182">
        <f t="shared" si="30"/>
        <v>201050.19999999998</v>
      </c>
      <c r="L115" s="183">
        <f t="shared" si="33"/>
        <v>-4700.7999999999593</v>
      </c>
      <c r="M115" s="172">
        <f t="shared" si="26"/>
        <v>-377.69507462428254</v>
      </c>
      <c r="N115" s="173">
        <f t="shared" si="27"/>
        <v>-5078.4950746242421</v>
      </c>
      <c r="O115" s="172">
        <v>0</v>
      </c>
      <c r="P115" s="172">
        <v>0</v>
      </c>
      <c r="Q115" s="172">
        <v>0</v>
      </c>
      <c r="R115" s="173">
        <f t="shared" si="28"/>
        <v>-5078.4950746242421</v>
      </c>
    </row>
    <row r="116" spans="1:18" x14ac:dyDescent="0.25">
      <c r="A116" s="93">
        <v>1</v>
      </c>
      <c r="B116" s="164">
        <f t="shared" si="35"/>
        <v>45292</v>
      </c>
      <c r="C116" s="187">
        <f t="shared" si="32"/>
        <v>45327</v>
      </c>
      <c r="D116" s="187">
        <f t="shared" si="32"/>
        <v>45348</v>
      </c>
      <c r="E116" s="166" t="s">
        <v>13</v>
      </c>
      <c r="F116" s="116">
        <v>9</v>
      </c>
      <c r="G116" s="167">
        <v>1452</v>
      </c>
      <c r="H116" s="168">
        <f t="shared" si="25"/>
        <v>3093.08</v>
      </c>
      <c r="I116" s="168">
        <f t="shared" si="34"/>
        <v>3020.76</v>
      </c>
      <c r="J116" s="169">
        <f t="shared" si="36"/>
        <v>4386143.5200000005</v>
      </c>
      <c r="K116" s="170">
        <f t="shared" si="30"/>
        <v>4491152.16</v>
      </c>
      <c r="L116" s="171">
        <f>+J116-K116</f>
        <v>-105008.63999999966</v>
      </c>
      <c r="M116" s="172">
        <f t="shared" si="26"/>
        <v>-8437.1268977608961</v>
      </c>
      <c r="N116" s="173">
        <f t="shared" si="27"/>
        <v>-113445.76689776056</v>
      </c>
      <c r="O116" s="172">
        <v>0</v>
      </c>
      <c r="P116" s="172">
        <v>0</v>
      </c>
      <c r="Q116" s="172">
        <v>0</v>
      </c>
      <c r="R116" s="173">
        <f t="shared" si="28"/>
        <v>-113445.76689776056</v>
      </c>
    </row>
    <row r="117" spans="1:18" x14ac:dyDescent="0.25">
      <c r="A117" s="129">
        <v>2</v>
      </c>
      <c r="B117" s="164">
        <f t="shared" si="35"/>
        <v>45323</v>
      </c>
      <c r="C117" s="187">
        <f t="shared" ref="C117:D139" si="37">+C105</f>
        <v>45356</v>
      </c>
      <c r="D117" s="187">
        <f t="shared" si="37"/>
        <v>45376</v>
      </c>
      <c r="E117" s="174" t="s">
        <v>13</v>
      </c>
      <c r="F117" s="202">
        <v>9</v>
      </c>
      <c r="G117" s="167">
        <v>966</v>
      </c>
      <c r="H117" s="168">
        <f t="shared" si="25"/>
        <v>3093.08</v>
      </c>
      <c r="I117" s="168">
        <f t="shared" si="34"/>
        <v>3020.76</v>
      </c>
      <c r="J117" s="169">
        <f t="shared" si="36"/>
        <v>2918054.16</v>
      </c>
      <c r="K117" s="170">
        <f t="shared" si="30"/>
        <v>2987915.28</v>
      </c>
      <c r="L117" s="171">
        <f>+J117-K117</f>
        <v>-69861.119999999646</v>
      </c>
      <c r="M117" s="172">
        <f t="shared" si="26"/>
        <v>-5613.1298782624135</v>
      </c>
      <c r="N117" s="173">
        <f t="shared" si="27"/>
        <v>-75474.249878262053</v>
      </c>
      <c r="O117" s="172">
        <v>0</v>
      </c>
      <c r="P117" s="172">
        <v>0</v>
      </c>
      <c r="Q117" s="172">
        <v>0</v>
      </c>
      <c r="R117" s="173">
        <f t="shared" si="28"/>
        <v>-75474.249878262053</v>
      </c>
    </row>
    <row r="118" spans="1:18" x14ac:dyDescent="0.25">
      <c r="A118" s="129">
        <v>3</v>
      </c>
      <c r="B118" s="164">
        <f t="shared" si="35"/>
        <v>45352</v>
      </c>
      <c r="C118" s="187">
        <f t="shared" si="37"/>
        <v>45385</v>
      </c>
      <c r="D118" s="187">
        <f t="shared" si="37"/>
        <v>45406</v>
      </c>
      <c r="E118" s="174" t="s">
        <v>13</v>
      </c>
      <c r="F118" s="202">
        <v>9</v>
      </c>
      <c r="G118" s="167">
        <v>732</v>
      </c>
      <c r="H118" s="168">
        <f t="shared" si="25"/>
        <v>3093.08</v>
      </c>
      <c r="I118" s="168">
        <f t="shared" si="34"/>
        <v>3020.76</v>
      </c>
      <c r="J118" s="169">
        <f t="shared" si="36"/>
        <v>2211196.3200000003</v>
      </c>
      <c r="K118" s="170">
        <f t="shared" si="30"/>
        <v>2264134.56</v>
      </c>
      <c r="L118" s="171">
        <f>+J118-K118</f>
        <v>-52938.239999999758</v>
      </c>
      <c r="M118" s="172">
        <f t="shared" si="26"/>
        <v>-4253.427609614997</v>
      </c>
      <c r="N118" s="173">
        <f t="shared" si="27"/>
        <v>-57191.667609614757</v>
      </c>
      <c r="O118" s="172">
        <v>0</v>
      </c>
      <c r="P118" s="172">
        <v>0</v>
      </c>
      <c r="Q118" s="172">
        <v>0</v>
      </c>
      <c r="R118" s="173">
        <f t="shared" si="28"/>
        <v>-57191.667609614757</v>
      </c>
    </row>
    <row r="119" spans="1:18" x14ac:dyDescent="0.25">
      <c r="A119" s="93">
        <v>4</v>
      </c>
      <c r="B119" s="164">
        <f t="shared" si="35"/>
        <v>45383</v>
      </c>
      <c r="C119" s="187">
        <f t="shared" si="37"/>
        <v>45415</v>
      </c>
      <c r="D119" s="187">
        <f t="shared" si="37"/>
        <v>45436</v>
      </c>
      <c r="E119" s="52" t="s">
        <v>13</v>
      </c>
      <c r="F119" s="202">
        <v>9</v>
      </c>
      <c r="G119" s="167">
        <v>547</v>
      </c>
      <c r="H119" s="168">
        <f t="shared" si="25"/>
        <v>3093.08</v>
      </c>
      <c r="I119" s="168">
        <f t="shared" si="34"/>
        <v>3020.76</v>
      </c>
      <c r="J119" s="169">
        <f t="shared" si="36"/>
        <v>1652355.7200000002</v>
      </c>
      <c r="K119" s="170">
        <f t="shared" si="30"/>
        <v>1691914.76</v>
      </c>
      <c r="L119" s="171">
        <f t="shared" ref="L119:L127" si="38">+J119-K119</f>
        <v>-39559.039999999804</v>
      </c>
      <c r="M119" s="172">
        <f t="shared" si="26"/>
        <v>-3178.4493202997314</v>
      </c>
      <c r="N119" s="173">
        <f t="shared" si="27"/>
        <v>-42737.489320299537</v>
      </c>
      <c r="O119" s="172">
        <v>0</v>
      </c>
      <c r="P119" s="172">
        <v>0</v>
      </c>
      <c r="Q119" s="172">
        <v>0</v>
      </c>
      <c r="R119" s="173">
        <f t="shared" si="28"/>
        <v>-42737.489320299537</v>
      </c>
    </row>
    <row r="120" spans="1:18" x14ac:dyDescent="0.25">
      <c r="A120" s="129">
        <v>5</v>
      </c>
      <c r="B120" s="164">
        <f t="shared" si="35"/>
        <v>45413</v>
      </c>
      <c r="C120" s="187">
        <f t="shared" si="37"/>
        <v>45448</v>
      </c>
      <c r="D120" s="187">
        <f t="shared" si="37"/>
        <v>45467</v>
      </c>
      <c r="E120" s="52" t="s">
        <v>13</v>
      </c>
      <c r="F120" s="202">
        <v>9</v>
      </c>
      <c r="G120" s="167">
        <v>747</v>
      </c>
      <c r="H120" s="168">
        <f t="shared" si="25"/>
        <v>3093.08</v>
      </c>
      <c r="I120" s="168">
        <f t="shared" si="34"/>
        <v>3020.76</v>
      </c>
      <c r="J120" s="169">
        <f t="shared" si="36"/>
        <v>2256507.7200000002</v>
      </c>
      <c r="K120" s="170">
        <f t="shared" si="30"/>
        <v>2310530.7599999998</v>
      </c>
      <c r="L120" s="171">
        <f t="shared" si="38"/>
        <v>-54023.039999999572</v>
      </c>
      <c r="M120" s="172">
        <f t="shared" si="26"/>
        <v>-4340.5880114513702</v>
      </c>
      <c r="N120" s="173">
        <f t="shared" si="27"/>
        <v>-58363.628011450943</v>
      </c>
      <c r="O120" s="172">
        <v>0</v>
      </c>
      <c r="P120" s="172">
        <v>0</v>
      </c>
      <c r="Q120" s="172">
        <v>0</v>
      </c>
      <c r="R120" s="173">
        <f t="shared" si="28"/>
        <v>-58363.628011450943</v>
      </c>
    </row>
    <row r="121" spans="1:18" x14ac:dyDescent="0.25">
      <c r="A121" s="129">
        <v>6</v>
      </c>
      <c r="B121" s="164">
        <f t="shared" si="35"/>
        <v>45444</v>
      </c>
      <c r="C121" s="187">
        <f t="shared" si="37"/>
        <v>45476</v>
      </c>
      <c r="D121" s="187">
        <f t="shared" si="37"/>
        <v>45497</v>
      </c>
      <c r="E121" s="52" t="s">
        <v>13</v>
      </c>
      <c r="F121" s="202">
        <v>9</v>
      </c>
      <c r="G121" s="167">
        <v>917</v>
      </c>
      <c r="H121" s="168">
        <f t="shared" si="25"/>
        <v>3093.08</v>
      </c>
      <c r="I121" s="168">
        <f t="shared" si="34"/>
        <v>3020.76</v>
      </c>
      <c r="J121" s="169">
        <f t="shared" si="36"/>
        <v>2770036.9200000004</v>
      </c>
      <c r="K121" s="170">
        <f t="shared" si="30"/>
        <v>2836354.36</v>
      </c>
      <c r="L121" s="175">
        <f t="shared" si="38"/>
        <v>-66317.439999999478</v>
      </c>
      <c r="M121" s="172">
        <f t="shared" si="26"/>
        <v>-5328.405898930263</v>
      </c>
      <c r="N121" s="173">
        <f t="shared" si="27"/>
        <v>-71645.845898929736</v>
      </c>
      <c r="O121" s="172">
        <v>0</v>
      </c>
      <c r="P121" s="172">
        <v>0</v>
      </c>
      <c r="Q121" s="172">
        <v>0</v>
      </c>
      <c r="R121" s="173">
        <f t="shared" si="28"/>
        <v>-71645.845898929736</v>
      </c>
    </row>
    <row r="122" spans="1:18" x14ac:dyDescent="0.25">
      <c r="A122" s="93">
        <v>7</v>
      </c>
      <c r="B122" s="164">
        <f t="shared" si="35"/>
        <v>45474</v>
      </c>
      <c r="C122" s="187">
        <f t="shared" si="37"/>
        <v>45509</v>
      </c>
      <c r="D122" s="187">
        <f t="shared" si="37"/>
        <v>45530</v>
      </c>
      <c r="E122" s="52" t="s">
        <v>13</v>
      </c>
      <c r="F122" s="202">
        <v>9</v>
      </c>
      <c r="G122" s="167">
        <v>950</v>
      </c>
      <c r="H122" s="168">
        <f t="shared" si="25"/>
        <v>3093.08</v>
      </c>
      <c r="I122" s="168">
        <f t="shared" si="34"/>
        <v>3020.76</v>
      </c>
      <c r="J122" s="169">
        <f t="shared" si="36"/>
        <v>2869722</v>
      </c>
      <c r="K122" s="176">
        <f t="shared" si="30"/>
        <v>2938426</v>
      </c>
      <c r="L122" s="175">
        <f t="shared" si="38"/>
        <v>-68704</v>
      </c>
      <c r="M122" s="172">
        <f t="shared" si="26"/>
        <v>-5520.158782970283</v>
      </c>
      <c r="N122" s="173">
        <f t="shared" si="27"/>
        <v>-74224.158782970277</v>
      </c>
      <c r="O122" s="172">
        <v>0</v>
      </c>
      <c r="P122" s="172">
        <v>0</v>
      </c>
      <c r="Q122" s="172">
        <v>0</v>
      </c>
      <c r="R122" s="173">
        <f t="shared" si="28"/>
        <v>-74224.158782970277</v>
      </c>
    </row>
    <row r="123" spans="1:18" x14ac:dyDescent="0.25">
      <c r="A123" s="129">
        <v>8</v>
      </c>
      <c r="B123" s="164">
        <f t="shared" si="35"/>
        <v>45505</v>
      </c>
      <c r="C123" s="187">
        <f t="shared" si="37"/>
        <v>45539</v>
      </c>
      <c r="D123" s="187">
        <f t="shared" si="37"/>
        <v>45559</v>
      </c>
      <c r="E123" s="52" t="s">
        <v>13</v>
      </c>
      <c r="F123" s="202">
        <v>9</v>
      </c>
      <c r="G123" s="167">
        <v>940</v>
      </c>
      <c r="H123" s="168">
        <f t="shared" si="25"/>
        <v>3093.08</v>
      </c>
      <c r="I123" s="168">
        <f t="shared" si="34"/>
        <v>3020.76</v>
      </c>
      <c r="J123" s="169">
        <f t="shared" si="36"/>
        <v>2839514.4000000004</v>
      </c>
      <c r="K123" s="176">
        <f t="shared" si="30"/>
        <v>2907495.1999999997</v>
      </c>
      <c r="L123" s="175">
        <f t="shared" si="38"/>
        <v>-67980.799999999348</v>
      </c>
      <c r="M123" s="172">
        <f t="shared" si="26"/>
        <v>-5462.0518484127006</v>
      </c>
      <c r="N123" s="173">
        <f t="shared" si="27"/>
        <v>-73442.851848412043</v>
      </c>
      <c r="O123" s="172">
        <v>0</v>
      </c>
      <c r="P123" s="172">
        <v>0</v>
      </c>
      <c r="Q123" s="172">
        <v>0</v>
      </c>
      <c r="R123" s="173">
        <f t="shared" si="28"/>
        <v>-73442.851848412043</v>
      </c>
    </row>
    <row r="124" spans="1:18" x14ac:dyDescent="0.25">
      <c r="A124" s="129">
        <v>9</v>
      </c>
      <c r="B124" s="164">
        <f t="shared" si="35"/>
        <v>45536</v>
      </c>
      <c r="C124" s="187">
        <f t="shared" si="37"/>
        <v>45568</v>
      </c>
      <c r="D124" s="187">
        <f t="shared" si="37"/>
        <v>45589</v>
      </c>
      <c r="E124" s="52" t="s">
        <v>13</v>
      </c>
      <c r="F124" s="202">
        <v>9</v>
      </c>
      <c r="G124" s="167">
        <v>816</v>
      </c>
      <c r="H124" s="168">
        <f t="shared" si="25"/>
        <v>3093.08</v>
      </c>
      <c r="I124" s="168">
        <f t="shared" si="34"/>
        <v>3020.76</v>
      </c>
      <c r="J124" s="169">
        <f t="shared" si="36"/>
        <v>2464940.16</v>
      </c>
      <c r="K124" s="176">
        <f t="shared" si="30"/>
        <v>2523953.2799999998</v>
      </c>
      <c r="L124" s="175">
        <f t="shared" si="38"/>
        <v>-59013.119999999646</v>
      </c>
      <c r="M124" s="172">
        <f t="shared" si="26"/>
        <v>-4741.5258598986848</v>
      </c>
      <c r="N124" s="173">
        <f t="shared" si="27"/>
        <v>-63754.64585989833</v>
      </c>
      <c r="O124" s="172">
        <v>0</v>
      </c>
      <c r="P124" s="172">
        <v>0</v>
      </c>
      <c r="Q124" s="172">
        <v>0</v>
      </c>
      <c r="R124" s="173">
        <f t="shared" si="28"/>
        <v>-63754.64585989833</v>
      </c>
    </row>
    <row r="125" spans="1:18" x14ac:dyDescent="0.25">
      <c r="A125" s="93">
        <v>10</v>
      </c>
      <c r="B125" s="164">
        <f t="shared" si="35"/>
        <v>45566</v>
      </c>
      <c r="C125" s="187">
        <f t="shared" si="37"/>
        <v>45601</v>
      </c>
      <c r="D125" s="187">
        <f t="shared" si="37"/>
        <v>45621</v>
      </c>
      <c r="E125" s="52" t="s">
        <v>13</v>
      </c>
      <c r="F125" s="202">
        <v>9</v>
      </c>
      <c r="G125" s="167">
        <v>683</v>
      </c>
      <c r="H125" s="168">
        <f t="shared" si="25"/>
        <v>3093.08</v>
      </c>
      <c r="I125" s="168">
        <f t="shared" si="34"/>
        <v>3020.76</v>
      </c>
      <c r="J125" s="169">
        <f t="shared" si="36"/>
        <v>2063179.08</v>
      </c>
      <c r="K125" s="176">
        <f t="shared" si="30"/>
        <v>2112573.64</v>
      </c>
      <c r="L125" s="175">
        <f t="shared" si="38"/>
        <v>-49394.560000000056</v>
      </c>
      <c r="M125" s="172">
        <f t="shared" si="26"/>
        <v>-3968.7036302828456</v>
      </c>
      <c r="N125" s="173">
        <f t="shared" si="27"/>
        <v>-53363.263630282905</v>
      </c>
      <c r="O125" s="172">
        <v>0</v>
      </c>
      <c r="P125" s="172">
        <v>0</v>
      </c>
      <c r="Q125" s="172">
        <v>0</v>
      </c>
      <c r="R125" s="173">
        <f t="shared" si="28"/>
        <v>-53363.263630282905</v>
      </c>
    </row>
    <row r="126" spans="1:18" x14ac:dyDescent="0.25">
      <c r="A126" s="129">
        <v>11</v>
      </c>
      <c r="B126" s="164">
        <f t="shared" si="35"/>
        <v>45597</v>
      </c>
      <c r="C126" s="187">
        <f t="shared" si="37"/>
        <v>45630</v>
      </c>
      <c r="D126" s="187">
        <f t="shared" si="37"/>
        <v>45650</v>
      </c>
      <c r="E126" s="52" t="s">
        <v>13</v>
      </c>
      <c r="F126" s="202">
        <v>9</v>
      </c>
      <c r="G126" s="167">
        <v>525</v>
      </c>
      <c r="H126" s="168">
        <f t="shared" si="25"/>
        <v>3093.08</v>
      </c>
      <c r="I126" s="168">
        <f t="shared" si="34"/>
        <v>3020.76</v>
      </c>
      <c r="J126" s="169">
        <f t="shared" si="36"/>
        <v>1585899</v>
      </c>
      <c r="K126" s="176">
        <f t="shared" si="30"/>
        <v>1623867</v>
      </c>
      <c r="L126" s="175">
        <f t="shared" si="38"/>
        <v>-37968</v>
      </c>
      <c r="M126" s="172">
        <f t="shared" si="26"/>
        <v>-3050.6140642730511</v>
      </c>
      <c r="N126" s="173">
        <f t="shared" si="27"/>
        <v>-41018.614064273053</v>
      </c>
      <c r="O126" s="172">
        <v>0</v>
      </c>
      <c r="P126" s="172">
        <v>0</v>
      </c>
      <c r="Q126" s="172">
        <v>0</v>
      </c>
      <c r="R126" s="173">
        <f t="shared" si="28"/>
        <v>-41018.614064273053</v>
      </c>
    </row>
    <row r="127" spans="1:18" s="191" customFormat="1" x14ac:dyDescent="0.25">
      <c r="A127" s="129">
        <v>12</v>
      </c>
      <c r="B127" s="189">
        <f t="shared" si="35"/>
        <v>45627</v>
      </c>
      <c r="C127" s="192">
        <f t="shared" si="37"/>
        <v>45660</v>
      </c>
      <c r="D127" s="192">
        <f t="shared" si="37"/>
        <v>45681</v>
      </c>
      <c r="E127" s="190" t="s">
        <v>13</v>
      </c>
      <c r="F127" s="204">
        <v>9</v>
      </c>
      <c r="G127" s="179">
        <v>863</v>
      </c>
      <c r="H127" s="180">
        <f t="shared" si="25"/>
        <v>3093.08</v>
      </c>
      <c r="I127" s="180">
        <f t="shared" si="34"/>
        <v>3020.76</v>
      </c>
      <c r="J127" s="181">
        <f t="shared" si="36"/>
        <v>2606915.8800000004</v>
      </c>
      <c r="K127" s="182">
        <f t="shared" si="30"/>
        <v>2669328.04</v>
      </c>
      <c r="L127" s="183">
        <f t="shared" si="38"/>
        <v>-62412.159999999683</v>
      </c>
      <c r="M127" s="172">
        <f t="shared" si="26"/>
        <v>-5014.6284523193199</v>
      </c>
      <c r="N127" s="173">
        <f t="shared" si="27"/>
        <v>-67426.788452319</v>
      </c>
      <c r="O127" s="172">
        <v>0</v>
      </c>
      <c r="P127" s="172">
        <v>0</v>
      </c>
      <c r="Q127" s="172">
        <v>0</v>
      </c>
      <c r="R127" s="173">
        <f t="shared" si="28"/>
        <v>-67426.788452319</v>
      </c>
    </row>
    <row r="128" spans="1:18" x14ac:dyDescent="0.25">
      <c r="A128" s="93">
        <v>1</v>
      </c>
      <c r="B128" s="164">
        <f t="shared" si="35"/>
        <v>45292</v>
      </c>
      <c r="C128" s="187">
        <f t="shared" si="37"/>
        <v>45327</v>
      </c>
      <c r="D128" s="187">
        <f t="shared" si="37"/>
        <v>45348</v>
      </c>
      <c r="E128" s="166" t="s">
        <v>15</v>
      </c>
      <c r="F128" s="116">
        <v>9</v>
      </c>
      <c r="G128" s="167">
        <v>8</v>
      </c>
      <c r="H128" s="168">
        <f t="shared" si="25"/>
        <v>3093.08</v>
      </c>
      <c r="I128" s="168">
        <f t="shared" ref="I128:I147" si="39">$J$3</f>
        <v>3020.76</v>
      </c>
      <c r="J128" s="169">
        <f t="shared" si="36"/>
        <v>24166.080000000002</v>
      </c>
      <c r="K128" s="170">
        <f t="shared" si="30"/>
        <v>24744.639999999999</v>
      </c>
      <c r="L128" s="171">
        <f>+J128-K128</f>
        <v>-578.55999999999767</v>
      </c>
      <c r="M128" s="172">
        <f t="shared" si="26"/>
        <v>-46.485547646065541</v>
      </c>
      <c r="N128" s="173">
        <f t="shared" si="27"/>
        <v>-625.04554764606326</v>
      </c>
      <c r="O128" s="172">
        <v>0</v>
      </c>
      <c r="P128" s="172">
        <v>0</v>
      </c>
      <c r="Q128" s="172">
        <v>0</v>
      </c>
      <c r="R128" s="173">
        <f t="shared" si="28"/>
        <v>-625.04554764606326</v>
      </c>
    </row>
    <row r="129" spans="1:18" x14ac:dyDescent="0.25">
      <c r="A129" s="129">
        <v>2</v>
      </c>
      <c r="B129" s="164">
        <f t="shared" si="35"/>
        <v>45323</v>
      </c>
      <c r="C129" s="187">
        <f t="shared" si="37"/>
        <v>45356</v>
      </c>
      <c r="D129" s="187">
        <f t="shared" si="37"/>
        <v>45376</v>
      </c>
      <c r="E129" s="174" t="s">
        <v>15</v>
      </c>
      <c r="F129" s="202">
        <v>9</v>
      </c>
      <c r="G129" s="167">
        <v>5</v>
      </c>
      <c r="H129" s="168">
        <f t="shared" si="25"/>
        <v>3093.08</v>
      </c>
      <c r="I129" s="168">
        <f t="shared" si="39"/>
        <v>3020.76</v>
      </c>
      <c r="J129" s="169">
        <f t="shared" si="36"/>
        <v>15103.800000000001</v>
      </c>
      <c r="K129" s="170">
        <f t="shared" si="30"/>
        <v>15465.4</v>
      </c>
      <c r="L129" s="171">
        <f>+J129-K129</f>
        <v>-361.59999999999854</v>
      </c>
      <c r="M129" s="172">
        <f t="shared" si="26"/>
        <v>-29.053467278790965</v>
      </c>
      <c r="N129" s="173">
        <f t="shared" si="27"/>
        <v>-390.65346727878949</v>
      </c>
      <c r="O129" s="172">
        <v>0</v>
      </c>
      <c r="P129" s="172">
        <v>0</v>
      </c>
      <c r="Q129" s="172">
        <v>0</v>
      </c>
      <c r="R129" s="173">
        <f t="shared" si="28"/>
        <v>-390.65346727878949</v>
      </c>
    </row>
    <row r="130" spans="1:18" x14ac:dyDescent="0.25">
      <c r="A130" s="129">
        <v>3</v>
      </c>
      <c r="B130" s="164">
        <f t="shared" si="35"/>
        <v>45352</v>
      </c>
      <c r="C130" s="187">
        <f t="shared" si="37"/>
        <v>45385</v>
      </c>
      <c r="D130" s="187">
        <f t="shared" si="37"/>
        <v>45406</v>
      </c>
      <c r="E130" s="174" t="s">
        <v>15</v>
      </c>
      <c r="F130" s="202">
        <v>9</v>
      </c>
      <c r="G130" s="167">
        <v>5</v>
      </c>
      <c r="H130" s="168">
        <f t="shared" si="25"/>
        <v>3093.08</v>
      </c>
      <c r="I130" s="168">
        <f t="shared" si="39"/>
        <v>3020.76</v>
      </c>
      <c r="J130" s="169">
        <f t="shared" si="36"/>
        <v>15103.800000000001</v>
      </c>
      <c r="K130" s="170">
        <f t="shared" si="30"/>
        <v>15465.4</v>
      </c>
      <c r="L130" s="171">
        <f>+J130-K130</f>
        <v>-361.59999999999854</v>
      </c>
      <c r="M130" s="172">
        <f t="shared" si="26"/>
        <v>-29.053467278790965</v>
      </c>
      <c r="N130" s="173">
        <f t="shared" si="27"/>
        <v>-390.65346727878949</v>
      </c>
      <c r="O130" s="172">
        <v>0</v>
      </c>
      <c r="P130" s="172">
        <v>0</v>
      </c>
      <c r="Q130" s="172">
        <v>0</v>
      </c>
      <c r="R130" s="173">
        <f t="shared" si="28"/>
        <v>-390.65346727878949</v>
      </c>
    </row>
    <row r="131" spans="1:18" x14ac:dyDescent="0.25">
      <c r="A131" s="93">
        <v>4</v>
      </c>
      <c r="B131" s="164">
        <f t="shared" si="35"/>
        <v>45383</v>
      </c>
      <c r="C131" s="187">
        <f t="shared" si="37"/>
        <v>45415</v>
      </c>
      <c r="D131" s="187">
        <f t="shared" si="37"/>
        <v>45436</v>
      </c>
      <c r="E131" s="174" t="s">
        <v>15</v>
      </c>
      <c r="F131" s="202">
        <v>9</v>
      </c>
      <c r="G131" s="167">
        <v>6</v>
      </c>
      <c r="H131" s="168">
        <f t="shared" si="25"/>
        <v>3093.08</v>
      </c>
      <c r="I131" s="168">
        <f t="shared" si="39"/>
        <v>3020.76</v>
      </c>
      <c r="J131" s="169">
        <f t="shared" si="36"/>
        <v>18124.560000000001</v>
      </c>
      <c r="K131" s="170">
        <f t="shared" si="30"/>
        <v>18558.48</v>
      </c>
      <c r="L131" s="171">
        <f t="shared" ref="L131:L141" si="40">+J131-K131</f>
        <v>-433.91999999999825</v>
      </c>
      <c r="M131" s="172">
        <f t="shared" si="26"/>
        <v>-34.864160734549152</v>
      </c>
      <c r="N131" s="173">
        <f t="shared" si="27"/>
        <v>-468.78416073454741</v>
      </c>
      <c r="O131" s="172">
        <v>0</v>
      </c>
      <c r="P131" s="172">
        <v>0</v>
      </c>
      <c r="Q131" s="172">
        <v>0</v>
      </c>
      <c r="R131" s="173">
        <f t="shared" si="28"/>
        <v>-468.78416073454741</v>
      </c>
    </row>
    <row r="132" spans="1:18" x14ac:dyDescent="0.25">
      <c r="A132" s="129">
        <v>5</v>
      </c>
      <c r="B132" s="164">
        <f t="shared" si="35"/>
        <v>45413</v>
      </c>
      <c r="C132" s="187">
        <f t="shared" si="37"/>
        <v>45448</v>
      </c>
      <c r="D132" s="187">
        <f t="shared" si="37"/>
        <v>45467</v>
      </c>
      <c r="E132" s="52" t="s">
        <v>15</v>
      </c>
      <c r="F132" s="202">
        <v>9</v>
      </c>
      <c r="G132" s="167">
        <v>9</v>
      </c>
      <c r="H132" s="168">
        <f t="shared" si="25"/>
        <v>3093.08</v>
      </c>
      <c r="I132" s="168">
        <f t="shared" si="39"/>
        <v>3020.76</v>
      </c>
      <c r="J132" s="169">
        <f t="shared" si="36"/>
        <v>27186.840000000004</v>
      </c>
      <c r="K132" s="170">
        <f t="shared" si="30"/>
        <v>27837.72</v>
      </c>
      <c r="L132" s="171">
        <f t="shared" si="40"/>
        <v>-650.87999999999738</v>
      </c>
      <c r="M132" s="172">
        <f t="shared" si="26"/>
        <v>-52.296241101823739</v>
      </c>
      <c r="N132" s="173">
        <f t="shared" si="27"/>
        <v>-703.17624110182112</v>
      </c>
      <c r="O132" s="172">
        <v>0</v>
      </c>
      <c r="P132" s="172">
        <v>0</v>
      </c>
      <c r="Q132" s="172">
        <v>0</v>
      </c>
      <c r="R132" s="173">
        <f t="shared" si="28"/>
        <v>-703.17624110182112</v>
      </c>
    </row>
    <row r="133" spans="1:18" x14ac:dyDescent="0.25">
      <c r="A133" s="129">
        <v>6</v>
      </c>
      <c r="B133" s="164">
        <f t="shared" si="35"/>
        <v>45444</v>
      </c>
      <c r="C133" s="187">
        <f t="shared" si="37"/>
        <v>45476</v>
      </c>
      <c r="D133" s="187">
        <f t="shared" si="37"/>
        <v>45497</v>
      </c>
      <c r="E133" s="52" t="s">
        <v>15</v>
      </c>
      <c r="F133" s="202">
        <v>9</v>
      </c>
      <c r="G133" s="167">
        <v>14</v>
      </c>
      <c r="H133" s="168">
        <f t="shared" si="25"/>
        <v>3093.08</v>
      </c>
      <c r="I133" s="168">
        <f t="shared" si="39"/>
        <v>3020.76</v>
      </c>
      <c r="J133" s="169">
        <f t="shared" si="36"/>
        <v>42290.64</v>
      </c>
      <c r="K133" s="170">
        <f t="shared" si="30"/>
        <v>43303.119999999995</v>
      </c>
      <c r="L133" s="175">
        <f t="shared" si="40"/>
        <v>-1012.4799999999959</v>
      </c>
      <c r="M133" s="172">
        <f t="shared" si="26"/>
        <v>-81.3497083806147</v>
      </c>
      <c r="N133" s="173">
        <f t="shared" si="27"/>
        <v>-1093.8297083806106</v>
      </c>
      <c r="O133" s="172">
        <v>0</v>
      </c>
      <c r="P133" s="172">
        <v>0</v>
      </c>
      <c r="Q133" s="172">
        <v>0</v>
      </c>
      <c r="R133" s="173">
        <f t="shared" si="28"/>
        <v>-1093.8297083806106</v>
      </c>
    </row>
    <row r="134" spans="1:18" x14ac:dyDescent="0.25">
      <c r="A134" s="93">
        <v>7</v>
      </c>
      <c r="B134" s="164">
        <f t="shared" si="35"/>
        <v>45474</v>
      </c>
      <c r="C134" s="187">
        <f t="shared" si="37"/>
        <v>45509</v>
      </c>
      <c r="D134" s="187">
        <f t="shared" si="37"/>
        <v>45530</v>
      </c>
      <c r="E134" s="52" t="s">
        <v>15</v>
      </c>
      <c r="F134" s="202">
        <v>9</v>
      </c>
      <c r="G134" s="167">
        <v>17</v>
      </c>
      <c r="H134" s="168">
        <f t="shared" si="25"/>
        <v>3093.08</v>
      </c>
      <c r="I134" s="168">
        <f t="shared" si="39"/>
        <v>3020.76</v>
      </c>
      <c r="J134" s="169">
        <f t="shared" si="36"/>
        <v>51352.920000000006</v>
      </c>
      <c r="K134" s="176">
        <f t="shared" ref="K134:K197" si="41">+$G134*H134</f>
        <v>52582.36</v>
      </c>
      <c r="L134" s="175">
        <f t="shared" si="40"/>
        <v>-1229.4399999999951</v>
      </c>
      <c r="M134" s="172">
        <f t="shared" si="26"/>
        <v>-98.78178874788928</v>
      </c>
      <c r="N134" s="173">
        <f t="shared" si="27"/>
        <v>-1328.2217887478844</v>
      </c>
      <c r="O134" s="172">
        <v>0</v>
      </c>
      <c r="P134" s="172">
        <v>0</v>
      </c>
      <c r="Q134" s="172">
        <v>0</v>
      </c>
      <c r="R134" s="173">
        <f t="shared" si="28"/>
        <v>-1328.2217887478844</v>
      </c>
    </row>
    <row r="135" spans="1:18" x14ac:dyDescent="0.25">
      <c r="A135" s="129">
        <v>8</v>
      </c>
      <c r="B135" s="164">
        <f t="shared" si="35"/>
        <v>45505</v>
      </c>
      <c r="C135" s="187">
        <f t="shared" si="37"/>
        <v>45539</v>
      </c>
      <c r="D135" s="187">
        <f t="shared" si="37"/>
        <v>45559</v>
      </c>
      <c r="E135" s="52" t="s">
        <v>15</v>
      </c>
      <c r="F135" s="202">
        <v>9</v>
      </c>
      <c r="G135" s="167">
        <v>19</v>
      </c>
      <c r="H135" s="168">
        <f t="shared" si="25"/>
        <v>3093.08</v>
      </c>
      <c r="I135" s="168">
        <f t="shared" si="39"/>
        <v>3020.76</v>
      </c>
      <c r="J135" s="169">
        <f t="shared" si="36"/>
        <v>57394.44</v>
      </c>
      <c r="K135" s="176">
        <f t="shared" si="41"/>
        <v>58768.52</v>
      </c>
      <c r="L135" s="175">
        <f t="shared" si="40"/>
        <v>-1374.0799999999945</v>
      </c>
      <c r="M135" s="172">
        <f t="shared" si="26"/>
        <v>-110.40317565940566</v>
      </c>
      <c r="N135" s="173">
        <f t="shared" si="27"/>
        <v>-1484.4831756594001</v>
      </c>
      <c r="O135" s="172">
        <v>0</v>
      </c>
      <c r="P135" s="172">
        <v>0</v>
      </c>
      <c r="Q135" s="172">
        <v>0</v>
      </c>
      <c r="R135" s="173">
        <f t="shared" si="28"/>
        <v>-1484.4831756594001</v>
      </c>
    </row>
    <row r="136" spans="1:18" x14ac:dyDescent="0.25">
      <c r="A136" s="129">
        <v>9</v>
      </c>
      <c r="B136" s="164">
        <f t="shared" si="35"/>
        <v>45536</v>
      </c>
      <c r="C136" s="187">
        <f t="shared" si="37"/>
        <v>45568</v>
      </c>
      <c r="D136" s="187">
        <f t="shared" si="37"/>
        <v>45589</v>
      </c>
      <c r="E136" s="52" t="s">
        <v>15</v>
      </c>
      <c r="F136" s="202">
        <v>9</v>
      </c>
      <c r="G136" s="167">
        <v>11</v>
      </c>
      <c r="H136" s="168">
        <f t="shared" si="25"/>
        <v>3093.08</v>
      </c>
      <c r="I136" s="168">
        <f t="shared" si="39"/>
        <v>3020.76</v>
      </c>
      <c r="J136" s="169">
        <f t="shared" si="36"/>
        <v>33228.36</v>
      </c>
      <c r="K136" s="176">
        <f t="shared" si="41"/>
        <v>34023.879999999997</v>
      </c>
      <c r="L136" s="175">
        <f t="shared" si="40"/>
        <v>-795.5199999999968</v>
      </c>
      <c r="M136" s="172">
        <f t="shared" si="26"/>
        <v>-63.917628013340114</v>
      </c>
      <c r="N136" s="173">
        <f t="shared" si="27"/>
        <v>-859.43762801333696</v>
      </c>
      <c r="O136" s="172">
        <v>0</v>
      </c>
      <c r="P136" s="172">
        <v>0</v>
      </c>
      <c r="Q136" s="172">
        <v>0</v>
      </c>
      <c r="R136" s="173">
        <f t="shared" si="28"/>
        <v>-859.43762801333696</v>
      </c>
    </row>
    <row r="137" spans="1:18" x14ac:dyDescent="0.25">
      <c r="A137" s="93">
        <v>10</v>
      </c>
      <c r="B137" s="164">
        <f t="shared" si="35"/>
        <v>45566</v>
      </c>
      <c r="C137" s="187">
        <f t="shared" si="37"/>
        <v>45601</v>
      </c>
      <c r="D137" s="187">
        <f t="shared" si="37"/>
        <v>45621</v>
      </c>
      <c r="E137" s="52" t="s">
        <v>15</v>
      </c>
      <c r="F137" s="202">
        <v>9</v>
      </c>
      <c r="G137" s="167">
        <v>6</v>
      </c>
      <c r="H137" s="168">
        <f t="shared" si="25"/>
        <v>3093.08</v>
      </c>
      <c r="I137" s="168">
        <f t="shared" si="39"/>
        <v>3020.76</v>
      </c>
      <c r="J137" s="169">
        <f t="shared" si="36"/>
        <v>18124.560000000001</v>
      </c>
      <c r="K137" s="176">
        <f t="shared" si="41"/>
        <v>18558.48</v>
      </c>
      <c r="L137" s="175">
        <f t="shared" si="40"/>
        <v>-433.91999999999825</v>
      </c>
      <c r="M137" s="172">
        <f t="shared" si="26"/>
        <v>-34.864160734549152</v>
      </c>
      <c r="N137" s="173">
        <f t="shared" si="27"/>
        <v>-468.78416073454741</v>
      </c>
      <c r="O137" s="172">
        <v>0</v>
      </c>
      <c r="P137" s="172">
        <v>0</v>
      </c>
      <c r="Q137" s="172">
        <v>0</v>
      </c>
      <c r="R137" s="173">
        <f t="shared" si="28"/>
        <v>-468.78416073454741</v>
      </c>
    </row>
    <row r="138" spans="1:18" x14ac:dyDescent="0.25">
      <c r="A138" s="129">
        <v>11</v>
      </c>
      <c r="B138" s="164">
        <f t="shared" si="35"/>
        <v>45597</v>
      </c>
      <c r="C138" s="187">
        <f t="shared" si="37"/>
        <v>45630</v>
      </c>
      <c r="D138" s="187">
        <f t="shared" si="37"/>
        <v>45650</v>
      </c>
      <c r="E138" s="52" t="s">
        <v>15</v>
      </c>
      <c r="F138" s="202">
        <v>9</v>
      </c>
      <c r="G138" s="167">
        <v>6</v>
      </c>
      <c r="H138" s="168">
        <f t="shared" si="25"/>
        <v>3093.08</v>
      </c>
      <c r="I138" s="168">
        <f t="shared" si="39"/>
        <v>3020.76</v>
      </c>
      <c r="J138" s="169">
        <f t="shared" si="36"/>
        <v>18124.560000000001</v>
      </c>
      <c r="K138" s="176">
        <f t="shared" si="41"/>
        <v>18558.48</v>
      </c>
      <c r="L138" s="175">
        <f t="shared" si="40"/>
        <v>-433.91999999999825</v>
      </c>
      <c r="M138" s="172">
        <f t="shared" si="26"/>
        <v>-34.864160734549152</v>
      </c>
      <c r="N138" s="173">
        <f t="shared" si="27"/>
        <v>-468.78416073454741</v>
      </c>
      <c r="O138" s="172">
        <v>0</v>
      </c>
      <c r="P138" s="172">
        <v>0</v>
      </c>
      <c r="Q138" s="172">
        <v>0</v>
      </c>
      <c r="R138" s="173">
        <f t="shared" si="28"/>
        <v>-468.78416073454741</v>
      </c>
    </row>
    <row r="139" spans="1:18" s="191" customFormat="1" x14ac:dyDescent="0.25">
      <c r="A139" s="129">
        <v>12</v>
      </c>
      <c r="B139" s="189">
        <f t="shared" si="35"/>
        <v>45627</v>
      </c>
      <c r="C139" s="187">
        <f t="shared" si="37"/>
        <v>45660</v>
      </c>
      <c r="D139" s="187">
        <f t="shared" si="37"/>
        <v>45681</v>
      </c>
      <c r="E139" s="190" t="s">
        <v>15</v>
      </c>
      <c r="F139" s="204">
        <v>9</v>
      </c>
      <c r="G139" s="179">
        <v>6</v>
      </c>
      <c r="H139" s="180">
        <f t="shared" si="25"/>
        <v>3093.08</v>
      </c>
      <c r="I139" s="180">
        <f t="shared" si="39"/>
        <v>3020.76</v>
      </c>
      <c r="J139" s="181">
        <f t="shared" si="36"/>
        <v>18124.560000000001</v>
      </c>
      <c r="K139" s="182">
        <f t="shared" si="41"/>
        <v>18558.48</v>
      </c>
      <c r="L139" s="183">
        <f t="shared" si="40"/>
        <v>-433.91999999999825</v>
      </c>
      <c r="M139" s="172">
        <f t="shared" si="26"/>
        <v>-34.864160734549152</v>
      </c>
      <c r="N139" s="173">
        <f t="shared" si="27"/>
        <v>-468.78416073454741</v>
      </c>
      <c r="O139" s="172">
        <v>0</v>
      </c>
      <c r="P139" s="172">
        <v>0</v>
      </c>
      <c r="Q139" s="172">
        <v>0</v>
      </c>
      <c r="R139" s="173">
        <f t="shared" si="28"/>
        <v>-468.78416073454741</v>
      </c>
    </row>
    <row r="140" spans="1:18" x14ac:dyDescent="0.25">
      <c r="A140" s="93">
        <v>1</v>
      </c>
      <c r="B140" s="164">
        <f t="shared" si="35"/>
        <v>45292</v>
      </c>
      <c r="C140" s="185">
        <f t="shared" ref="C140:D151" si="42">+C128</f>
        <v>45327</v>
      </c>
      <c r="D140" s="185">
        <f t="shared" si="42"/>
        <v>45348</v>
      </c>
      <c r="E140" s="194" t="s">
        <v>16</v>
      </c>
      <c r="F140" s="202">
        <v>9</v>
      </c>
      <c r="G140" s="167">
        <v>4</v>
      </c>
      <c r="H140" s="168">
        <f t="shared" si="25"/>
        <v>3093.08</v>
      </c>
      <c r="I140" s="168">
        <f t="shared" si="39"/>
        <v>3020.76</v>
      </c>
      <c r="J140" s="169">
        <f t="shared" si="36"/>
        <v>12083.04</v>
      </c>
      <c r="K140" s="170">
        <f t="shared" si="41"/>
        <v>12372.32</v>
      </c>
      <c r="L140" s="171">
        <f t="shared" si="40"/>
        <v>-289.27999999999884</v>
      </c>
      <c r="M140" s="172">
        <f t="shared" si="26"/>
        <v>-23.242773823032771</v>
      </c>
      <c r="N140" s="173">
        <f t="shared" si="27"/>
        <v>-312.52277382303163</v>
      </c>
      <c r="O140" s="172">
        <v>0</v>
      </c>
      <c r="P140" s="172">
        <v>0</v>
      </c>
      <c r="Q140" s="172">
        <v>0</v>
      </c>
      <c r="R140" s="173">
        <f t="shared" si="28"/>
        <v>-312.52277382303163</v>
      </c>
    </row>
    <row r="141" spans="1:18" x14ac:dyDescent="0.25">
      <c r="A141" s="129">
        <v>2</v>
      </c>
      <c r="B141" s="164">
        <f t="shared" si="35"/>
        <v>45323</v>
      </c>
      <c r="C141" s="187">
        <f t="shared" si="42"/>
        <v>45356</v>
      </c>
      <c r="D141" s="187">
        <f t="shared" si="42"/>
        <v>45376</v>
      </c>
      <c r="E141" s="52" t="s">
        <v>16</v>
      </c>
      <c r="F141" s="202">
        <v>9</v>
      </c>
      <c r="G141" s="167">
        <v>3</v>
      </c>
      <c r="H141" s="168">
        <f t="shared" si="25"/>
        <v>3093.08</v>
      </c>
      <c r="I141" s="168">
        <f t="shared" si="39"/>
        <v>3020.76</v>
      </c>
      <c r="J141" s="169">
        <f t="shared" si="36"/>
        <v>9062.2800000000007</v>
      </c>
      <c r="K141" s="170">
        <f t="shared" si="41"/>
        <v>9279.24</v>
      </c>
      <c r="L141" s="171">
        <f t="shared" si="40"/>
        <v>-216.95999999999913</v>
      </c>
      <c r="M141" s="172">
        <f t="shared" si="26"/>
        <v>-17.432080367274576</v>
      </c>
      <c r="N141" s="173">
        <f t="shared" si="27"/>
        <v>-234.39208036727371</v>
      </c>
      <c r="O141" s="172">
        <v>0</v>
      </c>
      <c r="P141" s="172">
        <v>0</v>
      </c>
      <c r="Q141" s="172">
        <v>0</v>
      </c>
      <c r="R141" s="173">
        <f t="shared" si="28"/>
        <v>-234.39208036727371</v>
      </c>
    </row>
    <row r="142" spans="1:18" x14ac:dyDescent="0.25">
      <c r="A142" s="129">
        <v>3</v>
      </c>
      <c r="B142" s="164">
        <f t="shared" si="35"/>
        <v>45352</v>
      </c>
      <c r="C142" s="187">
        <f t="shared" si="42"/>
        <v>45385</v>
      </c>
      <c r="D142" s="187">
        <f t="shared" si="42"/>
        <v>45406</v>
      </c>
      <c r="E142" s="52" t="s">
        <v>16</v>
      </c>
      <c r="F142" s="202">
        <v>9</v>
      </c>
      <c r="G142" s="167">
        <v>3</v>
      </c>
      <c r="H142" s="168">
        <f t="shared" si="25"/>
        <v>3093.08</v>
      </c>
      <c r="I142" s="168">
        <f t="shared" si="39"/>
        <v>3020.76</v>
      </c>
      <c r="J142" s="169">
        <f t="shared" si="36"/>
        <v>9062.2800000000007</v>
      </c>
      <c r="K142" s="170">
        <f t="shared" si="41"/>
        <v>9279.24</v>
      </c>
      <c r="L142" s="171">
        <f>+J142-K142</f>
        <v>-216.95999999999913</v>
      </c>
      <c r="M142" s="172">
        <f t="shared" si="26"/>
        <v>-17.432080367274576</v>
      </c>
      <c r="N142" s="173">
        <f t="shared" si="27"/>
        <v>-234.39208036727371</v>
      </c>
      <c r="O142" s="172">
        <v>0</v>
      </c>
      <c r="P142" s="172">
        <v>0</v>
      </c>
      <c r="Q142" s="172">
        <v>0</v>
      </c>
      <c r="R142" s="173">
        <f t="shared" si="28"/>
        <v>-234.39208036727371</v>
      </c>
    </row>
    <row r="143" spans="1:18" x14ac:dyDescent="0.25">
      <c r="A143" s="93">
        <v>4</v>
      </c>
      <c r="B143" s="164">
        <f t="shared" si="35"/>
        <v>45383</v>
      </c>
      <c r="C143" s="187">
        <f t="shared" si="42"/>
        <v>45415</v>
      </c>
      <c r="D143" s="187">
        <f t="shared" si="42"/>
        <v>45436</v>
      </c>
      <c r="E143" s="52" t="s">
        <v>16</v>
      </c>
      <c r="F143" s="202">
        <v>9</v>
      </c>
      <c r="G143" s="167">
        <v>2</v>
      </c>
      <c r="H143" s="168">
        <f t="shared" si="25"/>
        <v>3093.08</v>
      </c>
      <c r="I143" s="168">
        <f t="shared" si="39"/>
        <v>3020.76</v>
      </c>
      <c r="J143" s="169">
        <f t="shared" si="36"/>
        <v>6041.52</v>
      </c>
      <c r="K143" s="170">
        <f t="shared" si="41"/>
        <v>6186.16</v>
      </c>
      <c r="L143" s="171">
        <f t="shared" ref="L143:L153" si="43">+J143-K143</f>
        <v>-144.63999999999942</v>
      </c>
      <c r="M143" s="172">
        <f t="shared" si="26"/>
        <v>-11.621386911516385</v>
      </c>
      <c r="N143" s="173">
        <f t="shared" si="27"/>
        <v>-156.26138691151581</v>
      </c>
      <c r="O143" s="172">
        <v>0</v>
      </c>
      <c r="P143" s="172">
        <v>0</v>
      </c>
      <c r="Q143" s="172">
        <v>0</v>
      </c>
      <c r="R143" s="173">
        <f t="shared" si="28"/>
        <v>-156.26138691151581</v>
      </c>
    </row>
    <row r="144" spans="1:18" x14ac:dyDescent="0.25">
      <c r="A144" s="129">
        <v>5</v>
      </c>
      <c r="B144" s="164">
        <f t="shared" si="35"/>
        <v>45413</v>
      </c>
      <c r="C144" s="187">
        <f t="shared" si="42"/>
        <v>45448</v>
      </c>
      <c r="D144" s="187">
        <f t="shared" si="42"/>
        <v>45467</v>
      </c>
      <c r="E144" s="52" t="s">
        <v>16</v>
      </c>
      <c r="F144" s="202">
        <v>9</v>
      </c>
      <c r="G144" s="167">
        <v>4</v>
      </c>
      <c r="H144" s="168">
        <f t="shared" si="25"/>
        <v>3093.08</v>
      </c>
      <c r="I144" s="168">
        <f t="shared" si="39"/>
        <v>3020.76</v>
      </c>
      <c r="J144" s="169">
        <f t="shared" si="36"/>
        <v>12083.04</v>
      </c>
      <c r="K144" s="170">
        <f t="shared" si="41"/>
        <v>12372.32</v>
      </c>
      <c r="L144" s="171">
        <f t="shared" si="43"/>
        <v>-289.27999999999884</v>
      </c>
      <c r="M144" s="172">
        <f t="shared" si="26"/>
        <v>-23.242773823032771</v>
      </c>
      <c r="N144" s="173">
        <f t="shared" si="27"/>
        <v>-312.52277382303163</v>
      </c>
      <c r="O144" s="172">
        <v>0</v>
      </c>
      <c r="P144" s="172">
        <v>0</v>
      </c>
      <c r="Q144" s="172">
        <v>0</v>
      </c>
      <c r="R144" s="173">
        <f t="shared" si="28"/>
        <v>-312.52277382303163</v>
      </c>
    </row>
    <row r="145" spans="1:19" x14ac:dyDescent="0.25">
      <c r="A145" s="129">
        <v>6</v>
      </c>
      <c r="B145" s="164">
        <f t="shared" si="35"/>
        <v>45444</v>
      </c>
      <c r="C145" s="187">
        <f t="shared" si="42"/>
        <v>45476</v>
      </c>
      <c r="D145" s="187">
        <f t="shared" si="42"/>
        <v>45497</v>
      </c>
      <c r="E145" s="52" t="s">
        <v>16</v>
      </c>
      <c r="F145" s="202">
        <v>9</v>
      </c>
      <c r="G145" s="167">
        <v>4</v>
      </c>
      <c r="H145" s="168">
        <f t="shared" si="25"/>
        <v>3093.08</v>
      </c>
      <c r="I145" s="168">
        <f t="shared" si="39"/>
        <v>3020.76</v>
      </c>
      <c r="J145" s="169">
        <f t="shared" si="36"/>
        <v>12083.04</v>
      </c>
      <c r="K145" s="170">
        <f t="shared" si="41"/>
        <v>12372.32</v>
      </c>
      <c r="L145" s="175">
        <f t="shared" si="43"/>
        <v>-289.27999999999884</v>
      </c>
      <c r="M145" s="172">
        <f t="shared" si="26"/>
        <v>-23.242773823032771</v>
      </c>
      <c r="N145" s="173">
        <f t="shared" si="27"/>
        <v>-312.52277382303163</v>
      </c>
      <c r="O145" s="172">
        <v>0</v>
      </c>
      <c r="P145" s="172">
        <v>0</v>
      </c>
      <c r="Q145" s="172">
        <v>0</v>
      </c>
      <c r="R145" s="173">
        <f t="shared" si="28"/>
        <v>-312.52277382303163</v>
      </c>
    </row>
    <row r="146" spans="1:19" x14ac:dyDescent="0.25">
      <c r="A146" s="93">
        <v>7</v>
      </c>
      <c r="B146" s="164">
        <f t="shared" si="35"/>
        <v>45474</v>
      </c>
      <c r="C146" s="187">
        <f t="shared" si="42"/>
        <v>45509</v>
      </c>
      <c r="D146" s="187">
        <f t="shared" si="42"/>
        <v>45530</v>
      </c>
      <c r="E146" s="52" t="s">
        <v>16</v>
      </c>
      <c r="F146" s="202">
        <v>9</v>
      </c>
      <c r="G146" s="167">
        <v>6</v>
      </c>
      <c r="H146" s="168">
        <f t="shared" si="25"/>
        <v>3093.08</v>
      </c>
      <c r="I146" s="168">
        <f t="shared" si="39"/>
        <v>3020.76</v>
      </c>
      <c r="J146" s="169">
        <f t="shared" si="36"/>
        <v>18124.560000000001</v>
      </c>
      <c r="K146" s="176">
        <f t="shared" si="41"/>
        <v>18558.48</v>
      </c>
      <c r="L146" s="175">
        <f t="shared" si="43"/>
        <v>-433.91999999999825</v>
      </c>
      <c r="M146" s="172">
        <f t="shared" si="26"/>
        <v>-34.864160734549152</v>
      </c>
      <c r="N146" s="173">
        <f t="shared" si="27"/>
        <v>-468.78416073454741</v>
      </c>
      <c r="O146" s="172">
        <v>0</v>
      </c>
      <c r="P146" s="172">
        <v>0</v>
      </c>
      <c r="Q146" s="172">
        <v>0</v>
      </c>
      <c r="R146" s="173">
        <f t="shared" si="28"/>
        <v>-468.78416073454741</v>
      </c>
    </row>
    <row r="147" spans="1:19" x14ac:dyDescent="0.25">
      <c r="A147" s="129">
        <v>8</v>
      </c>
      <c r="B147" s="164">
        <f t="shared" si="35"/>
        <v>45505</v>
      </c>
      <c r="C147" s="187">
        <f t="shared" si="42"/>
        <v>45539</v>
      </c>
      <c r="D147" s="187">
        <f t="shared" si="42"/>
        <v>45559</v>
      </c>
      <c r="E147" s="52" t="s">
        <v>16</v>
      </c>
      <c r="F147" s="202">
        <v>9</v>
      </c>
      <c r="G147" s="167">
        <v>6</v>
      </c>
      <c r="H147" s="168">
        <f t="shared" si="25"/>
        <v>3093.08</v>
      </c>
      <c r="I147" s="168">
        <f t="shared" si="39"/>
        <v>3020.76</v>
      </c>
      <c r="J147" s="169">
        <f t="shared" si="36"/>
        <v>18124.560000000001</v>
      </c>
      <c r="K147" s="176">
        <f t="shared" si="41"/>
        <v>18558.48</v>
      </c>
      <c r="L147" s="175">
        <f t="shared" si="43"/>
        <v>-433.91999999999825</v>
      </c>
      <c r="M147" s="172">
        <f t="shared" si="26"/>
        <v>-34.864160734549152</v>
      </c>
      <c r="N147" s="173">
        <f t="shared" si="27"/>
        <v>-468.78416073454741</v>
      </c>
      <c r="O147" s="172">
        <v>0</v>
      </c>
      <c r="P147" s="172">
        <v>0</v>
      </c>
      <c r="Q147" s="172">
        <v>0</v>
      </c>
      <c r="R147" s="173">
        <f t="shared" si="28"/>
        <v>-468.78416073454741</v>
      </c>
    </row>
    <row r="148" spans="1:19" x14ac:dyDescent="0.25">
      <c r="A148" s="129">
        <v>9</v>
      </c>
      <c r="B148" s="164">
        <f t="shared" si="35"/>
        <v>45536</v>
      </c>
      <c r="C148" s="187">
        <f t="shared" si="42"/>
        <v>45568</v>
      </c>
      <c r="D148" s="187">
        <f t="shared" si="42"/>
        <v>45589</v>
      </c>
      <c r="E148" s="52" t="s">
        <v>16</v>
      </c>
      <c r="F148" s="202">
        <v>9</v>
      </c>
      <c r="G148" s="167">
        <v>3</v>
      </c>
      <c r="H148" s="168">
        <f t="shared" si="25"/>
        <v>3093.08</v>
      </c>
      <c r="I148" s="168">
        <f t="shared" ref="I148:I179" si="44">$J$3</f>
        <v>3020.76</v>
      </c>
      <c r="J148" s="169">
        <f t="shared" si="36"/>
        <v>9062.2800000000007</v>
      </c>
      <c r="K148" s="176">
        <f t="shared" si="41"/>
        <v>9279.24</v>
      </c>
      <c r="L148" s="175">
        <f t="shared" si="43"/>
        <v>-216.95999999999913</v>
      </c>
      <c r="M148" s="172">
        <f t="shared" si="26"/>
        <v>-17.432080367274576</v>
      </c>
      <c r="N148" s="173">
        <f t="shared" si="27"/>
        <v>-234.39208036727371</v>
      </c>
      <c r="O148" s="172">
        <v>0</v>
      </c>
      <c r="P148" s="172">
        <v>0</v>
      </c>
      <c r="Q148" s="172">
        <v>0</v>
      </c>
      <c r="R148" s="173">
        <f t="shared" si="28"/>
        <v>-234.39208036727371</v>
      </c>
    </row>
    <row r="149" spans="1:19" x14ac:dyDescent="0.25">
      <c r="A149" s="93">
        <v>10</v>
      </c>
      <c r="B149" s="164">
        <f t="shared" ref="B149:B211" si="45">DATE($R$1,A149,1)</f>
        <v>45566</v>
      </c>
      <c r="C149" s="187">
        <f t="shared" si="42"/>
        <v>45601</v>
      </c>
      <c r="D149" s="187">
        <f t="shared" si="42"/>
        <v>45621</v>
      </c>
      <c r="E149" s="52" t="s">
        <v>16</v>
      </c>
      <c r="F149" s="202">
        <v>9</v>
      </c>
      <c r="G149" s="167">
        <v>6</v>
      </c>
      <c r="H149" s="168">
        <f t="shared" ref="H149:H211" si="46">+$K$3</f>
        <v>3093.08</v>
      </c>
      <c r="I149" s="168">
        <f t="shared" si="44"/>
        <v>3020.76</v>
      </c>
      <c r="J149" s="169">
        <f t="shared" ref="J149:J211" si="47">+$G149*I149</f>
        <v>18124.560000000001</v>
      </c>
      <c r="K149" s="176">
        <f t="shared" si="41"/>
        <v>18558.48</v>
      </c>
      <c r="L149" s="175">
        <f t="shared" si="43"/>
        <v>-433.91999999999825</v>
      </c>
      <c r="M149" s="172">
        <f t="shared" ref="M149:M211" si="48">G149/$G$212*$M$14</f>
        <v>-34.864160734549152</v>
      </c>
      <c r="N149" s="173">
        <f t="shared" ref="N149:N211" si="49">SUM(L149:M149)</f>
        <v>-468.78416073454741</v>
      </c>
      <c r="O149" s="172">
        <v>0</v>
      </c>
      <c r="P149" s="172">
        <v>0</v>
      </c>
      <c r="Q149" s="172">
        <v>0</v>
      </c>
      <c r="R149" s="173">
        <f t="shared" ref="R149:R211" si="50">+N149-Q149</f>
        <v>-468.78416073454741</v>
      </c>
    </row>
    <row r="150" spans="1:19" x14ac:dyDescent="0.25">
      <c r="A150" s="129">
        <v>11</v>
      </c>
      <c r="B150" s="164">
        <f t="shared" si="45"/>
        <v>45597</v>
      </c>
      <c r="C150" s="187">
        <f t="shared" si="42"/>
        <v>45630</v>
      </c>
      <c r="D150" s="187">
        <f t="shared" si="42"/>
        <v>45650</v>
      </c>
      <c r="E150" s="52" t="s">
        <v>16</v>
      </c>
      <c r="F150" s="202">
        <v>9</v>
      </c>
      <c r="G150" s="167">
        <v>1</v>
      </c>
      <c r="H150" s="168">
        <f t="shared" si="46"/>
        <v>3093.08</v>
      </c>
      <c r="I150" s="168">
        <f t="shared" si="44"/>
        <v>3020.76</v>
      </c>
      <c r="J150" s="169">
        <f t="shared" si="47"/>
        <v>3020.76</v>
      </c>
      <c r="K150" s="176">
        <f t="shared" si="41"/>
        <v>3093.08</v>
      </c>
      <c r="L150" s="175">
        <f t="shared" si="43"/>
        <v>-72.319999999999709</v>
      </c>
      <c r="M150" s="172">
        <f t="shared" si="48"/>
        <v>-5.8106934557581926</v>
      </c>
      <c r="N150" s="173">
        <f t="shared" si="49"/>
        <v>-78.130693455757907</v>
      </c>
      <c r="O150" s="172">
        <v>0</v>
      </c>
      <c r="P150" s="172">
        <v>0</v>
      </c>
      <c r="Q150" s="172">
        <v>0</v>
      </c>
      <c r="R150" s="173">
        <f t="shared" si="50"/>
        <v>-78.130693455757907</v>
      </c>
    </row>
    <row r="151" spans="1:19" s="191" customFormat="1" x14ac:dyDescent="0.25">
      <c r="A151" s="129">
        <v>12</v>
      </c>
      <c r="B151" s="189">
        <f t="shared" si="45"/>
        <v>45627</v>
      </c>
      <c r="C151" s="187">
        <f t="shared" si="42"/>
        <v>45660</v>
      </c>
      <c r="D151" s="187">
        <f t="shared" si="42"/>
        <v>45681</v>
      </c>
      <c r="E151" s="190" t="s">
        <v>16</v>
      </c>
      <c r="F151" s="204">
        <v>9</v>
      </c>
      <c r="G151" s="179">
        <v>3</v>
      </c>
      <c r="H151" s="180">
        <f t="shared" si="46"/>
        <v>3093.08</v>
      </c>
      <c r="I151" s="180">
        <f t="shared" si="44"/>
        <v>3020.76</v>
      </c>
      <c r="J151" s="181">
        <f t="shared" si="47"/>
        <v>9062.2800000000007</v>
      </c>
      <c r="K151" s="182">
        <f t="shared" si="41"/>
        <v>9279.24</v>
      </c>
      <c r="L151" s="183">
        <f t="shared" si="43"/>
        <v>-216.95999999999913</v>
      </c>
      <c r="M151" s="172">
        <f t="shared" si="48"/>
        <v>-17.432080367274576</v>
      </c>
      <c r="N151" s="173">
        <f t="shared" si="49"/>
        <v>-234.39208036727371</v>
      </c>
      <c r="O151" s="172">
        <v>0</v>
      </c>
      <c r="P151" s="172">
        <v>0</v>
      </c>
      <c r="Q151" s="172">
        <v>0</v>
      </c>
      <c r="R151" s="173">
        <f t="shared" si="50"/>
        <v>-234.39208036727371</v>
      </c>
    </row>
    <row r="152" spans="1:19" x14ac:dyDescent="0.25">
      <c r="A152" s="93">
        <v>1</v>
      </c>
      <c r="B152" s="164">
        <f t="shared" si="45"/>
        <v>45292</v>
      </c>
      <c r="C152" s="185">
        <f t="shared" ref="C152:D171" si="51">+C140</f>
        <v>45327</v>
      </c>
      <c r="D152" s="185">
        <f t="shared" si="51"/>
        <v>45348</v>
      </c>
      <c r="E152" s="194" t="s">
        <v>54</v>
      </c>
      <c r="F152" s="116">
        <v>9</v>
      </c>
      <c r="G152" s="167">
        <v>145</v>
      </c>
      <c r="H152" s="168">
        <f t="shared" si="46"/>
        <v>3093.08</v>
      </c>
      <c r="I152" s="168">
        <f t="shared" si="44"/>
        <v>3020.76</v>
      </c>
      <c r="J152" s="169">
        <f t="shared" si="47"/>
        <v>438010.2</v>
      </c>
      <c r="K152" s="170">
        <f t="shared" si="41"/>
        <v>448496.6</v>
      </c>
      <c r="L152" s="171">
        <f t="shared" si="43"/>
        <v>-10486.399999999965</v>
      </c>
      <c r="M152" s="172">
        <f t="shared" si="48"/>
        <v>-842.55055108493798</v>
      </c>
      <c r="N152" s="173">
        <f t="shared" si="49"/>
        <v>-11328.950551084903</v>
      </c>
      <c r="O152" s="172">
        <v>0</v>
      </c>
      <c r="P152" s="172">
        <v>0</v>
      </c>
      <c r="Q152" s="172">
        <v>0</v>
      </c>
      <c r="R152" s="173">
        <f t="shared" si="50"/>
        <v>-11328.950551084903</v>
      </c>
    </row>
    <row r="153" spans="1:19" x14ac:dyDescent="0.25">
      <c r="A153" s="129">
        <v>2</v>
      </c>
      <c r="B153" s="164">
        <f t="shared" si="45"/>
        <v>45323</v>
      </c>
      <c r="C153" s="187">
        <f t="shared" si="51"/>
        <v>45356</v>
      </c>
      <c r="D153" s="187">
        <f t="shared" si="51"/>
        <v>45376</v>
      </c>
      <c r="E153" s="195" t="s">
        <v>54</v>
      </c>
      <c r="F153" s="202">
        <v>9</v>
      </c>
      <c r="G153" s="167">
        <v>100</v>
      </c>
      <c r="H153" s="168">
        <f t="shared" si="46"/>
        <v>3093.08</v>
      </c>
      <c r="I153" s="168">
        <f t="shared" si="44"/>
        <v>3020.76</v>
      </c>
      <c r="J153" s="169">
        <f t="shared" si="47"/>
        <v>302076</v>
      </c>
      <c r="K153" s="170">
        <f t="shared" si="41"/>
        <v>309308</v>
      </c>
      <c r="L153" s="171">
        <f t="shared" si="43"/>
        <v>-7232</v>
      </c>
      <c r="M153" s="172">
        <f t="shared" si="48"/>
        <v>-581.06934557581928</v>
      </c>
      <c r="N153" s="173">
        <f t="shared" si="49"/>
        <v>-7813.0693455758192</v>
      </c>
      <c r="O153" s="172">
        <v>0</v>
      </c>
      <c r="P153" s="172">
        <v>0</v>
      </c>
      <c r="Q153" s="172">
        <v>0</v>
      </c>
      <c r="R153" s="173">
        <f t="shared" si="50"/>
        <v>-7813.0693455758192</v>
      </c>
    </row>
    <row r="154" spans="1:19" x14ac:dyDescent="0.25">
      <c r="A154" s="129">
        <v>3</v>
      </c>
      <c r="B154" s="164">
        <f t="shared" si="45"/>
        <v>45352</v>
      </c>
      <c r="C154" s="187">
        <f t="shared" si="51"/>
        <v>45385</v>
      </c>
      <c r="D154" s="187">
        <f t="shared" si="51"/>
        <v>45406</v>
      </c>
      <c r="E154" s="195" t="s">
        <v>54</v>
      </c>
      <c r="F154" s="202">
        <v>9</v>
      </c>
      <c r="G154" s="167">
        <v>92</v>
      </c>
      <c r="H154" s="168">
        <f t="shared" si="46"/>
        <v>3093.08</v>
      </c>
      <c r="I154" s="168">
        <f t="shared" si="44"/>
        <v>3020.76</v>
      </c>
      <c r="J154" s="169">
        <f t="shared" si="47"/>
        <v>277909.92000000004</v>
      </c>
      <c r="K154" s="170">
        <f t="shared" si="41"/>
        <v>284563.36</v>
      </c>
      <c r="L154" s="171">
        <f>+J154-K154</f>
        <v>-6653.4399999999441</v>
      </c>
      <c r="M154" s="172">
        <f t="shared" si="48"/>
        <v>-534.5837979297537</v>
      </c>
      <c r="N154" s="173">
        <f t="shared" si="49"/>
        <v>-7188.023797929698</v>
      </c>
      <c r="O154" s="172">
        <v>0</v>
      </c>
      <c r="P154" s="172">
        <v>0</v>
      </c>
      <c r="Q154" s="172">
        <v>0</v>
      </c>
      <c r="R154" s="173">
        <f t="shared" si="50"/>
        <v>-7188.023797929698</v>
      </c>
    </row>
    <row r="155" spans="1:19" x14ac:dyDescent="0.25">
      <c r="A155" s="93">
        <v>4</v>
      </c>
      <c r="B155" s="164">
        <f t="shared" si="45"/>
        <v>45383</v>
      </c>
      <c r="C155" s="187">
        <f t="shared" si="51"/>
        <v>45415</v>
      </c>
      <c r="D155" s="187">
        <f t="shared" si="51"/>
        <v>45436</v>
      </c>
      <c r="E155" s="195" t="s">
        <v>54</v>
      </c>
      <c r="F155" s="202">
        <v>9</v>
      </c>
      <c r="G155" s="167">
        <v>101</v>
      </c>
      <c r="H155" s="168">
        <f t="shared" si="46"/>
        <v>3093.08</v>
      </c>
      <c r="I155" s="168">
        <f t="shared" si="44"/>
        <v>3020.76</v>
      </c>
      <c r="J155" s="169">
        <f t="shared" si="47"/>
        <v>305096.76</v>
      </c>
      <c r="K155" s="170">
        <f t="shared" si="41"/>
        <v>312401.08</v>
      </c>
      <c r="L155" s="171">
        <f t="shared" ref="L155:L165" si="52">+J155-K155</f>
        <v>-7304.320000000007</v>
      </c>
      <c r="M155" s="172">
        <f t="shared" si="48"/>
        <v>-586.88003903157744</v>
      </c>
      <c r="N155" s="173">
        <f t="shared" si="49"/>
        <v>-7891.2000390315843</v>
      </c>
      <c r="O155" s="172">
        <v>0</v>
      </c>
      <c r="P155" s="172">
        <v>0</v>
      </c>
      <c r="Q155" s="172">
        <v>0</v>
      </c>
      <c r="R155" s="173">
        <f t="shared" si="50"/>
        <v>-7891.2000390315843</v>
      </c>
    </row>
    <row r="156" spans="1:19" x14ac:dyDescent="0.25">
      <c r="A156" s="129">
        <v>5</v>
      </c>
      <c r="B156" s="164">
        <f t="shared" si="45"/>
        <v>45413</v>
      </c>
      <c r="C156" s="187">
        <f t="shared" si="51"/>
        <v>45448</v>
      </c>
      <c r="D156" s="187">
        <f t="shared" si="51"/>
        <v>45467</v>
      </c>
      <c r="E156" s="195" t="s">
        <v>54</v>
      </c>
      <c r="F156" s="202">
        <v>9</v>
      </c>
      <c r="G156" s="167">
        <v>118</v>
      </c>
      <c r="H156" s="168">
        <f t="shared" si="46"/>
        <v>3093.08</v>
      </c>
      <c r="I156" s="168">
        <f t="shared" si="44"/>
        <v>3020.76</v>
      </c>
      <c r="J156" s="169">
        <f t="shared" si="47"/>
        <v>356449.68000000005</v>
      </c>
      <c r="K156" s="170">
        <f t="shared" si="41"/>
        <v>364983.44</v>
      </c>
      <c r="L156" s="171">
        <f t="shared" si="52"/>
        <v>-8533.7599999999511</v>
      </c>
      <c r="M156" s="172">
        <f t="shared" si="48"/>
        <v>-685.66182777946676</v>
      </c>
      <c r="N156" s="173">
        <f t="shared" si="49"/>
        <v>-9219.4218277794171</v>
      </c>
      <c r="O156" s="172">
        <v>0</v>
      </c>
      <c r="P156" s="172">
        <v>0</v>
      </c>
      <c r="Q156" s="172">
        <v>0</v>
      </c>
      <c r="R156" s="173">
        <f t="shared" si="50"/>
        <v>-9219.4218277794171</v>
      </c>
    </row>
    <row r="157" spans="1:19" x14ac:dyDescent="0.25">
      <c r="A157" s="129">
        <v>6</v>
      </c>
      <c r="B157" s="164">
        <f t="shared" si="45"/>
        <v>45444</v>
      </c>
      <c r="C157" s="187">
        <f t="shared" si="51"/>
        <v>45476</v>
      </c>
      <c r="D157" s="187">
        <f t="shared" si="51"/>
        <v>45497</v>
      </c>
      <c r="E157" s="195" t="s">
        <v>54</v>
      </c>
      <c r="F157" s="202">
        <v>9</v>
      </c>
      <c r="G157" s="167">
        <v>173</v>
      </c>
      <c r="H157" s="168">
        <f t="shared" si="46"/>
        <v>3093.08</v>
      </c>
      <c r="I157" s="168">
        <f t="shared" si="44"/>
        <v>3020.76</v>
      </c>
      <c r="J157" s="169">
        <f t="shared" si="47"/>
        <v>522591.48000000004</v>
      </c>
      <c r="K157" s="170">
        <f t="shared" si="41"/>
        <v>535102.84</v>
      </c>
      <c r="L157" s="175">
        <f t="shared" si="52"/>
        <v>-12511.359999999928</v>
      </c>
      <c r="M157" s="172">
        <f t="shared" si="48"/>
        <v>-1005.2499678461672</v>
      </c>
      <c r="N157" s="173">
        <f t="shared" si="49"/>
        <v>-13516.609967846096</v>
      </c>
      <c r="O157" s="172">
        <v>0</v>
      </c>
      <c r="P157" s="172">
        <v>0</v>
      </c>
      <c r="Q157" s="172">
        <v>0</v>
      </c>
      <c r="R157" s="173">
        <f t="shared" si="50"/>
        <v>-13516.609967846096</v>
      </c>
    </row>
    <row r="158" spans="1:19" x14ac:dyDescent="0.25">
      <c r="A158" s="93">
        <v>7</v>
      </c>
      <c r="B158" s="164">
        <f t="shared" si="45"/>
        <v>45474</v>
      </c>
      <c r="C158" s="187">
        <f t="shared" si="51"/>
        <v>45509</v>
      </c>
      <c r="D158" s="187">
        <f t="shared" si="51"/>
        <v>45530</v>
      </c>
      <c r="E158" s="195" t="s">
        <v>54</v>
      </c>
      <c r="F158" s="202">
        <v>9</v>
      </c>
      <c r="G158" s="167">
        <v>164</v>
      </c>
      <c r="H158" s="168">
        <f t="shared" si="46"/>
        <v>3093.08</v>
      </c>
      <c r="I158" s="168">
        <f t="shared" si="44"/>
        <v>3020.76</v>
      </c>
      <c r="J158" s="169">
        <f t="shared" si="47"/>
        <v>495404.64</v>
      </c>
      <c r="K158" s="176">
        <f t="shared" si="41"/>
        <v>507265.12</v>
      </c>
      <c r="L158" s="175">
        <f t="shared" si="52"/>
        <v>-11860.479999999981</v>
      </c>
      <c r="M158" s="172">
        <f t="shared" si="48"/>
        <v>-952.95372674434361</v>
      </c>
      <c r="N158" s="173">
        <f t="shared" si="49"/>
        <v>-12813.433726744324</v>
      </c>
      <c r="O158" s="172">
        <v>0</v>
      </c>
      <c r="P158" s="172">
        <v>0</v>
      </c>
      <c r="Q158" s="172">
        <v>0</v>
      </c>
      <c r="R158" s="173">
        <f t="shared" si="50"/>
        <v>-12813.433726744324</v>
      </c>
    </row>
    <row r="159" spans="1:19" x14ac:dyDescent="0.25">
      <c r="A159" s="129">
        <v>8</v>
      </c>
      <c r="B159" s="164">
        <f t="shared" si="45"/>
        <v>45505</v>
      </c>
      <c r="C159" s="187">
        <f t="shared" si="51"/>
        <v>45539</v>
      </c>
      <c r="D159" s="187">
        <f t="shared" si="51"/>
        <v>45559</v>
      </c>
      <c r="E159" s="195" t="s">
        <v>54</v>
      </c>
      <c r="F159" s="116">
        <v>9</v>
      </c>
      <c r="G159" s="167">
        <v>170</v>
      </c>
      <c r="H159" s="168">
        <f t="shared" si="46"/>
        <v>3093.08</v>
      </c>
      <c r="I159" s="168">
        <f t="shared" si="44"/>
        <v>3020.76</v>
      </c>
      <c r="J159" s="169">
        <f t="shared" si="47"/>
        <v>513529.2</v>
      </c>
      <c r="K159" s="176">
        <f t="shared" si="41"/>
        <v>525823.6</v>
      </c>
      <c r="L159" s="175">
        <f t="shared" si="52"/>
        <v>-12294.399999999965</v>
      </c>
      <c r="M159" s="172">
        <f t="shared" si="48"/>
        <v>-987.81788747889277</v>
      </c>
      <c r="N159" s="173">
        <f t="shared" si="49"/>
        <v>-13282.217887478859</v>
      </c>
      <c r="O159" s="172">
        <v>0</v>
      </c>
      <c r="P159" s="172">
        <v>0</v>
      </c>
      <c r="Q159" s="172">
        <v>0</v>
      </c>
      <c r="R159" s="173">
        <f t="shared" si="50"/>
        <v>-13282.217887478859</v>
      </c>
      <c r="S159" s="50"/>
    </row>
    <row r="160" spans="1:19" x14ac:dyDescent="0.25">
      <c r="A160" s="129">
        <v>9</v>
      </c>
      <c r="B160" s="164">
        <f t="shared" si="45"/>
        <v>45536</v>
      </c>
      <c r="C160" s="187">
        <f t="shared" si="51"/>
        <v>45568</v>
      </c>
      <c r="D160" s="187">
        <f t="shared" si="51"/>
        <v>45589</v>
      </c>
      <c r="E160" s="195" t="s">
        <v>54</v>
      </c>
      <c r="F160" s="116">
        <v>9</v>
      </c>
      <c r="G160" s="167">
        <v>156</v>
      </c>
      <c r="H160" s="168">
        <f t="shared" si="46"/>
        <v>3093.08</v>
      </c>
      <c r="I160" s="168">
        <f t="shared" si="44"/>
        <v>3020.76</v>
      </c>
      <c r="J160" s="169">
        <f t="shared" si="47"/>
        <v>471238.56000000006</v>
      </c>
      <c r="K160" s="176">
        <f t="shared" si="41"/>
        <v>482520.48</v>
      </c>
      <c r="L160" s="175">
        <f t="shared" si="52"/>
        <v>-11281.919999999925</v>
      </c>
      <c r="M160" s="172">
        <f t="shared" si="48"/>
        <v>-906.46817909827803</v>
      </c>
      <c r="N160" s="173">
        <f t="shared" si="49"/>
        <v>-12188.388179098203</v>
      </c>
      <c r="O160" s="172">
        <v>0</v>
      </c>
      <c r="P160" s="172">
        <v>0</v>
      </c>
      <c r="Q160" s="172">
        <v>0</v>
      </c>
      <c r="R160" s="173">
        <f t="shared" si="50"/>
        <v>-12188.388179098203</v>
      </c>
    </row>
    <row r="161" spans="1:19" x14ac:dyDescent="0.25">
      <c r="A161" s="93">
        <v>10</v>
      </c>
      <c r="B161" s="164">
        <f t="shared" si="45"/>
        <v>45566</v>
      </c>
      <c r="C161" s="187">
        <f t="shared" si="51"/>
        <v>45601</v>
      </c>
      <c r="D161" s="187">
        <f t="shared" si="51"/>
        <v>45621</v>
      </c>
      <c r="E161" s="195" t="s">
        <v>54</v>
      </c>
      <c r="F161" s="116">
        <v>9</v>
      </c>
      <c r="G161" s="167">
        <v>139</v>
      </c>
      <c r="H161" s="168">
        <f t="shared" si="46"/>
        <v>3093.08</v>
      </c>
      <c r="I161" s="168">
        <f t="shared" si="44"/>
        <v>3020.76</v>
      </c>
      <c r="J161" s="169">
        <f t="shared" si="47"/>
        <v>419885.64</v>
      </c>
      <c r="K161" s="176">
        <f t="shared" si="41"/>
        <v>429938.12</v>
      </c>
      <c r="L161" s="175">
        <f t="shared" si="52"/>
        <v>-10052.479999999981</v>
      </c>
      <c r="M161" s="172">
        <f t="shared" si="48"/>
        <v>-807.68639035038882</v>
      </c>
      <c r="N161" s="173">
        <f t="shared" si="49"/>
        <v>-10860.16639035037</v>
      </c>
      <c r="O161" s="172">
        <v>0</v>
      </c>
      <c r="P161" s="172">
        <v>0</v>
      </c>
      <c r="Q161" s="172">
        <v>0</v>
      </c>
      <c r="R161" s="173">
        <f t="shared" si="50"/>
        <v>-10860.16639035037</v>
      </c>
    </row>
    <row r="162" spans="1:19" x14ac:dyDescent="0.25">
      <c r="A162" s="129">
        <v>11</v>
      </c>
      <c r="B162" s="164">
        <f t="shared" si="45"/>
        <v>45597</v>
      </c>
      <c r="C162" s="187">
        <f t="shared" si="51"/>
        <v>45630</v>
      </c>
      <c r="D162" s="187">
        <f t="shared" si="51"/>
        <v>45650</v>
      </c>
      <c r="E162" s="195" t="s">
        <v>54</v>
      </c>
      <c r="F162" s="116">
        <v>9</v>
      </c>
      <c r="G162" s="167">
        <v>90</v>
      </c>
      <c r="H162" s="168">
        <f t="shared" si="46"/>
        <v>3093.08</v>
      </c>
      <c r="I162" s="168">
        <f t="shared" si="44"/>
        <v>3020.76</v>
      </c>
      <c r="J162" s="169">
        <f t="shared" si="47"/>
        <v>271868.40000000002</v>
      </c>
      <c r="K162" s="176">
        <f t="shared" si="41"/>
        <v>278377.2</v>
      </c>
      <c r="L162" s="175">
        <f t="shared" si="52"/>
        <v>-6508.7999999999884</v>
      </c>
      <c r="M162" s="172">
        <f t="shared" si="48"/>
        <v>-522.96241101823739</v>
      </c>
      <c r="N162" s="173">
        <f t="shared" si="49"/>
        <v>-7031.762411018226</v>
      </c>
      <c r="O162" s="172">
        <v>0</v>
      </c>
      <c r="P162" s="172">
        <v>0</v>
      </c>
      <c r="Q162" s="172">
        <v>0</v>
      </c>
      <c r="R162" s="173">
        <f t="shared" si="50"/>
        <v>-7031.762411018226</v>
      </c>
    </row>
    <row r="163" spans="1:19" s="191" customFormat="1" x14ac:dyDescent="0.25">
      <c r="A163" s="129">
        <v>12</v>
      </c>
      <c r="B163" s="189">
        <f t="shared" si="45"/>
        <v>45627</v>
      </c>
      <c r="C163" s="187">
        <f t="shared" si="51"/>
        <v>45660</v>
      </c>
      <c r="D163" s="187">
        <f t="shared" si="51"/>
        <v>45681</v>
      </c>
      <c r="E163" s="196" t="s">
        <v>54</v>
      </c>
      <c r="F163" s="204">
        <v>9</v>
      </c>
      <c r="G163" s="179">
        <v>110</v>
      </c>
      <c r="H163" s="180">
        <f t="shared" si="46"/>
        <v>3093.08</v>
      </c>
      <c r="I163" s="180">
        <f t="shared" si="44"/>
        <v>3020.76</v>
      </c>
      <c r="J163" s="181">
        <f t="shared" si="47"/>
        <v>332283.60000000003</v>
      </c>
      <c r="K163" s="182">
        <f t="shared" si="41"/>
        <v>340238.8</v>
      </c>
      <c r="L163" s="183">
        <f t="shared" si="52"/>
        <v>-7955.1999999999534</v>
      </c>
      <c r="M163" s="172">
        <f t="shared" si="48"/>
        <v>-639.17628013340118</v>
      </c>
      <c r="N163" s="173">
        <f t="shared" si="49"/>
        <v>-8594.3762801333542</v>
      </c>
      <c r="O163" s="172">
        <v>0</v>
      </c>
      <c r="P163" s="172">
        <v>0</v>
      </c>
      <c r="Q163" s="172">
        <v>0</v>
      </c>
      <c r="R163" s="173">
        <f t="shared" si="50"/>
        <v>-8594.3762801333542</v>
      </c>
    </row>
    <row r="164" spans="1:19" x14ac:dyDescent="0.25">
      <c r="A164" s="93">
        <v>1</v>
      </c>
      <c r="B164" s="164">
        <f t="shared" si="45"/>
        <v>45292</v>
      </c>
      <c r="C164" s="185">
        <f t="shared" si="51"/>
        <v>45327</v>
      </c>
      <c r="D164" s="185">
        <f t="shared" si="51"/>
        <v>45348</v>
      </c>
      <c r="E164" s="194" t="s">
        <v>55</v>
      </c>
      <c r="F164" s="116">
        <v>9</v>
      </c>
      <c r="G164" s="167">
        <v>9</v>
      </c>
      <c r="H164" s="168">
        <f t="shared" si="46"/>
        <v>3093.08</v>
      </c>
      <c r="I164" s="168">
        <f t="shared" si="44"/>
        <v>3020.76</v>
      </c>
      <c r="J164" s="169">
        <f t="shared" si="47"/>
        <v>27186.840000000004</v>
      </c>
      <c r="K164" s="170">
        <f t="shared" si="41"/>
        <v>27837.72</v>
      </c>
      <c r="L164" s="171">
        <f t="shared" si="52"/>
        <v>-650.87999999999738</v>
      </c>
      <c r="M164" s="172">
        <f t="shared" si="48"/>
        <v>-52.296241101823739</v>
      </c>
      <c r="N164" s="173">
        <f t="shared" si="49"/>
        <v>-703.17624110182112</v>
      </c>
      <c r="O164" s="172">
        <v>0</v>
      </c>
      <c r="P164" s="172">
        <v>0</v>
      </c>
      <c r="Q164" s="172">
        <v>0</v>
      </c>
      <c r="R164" s="173">
        <f t="shared" si="50"/>
        <v>-703.17624110182112</v>
      </c>
    </row>
    <row r="165" spans="1:19" x14ac:dyDescent="0.25">
      <c r="A165" s="129">
        <v>2</v>
      </c>
      <c r="B165" s="164">
        <f t="shared" si="45"/>
        <v>45323</v>
      </c>
      <c r="C165" s="187">
        <f t="shared" si="51"/>
        <v>45356</v>
      </c>
      <c r="D165" s="187">
        <f t="shared" si="51"/>
        <v>45376</v>
      </c>
      <c r="E165" s="195" t="s">
        <v>55</v>
      </c>
      <c r="F165" s="202">
        <v>9</v>
      </c>
      <c r="G165" s="167">
        <v>8</v>
      </c>
      <c r="H165" s="168">
        <f t="shared" si="46"/>
        <v>3093.08</v>
      </c>
      <c r="I165" s="168">
        <f t="shared" si="44"/>
        <v>3020.76</v>
      </c>
      <c r="J165" s="169">
        <f t="shared" si="47"/>
        <v>24166.080000000002</v>
      </c>
      <c r="K165" s="170">
        <f t="shared" si="41"/>
        <v>24744.639999999999</v>
      </c>
      <c r="L165" s="171">
        <f t="shared" si="52"/>
        <v>-578.55999999999767</v>
      </c>
      <c r="M165" s="172">
        <f t="shared" si="48"/>
        <v>-46.485547646065541</v>
      </c>
      <c r="N165" s="173">
        <f t="shared" si="49"/>
        <v>-625.04554764606326</v>
      </c>
      <c r="O165" s="172">
        <v>0</v>
      </c>
      <c r="P165" s="172">
        <v>0</v>
      </c>
      <c r="Q165" s="172">
        <v>0</v>
      </c>
      <c r="R165" s="173">
        <f t="shared" si="50"/>
        <v>-625.04554764606326</v>
      </c>
    </row>
    <row r="166" spans="1:19" x14ac:dyDescent="0.25">
      <c r="A166" s="129">
        <v>3</v>
      </c>
      <c r="B166" s="164">
        <f t="shared" si="45"/>
        <v>45352</v>
      </c>
      <c r="C166" s="187">
        <f t="shared" si="51"/>
        <v>45385</v>
      </c>
      <c r="D166" s="187">
        <f t="shared" si="51"/>
        <v>45406</v>
      </c>
      <c r="E166" s="195" t="s">
        <v>55</v>
      </c>
      <c r="F166" s="202">
        <v>9</v>
      </c>
      <c r="G166" s="167">
        <v>10</v>
      </c>
      <c r="H166" s="168">
        <f t="shared" si="46"/>
        <v>3093.08</v>
      </c>
      <c r="I166" s="168">
        <f t="shared" si="44"/>
        <v>3020.76</v>
      </c>
      <c r="J166" s="169">
        <f t="shared" si="47"/>
        <v>30207.600000000002</v>
      </c>
      <c r="K166" s="170">
        <f t="shared" si="41"/>
        <v>30930.799999999999</v>
      </c>
      <c r="L166" s="171">
        <f>+J166-K166</f>
        <v>-723.19999999999709</v>
      </c>
      <c r="M166" s="172">
        <f t="shared" si="48"/>
        <v>-58.10693455758193</v>
      </c>
      <c r="N166" s="173">
        <f t="shared" si="49"/>
        <v>-781.30693455757898</v>
      </c>
      <c r="O166" s="172">
        <v>0</v>
      </c>
      <c r="P166" s="172">
        <v>0</v>
      </c>
      <c r="Q166" s="172">
        <v>0</v>
      </c>
      <c r="R166" s="173">
        <f t="shared" si="50"/>
        <v>-781.30693455757898</v>
      </c>
    </row>
    <row r="167" spans="1:19" x14ac:dyDescent="0.25">
      <c r="A167" s="93">
        <v>4</v>
      </c>
      <c r="B167" s="164">
        <f t="shared" si="45"/>
        <v>45383</v>
      </c>
      <c r="C167" s="187">
        <f t="shared" si="51"/>
        <v>45415</v>
      </c>
      <c r="D167" s="187">
        <f t="shared" si="51"/>
        <v>45436</v>
      </c>
      <c r="E167" s="195" t="s">
        <v>55</v>
      </c>
      <c r="F167" s="202">
        <v>9</v>
      </c>
      <c r="G167" s="167">
        <v>7</v>
      </c>
      <c r="H167" s="168">
        <f t="shared" si="46"/>
        <v>3093.08</v>
      </c>
      <c r="I167" s="168">
        <f t="shared" si="44"/>
        <v>3020.76</v>
      </c>
      <c r="J167" s="169">
        <f t="shared" si="47"/>
        <v>21145.32</v>
      </c>
      <c r="K167" s="170">
        <f t="shared" si="41"/>
        <v>21651.559999999998</v>
      </c>
      <c r="L167" s="171">
        <f t="shared" ref="L167:L177" si="53">+J167-K167</f>
        <v>-506.23999999999796</v>
      </c>
      <c r="M167" s="172">
        <f t="shared" si="48"/>
        <v>-40.67485419030735</v>
      </c>
      <c r="N167" s="173">
        <f t="shared" si="49"/>
        <v>-546.91485419030528</v>
      </c>
      <c r="O167" s="172">
        <v>0</v>
      </c>
      <c r="P167" s="172">
        <v>0</v>
      </c>
      <c r="Q167" s="172">
        <v>0</v>
      </c>
      <c r="R167" s="173">
        <f t="shared" si="50"/>
        <v>-546.91485419030528</v>
      </c>
    </row>
    <row r="168" spans="1:19" x14ac:dyDescent="0.25">
      <c r="A168" s="129">
        <v>5</v>
      </c>
      <c r="B168" s="164">
        <f t="shared" si="45"/>
        <v>45413</v>
      </c>
      <c r="C168" s="187">
        <f t="shared" si="51"/>
        <v>45448</v>
      </c>
      <c r="D168" s="187">
        <f t="shared" si="51"/>
        <v>45467</v>
      </c>
      <c r="E168" s="195" t="s">
        <v>55</v>
      </c>
      <c r="F168" s="202">
        <v>9</v>
      </c>
      <c r="G168" s="167">
        <v>10</v>
      </c>
      <c r="H168" s="168">
        <f t="shared" si="46"/>
        <v>3093.08</v>
      </c>
      <c r="I168" s="168">
        <f t="shared" si="44"/>
        <v>3020.76</v>
      </c>
      <c r="J168" s="169">
        <f t="shared" si="47"/>
        <v>30207.600000000002</v>
      </c>
      <c r="K168" s="170">
        <f t="shared" si="41"/>
        <v>30930.799999999999</v>
      </c>
      <c r="L168" s="171">
        <f t="shared" si="53"/>
        <v>-723.19999999999709</v>
      </c>
      <c r="M168" s="172">
        <f t="shared" si="48"/>
        <v>-58.10693455758193</v>
      </c>
      <c r="N168" s="173">
        <f t="shared" si="49"/>
        <v>-781.30693455757898</v>
      </c>
      <c r="O168" s="172">
        <v>0</v>
      </c>
      <c r="P168" s="172">
        <v>0</v>
      </c>
      <c r="Q168" s="172">
        <v>0</v>
      </c>
      <c r="R168" s="173">
        <f t="shared" si="50"/>
        <v>-781.30693455757898</v>
      </c>
    </row>
    <row r="169" spans="1:19" x14ac:dyDescent="0.25">
      <c r="A169" s="129">
        <v>6</v>
      </c>
      <c r="B169" s="164">
        <f t="shared" si="45"/>
        <v>45444</v>
      </c>
      <c r="C169" s="187">
        <f t="shared" si="51"/>
        <v>45476</v>
      </c>
      <c r="D169" s="187">
        <f t="shared" si="51"/>
        <v>45497</v>
      </c>
      <c r="E169" s="195" t="s">
        <v>55</v>
      </c>
      <c r="F169" s="202">
        <v>9</v>
      </c>
      <c r="G169" s="167">
        <v>10</v>
      </c>
      <c r="H169" s="168">
        <f t="shared" si="46"/>
        <v>3093.08</v>
      </c>
      <c r="I169" s="168">
        <f t="shared" si="44"/>
        <v>3020.76</v>
      </c>
      <c r="J169" s="169">
        <f t="shared" si="47"/>
        <v>30207.600000000002</v>
      </c>
      <c r="K169" s="170">
        <f t="shared" si="41"/>
        <v>30930.799999999999</v>
      </c>
      <c r="L169" s="175">
        <f t="shared" si="53"/>
        <v>-723.19999999999709</v>
      </c>
      <c r="M169" s="172">
        <f t="shared" si="48"/>
        <v>-58.10693455758193</v>
      </c>
      <c r="N169" s="173">
        <f t="shared" si="49"/>
        <v>-781.30693455757898</v>
      </c>
      <c r="O169" s="172">
        <v>0</v>
      </c>
      <c r="P169" s="172">
        <v>0</v>
      </c>
      <c r="Q169" s="172">
        <v>0</v>
      </c>
      <c r="R169" s="173">
        <f t="shared" si="50"/>
        <v>-781.30693455757898</v>
      </c>
    </row>
    <row r="170" spans="1:19" x14ac:dyDescent="0.25">
      <c r="A170" s="93">
        <v>7</v>
      </c>
      <c r="B170" s="164">
        <f t="shared" si="45"/>
        <v>45474</v>
      </c>
      <c r="C170" s="187">
        <f t="shared" si="51"/>
        <v>45509</v>
      </c>
      <c r="D170" s="187">
        <f t="shared" si="51"/>
        <v>45530</v>
      </c>
      <c r="E170" s="195" t="s">
        <v>55</v>
      </c>
      <c r="F170" s="202">
        <v>9</v>
      </c>
      <c r="G170" s="167">
        <v>12</v>
      </c>
      <c r="H170" s="168">
        <f t="shared" si="46"/>
        <v>3093.08</v>
      </c>
      <c r="I170" s="168">
        <f t="shared" si="44"/>
        <v>3020.76</v>
      </c>
      <c r="J170" s="169">
        <f t="shared" si="47"/>
        <v>36249.120000000003</v>
      </c>
      <c r="K170" s="176">
        <f t="shared" si="41"/>
        <v>37116.959999999999</v>
      </c>
      <c r="L170" s="175">
        <f t="shared" si="53"/>
        <v>-867.83999999999651</v>
      </c>
      <c r="M170" s="172">
        <f t="shared" si="48"/>
        <v>-69.728321469098304</v>
      </c>
      <c r="N170" s="173">
        <f t="shared" si="49"/>
        <v>-937.56832146909483</v>
      </c>
      <c r="O170" s="172">
        <v>0</v>
      </c>
      <c r="P170" s="172">
        <v>0</v>
      </c>
      <c r="Q170" s="172">
        <v>0</v>
      </c>
      <c r="R170" s="173">
        <f t="shared" si="50"/>
        <v>-937.56832146909483</v>
      </c>
    </row>
    <row r="171" spans="1:19" x14ac:dyDescent="0.25">
      <c r="A171" s="129">
        <v>8</v>
      </c>
      <c r="B171" s="164">
        <f t="shared" si="45"/>
        <v>45505</v>
      </c>
      <c r="C171" s="187">
        <f t="shared" si="51"/>
        <v>45539</v>
      </c>
      <c r="D171" s="187">
        <f t="shared" si="51"/>
        <v>45559</v>
      </c>
      <c r="E171" s="195" t="s">
        <v>55</v>
      </c>
      <c r="F171" s="116">
        <v>9</v>
      </c>
      <c r="G171" s="167">
        <v>12</v>
      </c>
      <c r="H171" s="168">
        <f t="shared" si="46"/>
        <v>3093.08</v>
      </c>
      <c r="I171" s="168">
        <f t="shared" si="44"/>
        <v>3020.76</v>
      </c>
      <c r="J171" s="169">
        <f t="shared" si="47"/>
        <v>36249.120000000003</v>
      </c>
      <c r="K171" s="176">
        <f t="shared" si="41"/>
        <v>37116.959999999999</v>
      </c>
      <c r="L171" s="175">
        <f t="shared" si="53"/>
        <v>-867.83999999999651</v>
      </c>
      <c r="M171" s="172">
        <f t="shared" si="48"/>
        <v>-69.728321469098304</v>
      </c>
      <c r="N171" s="173">
        <f t="shared" si="49"/>
        <v>-937.56832146909483</v>
      </c>
      <c r="O171" s="172">
        <v>0</v>
      </c>
      <c r="P171" s="172">
        <v>0</v>
      </c>
      <c r="Q171" s="172">
        <v>0</v>
      </c>
      <c r="R171" s="173">
        <f t="shared" si="50"/>
        <v>-937.56832146909483</v>
      </c>
      <c r="S171" s="50"/>
    </row>
    <row r="172" spans="1:19" x14ac:dyDescent="0.25">
      <c r="A172" s="129">
        <v>9</v>
      </c>
      <c r="B172" s="164">
        <f t="shared" si="45"/>
        <v>45536</v>
      </c>
      <c r="C172" s="187">
        <f t="shared" ref="C172:D175" si="54">+C160</f>
        <v>45568</v>
      </c>
      <c r="D172" s="187">
        <f t="shared" si="54"/>
        <v>45589</v>
      </c>
      <c r="E172" s="195" t="s">
        <v>55</v>
      </c>
      <c r="F172" s="116">
        <v>9</v>
      </c>
      <c r="G172" s="167">
        <v>11</v>
      </c>
      <c r="H172" s="168">
        <f t="shared" si="46"/>
        <v>3093.08</v>
      </c>
      <c r="I172" s="168">
        <f t="shared" si="44"/>
        <v>3020.76</v>
      </c>
      <c r="J172" s="169">
        <f t="shared" si="47"/>
        <v>33228.36</v>
      </c>
      <c r="K172" s="176">
        <f t="shared" si="41"/>
        <v>34023.879999999997</v>
      </c>
      <c r="L172" s="175">
        <f t="shared" si="53"/>
        <v>-795.5199999999968</v>
      </c>
      <c r="M172" s="172">
        <f t="shared" si="48"/>
        <v>-63.917628013340114</v>
      </c>
      <c r="N172" s="173">
        <f t="shared" si="49"/>
        <v>-859.43762801333696</v>
      </c>
      <c r="O172" s="172">
        <v>0</v>
      </c>
      <c r="P172" s="172">
        <v>0</v>
      </c>
      <c r="Q172" s="172">
        <v>0</v>
      </c>
      <c r="R172" s="173">
        <f t="shared" si="50"/>
        <v>-859.43762801333696</v>
      </c>
    </row>
    <row r="173" spans="1:19" x14ac:dyDescent="0.25">
      <c r="A173" s="93">
        <v>10</v>
      </c>
      <c r="B173" s="164">
        <f t="shared" si="45"/>
        <v>45566</v>
      </c>
      <c r="C173" s="187">
        <f t="shared" si="54"/>
        <v>45601</v>
      </c>
      <c r="D173" s="187">
        <f t="shared" si="54"/>
        <v>45621</v>
      </c>
      <c r="E173" s="195" t="s">
        <v>55</v>
      </c>
      <c r="F173" s="116">
        <v>9</v>
      </c>
      <c r="G173" s="167">
        <v>10</v>
      </c>
      <c r="H173" s="168">
        <f t="shared" si="46"/>
        <v>3093.08</v>
      </c>
      <c r="I173" s="168">
        <f t="shared" si="44"/>
        <v>3020.76</v>
      </c>
      <c r="J173" s="169">
        <f t="shared" si="47"/>
        <v>30207.600000000002</v>
      </c>
      <c r="K173" s="176">
        <f t="shared" si="41"/>
        <v>30930.799999999999</v>
      </c>
      <c r="L173" s="175">
        <f t="shared" si="53"/>
        <v>-723.19999999999709</v>
      </c>
      <c r="M173" s="172">
        <f t="shared" si="48"/>
        <v>-58.10693455758193</v>
      </c>
      <c r="N173" s="173">
        <f t="shared" si="49"/>
        <v>-781.30693455757898</v>
      </c>
      <c r="O173" s="172">
        <v>0</v>
      </c>
      <c r="P173" s="172">
        <v>0</v>
      </c>
      <c r="Q173" s="172">
        <v>0</v>
      </c>
      <c r="R173" s="173">
        <f t="shared" si="50"/>
        <v>-781.30693455757898</v>
      </c>
    </row>
    <row r="174" spans="1:19" x14ac:dyDescent="0.25">
      <c r="A174" s="129">
        <v>11</v>
      </c>
      <c r="B174" s="164">
        <f t="shared" si="45"/>
        <v>45597</v>
      </c>
      <c r="C174" s="187">
        <f t="shared" si="54"/>
        <v>45630</v>
      </c>
      <c r="D174" s="187">
        <f t="shared" si="54"/>
        <v>45650</v>
      </c>
      <c r="E174" s="195" t="s">
        <v>55</v>
      </c>
      <c r="F174" s="116">
        <v>9</v>
      </c>
      <c r="G174" s="167">
        <v>10</v>
      </c>
      <c r="H174" s="168">
        <f t="shared" si="46"/>
        <v>3093.08</v>
      </c>
      <c r="I174" s="168">
        <f t="shared" si="44"/>
        <v>3020.76</v>
      </c>
      <c r="J174" s="169">
        <f t="shared" si="47"/>
        <v>30207.600000000002</v>
      </c>
      <c r="K174" s="176">
        <f t="shared" si="41"/>
        <v>30930.799999999999</v>
      </c>
      <c r="L174" s="175">
        <f t="shared" si="53"/>
        <v>-723.19999999999709</v>
      </c>
      <c r="M174" s="172">
        <f t="shared" si="48"/>
        <v>-58.10693455758193</v>
      </c>
      <c r="N174" s="173">
        <f t="shared" si="49"/>
        <v>-781.30693455757898</v>
      </c>
      <c r="O174" s="172">
        <v>0</v>
      </c>
      <c r="P174" s="172">
        <v>0</v>
      </c>
      <c r="Q174" s="172">
        <v>0</v>
      </c>
      <c r="R174" s="173">
        <f t="shared" si="50"/>
        <v>-781.30693455757898</v>
      </c>
    </row>
    <row r="175" spans="1:19" s="191" customFormat="1" x14ac:dyDescent="0.25">
      <c r="A175" s="129">
        <v>12</v>
      </c>
      <c r="B175" s="189">
        <f t="shared" si="45"/>
        <v>45627</v>
      </c>
      <c r="C175" s="187">
        <f t="shared" si="54"/>
        <v>45660</v>
      </c>
      <c r="D175" s="187">
        <f t="shared" si="54"/>
        <v>45681</v>
      </c>
      <c r="E175" s="196" t="s">
        <v>55</v>
      </c>
      <c r="F175" s="204">
        <v>9</v>
      </c>
      <c r="G175" s="179">
        <v>10</v>
      </c>
      <c r="H175" s="180">
        <f t="shared" si="46"/>
        <v>3093.08</v>
      </c>
      <c r="I175" s="180">
        <f t="shared" si="44"/>
        <v>3020.76</v>
      </c>
      <c r="J175" s="181">
        <f t="shared" si="47"/>
        <v>30207.600000000002</v>
      </c>
      <c r="K175" s="182">
        <f t="shared" si="41"/>
        <v>30930.799999999999</v>
      </c>
      <c r="L175" s="183">
        <f t="shared" si="53"/>
        <v>-723.19999999999709</v>
      </c>
      <c r="M175" s="172">
        <f t="shared" si="48"/>
        <v>-58.10693455758193</v>
      </c>
      <c r="N175" s="173">
        <f t="shared" si="49"/>
        <v>-781.30693455757898</v>
      </c>
      <c r="O175" s="172">
        <v>0</v>
      </c>
      <c r="P175" s="172">
        <v>0</v>
      </c>
      <c r="Q175" s="172">
        <v>0</v>
      </c>
      <c r="R175" s="173">
        <f t="shared" si="50"/>
        <v>-781.30693455757898</v>
      </c>
    </row>
    <row r="176" spans="1:19" x14ac:dyDescent="0.25">
      <c r="A176" s="93">
        <v>1</v>
      </c>
      <c r="B176" s="164">
        <f t="shared" si="45"/>
        <v>45292</v>
      </c>
      <c r="C176" s="185">
        <f t="shared" ref="C176:D187" si="55">+C152</f>
        <v>45327</v>
      </c>
      <c r="D176" s="185">
        <f t="shared" si="55"/>
        <v>45348</v>
      </c>
      <c r="E176" s="194" t="s">
        <v>56</v>
      </c>
      <c r="F176" s="202">
        <v>9</v>
      </c>
      <c r="G176" s="167">
        <v>26</v>
      </c>
      <c r="H176" s="168">
        <f t="shared" si="46"/>
        <v>3093.08</v>
      </c>
      <c r="I176" s="168">
        <f t="shared" si="44"/>
        <v>3020.76</v>
      </c>
      <c r="J176" s="169">
        <f t="shared" si="47"/>
        <v>78539.760000000009</v>
      </c>
      <c r="K176" s="170">
        <f t="shared" si="41"/>
        <v>80420.08</v>
      </c>
      <c r="L176" s="171">
        <f t="shared" si="53"/>
        <v>-1880.3199999999924</v>
      </c>
      <c r="M176" s="172">
        <f t="shared" si="48"/>
        <v>-151.078029849713</v>
      </c>
      <c r="N176" s="173">
        <f t="shared" si="49"/>
        <v>-2031.3980298497054</v>
      </c>
      <c r="O176" s="172">
        <v>0</v>
      </c>
      <c r="P176" s="172">
        <v>0</v>
      </c>
      <c r="Q176" s="172">
        <v>0</v>
      </c>
      <c r="R176" s="173">
        <f t="shared" si="50"/>
        <v>-2031.3980298497054</v>
      </c>
    </row>
    <row r="177" spans="1:18" x14ac:dyDescent="0.25">
      <c r="A177" s="129">
        <v>2</v>
      </c>
      <c r="B177" s="164">
        <f t="shared" si="45"/>
        <v>45323</v>
      </c>
      <c r="C177" s="187">
        <f t="shared" si="55"/>
        <v>45356</v>
      </c>
      <c r="D177" s="187">
        <f t="shared" si="55"/>
        <v>45376</v>
      </c>
      <c r="E177" s="52" t="s">
        <v>56</v>
      </c>
      <c r="F177" s="202">
        <v>9</v>
      </c>
      <c r="G177" s="167">
        <v>19</v>
      </c>
      <c r="H177" s="168">
        <f t="shared" si="46"/>
        <v>3093.08</v>
      </c>
      <c r="I177" s="168">
        <f t="shared" si="44"/>
        <v>3020.76</v>
      </c>
      <c r="J177" s="169">
        <f t="shared" si="47"/>
        <v>57394.44</v>
      </c>
      <c r="K177" s="170">
        <f t="shared" si="41"/>
        <v>58768.52</v>
      </c>
      <c r="L177" s="171">
        <f t="shared" si="53"/>
        <v>-1374.0799999999945</v>
      </c>
      <c r="M177" s="172">
        <f t="shared" si="48"/>
        <v>-110.40317565940566</v>
      </c>
      <c r="N177" s="173">
        <f t="shared" si="49"/>
        <v>-1484.4831756594001</v>
      </c>
      <c r="O177" s="172">
        <v>0</v>
      </c>
      <c r="P177" s="172">
        <v>0</v>
      </c>
      <c r="Q177" s="172">
        <v>0</v>
      </c>
      <c r="R177" s="173">
        <f t="shared" si="50"/>
        <v>-1484.4831756594001</v>
      </c>
    </row>
    <row r="178" spans="1:18" x14ac:dyDescent="0.25">
      <c r="A178" s="129">
        <v>3</v>
      </c>
      <c r="B178" s="164">
        <f t="shared" si="45"/>
        <v>45352</v>
      </c>
      <c r="C178" s="187">
        <f t="shared" si="55"/>
        <v>45385</v>
      </c>
      <c r="D178" s="187">
        <f t="shared" si="55"/>
        <v>45406</v>
      </c>
      <c r="E178" s="52" t="s">
        <v>56</v>
      </c>
      <c r="F178" s="202">
        <v>9</v>
      </c>
      <c r="G178" s="167">
        <v>18</v>
      </c>
      <c r="H178" s="168">
        <f t="shared" si="46"/>
        <v>3093.08</v>
      </c>
      <c r="I178" s="168">
        <f t="shared" si="44"/>
        <v>3020.76</v>
      </c>
      <c r="J178" s="169">
        <f t="shared" si="47"/>
        <v>54373.680000000008</v>
      </c>
      <c r="K178" s="170">
        <f t="shared" si="41"/>
        <v>55675.44</v>
      </c>
      <c r="L178" s="171">
        <f>+J178-K178</f>
        <v>-1301.7599999999948</v>
      </c>
      <c r="M178" s="172">
        <f t="shared" si="48"/>
        <v>-104.59248220364748</v>
      </c>
      <c r="N178" s="173">
        <f t="shared" si="49"/>
        <v>-1406.3524822036422</v>
      </c>
      <c r="O178" s="172">
        <v>0</v>
      </c>
      <c r="P178" s="172">
        <v>0</v>
      </c>
      <c r="Q178" s="172">
        <v>0</v>
      </c>
      <c r="R178" s="173">
        <f t="shared" si="50"/>
        <v>-1406.3524822036422</v>
      </c>
    </row>
    <row r="179" spans="1:18" x14ac:dyDescent="0.25">
      <c r="A179" s="93">
        <v>4</v>
      </c>
      <c r="B179" s="164">
        <f t="shared" si="45"/>
        <v>45383</v>
      </c>
      <c r="C179" s="187">
        <f t="shared" si="55"/>
        <v>45415</v>
      </c>
      <c r="D179" s="187">
        <f t="shared" si="55"/>
        <v>45436</v>
      </c>
      <c r="E179" s="52" t="s">
        <v>56</v>
      </c>
      <c r="F179" s="202">
        <v>9</v>
      </c>
      <c r="G179" s="167">
        <v>22</v>
      </c>
      <c r="H179" s="168">
        <f t="shared" si="46"/>
        <v>3093.08</v>
      </c>
      <c r="I179" s="168">
        <f t="shared" si="44"/>
        <v>3020.76</v>
      </c>
      <c r="J179" s="169">
        <f t="shared" si="47"/>
        <v>66456.72</v>
      </c>
      <c r="K179" s="170">
        <f t="shared" si="41"/>
        <v>68047.759999999995</v>
      </c>
      <c r="L179" s="171">
        <f t="shared" ref="L179:L189" si="56">+J179-K179</f>
        <v>-1591.0399999999936</v>
      </c>
      <c r="M179" s="172">
        <f t="shared" si="48"/>
        <v>-127.83525602668023</v>
      </c>
      <c r="N179" s="173">
        <f t="shared" si="49"/>
        <v>-1718.8752560266739</v>
      </c>
      <c r="O179" s="172">
        <v>0</v>
      </c>
      <c r="P179" s="172">
        <v>0</v>
      </c>
      <c r="Q179" s="172">
        <v>0</v>
      </c>
      <c r="R179" s="173">
        <f t="shared" si="50"/>
        <v>-1718.8752560266739</v>
      </c>
    </row>
    <row r="180" spans="1:18" x14ac:dyDescent="0.25">
      <c r="A180" s="129">
        <v>5</v>
      </c>
      <c r="B180" s="164">
        <f t="shared" si="45"/>
        <v>45413</v>
      </c>
      <c r="C180" s="187">
        <f t="shared" si="55"/>
        <v>45448</v>
      </c>
      <c r="D180" s="187">
        <f t="shared" si="55"/>
        <v>45467</v>
      </c>
      <c r="E180" s="52" t="s">
        <v>56</v>
      </c>
      <c r="F180" s="202">
        <v>9</v>
      </c>
      <c r="G180" s="167">
        <v>31</v>
      </c>
      <c r="H180" s="168">
        <f t="shared" si="46"/>
        <v>3093.08</v>
      </c>
      <c r="I180" s="168">
        <f t="shared" ref="I180:I211" si="57">$J$3</f>
        <v>3020.76</v>
      </c>
      <c r="J180" s="169">
        <f t="shared" si="47"/>
        <v>93643.560000000012</v>
      </c>
      <c r="K180" s="170">
        <f t="shared" si="41"/>
        <v>95885.48</v>
      </c>
      <c r="L180" s="171">
        <f t="shared" si="56"/>
        <v>-2241.9199999999837</v>
      </c>
      <c r="M180" s="172">
        <f t="shared" si="48"/>
        <v>-180.13149712850395</v>
      </c>
      <c r="N180" s="173">
        <f t="shared" si="49"/>
        <v>-2422.0514971284874</v>
      </c>
      <c r="O180" s="172">
        <v>0</v>
      </c>
      <c r="P180" s="172">
        <v>0</v>
      </c>
      <c r="Q180" s="172">
        <v>0</v>
      </c>
      <c r="R180" s="173">
        <f t="shared" si="50"/>
        <v>-2422.0514971284874</v>
      </c>
    </row>
    <row r="181" spans="1:18" x14ac:dyDescent="0.25">
      <c r="A181" s="129">
        <v>6</v>
      </c>
      <c r="B181" s="164">
        <f t="shared" si="45"/>
        <v>45444</v>
      </c>
      <c r="C181" s="187">
        <f t="shared" si="55"/>
        <v>45476</v>
      </c>
      <c r="D181" s="187">
        <f t="shared" si="55"/>
        <v>45497</v>
      </c>
      <c r="E181" s="52" t="s">
        <v>56</v>
      </c>
      <c r="F181" s="202">
        <v>9</v>
      </c>
      <c r="G181" s="167">
        <v>36</v>
      </c>
      <c r="H181" s="168">
        <f t="shared" si="46"/>
        <v>3093.08</v>
      </c>
      <c r="I181" s="168">
        <f t="shared" si="57"/>
        <v>3020.76</v>
      </c>
      <c r="J181" s="169">
        <f t="shared" si="47"/>
        <v>108747.36000000002</v>
      </c>
      <c r="K181" s="170">
        <f t="shared" si="41"/>
        <v>111350.88</v>
      </c>
      <c r="L181" s="175">
        <f t="shared" si="56"/>
        <v>-2603.5199999999895</v>
      </c>
      <c r="M181" s="172">
        <f t="shared" si="48"/>
        <v>-209.18496440729496</v>
      </c>
      <c r="N181" s="173">
        <f t="shared" si="49"/>
        <v>-2812.7049644072845</v>
      </c>
      <c r="O181" s="172">
        <v>0</v>
      </c>
      <c r="P181" s="172">
        <v>0</v>
      </c>
      <c r="Q181" s="172">
        <v>0</v>
      </c>
      <c r="R181" s="173">
        <f t="shared" si="50"/>
        <v>-2812.7049644072845</v>
      </c>
    </row>
    <row r="182" spans="1:18" x14ac:dyDescent="0.25">
      <c r="A182" s="93">
        <v>7</v>
      </c>
      <c r="B182" s="164">
        <f t="shared" si="45"/>
        <v>45474</v>
      </c>
      <c r="C182" s="187">
        <f t="shared" si="55"/>
        <v>45509</v>
      </c>
      <c r="D182" s="187">
        <f t="shared" si="55"/>
        <v>45530</v>
      </c>
      <c r="E182" s="52" t="s">
        <v>56</v>
      </c>
      <c r="F182" s="202">
        <v>9</v>
      </c>
      <c r="G182" s="167">
        <v>38</v>
      </c>
      <c r="H182" s="168">
        <f t="shared" si="46"/>
        <v>3093.08</v>
      </c>
      <c r="I182" s="168">
        <f t="shared" si="57"/>
        <v>3020.76</v>
      </c>
      <c r="J182" s="169">
        <f t="shared" si="47"/>
        <v>114788.88</v>
      </c>
      <c r="K182" s="176">
        <f t="shared" si="41"/>
        <v>117537.04</v>
      </c>
      <c r="L182" s="175">
        <f t="shared" si="56"/>
        <v>-2748.1599999999889</v>
      </c>
      <c r="M182" s="172">
        <f t="shared" si="48"/>
        <v>-220.80635131881132</v>
      </c>
      <c r="N182" s="173">
        <f t="shared" si="49"/>
        <v>-2968.9663513188002</v>
      </c>
      <c r="O182" s="172">
        <v>0</v>
      </c>
      <c r="P182" s="172">
        <v>0</v>
      </c>
      <c r="Q182" s="172">
        <v>0</v>
      </c>
      <c r="R182" s="173">
        <f t="shared" si="50"/>
        <v>-2968.9663513188002</v>
      </c>
    </row>
    <row r="183" spans="1:18" x14ac:dyDescent="0.25">
      <c r="A183" s="129">
        <v>8</v>
      </c>
      <c r="B183" s="164">
        <f t="shared" si="45"/>
        <v>45505</v>
      </c>
      <c r="C183" s="187">
        <f t="shared" si="55"/>
        <v>45539</v>
      </c>
      <c r="D183" s="187">
        <f t="shared" si="55"/>
        <v>45559</v>
      </c>
      <c r="E183" s="52" t="s">
        <v>56</v>
      </c>
      <c r="F183" s="202">
        <v>9</v>
      </c>
      <c r="G183" s="167">
        <v>41</v>
      </c>
      <c r="H183" s="168">
        <f t="shared" si="46"/>
        <v>3093.08</v>
      </c>
      <c r="I183" s="168">
        <f t="shared" si="57"/>
        <v>3020.76</v>
      </c>
      <c r="J183" s="169">
        <f t="shared" si="47"/>
        <v>123851.16</v>
      </c>
      <c r="K183" s="176">
        <f t="shared" si="41"/>
        <v>126816.28</v>
      </c>
      <c r="L183" s="175">
        <f t="shared" si="56"/>
        <v>-2965.1199999999953</v>
      </c>
      <c r="M183" s="172">
        <f t="shared" si="48"/>
        <v>-238.2384316860859</v>
      </c>
      <c r="N183" s="173">
        <f t="shared" si="49"/>
        <v>-3203.3584316860811</v>
      </c>
      <c r="O183" s="172">
        <v>0</v>
      </c>
      <c r="P183" s="172">
        <v>0</v>
      </c>
      <c r="Q183" s="172">
        <v>0</v>
      </c>
      <c r="R183" s="173">
        <f t="shared" si="50"/>
        <v>-3203.3584316860811</v>
      </c>
    </row>
    <row r="184" spans="1:18" x14ac:dyDescent="0.25">
      <c r="A184" s="129">
        <v>9</v>
      </c>
      <c r="B184" s="164">
        <f t="shared" si="45"/>
        <v>45536</v>
      </c>
      <c r="C184" s="187">
        <f t="shared" si="55"/>
        <v>45568</v>
      </c>
      <c r="D184" s="187">
        <f t="shared" si="55"/>
        <v>45589</v>
      </c>
      <c r="E184" s="52" t="s">
        <v>56</v>
      </c>
      <c r="F184" s="202">
        <v>9</v>
      </c>
      <c r="G184" s="167">
        <v>29</v>
      </c>
      <c r="H184" s="168">
        <f t="shared" si="46"/>
        <v>3093.08</v>
      </c>
      <c r="I184" s="168">
        <f t="shared" si="57"/>
        <v>3020.76</v>
      </c>
      <c r="J184" s="169">
        <f t="shared" si="47"/>
        <v>87602.040000000008</v>
      </c>
      <c r="K184" s="176">
        <f t="shared" si="41"/>
        <v>89699.319999999992</v>
      </c>
      <c r="L184" s="175">
        <f t="shared" si="56"/>
        <v>-2097.2799999999843</v>
      </c>
      <c r="M184" s="172">
        <f t="shared" si="48"/>
        <v>-168.51011021698758</v>
      </c>
      <c r="N184" s="173">
        <f t="shared" si="49"/>
        <v>-2265.7901102169717</v>
      </c>
      <c r="O184" s="172">
        <v>0</v>
      </c>
      <c r="P184" s="172">
        <v>0</v>
      </c>
      <c r="Q184" s="172">
        <v>0</v>
      </c>
      <c r="R184" s="173">
        <f t="shared" si="50"/>
        <v>-2265.7901102169717</v>
      </c>
    </row>
    <row r="185" spans="1:18" x14ac:dyDescent="0.25">
      <c r="A185" s="93">
        <v>10</v>
      </c>
      <c r="B185" s="164">
        <f t="shared" si="45"/>
        <v>45566</v>
      </c>
      <c r="C185" s="187">
        <f t="shared" si="55"/>
        <v>45601</v>
      </c>
      <c r="D185" s="187">
        <f t="shared" si="55"/>
        <v>45621</v>
      </c>
      <c r="E185" s="52" t="s">
        <v>56</v>
      </c>
      <c r="F185" s="202">
        <v>9</v>
      </c>
      <c r="G185" s="167">
        <v>26</v>
      </c>
      <c r="H185" s="168">
        <f t="shared" si="46"/>
        <v>3093.08</v>
      </c>
      <c r="I185" s="168">
        <f t="shared" si="57"/>
        <v>3020.76</v>
      </c>
      <c r="J185" s="169">
        <f t="shared" si="47"/>
        <v>78539.760000000009</v>
      </c>
      <c r="K185" s="176">
        <f t="shared" si="41"/>
        <v>80420.08</v>
      </c>
      <c r="L185" s="175">
        <f t="shared" si="56"/>
        <v>-1880.3199999999924</v>
      </c>
      <c r="M185" s="172">
        <f t="shared" si="48"/>
        <v>-151.078029849713</v>
      </c>
      <c r="N185" s="173">
        <f t="shared" si="49"/>
        <v>-2031.3980298497054</v>
      </c>
      <c r="O185" s="172">
        <v>0</v>
      </c>
      <c r="P185" s="172">
        <v>0</v>
      </c>
      <c r="Q185" s="172">
        <v>0</v>
      </c>
      <c r="R185" s="173">
        <f t="shared" si="50"/>
        <v>-2031.3980298497054</v>
      </c>
    </row>
    <row r="186" spans="1:18" x14ac:dyDescent="0.25">
      <c r="A186" s="129">
        <v>11</v>
      </c>
      <c r="B186" s="164">
        <f t="shared" si="45"/>
        <v>45597</v>
      </c>
      <c r="C186" s="187">
        <f t="shared" si="55"/>
        <v>45630</v>
      </c>
      <c r="D186" s="187">
        <f t="shared" si="55"/>
        <v>45650</v>
      </c>
      <c r="E186" s="52" t="s">
        <v>56</v>
      </c>
      <c r="F186" s="202">
        <v>9</v>
      </c>
      <c r="G186" s="167">
        <v>22</v>
      </c>
      <c r="H186" s="168">
        <f t="shared" si="46"/>
        <v>3093.08</v>
      </c>
      <c r="I186" s="168">
        <f t="shared" si="57"/>
        <v>3020.76</v>
      </c>
      <c r="J186" s="169">
        <f t="shared" si="47"/>
        <v>66456.72</v>
      </c>
      <c r="K186" s="176">
        <f t="shared" si="41"/>
        <v>68047.759999999995</v>
      </c>
      <c r="L186" s="175">
        <f t="shared" si="56"/>
        <v>-1591.0399999999936</v>
      </c>
      <c r="M186" s="172">
        <f t="shared" si="48"/>
        <v>-127.83525602668023</v>
      </c>
      <c r="N186" s="173">
        <f t="shared" si="49"/>
        <v>-1718.8752560266739</v>
      </c>
      <c r="O186" s="172">
        <v>0</v>
      </c>
      <c r="P186" s="172">
        <v>0</v>
      </c>
      <c r="Q186" s="172">
        <v>0</v>
      </c>
      <c r="R186" s="173">
        <f t="shared" si="50"/>
        <v>-1718.8752560266739</v>
      </c>
    </row>
    <row r="187" spans="1:18" s="191" customFormat="1" x14ac:dyDescent="0.25">
      <c r="A187" s="129">
        <v>12</v>
      </c>
      <c r="B187" s="189">
        <f t="shared" si="45"/>
        <v>45627</v>
      </c>
      <c r="C187" s="187">
        <f t="shared" si="55"/>
        <v>45660</v>
      </c>
      <c r="D187" s="187">
        <f t="shared" si="55"/>
        <v>45681</v>
      </c>
      <c r="E187" s="190" t="s">
        <v>56</v>
      </c>
      <c r="F187" s="204">
        <v>9</v>
      </c>
      <c r="G187" s="179">
        <v>18</v>
      </c>
      <c r="H187" s="180">
        <f t="shared" si="46"/>
        <v>3093.08</v>
      </c>
      <c r="I187" s="180">
        <f t="shared" si="57"/>
        <v>3020.76</v>
      </c>
      <c r="J187" s="181">
        <f t="shared" si="47"/>
        <v>54373.680000000008</v>
      </c>
      <c r="K187" s="182">
        <f t="shared" si="41"/>
        <v>55675.44</v>
      </c>
      <c r="L187" s="183">
        <f t="shared" si="56"/>
        <v>-1301.7599999999948</v>
      </c>
      <c r="M187" s="172">
        <f t="shared" si="48"/>
        <v>-104.59248220364748</v>
      </c>
      <c r="N187" s="173">
        <f t="shared" si="49"/>
        <v>-1406.3524822036422</v>
      </c>
      <c r="O187" s="172">
        <v>0</v>
      </c>
      <c r="P187" s="172">
        <v>0</v>
      </c>
      <c r="Q187" s="172">
        <v>0</v>
      </c>
      <c r="R187" s="173">
        <f t="shared" si="50"/>
        <v>-1406.3524822036422</v>
      </c>
    </row>
    <row r="188" spans="1:18" x14ac:dyDescent="0.25">
      <c r="A188" s="93">
        <v>1</v>
      </c>
      <c r="B188" s="164">
        <f t="shared" si="45"/>
        <v>45292</v>
      </c>
      <c r="C188" s="185">
        <f t="shared" ref="C188:D211" si="58">+C176</f>
        <v>45327</v>
      </c>
      <c r="D188" s="185">
        <f t="shared" si="58"/>
        <v>45348</v>
      </c>
      <c r="E188" s="166" t="s">
        <v>57</v>
      </c>
      <c r="F188" s="116">
        <v>9</v>
      </c>
      <c r="G188" s="167">
        <v>34</v>
      </c>
      <c r="H188" s="168">
        <f t="shared" si="46"/>
        <v>3093.08</v>
      </c>
      <c r="I188" s="168">
        <f t="shared" si="57"/>
        <v>3020.76</v>
      </c>
      <c r="J188" s="169">
        <f t="shared" si="47"/>
        <v>102705.84000000001</v>
      </c>
      <c r="K188" s="170">
        <f t="shared" si="41"/>
        <v>105164.72</v>
      </c>
      <c r="L188" s="171">
        <f t="shared" si="56"/>
        <v>-2458.8799999999901</v>
      </c>
      <c r="M188" s="172">
        <f t="shared" si="48"/>
        <v>-197.56357749577856</v>
      </c>
      <c r="N188" s="173">
        <f t="shared" si="49"/>
        <v>-2656.4435774957687</v>
      </c>
      <c r="O188" s="172">
        <v>0</v>
      </c>
      <c r="P188" s="172">
        <v>0</v>
      </c>
      <c r="Q188" s="172">
        <v>0</v>
      </c>
      <c r="R188" s="173">
        <f t="shared" si="50"/>
        <v>-2656.4435774957687</v>
      </c>
    </row>
    <row r="189" spans="1:18" x14ac:dyDescent="0.25">
      <c r="A189" s="129">
        <v>2</v>
      </c>
      <c r="B189" s="164">
        <f t="shared" si="45"/>
        <v>45323</v>
      </c>
      <c r="C189" s="187">
        <f t="shared" si="58"/>
        <v>45356</v>
      </c>
      <c r="D189" s="187">
        <f t="shared" si="58"/>
        <v>45376</v>
      </c>
      <c r="E189" s="174" t="s">
        <v>57</v>
      </c>
      <c r="F189" s="202">
        <v>9</v>
      </c>
      <c r="G189" s="167">
        <v>32</v>
      </c>
      <c r="H189" s="168">
        <f t="shared" si="46"/>
        <v>3093.08</v>
      </c>
      <c r="I189" s="168">
        <f t="shared" si="57"/>
        <v>3020.76</v>
      </c>
      <c r="J189" s="169">
        <f t="shared" si="47"/>
        <v>96664.320000000007</v>
      </c>
      <c r="K189" s="170">
        <f t="shared" si="41"/>
        <v>98978.559999999998</v>
      </c>
      <c r="L189" s="171">
        <f t="shared" si="56"/>
        <v>-2314.2399999999907</v>
      </c>
      <c r="M189" s="172">
        <f t="shared" si="48"/>
        <v>-185.94219058426216</v>
      </c>
      <c r="N189" s="173">
        <f t="shared" si="49"/>
        <v>-2500.182190584253</v>
      </c>
      <c r="O189" s="172">
        <v>0</v>
      </c>
      <c r="P189" s="172">
        <v>0</v>
      </c>
      <c r="Q189" s="172">
        <v>0</v>
      </c>
      <c r="R189" s="173">
        <f t="shared" si="50"/>
        <v>-2500.182190584253</v>
      </c>
    </row>
    <row r="190" spans="1:18" x14ac:dyDescent="0.25">
      <c r="A190" s="129">
        <v>3</v>
      </c>
      <c r="B190" s="164">
        <f t="shared" si="45"/>
        <v>45352</v>
      </c>
      <c r="C190" s="187">
        <f t="shared" si="58"/>
        <v>45385</v>
      </c>
      <c r="D190" s="187">
        <f t="shared" si="58"/>
        <v>45406</v>
      </c>
      <c r="E190" s="174" t="s">
        <v>57</v>
      </c>
      <c r="F190" s="202">
        <v>9</v>
      </c>
      <c r="G190" s="167">
        <v>32</v>
      </c>
      <c r="H190" s="168">
        <f t="shared" si="46"/>
        <v>3093.08</v>
      </c>
      <c r="I190" s="168">
        <f t="shared" si="57"/>
        <v>3020.76</v>
      </c>
      <c r="J190" s="169">
        <f t="shared" si="47"/>
        <v>96664.320000000007</v>
      </c>
      <c r="K190" s="170">
        <f t="shared" si="41"/>
        <v>98978.559999999998</v>
      </c>
      <c r="L190" s="171">
        <f>+J190-K190</f>
        <v>-2314.2399999999907</v>
      </c>
      <c r="M190" s="172">
        <f t="shared" si="48"/>
        <v>-185.94219058426216</v>
      </c>
      <c r="N190" s="173">
        <f t="shared" si="49"/>
        <v>-2500.182190584253</v>
      </c>
      <c r="O190" s="172">
        <v>0</v>
      </c>
      <c r="P190" s="172">
        <v>0</v>
      </c>
      <c r="Q190" s="172">
        <v>0</v>
      </c>
      <c r="R190" s="173">
        <f t="shared" si="50"/>
        <v>-2500.182190584253</v>
      </c>
    </row>
    <row r="191" spans="1:18" x14ac:dyDescent="0.25">
      <c r="A191" s="93">
        <v>4</v>
      </c>
      <c r="B191" s="164">
        <f t="shared" si="45"/>
        <v>45383</v>
      </c>
      <c r="C191" s="187">
        <f t="shared" si="58"/>
        <v>45415</v>
      </c>
      <c r="D191" s="187">
        <f t="shared" si="58"/>
        <v>45436</v>
      </c>
      <c r="E191" s="52" t="s">
        <v>57</v>
      </c>
      <c r="F191" s="202">
        <v>9</v>
      </c>
      <c r="G191" s="167">
        <v>33</v>
      </c>
      <c r="H191" s="168">
        <f t="shared" si="46"/>
        <v>3093.08</v>
      </c>
      <c r="I191" s="168">
        <f t="shared" si="57"/>
        <v>3020.76</v>
      </c>
      <c r="J191" s="169">
        <f t="shared" si="47"/>
        <v>99685.08</v>
      </c>
      <c r="K191" s="170">
        <f t="shared" si="41"/>
        <v>102071.64</v>
      </c>
      <c r="L191" s="171">
        <f t="shared" ref="L191:L201" si="59">+J191-K191</f>
        <v>-2386.5599999999977</v>
      </c>
      <c r="M191" s="172">
        <f t="shared" si="48"/>
        <v>-191.75288404002035</v>
      </c>
      <c r="N191" s="173">
        <f t="shared" si="49"/>
        <v>-2578.3128840400182</v>
      </c>
      <c r="O191" s="172">
        <v>0</v>
      </c>
      <c r="P191" s="172">
        <v>0</v>
      </c>
      <c r="Q191" s="172">
        <v>0</v>
      </c>
      <c r="R191" s="173">
        <f t="shared" si="50"/>
        <v>-2578.3128840400182</v>
      </c>
    </row>
    <row r="192" spans="1:18" x14ac:dyDescent="0.25">
      <c r="A192" s="129">
        <v>5</v>
      </c>
      <c r="B192" s="164">
        <f t="shared" si="45"/>
        <v>45413</v>
      </c>
      <c r="C192" s="187">
        <f t="shared" si="58"/>
        <v>45448</v>
      </c>
      <c r="D192" s="187">
        <f t="shared" si="58"/>
        <v>45467</v>
      </c>
      <c r="E192" s="52" t="s">
        <v>57</v>
      </c>
      <c r="F192" s="202">
        <v>9</v>
      </c>
      <c r="G192" s="167">
        <v>40</v>
      </c>
      <c r="H192" s="168">
        <f t="shared" si="46"/>
        <v>3093.08</v>
      </c>
      <c r="I192" s="168">
        <f t="shared" si="57"/>
        <v>3020.76</v>
      </c>
      <c r="J192" s="169">
        <f t="shared" si="47"/>
        <v>120830.40000000001</v>
      </c>
      <c r="K192" s="170">
        <f t="shared" si="41"/>
        <v>123723.2</v>
      </c>
      <c r="L192" s="171">
        <f t="shared" si="59"/>
        <v>-2892.7999999999884</v>
      </c>
      <c r="M192" s="172">
        <f t="shared" si="48"/>
        <v>-232.42773823032772</v>
      </c>
      <c r="N192" s="173">
        <f t="shared" si="49"/>
        <v>-3125.2277382303159</v>
      </c>
      <c r="O192" s="172">
        <v>0</v>
      </c>
      <c r="P192" s="172">
        <v>0</v>
      </c>
      <c r="Q192" s="172">
        <v>0</v>
      </c>
      <c r="R192" s="173">
        <f t="shared" si="50"/>
        <v>-3125.2277382303159</v>
      </c>
    </row>
    <row r="193" spans="1:18" x14ac:dyDescent="0.25">
      <c r="A193" s="129">
        <v>6</v>
      </c>
      <c r="B193" s="164">
        <f t="shared" si="45"/>
        <v>45444</v>
      </c>
      <c r="C193" s="187">
        <f t="shared" si="58"/>
        <v>45476</v>
      </c>
      <c r="D193" s="187">
        <f t="shared" si="58"/>
        <v>45497</v>
      </c>
      <c r="E193" s="52" t="s">
        <v>57</v>
      </c>
      <c r="F193" s="202">
        <v>9</v>
      </c>
      <c r="G193" s="167">
        <v>47</v>
      </c>
      <c r="H193" s="168">
        <f t="shared" si="46"/>
        <v>3093.08</v>
      </c>
      <c r="I193" s="168">
        <f t="shared" si="57"/>
        <v>3020.76</v>
      </c>
      <c r="J193" s="169">
        <f t="shared" si="47"/>
        <v>141975.72</v>
      </c>
      <c r="K193" s="170">
        <f t="shared" si="41"/>
        <v>145374.76</v>
      </c>
      <c r="L193" s="175">
        <f t="shared" si="59"/>
        <v>-3399.0400000000081</v>
      </c>
      <c r="M193" s="172">
        <f t="shared" si="48"/>
        <v>-273.10259242063506</v>
      </c>
      <c r="N193" s="173">
        <f t="shared" si="49"/>
        <v>-3672.1425924206433</v>
      </c>
      <c r="O193" s="172">
        <v>0</v>
      </c>
      <c r="P193" s="172">
        <v>0</v>
      </c>
      <c r="Q193" s="172">
        <v>0</v>
      </c>
      <c r="R193" s="173">
        <f t="shared" si="50"/>
        <v>-3672.1425924206433</v>
      </c>
    </row>
    <row r="194" spans="1:18" x14ac:dyDescent="0.25">
      <c r="A194" s="93">
        <v>7</v>
      </c>
      <c r="B194" s="164">
        <f t="shared" si="45"/>
        <v>45474</v>
      </c>
      <c r="C194" s="187">
        <f t="shared" si="58"/>
        <v>45509</v>
      </c>
      <c r="D194" s="187">
        <f t="shared" si="58"/>
        <v>45530</v>
      </c>
      <c r="E194" s="52" t="s">
        <v>57</v>
      </c>
      <c r="F194" s="202">
        <v>9</v>
      </c>
      <c r="G194" s="167">
        <v>47</v>
      </c>
      <c r="H194" s="168">
        <f t="shared" si="46"/>
        <v>3093.08</v>
      </c>
      <c r="I194" s="168">
        <f t="shared" si="57"/>
        <v>3020.76</v>
      </c>
      <c r="J194" s="169">
        <f t="shared" si="47"/>
        <v>141975.72</v>
      </c>
      <c r="K194" s="176">
        <f t="shared" si="41"/>
        <v>145374.76</v>
      </c>
      <c r="L194" s="175">
        <f t="shared" si="59"/>
        <v>-3399.0400000000081</v>
      </c>
      <c r="M194" s="172">
        <f t="shared" si="48"/>
        <v>-273.10259242063506</v>
      </c>
      <c r="N194" s="173">
        <f t="shared" si="49"/>
        <v>-3672.1425924206433</v>
      </c>
      <c r="O194" s="172">
        <v>0</v>
      </c>
      <c r="P194" s="172">
        <v>0</v>
      </c>
      <c r="Q194" s="172">
        <v>0</v>
      </c>
      <c r="R194" s="173">
        <f t="shared" si="50"/>
        <v>-3672.1425924206433</v>
      </c>
    </row>
    <row r="195" spans="1:18" x14ac:dyDescent="0.25">
      <c r="A195" s="129">
        <v>8</v>
      </c>
      <c r="B195" s="164">
        <f t="shared" si="45"/>
        <v>45505</v>
      </c>
      <c r="C195" s="187">
        <f t="shared" si="58"/>
        <v>45539</v>
      </c>
      <c r="D195" s="187">
        <f t="shared" si="58"/>
        <v>45559</v>
      </c>
      <c r="E195" s="52" t="s">
        <v>57</v>
      </c>
      <c r="F195" s="202">
        <v>9</v>
      </c>
      <c r="G195" s="167">
        <v>51</v>
      </c>
      <c r="H195" s="168">
        <f t="shared" si="46"/>
        <v>3093.08</v>
      </c>
      <c r="I195" s="168">
        <f t="shared" si="57"/>
        <v>3020.76</v>
      </c>
      <c r="J195" s="169">
        <f t="shared" si="47"/>
        <v>154058.76</v>
      </c>
      <c r="K195" s="176">
        <f t="shared" si="41"/>
        <v>157747.07999999999</v>
      </c>
      <c r="L195" s="175">
        <f t="shared" si="59"/>
        <v>-3688.3199999999779</v>
      </c>
      <c r="M195" s="172">
        <f t="shared" si="48"/>
        <v>-296.3453662436678</v>
      </c>
      <c r="N195" s="173">
        <f t="shared" si="49"/>
        <v>-3984.6653662436456</v>
      </c>
      <c r="O195" s="172">
        <v>0</v>
      </c>
      <c r="P195" s="172">
        <v>0</v>
      </c>
      <c r="Q195" s="172">
        <v>0</v>
      </c>
      <c r="R195" s="173">
        <f t="shared" si="50"/>
        <v>-3984.6653662436456</v>
      </c>
    </row>
    <row r="196" spans="1:18" x14ac:dyDescent="0.25">
      <c r="A196" s="129">
        <v>9</v>
      </c>
      <c r="B196" s="164">
        <f t="shared" si="45"/>
        <v>45536</v>
      </c>
      <c r="C196" s="187">
        <f t="shared" si="58"/>
        <v>45568</v>
      </c>
      <c r="D196" s="187">
        <f t="shared" si="58"/>
        <v>45589</v>
      </c>
      <c r="E196" s="52" t="s">
        <v>57</v>
      </c>
      <c r="F196" s="202">
        <v>9</v>
      </c>
      <c r="G196" s="167">
        <v>43</v>
      </c>
      <c r="H196" s="168">
        <f t="shared" si="46"/>
        <v>3093.08</v>
      </c>
      <c r="I196" s="168">
        <f t="shared" si="57"/>
        <v>3020.76</v>
      </c>
      <c r="J196" s="169">
        <f t="shared" si="47"/>
        <v>129892.68000000001</v>
      </c>
      <c r="K196" s="176">
        <f t="shared" si="41"/>
        <v>133002.44</v>
      </c>
      <c r="L196" s="175">
        <f t="shared" si="59"/>
        <v>-3109.7599999999948</v>
      </c>
      <c r="M196" s="172">
        <f t="shared" si="48"/>
        <v>-249.85981859760227</v>
      </c>
      <c r="N196" s="173">
        <f t="shared" si="49"/>
        <v>-3359.6198185975973</v>
      </c>
      <c r="O196" s="172">
        <v>0</v>
      </c>
      <c r="P196" s="172">
        <v>0</v>
      </c>
      <c r="Q196" s="172">
        <v>0</v>
      </c>
      <c r="R196" s="173">
        <f t="shared" si="50"/>
        <v>-3359.6198185975973</v>
      </c>
    </row>
    <row r="197" spans="1:18" x14ac:dyDescent="0.25">
      <c r="A197" s="93">
        <v>10</v>
      </c>
      <c r="B197" s="164">
        <f t="shared" si="45"/>
        <v>45566</v>
      </c>
      <c r="C197" s="187">
        <f t="shared" si="58"/>
        <v>45601</v>
      </c>
      <c r="D197" s="187">
        <f t="shared" si="58"/>
        <v>45621</v>
      </c>
      <c r="E197" s="52" t="s">
        <v>57</v>
      </c>
      <c r="F197" s="202">
        <v>9</v>
      </c>
      <c r="G197" s="167">
        <v>37</v>
      </c>
      <c r="H197" s="168">
        <f t="shared" si="46"/>
        <v>3093.08</v>
      </c>
      <c r="I197" s="168">
        <f t="shared" si="57"/>
        <v>3020.76</v>
      </c>
      <c r="J197" s="169">
        <f t="shared" si="47"/>
        <v>111768.12000000001</v>
      </c>
      <c r="K197" s="176">
        <f t="shared" si="41"/>
        <v>114443.95999999999</v>
      </c>
      <c r="L197" s="175">
        <f t="shared" si="59"/>
        <v>-2675.839999999982</v>
      </c>
      <c r="M197" s="172">
        <f t="shared" si="48"/>
        <v>-214.99565786305311</v>
      </c>
      <c r="N197" s="173">
        <f t="shared" si="49"/>
        <v>-2890.8356578630351</v>
      </c>
      <c r="O197" s="172">
        <v>0</v>
      </c>
      <c r="P197" s="172">
        <v>0</v>
      </c>
      <c r="Q197" s="172">
        <v>0</v>
      </c>
      <c r="R197" s="173">
        <f t="shared" si="50"/>
        <v>-2890.8356578630351</v>
      </c>
    </row>
    <row r="198" spans="1:18" x14ac:dyDescent="0.25">
      <c r="A198" s="129">
        <v>11</v>
      </c>
      <c r="B198" s="164">
        <f t="shared" si="45"/>
        <v>45597</v>
      </c>
      <c r="C198" s="187">
        <f t="shared" si="58"/>
        <v>45630</v>
      </c>
      <c r="D198" s="187">
        <f t="shared" si="58"/>
        <v>45650</v>
      </c>
      <c r="E198" s="52" t="s">
        <v>57</v>
      </c>
      <c r="F198" s="202">
        <v>9</v>
      </c>
      <c r="G198" s="167">
        <v>34</v>
      </c>
      <c r="H198" s="168">
        <f t="shared" si="46"/>
        <v>3093.08</v>
      </c>
      <c r="I198" s="168">
        <f t="shared" si="57"/>
        <v>3020.76</v>
      </c>
      <c r="J198" s="169">
        <f t="shared" si="47"/>
        <v>102705.84000000001</v>
      </c>
      <c r="K198" s="176">
        <f t="shared" ref="K198:K209" si="60">+$G198*H198</f>
        <v>105164.72</v>
      </c>
      <c r="L198" s="175">
        <f t="shared" si="59"/>
        <v>-2458.8799999999901</v>
      </c>
      <c r="M198" s="172">
        <f t="shared" si="48"/>
        <v>-197.56357749577856</v>
      </c>
      <c r="N198" s="173">
        <f t="shared" si="49"/>
        <v>-2656.4435774957687</v>
      </c>
      <c r="O198" s="172">
        <v>0</v>
      </c>
      <c r="P198" s="172">
        <v>0</v>
      </c>
      <c r="Q198" s="172">
        <v>0</v>
      </c>
      <c r="R198" s="173">
        <f t="shared" si="50"/>
        <v>-2656.4435774957687</v>
      </c>
    </row>
    <row r="199" spans="1:18" s="191" customFormat="1" x14ac:dyDescent="0.25">
      <c r="A199" s="129">
        <v>12</v>
      </c>
      <c r="B199" s="189">
        <f t="shared" si="45"/>
        <v>45627</v>
      </c>
      <c r="C199" s="187">
        <f t="shared" si="58"/>
        <v>45660</v>
      </c>
      <c r="D199" s="187">
        <f t="shared" si="58"/>
        <v>45681</v>
      </c>
      <c r="E199" s="190" t="s">
        <v>57</v>
      </c>
      <c r="F199" s="204">
        <v>9</v>
      </c>
      <c r="G199" s="179">
        <v>32</v>
      </c>
      <c r="H199" s="180">
        <f t="shared" si="46"/>
        <v>3093.08</v>
      </c>
      <c r="I199" s="180">
        <f t="shared" si="57"/>
        <v>3020.76</v>
      </c>
      <c r="J199" s="181">
        <f t="shared" si="47"/>
        <v>96664.320000000007</v>
      </c>
      <c r="K199" s="182">
        <f t="shared" si="60"/>
        <v>98978.559999999998</v>
      </c>
      <c r="L199" s="183">
        <f t="shared" si="59"/>
        <v>-2314.2399999999907</v>
      </c>
      <c r="M199" s="172">
        <f t="shared" si="48"/>
        <v>-185.94219058426216</v>
      </c>
      <c r="N199" s="173">
        <f t="shared" si="49"/>
        <v>-2500.182190584253</v>
      </c>
      <c r="O199" s="172">
        <v>0</v>
      </c>
      <c r="P199" s="172">
        <v>0</v>
      </c>
      <c r="Q199" s="172">
        <v>0</v>
      </c>
      <c r="R199" s="173">
        <f t="shared" si="50"/>
        <v>-2500.182190584253</v>
      </c>
    </row>
    <row r="200" spans="1:18" x14ac:dyDescent="0.25">
      <c r="A200" s="93">
        <v>1</v>
      </c>
      <c r="B200" s="164">
        <f t="shared" si="45"/>
        <v>45292</v>
      </c>
      <c r="C200" s="185">
        <f t="shared" si="58"/>
        <v>45327</v>
      </c>
      <c r="D200" s="185">
        <f t="shared" si="58"/>
        <v>45348</v>
      </c>
      <c r="E200" s="166" t="s">
        <v>17</v>
      </c>
      <c r="F200" s="116">
        <v>9</v>
      </c>
      <c r="G200" s="167">
        <v>104</v>
      </c>
      <c r="H200" s="168">
        <f t="shared" si="46"/>
        <v>3093.08</v>
      </c>
      <c r="I200" s="168">
        <f t="shared" si="57"/>
        <v>3020.76</v>
      </c>
      <c r="J200" s="169">
        <f t="shared" si="47"/>
        <v>314159.04000000004</v>
      </c>
      <c r="K200" s="170">
        <f t="shared" si="60"/>
        <v>321680.32</v>
      </c>
      <c r="L200" s="171">
        <f t="shared" si="59"/>
        <v>-7521.2799999999697</v>
      </c>
      <c r="M200" s="172">
        <f t="shared" si="48"/>
        <v>-604.31211939885202</v>
      </c>
      <c r="N200" s="173">
        <f t="shared" si="49"/>
        <v>-8125.5921193988215</v>
      </c>
      <c r="O200" s="172">
        <v>0</v>
      </c>
      <c r="P200" s="172">
        <v>0</v>
      </c>
      <c r="Q200" s="172">
        <v>0</v>
      </c>
      <c r="R200" s="173">
        <f t="shared" si="50"/>
        <v>-8125.5921193988215</v>
      </c>
    </row>
    <row r="201" spans="1:18" x14ac:dyDescent="0.25">
      <c r="A201" s="129">
        <v>2</v>
      </c>
      <c r="B201" s="164">
        <f t="shared" si="45"/>
        <v>45323</v>
      </c>
      <c r="C201" s="187">
        <f t="shared" si="58"/>
        <v>45356</v>
      </c>
      <c r="D201" s="187">
        <f t="shared" si="58"/>
        <v>45376</v>
      </c>
      <c r="E201" s="174" t="s">
        <v>17</v>
      </c>
      <c r="F201" s="202">
        <v>9</v>
      </c>
      <c r="G201" s="167">
        <v>99</v>
      </c>
      <c r="H201" s="168">
        <f t="shared" si="46"/>
        <v>3093.08</v>
      </c>
      <c r="I201" s="168">
        <f t="shared" si="57"/>
        <v>3020.76</v>
      </c>
      <c r="J201" s="169">
        <f t="shared" si="47"/>
        <v>299055.24000000005</v>
      </c>
      <c r="K201" s="170">
        <f t="shared" si="60"/>
        <v>306214.92</v>
      </c>
      <c r="L201" s="171">
        <f t="shared" si="59"/>
        <v>-7159.6799999999348</v>
      </c>
      <c r="M201" s="172">
        <f t="shared" si="48"/>
        <v>-575.25865212006102</v>
      </c>
      <c r="N201" s="173">
        <f t="shared" si="49"/>
        <v>-7734.9386521199958</v>
      </c>
      <c r="O201" s="172">
        <v>0</v>
      </c>
      <c r="P201" s="172">
        <v>0</v>
      </c>
      <c r="Q201" s="172">
        <v>0</v>
      </c>
      <c r="R201" s="173">
        <f t="shared" si="50"/>
        <v>-7734.9386521199958</v>
      </c>
    </row>
    <row r="202" spans="1:18" x14ac:dyDescent="0.25">
      <c r="A202" s="129">
        <v>3</v>
      </c>
      <c r="B202" s="164">
        <f t="shared" si="45"/>
        <v>45352</v>
      </c>
      <c r="C202" s="187">
        <f t="shared" si="58"/>
        <v>45385</v>
      </c>
      <c r="D202" s="187">
        <f t="shared" si="58"/>
        <v>45406</v>
      </c>
      <c r="E202" s="174" t="s">
        <v>17</v>
      </c>
      <c r="F202" s="202">
        <v>9</v>
      </c>
      <c r="G202" s="167">
        <v>99</v>
      </c>
      <c r="H202" s="168">
        <f t="shared" si="46"/>
        <v>3093.08</v>
      </c>
      <c r="I202" s="168">
        <f t="shared" si="57"/>
        <v>3020.76</v>
      </c>
      <c r="J202" s="169">
        <f t="shared" si="47"/>
        <v>299055.24000000005</v>
      </c>
      <c r="K202" s="170">
        <f t="shared" si="60"/>
        <v>306214.92</v>
      </c>
      <c r="L202" s="171">
        <f>+J202-K202</f>
        <v>-7159.6799999999348</v>
      </c>
      <c r="M202" s="172">
        <f t="shared" si="48"/>
        <v>-575.25865212006102</v>
      </c>
      <c r="N202" s="173">
        <f t="shared" si="49"/>
        <v>-7734.9386521199958</v>
      </c>
      <c r="O202" s="172">
        <v>0</v>
      </c>
      <c r="P202" s="172">
        <v>0</v>
      </c>
      <c r="Q202" s="172">
        <v>0</v>
      </c>
      <c r="R202" s="173">
        <f t="shared" si="50"/>
        <v>-7734.9386521199958</v>
      </c>
    </row>
    <row r="203" spans="1:18" x14ac:dyDescent="0.25">
      <c r="A203" s="93">
        <v>4</v>
      </c>
      <c r="B203" s="164">
        <f t="shared" si="45"/>
        <v>45383</v>
      </c>
      <c r="C203" s="187">
        <f t="shared" si="58"/>
        <v>45415</v>
      </c>
      <c r="D203" s="187">
        <f t="shared" si="58"/>
        <v>45436</v>
      </c>
      <c r="E203" s="174" t="s">
        <v>17</v>
      </c>
      <c r="F203" s="202">
        <v>9</v>
      </c>
      <c r="G203" s="167">
        <v>99</v>
      </c>
      <c r="H203" s="168">
        <f t="shared" si="46"/>
        <v>3093.08</v>
      </c>
      <c r="I203" s="168">
        <f t="shared" si="57"/>
        <v>3020.76</v>
      </c>
      <c r="J203" s="169">
        <f t="shared" si="47"/>
        <v>299055.24000000005</v>
      </c>
      <c r="K203" s="170">
        <f t="shared" si="60"/>
        <v>306214.92</v>
      </c>
      <c r="L203" s="171">
        <f t="shared" ref="L203:L211" si="61">+J203-K203</f>
        <v>-7159.6799999999348</v>
      </c>
      <c r="M203" s="172">
        <f t="shared" si="48"/>
        <v>-575.25865212006102</v>
      </c>
      <c r="N203" s="173">
        <f t="shared" si="49"/>
        <v>-7734.9386521199958</v>
      </c>
      <c r="O203" s="172">
        <v>0</v>
      </c>
      <c r="P203" s="172">
        <v>0</v>
      </c>
      <c r="Q203" s="172">
        <v>0</v>
      </c>
      <c r="R203" s="173">
        <f t="shared" si="50"/>
        <v>-7734.9386521199958</v>
      </c>
    </row>
    <row r="204" spans="1:18" x14ac:dyDescent="0.25">
      <c r="A204" s="129">
        <v>5</v>
      </c>
      <c r="B204" s="164">
        <f t="shared" si="45"/>
        <v>45413</v>
      </c>
      <c r="C204" s="187">
        <f t="shared" si="58"/>
        <v>45448</v>
      </c>
      <c r="D204" s="187">
        <f t="shared" si="58"/>
        <v>45467</v>
      </c>
      <c r="E204" s="52" t="s">
        <v>17</v>
      </c>
      <c r="F204" s="202">
        <v>9</v>
      </c>
      <c r="G204" s="167">
        <v>106</v>
      </c>
      <c r="H204" s="168">
        <f t="shared" si="46"/>
        <v>3093.08</v>
      </c>
      <c r="I204" s="168">
        <f t="shared" si="57"/>
        <v>3020.76</v>
      </c>
      <c r="J204" s="169">
        <f t="shared" si="47"/>
        <v>320200.56</v>
      </c>
      <c r="K204" s="170">
        <f t="shared" si="60"/>
        <v>327866.48</v>
      </c>
      <c r="L204" s="171">
        <f t="shared" si="61"/>
        <v>-7665.9199999999837</v>
      </c>
      <c r="M204" s="172">
        <f t="shared" si="48"/>
        <v>-615.93350631036844</v>
      </c>
      <c r="N204" s="173">
        <f t="shared" si="49"/>
        <v>-8281.8535063103518</v>
      </c>
      <c r="O204" s="172">
        <v>0</v>
      </c>
      <c r="P204" s="172">
        <v>0</v>
      </c>
      <c r="Q204" s="172">
        <v>0</v>
      </c>
      <c r="R204" s="173">
        <f t="shared" si="50"/>
        <v>-8281.8535063103518</v>
      </c>
    </row>
    <row r="205" spans="1:18" x14ac:dyDescent="0.25">
      <c r="A205" s="129">
        <v>6</v>
      </c>
      <c r="B205" s="164">
        <f t="shared" si="45"/>
        <v>45444</v>
      </c>
      <c r="C205" s="187">
        <f t="shared" si="58"/>
        <v>45476</v>
      </c>
      <c r="D205" s="187">
        <f t="shared" si="58"/>
        <v>45497</v>
      </c>
      <c r="E205" s="52" t="s">
        <v>17</v>
      </c>
      <c r="F205" s="202">
        <v>9</v>
      </c>
      <c r="G205" s="167">
        <v>120</v>
      </c>
      <c r="H205" s="168">
        <f t="shared" si="46"/>
        <v>3093.08</v>
      </c>
      <c r="I205" s="168">
        <f t="shared" si="57"/>
        <v>3020.76</v>
      </c>
      <c r="J205" s="169">
        <f t="shared" si="47"/>
        <v>362491.2</v>
      </c>
      <c r="K205" s="170">
        <f t="shared" si="60"/>
        <v>371169.6</v>
      </c>
      <c r="L205" s="175">
        <f t="shared" si="61"/>
        <v>-8678.3999999999651</v>
      </c>
      <c r="M205" s="172">
        <f t="shared" si="48"/>
        <v>-697.28321469098307</v>
      </c>
      <c r="N205" s="173">
        <f t="shared" si="49"/>
        <v>-9375.6832146909474</v>
      </c>
      <c r="O205" s="172">
        <v>0</v>
      </c>
      <c r="P205" s="172">
        <v>0</v>
      </c>
      <c r="Q205" s="172">
        <v>0</v>
      </c>
      <c r="R205" s="173">
        <f t="shared" si="50"/>
        <v>-9375.6832146909474</v>
      </c>
    </row>
    <row r="206" spans="1:18" x14ac:dyDescent="0.25">
      <c r="A206" s="93">
        <v>7</v>
      </c>
      <c r="B206" s="164">
        <f t="shared" si="45"/>
        <v>45474</v>
      </c>
      <c r="C206" s="187">
        <f t="shared" si="58"/>
        <v>45509</v>
      </c>
      <c r="D206" s="187">
        <f t="shared" si="58"/>
        <v>45530</v>
      </c>
      <c r="E206" s="52" t="s">
        <v>17</v>
      </c>
      <c r="F206" s="202">
        <v>9</v>
      </c>
      <c r="G206" s="167">
        <v>117</v>
      </c>
      <c r="H206" s="168">
        <f t="shared" si="46"/>
        <v>3093.08</v>
      </c>
      <c r="I206" s="168">
        <f t="shared" si="57"/>
        <v>3020.76</v>
      </c>
      <c r="J206" s="169">
        <f t="shared" si="47"/>
        <v>353428.92000000004</v>
      </c>
      <c r="K206" s="176">
        <f t="shared" si="60"/>
        <v>361890.36</v>
      </c>
      <c r="L206" s="175">
        <f t="shared" si="61"/>
        <v>-8461.4399999999441</v>
      </c>
      <c r="M206" s="172">
        <f t="shared" si="48"/>
        <v>-679.85113432370861</v>
      </c>
      <c r="N206" s="173">
        <f t="shared" si="49"/>
        <v>-9141.2911343236519</v>
      </c>
      <c r="O206" s="172">
        <v>0</v>
      </c>
      <c r="P206" s="172">
        <v>0</v>
      </c>
      <c r="Q206" s="172">
        <v>0</v>
      </c>
      <c r="R206" s="173">
        <f t="shared" si="50"/>
        <v>-9141.2911343236519</v>
      </c>
    </row>
    <row r="207" spans="1:18" x14ac:dyDescent="0.25">
      <c r="A207" s="129">
        <v>8</v>
      </c>
      <c r="B207" s="164">
        <f t="shared" si="45"/>
        <v>45505</v>
      </c>
      <c r="C207" s="187">
        <f t="shared" si="58"/>
        <v>45539</v>
      </c>
      <c r="D207" s="187">
        <f t="shared" si="58"/>
        <v>45559</v>
      </c>
      <c r="E207" s="52" t="s">
        <v>17</v>
      </c>
      <c r="F207" s="202">
        <v>9</v>
      </c>
      <c r="G207" s="167">
        <v>118</v>
      </c>
      <c r="H207" s="168">
        <f t="shared" si="46"/>
        <v>3093.08</v>
      </c>
      <c r="I207" s="168">
        <f t="shared" si="57"/>
        <v>3020.76</v>
      </c>
      <c r="J207" s="169">
        <f t="shared" si="47"/>
        <v>356449.68000000005</v>
      </c>
      <c r="K207" s="176">
        <f t="shared" si="60"/>
        <v>364983.44</v>
      </c>
      <c r="L207" s="175">
        <f t="shared" si="61"/>
        <v>-8533.7599999999511</v>
      </c>
      <c r="M207" s="172">
        <f t="shared" si="48"/>
        <v>-685.66182777946676</v>
      </c>
      <c r="N207" s="173">
        <f t="shared" si="49"/>
        <v>-9219.4218277794171</v>
      </c>
      <c r="O207" s="172">
        <v>0</v>
      </c>
      <c r="P207" s="172">
        <v>0</v>
      </c>
      <c r="Q207" s="172">
        <v>0</v>
      </c>
      <c r="R207" s="173">
        <f t="shared" si="50"/>
        <v>-9219.4218277794171</v>
      </c>
    </row>
    <row r="208" spans="1:18" x14ac:dyDescent="0.25">
      <c r="A208" s="129">
        <v>9</v>
      </c>
      <c r="B208" s="164">
        <f t="shared" si="45"/>
        <v>45536</v>
      </c>
      <c r="C208" s="187">
        <f t="shared" si="58"/>
        <v>45568</v>
      </c>
      <c r="D208" s="187">
        <f t="shared" si="58"/>
        <v>45589</v>
      </c>
      <c r="E208" s="52" t="s">
        <v>17</v>
      </c>
      <c r="F208" s="202">
        <v>9</v>
      </c>
      <c r="G208" s="167">
        <v>117</v>
      </c>
      <c r="H208" s="168">
        <f t="shared" si="46"/>
        <v>3093.08</v>
      </c>
      <c r="I208" s="168">
        <f t="shared" si="57"/>
        <v>3020.76</v>
      </c>
      <c r="J208" s="169">
        <f t="shared" si="47"/>
        <v>353428.92000000004</v>
      </c>
      <c r="K208" s="176">
        <f t="shared" si="60"/>
        <v>361890.36</v>
      </c>
      <c r="L208" s="175">
        <f t="shared" si="61"/>
        <v>-8461.4399999999441</v>
      </c>
      <c r="M208" s="172">
        <f t="shared" si="48"/>
        <v>-679.85113432370861</v>
      </c>
      <c r="N208" s="173">
        <f t="shared" si="49"/>
        <v>-9141.2911343236519</v>
      </c>
      <c r="O208" s="172">
        <v>0</v>
      </c>
      <c r="P208" s="172">
        <v>0</v>
      </c>
      <c r="Q208" s="172">
        <v>0</v>
      </c>
      <c r="R208" s="173">
        <f t="shared" si="50"/>
        <v>-9141.2911343236519</v>
      </c>
    </row>
    <row r="209" spans="1:18" x14ac:dyDescent="0.25">
      <c r="A209" s="93">
        <v>10</v>
      </c>
      <c r="B209" s="164">
        <f t="shared" si="45"/>
        <v>45566</v>
      </c>
      <c r="C209" s="187">
        <f t="shared" si="58"/>
        <v>45601</v>
      </c>
      <c r="D209" s="187">
        <f t="shared" si="58"/>
        <v>45621</v>
      </c>
      <c r="E209" s="52" t="s">
        <v>17</v>
      </c>
      <c r="F209" s="202">
        <v>9</v>
      </c>
      <c r="G209" s="167">
        <v>107</v>
      </c>
      <c r="H209" s="168">
        <f t="shared" si="46"/>
        <v>3093.08</v>
      </c>
      <c r="I209" s="168">
        <f t="shared" si="57"/>
        <v>3020.76</v>
      </c>
      <c r="J209" s="169">
        <f t="shared" si="47"/>
        <v>323221.32</v>
      </c>
      <c r="K209" s="176">
        <f t="shared" si="60"/>
        <v>330959.56</v>
      </c>
      <c r="L209" s="175">
        <f t="shared" si="61"/>
        <v>-7738.2399999999907</v>
      </c>
      <c r="M209" s="172">
        <f t="shared" si="48"/>
        <v>-621.7441997661266</v>
      </c>
      <c r="N209" s="173">
        <f t="shared" si="49"/>
        <v>-8359.9841997661169</v>
      </c>
      <c r="O209" s="172">
        <v>0</v>
      </c>
      <c r="P209" s="172">
        <v>0</v>
      </c>
      <c r="Q209" s="172">
        <v>0</v>
      </c>
      <c r="R209" s="173">
        <f t="shared" si="50"/>
        <v>-8359.9841997661169</v>
      </c>
    </row>
    <row r="210" spans="1:18" x14ac:dyDescent="0.25">
      <c r="A210" s="129">
        <v>11</v>
      </c>
      <c r="B210" s="164">
        <f t="shared" si="45"/>
        <v>45597</v>
      </c>
      <c r="C210" s="187">
        <f t="shared" si="58"/>
        <v>45630</v>
      </c>
      <c r="D210" s="187">
        <f t="shared" si="58"/>
        <v>45650</v>
      </c>
      <c r="E210" s="52" t="s">
        <v>17</v>
      </c>
      <c r="F210" s="202">
        <v>9</v>
      </c>
      <c r="G210" s="167">
        <v>91</v>
      </c>
      <c r="H210" s="168">
        <f t="shared" si="46"/>
        <v>3093.08</v>
      </c>
      <c r="I210" s="168">
        <f t="shared" si="57"/>
        <v>3020.76</v>
      </c>
      <c r="J210" s="169">
        <f t="shared" si="47"/>
        <v>274889.16000000003</v>
      </c>
      <c r="K210" s="176">
        <f>+$G210*H210</f>
        <v>281470.27999999997</v>
      </c>
      <c r="L210" s="175">
        <f t="shared" si="61"/>
        <v>-6581.1199999999371</v>
      </c>
      <c r="M210" s="172">
        <f t="shared" si="48"/>
        <v>-528.77310447399555</v>
      </c>
      <c r="N210" s="173">
        <f t="shared" si="49"/>
        <v>-7109.8931044739329</v>
      </c>
      <c r="O210" s="172">
        <v>0</v>
      </c>
      <c r="P210" s="172">
        <v>0</v>
      </c>
      <c r="Q210" s="172">
        <v>0</v>
      </c>
      <c r="R210" s="173">
        <f t="shared" si="50"/>
        <v>-7109.8931044739329</v>
      </c>
    </row>
    <row r="211" spans="1:18" s="191" customFormat="1" x14ac:dyDescent="0.25">
      <c r="A211" s="129">
        <v>12</v>
      </c>
      <c r="B211" s="189">
        <f t="shared" si="45"/>
        <v>45627</v>
      </c>
      <c r="C211" s="192">
        <f t="shared" si="58"/>
        <v>45660</v>
      </c>
      <c r="D211" s="192">
        <f t="shared" si="58"/>
        <v>45681</v>
      </c>
      <c r="E211" s="190" t="s">
        <v>17</v>
      </c>
      <c r="F211" s="204">
        <v>9</v>
      </c>
      <c r="G211" s="179">
        <v>102</v>
      </c>
      <c r="H211" s="180">
        <f t="shared" si="46"/>
        <v>3093.08</v>
      </c>
      <c r="I211" s="180">
        <f t="shared" si="57"/>
        <v>3020.76</v>
      </c>
      <c r="J211" s="181">
        <f t="shared" si="47"/>
        <v>308117.52</v>
      </c>
      <c r="K211" s="182">
        <f>+$G211*H211</f>
        <v>315494.15999999997</v>
      </c>
      <c r="L211" s="183">
        <f t="shared" si="61"/>
        <v>-7376.6399999999558</v>
      </c>
      <c r="M211" s="181">
        <f t="shared" si="48"/>
        <v>-592.69073248733559</v>
      </c>
      <c r="N211" s="173">
        <f t="shared" si="49"/>
        <v>-7969.3307324872912</v>
      </c>
      <c r="O211" s="172">
        <v>0</v>
      </c>
      <c r="P211" s="172">
        <v>0</v>
      </c>
      <c r="Q211" s="172">
        <v>0</v>
      </c>
      <c r="R211" s="173">
        <f t="shared" si="50"/>
        <v>-7969.3307324872912</v>
      </c>
    </row>
    <row r="212" spans="1:18" x14ac:dyDescent="0.25">
      <c r="G212" s="197">
        <f>SUM(G20:G211)</f>
        <v>101851</v>
      </c>
      <c r="H212" s="49"/>
      <c r="I212" s="49"/>
      <c r="J212" s="49">
        <f>SUM(J20:J211)</f>
        <v>307667426.76000023</v>
      </c>
      <c r="K212" s="49">
        <f>SUM(K20:K211)</f>
        <v>315033291.08000022</v>
      </c>
      <c r="L212" s="49">
        <f>SUM(L20:L211)</f>
        <v>-7365864.3199999742</v>
      </c>
      <c r="M212" s="49">
        <f>SUM(M20:M211)</f>
        <v>-591824.93916242814</v>
      </c>
      <c r="N212" s="49"/>
      <c r="O212" s="49"/>
      <c r="P212" s="49">
        <f>SUM(P20:P211)</f>
        <v>0</v>
      </c>
      <c r="Q212" s="49"/>
      <c r="R212" s="198">
        <f>SUM(R20:R211)</f>
        <v>-7957689.2591623971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5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MjowN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jozNCBQTTwvRGF0ZVRpbWU+PExhYmVsU3RyaW5nPkFFUCBJbnRlcm5hbDwvTGFiZWxTdHJpbmc+PC9pdGVtPjwvbGFiZWxIaXN0b3J5Pg==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16A98AA1-25D9-408D-BB6F-7208D505BDC8}">
  <ds:schemaRefs>
    <ds:schemaRef ds:uri="http://purl.org/dc/elements/1.1/"/>
    <ds:schemaRef ds:uri="6a06342d-ce85-4729-8251-347f0ba4f840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b6888f76-1100-40b0-929b-1efe9044426d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0285AF-BA6B-4E34-8A33-348A192DBC81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710B89B4-2CB0-4EFA-B699-9BFBDAAEB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92E340-E561-4672-93E2-08E196B0A84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DD0024-F210-4C27-918A-875FEADF96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20XX NOLC Refund Detail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2025-05-27T12:47:28Z</cp:lastPrinted>
  <dcterms:created xsi:type="dcterms:W3CDTF">2009-09-04T18:19:13Z</dcterms:created>
  <dcterms:modified xsi:type="dcterms:W3CDTF">2025-05-27T12:48:30Z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a7ee4e5d-425d-498f-aebd-2f3d9da74dc5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{450285AF-BA6B-4E34-8A33-348A192DBC81}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