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Formula Rates/Transmission Formula Rates/West OpCos - SPP OATT Attach H-4/Rate Year 2024/True Up (ATRR)/As Filed/"/>
    </mc:Choice>
  </mc:AlternateContent>
  <xr:revisionPtr revIDLastSave="9" documentId="8_{6BA278FF-9B8A-4FDC-9C14-73122BB3271D}" xr6:coauthVersionLast="47" xr6:coauthVersionMax="47" xr10:uidLastSave="{BF5A47EE-FB8F-4260-BEC6-09147F508E35}"/>
  <bookViews>
    <workbookView xWindow="28680" yWindow="-120" windowWidth="24240" windowHeight="13020" activeTab="1" xr2:uid="{00000000-000D-0000-FFFF-FFFF00000000}"/>
  </bookViews>
  <sheets>
    <sheet name="Instructions" sheetId="33" r:id="rId1"/>
    <sheet name="20XX NOLC Refund Detail" sheetId="34" r:id="rId2"/>
    <sheet name="Summary" sheetId="29" r:id="rId3"/>
    <sheet name="Pivot" sheetId="31" r:id="rId4"/>
    <sheet name="Transactions" sheetId="18" r:id="rId5"/>
  </sheets>
  <definedNames>
    <definedName name="_xlnm._FilterDatabase" localSheetId="4" hidden="1">Transactions!$A$15:$R$211</definedName>
    <definedName name="AS1_1999" localSheetId="4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0">Instructions!$A$1:$R$19</definedName>
    <definedName name="_xlnm.Print_Area" localSheetId="2">Summary!$C$1:$I$40</definedName>
    <definedName name="_xlnm.Print_Area" localSheetId="4">Transactions!$A$1:$R$211</definedName>
    <definedName name="_xlnm.Print_Titles" localSheetId="3">Pivot!$3:$4</definedName>
    <definedName name="_xlnm.Print_Titles" localSheetId="4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 iterate="1"/>
  <pivotCaches>
    <pivotCache cacheId="3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34" l="1"/>
  <c r="C5" i="34"/>
  <c r="H22" i="29" s="1"/>
  <c r="B13" i="34"/>
  <c r="B4" i="34"/>
  <c r="G36" i="29"/>
  <c r="G31" i="29"/>
  <c r="G25" i="29"/>
  <c r="G21" i="29"/>
  <c r="G23" i="29"/>
  <c r="G24" i="29"/>
  <c r="G29" i="29"/>
  <c r="G33" i="29"/>
  <c r="G27" i="29"/>
  <c r="G37" i="29"/>
  <c r="G22" i="29"/>
  <c r="G30" i="29"/>
  <c r="G32" i="29"/>
  <c r="G26" i="29"/>
  <c r="G28" i="29"/>
  <c r="G35" i="29"/>
  <c r="D7" i="34" l="1"/>
  <c r="D10" i="34"/>
  <c r="D5" i="34"/>
  <c r="D15" i="34"/>
  <c r="D18" i="34"/>
  <c r="D12" i="34"/>
  <c r="E5" i="34"/>
  <c r="C10" i="34"/>
  <c r="H27" i="29" s="1"/>
  <c r="C20" i="34"/>
  <c r="H37" i="29" s="1"/>
  <c r="C15" i="34"/>
  <c r="H32" i="29" s="1"/>
  <c r="C18" i="34"/>
  <c r="H35" i="29" s="1"/>
  <c r="C13" i="34"/>
  <c r="H30" i="29" s="1"/>
  <c r="E2" i="34"/>
  <c r="C6" i="34"/>
  <c r="H23" i="29" s="1"/>
  <c r="D11" i="34"/>
  <c r="D16" i="34"/>
  <c r="C19" i="34"/>
  <c r="H36" i="29" s="1"/>
  <c r="D8" i="34"/>
  <c r="D6" i="34"/>
  <c r="C9" i="34"/>
  <c r="H26" i="29" s="1"/>
  <c r="C14" i="34"/>
  <c r="H31" i="29" s="1"/>
  <c r="D19" i="34"/>
  <c r="C8" i="34"/>
  <c r="H25" i="29" s="1"/>
  <c r="C16" i="34"/>
  <c r="H33" i="29" s="1"/>
  <c r="C4" i="34"/>
  <c r="H21" i="29" s="1"/>
  <c r="D9" i="34"/>
  <c r="C12" i="34"/>
  <c r="H29" i="29" s="1"/>
  <c r="D14" i="34"/>
  <c r="C11" i="34"/>
  <c r="H28" i="29" s="1"/>
  <c r="D13" i="34"/>
  <c r="D4" i="34"/>
  <c r="C7" i="34"/>
  <c r="H24" i="29" s="1"/>
  <c r="C5" i="29"/>
  <c r="D21" i="34" l="1"/>
  <c r="E15" i="34"/>
  <c r="E12" i="34"/>
  <c r="E20" i="34"/>
  <c r="E10" i="34"/>
  <c r="E11" i="34"/>
  <c r="E14" i="34"/>
  <c r="E19" i="34"/>
  <c r="E7" i="34"/>
  <c r="E16" i="34"/>
  <c r="E6" i="34"/>
  <c r="D17" i="34"/>
  <c r="D22" i="34" s="1"/>
  <c r="E13" i="34"/>
  <c r="C17" i="34"/>
  <c r="E4" i="34"/>
  <c r="E8" i="34"/>
  <c r="E9" i="34"/>
  <c r="C21" i="34"/>
  <c r="E18" i="34"/>
  <c r="L3" i="18"/>
  <c r="E17" i="34" l="1"/>
  <c r="E21" i="34"/>
  <c r="E22" i="34" s="1"/>
  <c r="C22" i="34"/>
  <c r="K1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E10" i="29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54" i="18" s="1"/>
  <c r="D38" i="18"/>
  <c r="D62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D175" i="18" s="1"/>
  <c r="B31" i="18"/>
  <c r="D42" i="18"/>
  <c r="D54" i="18" s="1"/>
  <c r="B30" i="18"/>
  <c r="D41" i="18"/>
  <c r="D65" i="18" s="1"/>
  <c r="B29" i="18"/>
  <c r="B28" i="18"/>
  <c r="C39" i="18"/>
  <c r="C51" i="18" s="1"/>
  <c r="D39" i="18"/>
  <c r="D51" i="18" s="1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55" i="18" s="1"/>
  <c r="B175" i="18"/>
  <c r="B174" i="18"/>
  <c r="B173" i="18"/>
  <c r="B172" i="18"/>
  <c r="B171" i="18"/>
  <c r="C38" i="18"/>
  <c r="C50" i="18" s="1"/>
  <c r="B170" i="18"/>
  <c r="C37" i="18"/>
  <c r="C49" i="18" s="1"/>
  <c r="B169" i="18"/>
  <c r="B168" i="18"/>
  <c r="B167" i="18"/>
  <c r="B166" i="18"/>
  <c r="C33" i="18"/>
  <c r="C45" i="18" s="1"/>
  <c r="B165" i="18"/>
  <c r="C32" i="18"/>
  <c r="C56" i="18" s="1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2" i="18" s="1"/>
  <c r="D35" i="18"/>
  <c r="D59" i="18" s="1"/>
  <c r="D83" i="18" s="1"/>
  <c r="D95" i="18" s="1"/>
  <c r="D107" i="18" s="1"/>
  <c r="D119" i="18" s="1"/>
  <c r="D131" i="18" s="1"/>
  <c r="D143" i="18" s="1"/>
  <c r="D155" i="18" s="1"/>
  <c r="D37" i="18"/>
  <c r="D61" i="18" s="1"/>
  <c r="D40" i="18"/>
  <c r="D33" i="18"/>
  <c r="D45" i="18" s="1"/>
  <c r="D34" i="18"/>
  <c r="D58" i="18" s="1"/>
  <c r="F10" i="29"/>
  <c r="E29" i="29"/>
  <c r="D35" i="29"/>
  <c r="D24" i="29"/>
  <c r="E25" i="29"/>
  <c r="D30" i="29"/>
  <c r="E28" i="29"/>
  <c r="D32" i="29"/>
  <c r="D27" i="29"/>
  <c r="E21" i="29"/>
  <c r="D28" i="29"/>
  <c r="E32" i="29"/>
  <c r="D33" i="29"/>
  <c r="E24" i="29"/>
  <c r="E37" i="29"/>
  <c r="E26" i="29"/>
  <c r="D37" i="29"/>
  <c r="E31" i="29"/>
  <c r="D22" i="29"/>
  <c r="E27" i="29"/>
  <c r="E22" i="29"/>
  <c r="E23" i="29"/>
  <c r="E35" i="29"/>
  <c r="D26" i="29"/>
  <c r="D23" i="29"/>
  <c r="D29" i="29"/>
  <c r="D36" i="29"/>
  <c r="D31" i="29"/>
  <c r="E33" i="29"/>
  <c r="E36" i="29"/>
  <c r="D21" i="29"/>
  <c r="E30" i="29"/>
  <c r="D25" i="29"/>
  <c r="C63" i="18" l="1"/>
  <c r="C87" i="18" s="1"/>
  <c r="C99" i="18" s="1"/>
  <c r="C111" i="18" s="1"/>
  <c r="C123" i="18" s="1"/>
  <c r="C135" i="18" s="1"/>
  <c r="C147" i="18" s="1"/>
  <c r="C159" i="18" s="1"/>
  <c r="C171" i="18" s="1"/>
  <c r="C72" i="18"/>
  <c r="C66" i="18"/>
  <c r="C78" i="18" s="1"/>
  <c r="C44" i="18"/>
  <c r="C64" i="18"/>
  <c r="C76" i="18" s="1"/>
  <c r="D63" i="18"/>
  <c r="D87" i="18" s="1"/>
  <c r="D99" i="18" s="1"/>
  <c r="D111" i="18" s="1"/>
  <c r="D123" i="18" s="1"/>
  <c r="D135" i="18" s="1"/>
  <c r="D147" i="18" s="1"/>
  <c r="D159" i="18" s="1"/>
  <c r="D183" i="18" s="1"/>
  <c r="D195" i="18" s="1"/>
  <c r="D207" i="18" s="1"/>
  <c r="D66" i="18"/>
  <c r="D78" i="18" s="1"/>
  <c r="D57" i="18"/>
  <c r="D69" i="18" s="1"/>
  <c r="E20" i="29"/>
  <c r="D20" i="29"/>
  <c r="C3" i="29"/>
  <c r="D79" i="18"/>
  <c r="D55" i="18"/>
  <c r="D53" i="18"/>
  <c r="C53" i="18"/>
  <c r="D50" i="18"/>
  <c r="C61" i="18"/>
  <c r="D46" i="18"/>
  <c r="C57" i="18"/>
  <c r="C81" i="18" s="1"/>
  <c r="C93" i="18" s="1"/>
  <c r="C105" i="18" s="1"/>
  <c r="C117" i="18" s="1"/>
  <c r="C129" i="18" s="1"/>
  <c r="C141" i="18" s="1"/>
  <c r="C153" i="18" s="1"/>
  <c r="C165" i="18" s="1"/>
  <c r="C80" i="18"/>
  <c r="C92" i="18" s="1"/>
  <c r="C104" i="18" s="1"/>
  <c r="C116" i="18" s="1"/>
  <c r="C128" i="18" s="1"/>
  <c r="C140" i="18" s="1"/>
  <c r="C152" i="18" s="1"/>
  <c r="C164" i="18" s="1"/>
  <c r="C68" i="18"/>
  <c r="O13" i="18"/>
  <c r="G212" i="18"/>
  <c r="C67" i="18"/>
  <c r="C79" i="18" s="1"/>
  <c r="D77" i="18"/>
  <c r="D89" i="18"/>
  <c r="D101" i="18" s="1"/>
  <c r="D113" i="18" s="1"/>
  <c r="D125" i="18" s="1"/>
  <c r="D137" i="18" s="1"/>
  <c r="D149" i="18" s="1"/>
  <c r="D161" i="18" s="1"/>
  <c r="D185" i="18" s="1"/>
  <c r="D197" i="18" s="1"/>
  <c r="D209" i="18" s="1"/>
  <c r="D74" i="18"/>
  <c r="D86" i="18"/>
  <c r="D98" i="18" s="1"/>
  <c r="D110" i="18" s="1"/>
  <c r="D122" i="18" s="1"/>
  <c r="D134" i="18" s="1"/>
  <c r="D146" i="18" s="1"/>
  <c r="D158" i="18" s="1"/>
  <c r="D170" i="18" s="1"/>
  <c r="C62" i="18"/>
  <c r="D49" i="18"/>
  <c r="D60" i="18"/>
  <c r="D72" i="18" s="1"/>
  <c r="C48" i="18"/>
  <c r="D71" i="18"/>
  <c r="C58" i="18"/>
  <c r="D56" i="18"/>
  <c r="D68" i="18" s="1"/>
  <c r="F29" i="29"/>
  <c r="I29" i="29" s="1"/>
  <c r="F32" i="29"/>
  <c r="I32" i="29" s="1"/>
  <c r="F24" i="29"/>
  <c r="I24" i="29" s="1"/>
  <c r="F30" i="29"/>
  <c r="I30" i="29" s="1"/>
  <c r="H34" i="29"/>
  <c r="F37" i="29"/>
  <c r="I37" i="29" s="1"/>
  <c r="G34" i="29"/>
  <c r="F27" i="29"/>
  <c r="I27" i="29" s="1"/>
  <c r="F33" i="29"/>
  <c r="I33" i="29" s="1"/>
  <c r="E34" i="29"/>
  <c r="F22" i="29"/>
  <c r="I22" i="29" s="1"/>
  <c r="H38" i="29"/>
  <c r="F21" i="29"/>
  <c r="I21" i="29" s="1"/>
  <c r="D34" i="29"/>
  <c r="F35" i="29"/>
  <c r="I35" i="29" s="1"/>
  <c r="D38" i="29"/>
  <c r="F25" i="29"/>
  <c r="I25" i="29" s="1"/>
  <c r="F28" i="29"/>
  <c r="I28" i="29" s="1"/>
  <c r="E38" i="29"/>
  <c r="F31" i="29"/>
  <c r="I31" i="29" s="1"/>
  <c r="G38" i="29"/>
  <c r="F36" i="29"/>
  <c r="I36" i="29" s="1"/>
  <c r="F26" i="29"/>
  <c r="I26" i="29" s="1"/>
  <c r="F23" i="29"/>
  <c r="I23" i="29" s="1"/>
  <c r="C180" i="18"/>
  <c r="C192" i="18" s="1"/>
  <c r="C204" i="18" s="1"/>
  <c r="C168" i="18"/>
  <c r="O14" i="18"/>
  <c r="D167" i="18"/>
  <c r="D179" i="18"/>
  <c r="D191" i="18" s="1"/>
  <c r="D203" i="18" s="1"/>
  <c r="D70" i="18"/>
  <c r="D82" i="18"/>
  <c r="D94" i="18" s="1"/>
  <c r="D106" i="18" s="1"/>
  <c r="D118" i="18" s="1"/>
  <c r="D130" i="18" s="1"/>
  <c r="D142" i="18" s="1"/>
  <c r="D154" i="18" s="1"/>
  <c r="C47" i="18"/>
  <c r="C59" i="18"/>
  <c r="D187" i="18"/>
  <c r="D199" i="18" s="1"/>
  <c r="D211" i="18" s="1"/>
  <c r="D85" i="18"/>
  <c r="D97" i="18" s="1"/>
  <c r="D109" i="18" s="1"/>
  <c r="D121" i="18" s="1"/>
  <c r="D133" i="18" s="1"/>
  <c r="D145" i="18" s="1"/>
  <c r="D157" i="18" s="1"/>
  <c r="D73" i="18"/>
  <c r="D47" i="18"/>
  <c r="C89" i="18"/>
  <c r="C101" i="18" s="1"/>
  <c r="C113" i="18" s="1"/>
  <c r="C125" i="18" s="1"/>
  <c r="C137" i="18" s="1"/>
  <c r="C149" i="18" s="1"/>
  <c r="C161" i="18" s="1"/>
  <c r="C77" i="18"/>
  <c r="D64" i="18"/>
  <c r="D52" i="18"/>
  <c r="C183" i="18" l="1"/>
  <c r="C195" i="18" s="1"/>
  <c r="C207" i="18" s="1"/>
  <c r="C75" i="18"/>
  <c r="C88" i="18"/>
  <c r="C100" i="18" s="1"/>
  <c r="C112" i="18" s="1"/>
  <c r="C124" i="18" s="1"/>
  <c r="C136" i="18" s="1"/>
  <c r="C148" i="18" s="1"/>
  <c r="C160" i="18" s="1"/>
  <c r="C184" i="18" s="1"/>
  <c r="C196" i="18" s="1"/>
  <c r="C208" i="18" s="1"/>
  <c r="C90" i="18"/>
  <c r="C102" i="18" s="1"/>
  <c r="C114" i="18" s="1"/>
  <c r="C126" i="18" s="1"/>
  <c r="C138" i="18" s="1"/>
  <c r="C150" i="18" s="1"/>
  <c r="C162" i="18" s="1"/>
  <c r="C186" i="18" s="1"/>
  <c r="C198" i="18" s="1"/>
  <c r="C210" i="18" s="1"/>
  <c r="D90" i="18"/>
  <c r="D102" i="18" s="1"/>
  <c r="D114" i="18" s="1"/>
  <c r="D126" i="18" s="1"/>
  <c r="D138" i="18" s="1"/>
  <c r="D150" i="18" s="1"/>
  <c r="D162" i="18" s="1"/>
  <c r="D174" i="18" s="1"/>
  <c r="D171" i="18"/>
  <c r="D81" i="18"/>
  <c r="D93" i="18" s="1"/>
  <c r="D105" i="18" s="1"/>
  <c r="D117" i="18" s="1"/>
  <c r="D129" i="18" s="1"/>
  <c r="D141" i="18" s="1"/>
  <c r="D153" i="18" s="1"/>
  <c r="D165" i="18" s="1"/>
  <c r="D75" i="18"/>
  <c r="D173" i="18"/>
  <c r="C177" i="18"/>
  <c r="C189" i="18" s="1"/>
  <c r="C201" i="18" s="1"/>
  <c r="D80" i="18"/>
  <c r="D92" i="18" s="1"/>
  <c r="D104" i="18" s="1"/>
  <c r="D116" i="18" s="1"/>
  <c r="D128" i="18" s="1"/>
  <c r="D140" i="18" s="1"/>
  <c r="D152" i="18" s="1"/>
  <c r="D164" i="18" s="1"/>
  <c r="C69" i="18"/>
  <c r="C91" i="18"/>
  <c r="C103" i="18" s="1"/>
  <c r="C115" i="18" s="1"/>
  <c r="C127" i="18" s="1"/>
  <c r="C139" i="18" s="1"/>
  <c r="C151" i="18" s="1"/>
  <c r="C163" i="18" s="1"/>
  <c r="C187" i="18" s="1"/>
  <c r="C199" i="18" s="1"/>
  <c r="C211" i="18" s="1"/>
  <c r="C176" i="18"/>
  <c r="C188" i="18" s="1"/>
  <c r="C200" i="18" s="1"/>
  <c r="D182" i="18"/>
  <c r="D194" i="18" s="1"/>
  <c r="D206" i="18" s="1"/>
  <c r="C73" i="18"/>
  <c r="C85" i="18"/>
  <c r="C97" i="18" s="1"/>
  <c r="C109" i="18" s="1"/>
  <c r="C121" i="18" s="1"/>
  <c r="C133" i="18" s="1"/>
  <c r="C145" i="18" s="1"/>
  <c r="C157" i="18" s="1"/>
  <c r="D84" i="18"/>
  <c r="D96" i="18" s="1"/>
  <c r="D108" i="18" s="1"/>
  <c r="D120" i="18" s="1"/>
  <c r="D132" i="18" s="1"/>
  <c r="D144" i="18" s="1"/>
  <c r="D156" i="18" s="1"/>
  <c r="D180" i="18" s="1"/>
  <c r="D192" i="18" s="1"/>
  <c r="D204" i="18" s="1"/>
  <c r="G39" i="29"/>
  <c r="C86" i="18"/>
  <c r="C98" i="18" s="1"/>
  <c r="C110" i="18" s="1"/>
  <c r="C122" i="18" s="1"/>
  <c r="C134" i="18" s="1"/>
  <c r="C146" i="18" s="1"/>
  <c r="C158" i="18" s="1"/>
  <c r="C74" i="18"/>
  <c r="C82" i="18"/>
  <c r="C94" i="18" s="1"/>
  <c r="C106" i="18" s="1"/>
  <c r="C118" i="18" s="1"/>
  <c r="C130" i="18" s="1"/>
  <c r="C142" i="18" s="1"/>
  <c r="C154" i="18" s="1"/>
  <c r="C70" i="18"/>
  <c r="F38" i="29"/>
  <c r="P13" i="18"/>
  <c r="C173" i="18"/>
  <c r="C185" i="18"/>
  <c r="C197" i="18" s="1"/>
  <c r="C209" i="18" s="1"/>
  <c r="P14" i="18"/>
  <c r="P212" i="18"/>
  <c r="D166" i="18"/>
  <c r="D178" i="18"/>
  <c r="D190" i="18" s="1"/>
  <c r="D202" i="18" s="1"/>
  <c r="D39" i="29"/>
  <c r="E39" i="29"/>
  <c r="D88" i="18"/>
  <c r="D100" i="18" s="1"/>
  <c r="D112" i="18" s="1"/>
  <c r="D124" i="18" s="1"/>
  <c r="D136" i="18" s="1"/>
  <c r="D148" i="18" s="1"/>
  <c r="D160" i="18" s="1"/>
  <c r="D76" i="18"/>
  <c r="D181" i="18"/>
  <c r="D193" i="18" s="1"/>
  <c r="D205" i="18" s="1"/>
  <c r="D169" i="18"/>
  <c r="C83" i="18"/>
  <c r="C95" i="18" s="1"/>
  <c r="C107" i="18" s="1"/>
  <c r="C119" i="18" s="1"/>
  <c r="C131" i="18" s="1"/>
  <c r="C143" i="18" s="1"/>
  <c r="C155" i="18" s="1"/>
  <c r="C71" i="18"/>
  <c r="F34" i="29"/>
  <c r="H39" i="29"/>
  <c r="C174" i="18" l="1"/>
  <c r="C172" i="18"/>
  <c r="D177" i="18"/>
  <c r="D189" i="18" s="1"/>
  <c r="D201" i="18" s="1"/>
  <c r="D186" i="18"/>
  <c r="D198" i="18" s="1"/>
  <c r="D210" i="18" s="1"/>
  <c r="D176" i="18"/>
  <c r="D188" i="18" s="1"/>
  <c r="D200" i="18" s="1"/>
  <c r="C175" i="18"/>
  <c r="D168" i="18"/>
  <c r="C181" i="18"/>
  <c r="C193" i="18" s="1"/>
  <c r="C205" i="18" s="1"/>
  <c r="C169" i="18"/>
  <c r="F39" i="29"/>
  <c r="Q13" i="18"/>
  <c r="Q14" i="18"/>
  <c r="C170" i="18"/>
  <c r="C182" i="18"/>
  <c r="C194" i="18" s="1"/>
  <c r="C206" i="18" s="1"/>
  <c r="C178" i="18"/>
  <c r="C190" i="18" s="1"/>
  <c r="C202" i="18" s="1"/>
  <c r="C166" i="18"/>
  <c r="I34" i="29"/>
  <c r="I38" i="29"/>
  <c r="C167" i="18"/>
  <c r="C179" i="18"/>
  <c r="C191" i="18" s="1"/>
  <c r="C203" i="18" s="1"/>
  <c r="D184" i="18"/>
  <c r="D196" i="18" s="1"/>
  <c r="D208" i="18" s="1"/>
  <c r="D172" i="18"/>
  <c r="I39" i="29" l="1"/>
  <c r="E11" i="29" l="1"/>
  <c r="H211" i="18" l="1"/>
  <c r="K211" i="18" s="1"/>
  <c r="H21" i="18"/>
  <c r="K21" i="18" s="1"/>
  <c r="H93" i="18"/>
  <c r="K93" i="18" s="1"/>
  <c r="H160" i="18"/>
  <c r="K160" i="18" s="1"/>
  <c r="H80" i="18"/>
  <c r="K80" i="18" s="1"/>
  <c r="H65" i="18"/>
  <c r="K65" i="18" s="1"/>
  <c r="H129" i="18"/>
  <c r="K129" i="18" s="1"/>
  <c r="H204" i="18"/>
  <c r="K204" i="18" s="1"/>
  <c r="H165" i="18"/>
  <c r="K165" i="18" s="1"/>
  <c r="H104" i="18"/>
  <c r="K104" i="18" s="1"/>
  <c r="H68" i="18"/>
  <c r="K68" i="18" s="1"/>
  <c r="H132" i="18"/>
  <c r="K132" i="18" s="1"/>
  <c r="H208" i="18"/>
  <c r="K208" i="18" s="1"/>
  <c r="H50" i="18"/>
  <c r="K50" i="18" s="1"/>
  <c r="H82" i="18"/>
  <c r="K82" i="18" s="1"/>
  <c r="H114" i="18"/>
  <c r="K114" i="18" s="1"/>
  <c r="H146" i="18"/>
  <c r="K146" i="18" s="1"/>
  <c r="H178" i="18"/>
  <c r="K178" i="18" s="1"/>
  <c r="H210" i="18"/>
  <c r="K210" i="18" s="1"/>
  <c r="H23" i="18"/>
  <c r="K23" i="18" s="1"/>
  <c r="H55" i="18"/>
  <c r="K55" i="18" s="1"/>
  <c r="H87" i="18"/>
  <c r="K87" i="18" s="1"/>
  <c r="H119" i="18"/>
  <c r="K119" i="18" s="1"/>
  <c r="H151" i="18"/>
  <c r="K151" i="18" s="1"/>
  <c r="H183" i="18"/>
  <c r="K183" i="18" s="1"/>
  <c r="H136" i="18"/>
  <c r="K136" i="18" s="1"/>
  <c r="H166" i="18"/>
  <c r="K166" i="18" s="1"/>
  <c r="H203" i="18"/>
  <c r="K203" i="18" s="1"/>
  <c r="H78" i="18"/>
  <c r="K78" i="18" s="1"/>
  <c r="H51" i="18"/>
  <c r="K51" i="18" s="1"/>
  <c r="H29" i="18"/>
  <c r="K29" i="18" s="1"/>
  <c r="H109" i="18"/>
  <c r="K109" i="18" s="1"/>
  <c r="H168" i="18"/>
  <c r="K168" i="18" s="1"/>
  <c r="H96" i="18"/>
  <c r="K96" i="18" s="1"/>
  <c r="H73" i="18"/>
  <c r="K73" i="18" s="1"/>
  <c r="H137" i="18"/>
  <c r="K137" i="18" s="1"/>
  <c r="H85" i="18"/>
  <c r="K85" i="18" s="1"/>
  <c r="H173" i="18"/>
  <c r="K173" i="18" s="1"/>
  <c r="H120" i="18"/>
  <c r="K120" i="18" s="1"/>
  <c r="H76" i="18"/>
  <c r="K76" i="18" s="1"/>
  <c r="H140" i="18"/>
  <c r="K140" i="18" s="1"/>
  <c r="H22" i="18"/>
  <c r="K22" i="18" s="1"/>
  <c r="H54" i="18"/>
  <c r="K54" i="18" s="1"/>
  <c r="H86" i="18"/>
  <c r="K86" i="18" s="1"/>
  <c r="H118" i="18"/>
  <c r="K118" i="18" s="1"/>
  <c r="H150" i="18"/>
  <c r="K150" i="18" s="1"/>
  <c r="H182" i="18"/>
  <c r="K182" i="18" s="1"/>
  <c r="H185" i="18"/>
  <c r="K185" i="18" s="1"/>
  <c r="H27" i="18"/>
  <c r="K27" i="18" s="1"/>
  <c r="H59" i="18"/>
  <c r="K59" i="18" s="1"/>
  <c r="H91" i="18"/>
  <c r="K91" i="18" s="1"/>
  <c r="H123" i="18"/>
  <c r="K123" i="18" s="1"/>
  <c r="H155" i="18"/>
  <c r="K155" i="18" s="1"/>
  <c r="H187" i="18"/>
  <c r="K187" i="18" s="1"/>
  <c r="H69" i="18"/>
  <c r="K69" i="18" s="1"/>
  <c r="H43" i="18"/>
  <c r="K43" i="18" s="1"/>
  <c r="H209" i="18"/>
  <c r="K209" i="18" s="1"/>
  <c r="H147" i="18"/>
  <c r="K147" i="18" s="1"/>
  <c r="H53" i="18"/>
  <c r="K53" i="18" s="1"/>
  <c r="H141" i="18"/>
  <c r="K141" i="18" s="1"/>
  <c r="H176" i="18"/>
  <c r="K176" i="18" s="1"/>
  <c r="H128" i="18"/>
  <c r="K128" i="18" s="1"/>
  <c r="H81" i="18"/>
  <c r="K81" i="18" s="1"/>
  <c r="H145" i="18"/>
  <c r="K145" i="18" s="1"/>
  <c r="H101" i="18"/>
  <c r="K101" i="18" s="1"/>
  <c r="H181" i="18"/>
  <c r="K181" i="18" s="1"/>
  <c r="H20" i="18"/>
  <c r="K20" i="18" s="1"/>
  <c r="H84" i="18"/>
  <c r="K84" i="18" s="1"/>
  <c r="H148" i="18"/>
  <c r="K148" i="18" s="1"/>
  <c r="H26" i="18"/>
  <c r="K26" i="18" s="1"/>
  <c r="H58" i="18"/>
  <c r="K58" i="18" s="1"/>
  <c r="H90" i="18"/>
  <c r="K90" i="18" s="1"/>
  <c r="H122" i="18"/>
  <c r="K122" i="18" s="1"/>
  <c r="H154" i="18"/>
  <c r="K154" i="18" s="1"/>
  <c r="H186" i="18"/>
  <c r="K186" i="18" s="1"/>
  <c r="H189" i="18"/>
  <c r="K189" i="18" s="1"/>
  <c r="H31" i="18"/>
  <c r="K31" i="18" s="1"/>
  <c r="H63" i="18"/>
  <c r="K63" i="18" s="1"/>
  <c r="H95" i="18"/>
  <c r="K95" i="18" s="1"/>
  <c r="H127" i="18"/>
  <c r="K127" i="18" s="1"/>
  <c r="H159" i="18"/>
  <c r="K159" i="18" s="1"/>
  <c r="H191" i="18"/>
  <c r="K191" i="18" s="1"/>
  <c r="H32" i="18"/>
  <c r="K32" i="18" s="1"/>
  <c r="H108" i="18"/>
  <c r="K108" i="18" s="1"/>
  <c r="H102" i="18"/>
  <c r="K102" i="18" s="1"/>
  <c r="H201" i="18"/>
  <c r="K201" i="18" s="1"/>
  <c r="H107" i="18"/>
  <c r="K107" i="18" s="1"/>
  <c r="H60" i="18"/>
  <c r="K60" i="18" s="1"/>
  <c r="H174" i="18"/>
  <c r="K174" i="18" s="1"/>
  <c r="H179" i="18"/>
  <c r="K179" i="18" s="1"/>
  <c r="H61" i="18"/>
  <c r="K61" i="18" s="1"/>
  <c r="H72" i="18"/>
  <c r="K72" i="18" s="1"/>
  <c r="H184" i="18"/>
  <c r="K184" i="18" s="1"/>
  <c r="H25" i="18"/>
  <c r="K25" i="18" s="1"/>
  <c r="H89" i="18"/>
  <c r="K89" i="18" s="1"/>
  <c r="H153" i="18"/>
  <c r="K153" i="18" s="1"/>
  <c r="H117" i="18"/>
  <c r="K117" i="18" s="1"/>
  <c r="H196" i="18"/>
  <c r="K196" i="18" s="1"/>
  <c r="H28" i="18"/>
  <c r="K28" i="18" s="1"/>
  <c r="H92" i="18"/>
  <c r="K92" i="18" s="1"/>
  <c r="H156" i="18"/>
  <c r="K156" i="18" s="1"/>
  <c r="H30" i="18"/>
  <c r="K30" i="18" s="1"/>
  <c r="H62" i="18"/>
  <c r="K62" i="18" s="1"/>
  <c r="H94" i="18"/>
  <c r="K94" i="18" s="1"/>
  <c r="H126" i="18"/>
  <c r="K126" i="18" s="1"/>
  <c r="H158" i="18"/>
  <c r="K158" i="18" s="1"/>
  <c r="H190" i="18"/>
  <c r="K190" i="18" s="1"/>
  <c r="H193" i="18"/>
  <c r="K193" i="18" s="1"/>
  <c r="H35" i="18"/>
  <c r="K35" i="18" s="1"/>
  <c r="H67" i="18"/>
  <c r="K67" i="18" s="1"/>
  <c r="H99" i="18"/>
  <c r="K99" i="18" s="1"/>
  <c r="H131" i="18"/>
  <c r="K131" i="18" s="1"/>
  <c r="H163" i="18"/>
  <c r="K163" i="18" s="1"/>
  <c r="H195" i="18"/>
  <c r="K195" i="18" s="1"/>
  <c r="H199" i="18"/>
  <c r="K199" i="18" s="1"/>
  <c r="H41" i="18"/>
  <c r="K41" i="18" s="1"/>
  <c r="H38" i="18"/>
  <c r="K38" i="18" s="1"/>
  <c r="H198" i="18"/>
  <c r="K198" i="18" s="1"/>
  <c r="H139" i="18"/>
  <c r="K139" i="18" s="1"/>
  <c r="H124" i="18"/>
  <c r="K124" i="18" s="1"/>
  <c r="H206" i="18"/>
  <c r="K206" i="18" s="1"/>
  <c r="H37" i="18"/>
  <c r="K37" i="18" s="1"/>
  <c r="H112" i="18"/>
  <c r="K112" i="18" s="1"/>
  <c r="H200" i="18"/>
  <c r="K200" i="18" s="1"/>
  <c r="H33" i="18"/>
  <c r="K33" i="18" s="1"/>
  <c r="H97" i="18"/>
  <c r="K97" i="18" s="1"/>
  <c r="H161" i="18"/>
  <c r="K161" i="18" s="1"/>
  <c r="H125" i="18"/>
  <c r="K125" i="18" s="1"/>
  <c r="H24" i="18"/>
  <c r="K24" i="18" s="1"/>
  <c r="H36" i="18"/>
  <c r="K36" i="18" s="1"/>
  <c r="H100" i="18"/>
  <c r="K100" i="18" s="1"/>
  <c r="H164" i="18"/>
  <c r="K164" i="18" s="1"/>
  <c r="H34" i="18"/>
  <c r="K34" i="18" s="1"/>
  <c r="H66" i="18"/>
  <c r="K66" i="18" s="1"/>
  <c r="H98" i="18"/>
  <c r="K98" i="18" s="1"/>
  <c r="H130" i="18"/>
  <c r="K130" i="18" s="1"/>
  <c r="H162" i="18"/>
  <c r="K162" i="18" s="1"/>
  <c r="H194" i="18"/>
  <c r="K194" i="18" s="1"/>
  <c r="H197" i="18"/>
  <c r="K197" i="18" s="1"/>
  <c r="H39" i="18"/>
  <c r="K39" i="18" s="1"/>
  <c r="H71" i="18"/>
  <c r="K71" i="18" s="1"/>
  <c r="H103" i="18"/>
  <c r="K103" i="18" s="1"/>
  <c r="H135" i="18"/>
  <c r="K135" i="18" s="1"/>
  <c r="H167" i="18"/>
  <c r="K167" i="18" s="1"/>
  <c r="H105" i="18"/>
  <c r="K105" i="18" s="1"/>
  <c r="H169" i="18"/>
  <c r="K169" i="18" s="1"/>
  <c r="H133" i="18"/>
  <c r="K133" i="18" s="1"/>
  <c r="H40" i="18"/>
  <c r="K40" i="18" s="1"/>
  <c r="H44" i="18"/>
  <c r="K44" i="18" s="1"/>
  <c r="H172" i="18"/>
  <c r="K172" i="18" s="1"/>
  <c r="H70" i="18"/>
  <c r="K70" i="18" s="1"/>
  <c r="H134" i="18"/>
  <c r="K134" i="18" s="1"/>
  <c r="H75" i="18"/>
  <c r="K75" i="18" s="1"/>
  <c r="H171" i="18"/>
  <c r="K171" i="18" s="1"/>
  <c r="H192" i="18"/>
  <c r="K192" i="18" s="1"/>
  <c r="H142" i="18"/>
  <c r="K142" i="18" s="1"/>
  <c r="H115" i="18"/>
  <c r="K115" i="18" s="1"/>
  <c r="H45" i="18"/>
  <c r="K45" i="18" s="1"/>
  <c r="H144" i="18"/>
  <c r="K144" i="18" s="1"/>
  <c r="H48" i="18"/>
  <c r="K48" i="18" s="1"/>
  <c r="H49" i="18"/>
  <c r="K49" i="18" s="1"/>
  <c r="H113" i="18"/>
  <c r="K113" i="18" s="1"/>
  <c r="H177" i="18"/>
  <c r="K177" i="18" s="1"/>
  <c r="H149" i="18"/>
  <c r="K149" i="18" s="1"/>
  <c r="H56" i="18"/>
  <c r="K56" i="18" s="1"/>
  <c r="H52" i="18"/>
  <c r="K52" i="18" s="1"/>
  <c r="H116" i="18"/>
  <c r="K116" i="18" s="1"/>
  <c r="H180" i="18"/>
  <c r="K180" i="18" s="1"/>
  <c r="H42" i="18"/>
  <c r="K42" i="18" s="1"/>
  <c r="H74" i="18"/>
  <c r="K74" i="18" s="1"/>
  <c r="H106" i="18"/>
  <c r="K106" i="18" s="1"/>
  <c r="H138" i="18"/>
  <c r="K138" i="18" s="1"/>
  <c r="H170" i="18"/>
  <c r="K170" i="18" s="1"/>
  <c r="H202" i="18"/>
  <c r="K202" i="18" s="1"/>
  <c r="H205" i="18"/>
  <c r="K205" i="18" s="1"/>
  <c r="H47" i="18"/>
  <c r="K47" i="18" s="1"/>
  <c r="H79" i="18"/>
  <c r="K79" i="18" s="1"/>
  <c r="H111" i="18"/>
  <c r="K111" i="18" s="1"/>
  <c r="H143" i="18"/>
  <c r="K143" i="18" s="1"/>
  <c r="H175" i="18"/>
  <c r="K175" i="18" s="1"/>
  <c r="H207" i="18"/>
  <c r="K207" i="18" s="1"/>
  <c r="H77" i="18"/>
  <c r="K77" i="18" s="1"/>
  <c r="H152" i="18"/>
  <c r="K152" i="18" s="1"/>
  <c r="H64" i="18"/>
  <c r="K64" i="18" s="1"/>
  <c r="H57" i="18"/>
  <c r="K57" i="18" s="1"/>
  <c r="H121" i="18"/>
  <c r="K121" i="18" s="1"/>
  <c r="H188" i="18"/>
  <c r="K188" i="18" s="1"/>
  <c r="H157" i="18"/>
  <c r="K157" i="18" s="1"/>
  <c r="H88" i="18"/>
  <c r="K88" i="18" s="1"/>
  <c r="H46" i="18"/>
  <c r="K46" i="18" s="1"/>
  <c r="H110" i="18"/>
  <c r="K110" i="18" s="1"/>
  <c r="H83" i="18"/>
  <c r="K83" i="18" s="1"/>
  <c r="E13" i="29"/>
  <c r="K13" i="18" l="1"/>
  <c r="K14" i="18"/>
  <c r="K212" i="18"/>
  <c r="F12" i="29" l="1"/>
  <c r="I21" i="18" l="1"/>
  <c r="J21" i="18" s="1"/>
  <c r="L21" i="18" s="1"/>
  <c r="I94" i="18"/>
  <c r="J94" i="18" s="1"/>
  <c r="L94" i="18" s="1"/>
  <c r="I44" i="18"/>
  <c r="J44" i="18" s="1"/>
  <c r="L44" i="18" s="1"/>
  <c r="I128" i="18"/>
  <c r="J128" i="18" s="1"/>
  <c r="L128" i="18" s="1"/>
  <c r="I181" i="18"/>
  <c r="J181" i="18" s="1"/>
  <c r="L181" i="18" s="1"/>
  <c r="I95" i="18"/>
  <c r="J95" i="18" s="1"/>
  <c r="L95" i="18" s="1"/>
  <c r="I23" i="18"/>
  <c r="J23" i="18" s="1"/>
  <c r="L23" i="18" s="1"/>
  <c r="I46" i="18"/>
  <c r="J46" i="18" s="1"/>
  <c r="L46" i="18" s="1"/>
  <c r="I141" i="18"/>
  <c r="J141" i="18" s="1"/>
  <c r="L141" i="18" s="1"/>
  <c r="I145" i="18"/>
  <c r="J145" i="18" s="1"/>
  <c r="L145" i="18" s="1"/>
  <c r="I74" i="18"/>
  <c r="J74" i="18" s="1"/>
  <c r="L74" i="18" s="1"/>
  <c r="I52" i="18"/>
  <c r="J52" i="18" s="1"/>
  <c r="L52" i="18" s="1"/>
  <c r="I27" i="18"/>
  <c r="J27" i="18" s="1"/>
  <c r="L27" i="18" s="1"/>
  <c r="I102" i="18"/>
  <c r="J102" i="18" s="1"/>
  <c r="L102" i="18" s="1"/>
  <c r="I82" i="18"/>
  <c r="J82" i="18" s="1"/>
  <c r="L82" i="18" s="1"/>
  <c r="I60" i="18"/>
  <c r="J60" i="18" s="1"/>
  <c r="L60" i="18" s="1"/>
  <c r="I80" i="18"/>
  <c r="J80" i="18" s="1"/>
  <c r="L80" i="18" s="1"/>
  <c r="I20" i="18"/>
  <c r="J20" i="18" s="1"/>
  <c r="I100" i="18"/>
  <c r="J100" i="18" s="1"/>
  <c r="L100" i="18" s="1"/>
  <c r="I148" i="18"/>
  <c r="J148" i="18" s="1"/>
  <c r="L148" i="18" s="1"/>
  <c r="I195" i="18"/>
  <c r="J195" i="18" s="1"/>
  <c r="L195" i="18" s="1"/>
  <c r="I185" i="18"/>
  <c r="J185" i="18" s="1"/>
  <c r="L185" i="18" s="1"/>
  <c r="I107" i="18"/>
  <c r="J107" i="18" s="1"/>
  <c r="L107" i="18" s="1"/>
  <c r="I73" i="18"/>
  <c r="J73" i="18" s="1"/>
  <c r="L73" i="18" s="1"/>
  <c r="I164" i="18"/>
  <c r="J164" i="18" s="1"/>
  <c r="L164" i="18" s="1"/>
  <c r="I120" i="18"/>
  <c r="J120" i="18" s="1"/>
  <c r="L120" i="18" s="1"/>
  <c r="I170" i="18"/>
  <c r="J170" i="18" s="1"/>
  <c r="L170" i="18" s="1"/>
  <c r="I182" i="18"/>
  <c r="J182" i="18" s="1"/>
  <c r="L182" i="18" s="1"/>
  <c r="I106" i="18"/>
  <c r="J106" i="18" s="1"/>
  <c r="L106" i="18" s="1"/>
  <c r="I156" i="18"/>
  <c r="J156" i="18" s="1"/>
  <c r="L156" i="18" s="1"/>
  <c r="I117" i="18"/>
  <c r="J117" i="18" s="1"/>
  <c r="L117" i="18" s="1"/>
  <c r="I119" i="18"/>
  <c r="J119" i="18" s="1"/>
  <c r="L119" i="18" s="1"/>
  <c r="I169" i="18"/>
  <c r="J169" i="18" s="1"/>
  <c r="L169" i="18" s="1"/>
  <c r="I125" i="18"/>
  <c r="J125" i="18" s="1"/>
  <c r="L125" i="18" s="1"/>
  <c r="I147" i="18"/>
  <c r="J147" i="18" s="1"/>
  <c r="L147" i="18" s="1"/>
  <c r="I202" i="18"/>
  <c r="J202" i="18" s="1"/>
  <c r="L202" i="18" s="1"/>
  <c r="I104" i="18"/>
  <c r="J104" i="18" s="1"/>
  <c r="L104" i="18" s="1"/>
  <c r="I157" i="18"/>
  <c r="J157" i="18" s="1"/>
  <c r="L157" i="18" s="1"/>
  <c r="I197" i="18"/>
  <c r="J197" i="18" s="1"/>
  <c r="L197" i="18" s="1"/>
  <c r="I165" i="18"/>
  <c r="J165" i="18" s="1"/>
  <c r="L165" i="18" s="1"/>
  <c r="I161" i="18"/>
  <c r="J161" i="18" s="1"/>
  <c r="L161" i="18" s="1"/>
  <c r="I167" i="18"/>
  <c r="J167" i="18" s="1"/>
  <c r="L167" i="18" s="1"/>
  <c r="I87" i="18"/>
  <c r="J87" i="18" s="1"/>
  <c r="L87" i="18" s="1"/>
  <c r="I166" i="18"/>
  <c r="J166" i="18" s="1"/>
  <c r="L166" i="18" s="1"/>
  <c r="I41" i="18"/>
  <c r="J41" i="18" s="1"/>
  <c r="L41" i="18" s="1"/>
  <c r="I35" i="18"/>
  <c r="J35" i="18" s="1"/>
  <c r="L35" i="18" s="1"/>
  <c r="I71" i="18"/>
  <c r="J71" i="18" s="1"/>
  <c r="L71" i="18" s="1"/>
  <c r="I150" i="18"/>
  <c r="J150" i="18" s="1"/>
  <c r="L150" i="18" s="1"/>
  <c r="F14" i="29"/>
  <c r="I149" i="18"/>
  <c r="J149" i="18" s="1"/>
  <c r="L149" i="18" s="1"/>
  <c r="I26" i="18"/>
  <c r="J26" i="18" s="1"/>
  <c r="L26" i="18" s="1"/>
  <c r="I186" i="18"/>
  <c r="J186" i="18" s="1"/>
  <c r="L186" i="18" s="1"/>
  <c r="I136" i="18"/>
  <c r="J136" i="18" s="1"/>
  <c r="L136" i="18" s="1"/>
  <c r="I47" i="18"/>
  <c r="J47" i="18" s="1"/>
  <c r="L47" i="18" s="1"/>
  <c r="I140" i="18"/>
  <c r="J140" i="18" s="1"/>
  <c r="L140" i="18" s="1"/>
  <c r="I174" i="18"/>
  <c r="J174" i="18" s="1"/>
  <c r="L174" i="18" s="1"/>
  <c r="I67" i="18"/>
  <c r="J67" i="18" s="1"/>
  <c r="L67" i="18" s="1"/>
  <c r="I42" i="18"/>
  <c r="J42" i="18" s="1"/>
  <c r="L42" i="18" s="1"/>
  <c r="I180" i="18"/>
  <c r="J180" i="18" s="1"/>
  <c r="L180" i="18" s="1"/>
  <c r="I88" i="18"/>
  <c r="J88" i="18" s="1"/>
  <c r="L88" i="18" s="1"/>
  <c r="I91" i="18"/>
  <c r="J91" i="18" s="1"/>
  <c r="L91" i="18" s="1"/>
  <c r="I116" i="18"/>
  <c r="J116" i="18" s="1"/>
  <c r="L116" i="18" s="1"/>
  <c r="I99" i="18"/>
  <c r="J99" i="18" s="1"/>
  <c r="L99" i="18" s="1"/>
  <c r="I83" i="18"/>
  <c r="J83" i="18" s="1"/>
  <c r="L83" i="18" s="1"/>
  <c r="I32" i="18"/>
  <c r="J32" i="18" s="1"/>
  <c r="L32" i="18" s="1"/>
  <c r="I205" i="18"/>
  <c r="J205" i="18" s="1"/>
  <c r="L205" i="18" s="1"/>
  <c r="I28" i="18"/>
  <c r="J28" i="18" s="1"/>
  <c r="L28" i="18" s="1"/>
  <c r="I33" i="18"/>
  <c r="J33" i="18" s="1"/>
  <c r="L33" i="18" s="1"/>
  <c r="I162" i="18"/>
  <c r="J162" i="18" s="1"/>
  <c r="L162" i="18" s="1"/>
  <c r="I187" i="18"/>
  <c r="J187" i="18" s="1"/>
  <c r="L187" i="18" s="1"/>
  <c r="I69" i="18"/>
  <c r="J69" i="18" s="1"/>
  <c r="L69" i="18" s="1"/>
  <c r="I113" i="18"/>
  <c r="J113" i="18" s="1"/>
  <c r="L113" i="18" s="1"/>
  <c r="I173" i="18"/>
  <c r="J173" i="18" s="1"/>
  <c r="L173" i="18" s="1"/>
  <c r="I34" i="18"/>
  <c r="J34" i="18" s="1"/>
  <c r="L34" i="18" s="1"/>
  <c r="I39" i="18"/>
  <c r="J39" i="18" s="1"/>
  <c r="L39" i="18" s="1"/>
  <c r="I138" i="18"/>
  <c r="J138" i="18" s="1"/>
  <c r="L138" i="18" s="1"/>
  <c r="I194" i="18"/>
  <c r="J194" i="18" s="1"/>
  <c r="L194" i="18" s="1"/>
  <c r="I97" i="18"/>
  <c r="J97" i="18" s="1"/>
  <c r="L97" i="18" s="1"/>
  <c r="I38" i="18"/>
  <c r="J38" i="18" s="1"/>
  <c r="L38" i="18" s="1"/>
  <c r="I96" i="18"/>
  <c r="J96" i="18" s="1"/>
  <c r="L96" i="18" s="1"/>
  <c r="I118" i="18"/>
  <c r="J118" i="18" s="1"/>
  <c r="L118" i="18" s="1"/>
  <c r="I31" i="18"/>
  <c r="J31" i="18" s="1"/>
  <c r="L31" i="18" s="1"/>
  <c r="I76" i="18"/>
  <c r="J76" i="18" s="1"/>
  <c r="L76" i="18" s="1"/>
  <c r="I204" i="18"/>
  <c r="J204" i="18" s="1"/>
  <c r="L204" i="18" s="1"/>
  <c r="I54" i="18"/>
  <c r="J54" i="18" s="1"/>
  <c r="L54" i="18" s="1"/>
  <c r="I211" i="18"/>
  <c r="J211" i="18" s="1"/>
  <c r="L211" i="18" s="1"/>
  <c r="I160" i="18"/>
  <c r="J160" i="18" s="1"/>
  <c r="L160" i="18" s="1"/>
  <c r="I177" i="18"/>
  <c r="J177" i="18" s="1"/>
  <c r="L177" i="18" s="1"/>
  <c r="I50" i="18"/>
  <c r="J50" i="18" s="1"/>
  <c r="L50" i="18" s="1"/>
  <c r="I114" i="18"/>
  <c r="J114" i="18" s="1"/>
  <c r="L114" i="18" s="1"/>
  <c r="I62" i="18"/>
  <c r="J62" i="18" s="1"/>
  <c r="L62" i="18" s="1"/>
  <c r="I168" i="18"/>
  <c r="J168" i="18" s="1"/>
  <c r="L168" i="18" s="1"/>
  <c r="I121" i="18"/>
  <c r="J121" i="18" s="1"/>
  <c r="L121" i="18" s="1"/>
  <c r="I24" i="18"/>
  <c r="J24" i="18" s="1"/>
  <c r="L24" i="18" s="1"/>
  <c r="I207" i="18"/>
  <c r="J207" i="18" s="1"/>
  <c r="L207" i="18" s="1"/>
  <c r="I53" i="18"/>
  <c r="J53" i="18" s="1"/>
  <c r="L53" i="18" s="1"/>
  <c r="I208" i="18"/>
  <c r="J208" i="18" s="1"/>
  <c r="L208" i="18" s="1"/>
  <c r="I192" i="18"/>
  <c r="J192" i="18" s="1"/>
  <c r="L192" i="18" s="1"/>
  <c r="I153" i="18"/>
  <c r="J153" i="18" s="1"/>
  <c r="L153" i="18" s="1"/>
  <c r="I36" i="18"/>
  <c r="J36" i="18" s="1"/>
  <c r="L36" i="18" s="1"/>
  <c r="I132" i="18"/>
  <c r="J132" i="18" s="1"/>
  <c r="L132" i="18" s="1"/>
  <c r="I81" i="18"/>
  <c r="J81" i="18" s="1"/>
  <c r="L81" i="18" s="1"/>
  <c r="I142" i="18"/>
  <c r="J142" i="18" s="1"/>
  <c r="L142" i="18" s="1"/>
  <c r="I130" i="18"/>
  <c r="J130" i="18" s="1"/>
  <c r="L130" i="18" s="1"/>
  <c r="I135" i="18"/>
  <c r="J135" i="18" s="1"/>
  <c r="L135" i="18" s="1"/>
  <c r="I72" i="18"/>
  <c r="J72" i="18" s="1"/>
  <c r="L72" i="18" s="1"/>
  <c r="I55" i="18"/>
  <c r="J55" i="18" s="1"/>
  <c r="L55" i="18" s="1"/>
  <c r="I98" i="18"/>
  <c r="J98" i="18" s="1"/>
  <c r="L98" i="18" s="1"/>
  <c r="I184" i="18"/>
  <c r="J184" i="18" s="1"/>
  <c r="L184" i="18" s="1"/>
  <c r="I151" i="18"/>
  <c r="J151" i="18" s="1"/>
  <c r="L151" i="18" s="1"/>
  <c r="I30" i="18"/>
  <c r="J30" i="18" s="1"/>
  <c r="L30" i="18" s="1"/>
  <c r="I64" i="18"/>
  <c r="J64" i="18" s="1"/>
  <c r="L64" i="18" s="1"/>
  <c r="I65" i="18"/>
  <c r="J65" i="18" s="1"/>
  <c r="L65" i="18" s="1"/>
  <c r="I175" i="18"/>
  <c r="J175" i="18" s="1"/>
  <c r="L175" i="18" s="1"/>
  <c r="I201" i="18"/>
  <c r="J201" i="18" s="1"/>
  <c r="L201" i="18" s="1"/>
  <c r="I90" i="18"/>
  <c r="J90" i="18" s="1"/>
  <c r="L90" i="18" s="1"/>
  <c r="I134" i="18"/>
  <c r="J134" i="18" s="1"/>
  <c r="L134" i="18" s="1"/>
  <c r="I84" i="18"/>
  <c r="J84" i="18" s="1"/>
  <c r="L84" i="18" s="1"/>
  <c r="I124" i="18"/>
  <c r="J124" i="18" s="1"/>
  <c r="L124" i="18" s="1"/>
  <c r="I171" i="18"/>
  <c r="J171" i="18" s="1"/>
  <c r="L171" i="18" s="1"/>
  <c r="I176" i="18"/>
  <c r="J176" i="18" s="1"/>
  <c r="L176" i="18" s="1"/>
  <c r="I59" i="18"/>
  <c r="J59" i="18" s="1"/>
  <c r="L59" i="18" s="1"/>
  <c r="I193" i="18"/>
  <c r="J193" i="18" s="1"/>
  <c r="L193" i="18" s="1"/>
  <c r="I63" i="18"/>
  <c r="J63" i="18" s="1"/>
  <c r="L63" i="18" s="1"/>
  <c r="I68" i="18"/>
  <c r="J68" i="18" s="1"/>
  <c r="L68" i="18" s="1"/>
  <c r="I178" i="18"/>
  <c r="J178" i="18" s="1"/>
  <c r="L178" i="18" s="1"/>
  <c r="I86" i="18"/>
  <c r="J86" i="18" s="1"/>
  <c r="L86" i="18" s="1"/>
  <c r="I40" i="18"/>
  <c r="J40" i="18" s="1"/>
  <c r="L40" i="18" s="1"/>
  <c r="I43" i="18"/>
  <c r="J43" i="18" s="1"/>
  <c r="L43" i="18" s="1"/>
  <c r="I190" i="18"/>
  <c r="J190" i="18" s="1"/>
  <c r="L190" i="18" s="1"/>
  <c r="I123" i="18"/>
  <c r="J123" i="18" s="1"/>
  <c r="L123" i="18" s="1"/>
  <c r="I196" i="18"/>
  <c r="J196" i="18" s="1"/>
  <c r="L196" i="18" s="1"/>
  <c r="I137" i="18"/>
  <c r="J137" i="18" s="1"/>
  <c r="L137" i="18" s="1"/>
  <c r="I29" i="18"/>
  <c r="J29" i="18" s="1"/>
  <c r="L29" i="18" s="1"/>
  <c r="I133" i="18"/>
  <c r="J133" i="18" s="1"/>
  <c r="L133" i="18" s="1"/>
  <c r="I126" i="18"/>
  <c r="J126" i="18" s="1"/>
  <c r="L126" i="18" s="1"/>
  <c r="I92" i="18"/>
  <c r="J92" i="18" s="1"/>
  <c r="L92" i="18" s="1"/>
  <c r="I93" i="18"/>
  <c r="J93" i="18" s="1"/>
  <c r="L93" i="18" s="1"/>
  <c r="I199" i="18"/>
  <c r="J199" i="18" s="1"/>
  <c r="L199" i="18" s="1"/>
  <c r="I203" i="18"/>
  <c r="J203" i="18" s="1"/>
  <c r="L203" i="18" s="1"/>
  <c r="I159" i="18"/>
  <c r="J159" i="18" s="1"/>
  <c r="L159" i="18" s="1"/>
  <c r="I111" i="18"/>
  <c r="J111" i="18" s="1"/>
  <c r="L111" i="18" s="1"/>
  <c r="I146" i="18"/>
  <c r="J146" i="18" s="1"/>
  <c r="L146" i="18" s="1"/>
  <c r="I78" i="18"/>
  <c r="J78" i="18" s="1"/>
  <c r="L78" i="18" s="1"/>
  <c r="I108" i="18"/>
  <c r="J108" i="18" s="1"/>
  <c r="L108" i="18" s="1"/>
  <c r="I58" i="18"/>
  <c r="J58" i="18" s="1"/>
  <c r="L58" i="18" s="1"/>
  <c r="I51" i="18"/>
  <c r="J51" i="18" s="1"/>
  <c r="L51" i="18" s="1"/>
  <c r="I61" i="18"/>
  <c r="J61" i="18" s="1"/>
  <c r="L61" i="18" s="1"/>
  <c r="I143" i="18"/>
  <c r="J143" i="18" s="1"/>
  <c r="L143" i="18" s="1"/>
  <c r="I75" i="18"/>
  <c r="J75" i="18" s="1"/>
  <c r="L75" i="18" s="1"/>
  <c r="I144" i="18"/>
  <c r="J144" i="18" s="1"/>
  <c r="L144" i="18" s="1"/>
  <c r="I85" i="18"/>
  <c r="J85" i="18" s="1"/>
  <c r="L85" i="18" s="1"/>
  <c r="I101" i="18"/>
  <c r="J101" i="18" s="1"/>
  <c r="L101" i="18" s="1"/>
  <c r="I154" i="18"/>
  <c r="J154" i="18" s="1"/>
  <c r="L154" i="18" s="1"/>
  <c r="I79" i="18"/>
  <c r="J79" i="18" s="1"/>
  <c r="L79" i="18" s="1"/>
  <c r="I183" i="18"/>
  <c r="J183" i="18" s="1"/>
  <c r="L183" i="18" s="1"/>
  <c r="I105" i="18"/>
  <c r="J105" i="18" s="1"/>
  <c r="L105" i="18" s="1"/>
  <c r="I25" i="18"/>
  <c r="J25" i="18" s="1"/>
  <c r="L25" i="18" s="1"/>
  <c r="I206" i="18"/>
  <c r="J206" i="18" s="1"/>
  <c r="L206" i="18" s="1"/>
  <c r="I77" i="18"/>
  <c r="J77" i="18" s="1"/>
  <c r="L77" i="18" s="1"/>
  <c r="I152" i="18"/>
  <c r="J152" i="18" s="1"/>
  <c r="L152" i="18" s="1"/>
  <c r="I139" i="18"/>
  <c r="J139" i="18" s="1"/>
  <c r="L139" i="18" s="1"/>
  <c r="I66" i="18"/>
  <c r="J66" i="18" s="1"/>
  <c r="L66" i="18" s="1"/>
  <c r="I122" i="18"/>
  <c r="J122" i="18" s="1"/>
  <c r="L122" i="18" s="1"/>
  <c r="I103" i="18"/>
  <c r="J103" i="18" s="1"/>
  <c r="L103" i="18" s="1"/>
  <c r="I189" i="18"/>
  <c r="J189" i="18" s="1"/>
  <c r="L189" i="18" s="1"/>
  <c r="I191" i="18"/>
  <c r="J191" i="18" s="1"/>
  <c r="L191" i="18" s="1"/>
  <c r="I109" i="18"/>
  <c r="J109" i="18" s="1"/>
  <c r="L109" i="18" s="1"/>
  <c r="I45" i="18"/>
  <c r="J45" i="18" s="1"/>
  <c r="L45" i="18" s="1"/>
  <c r="I172" i="18"/>
  <c r="J172" i="18" s="1"/>
  <c r="L172" i="18" s="1"/>
  <c r="I210" i="18"/>
  <c r="J210" i="18" s="1"/>
  <c r="L210" i="18" s="1"/>
  <c r="I22" i="18"/>
  <c r="J22" i="18" s="1"/>
  <c r="L22" i="18" s="1"/>
  <c r="I155" i="18"/>
  <c r="J155" i="18" s="1"/>
  <c r="L155" i="18" s="1"/>
  <c r="I48" i="18"/>
  <c r="J48" i="18" s="1"/>
  <c r="L48" i="18" s="1"/>
  <c r="I158" i="18"/>
  <c r="J158" i="18" s="1"/>
  <c r="L158" i="18" s="1"/>
  <c r="I131" i="18"/>
  <c r="J131" i="18" s="1"/>
  <c r="L131" i="18" s="1"/>
  <c r="I37" i="18"/>
  <c r="J37" i="18" s="1"/>
  <c r="L37" i="18" s="1"/>
  <c r="I70" i="18"/>
  <c r="J70" i="18" s="1"/>
  <c r="L70" i="18" s="1"/>
  <c r="I49" i="18"/>
  <c r="J49" i="18" s="1"/>
  <c r="L49" i="18" s="1"/>
  <c r="I115" i="18"/>
  <c r="J115" i="18" s="1"/>
  <c r="L115" i="18" s="1"/>
  <c r="I188" i="18"/>
  <c r="J188" i="18" s="1"/>
  <c r="L188" i="18" s="1"/>
  <c r="I198" i="18"/>
  <c r="J198" i="18" s="1"/>
  <c r="L198" i="18" s="1"/>
  <c r="I57" i="18"/>
  <c r="J57" i="18" s="1"/>
  <c r="L57" i="18" s="1"/>
  <c r="I127" i="18"/>
  <c r="J127" i="18" s="1"/>
  <c r="L127" i="18" s="1"/>
  <c r="I209" i="18"/>
  <c r="J209" i="18" s="1"/>
  <c r="L209" i="18" s="1"/>
  <c r="I200" i="18"/>
  <c r="J200" i="18" s="1"/>
  <c r="L200" i="18" s="1"/>
  <c r="I112" i="18"/>
  <c r="J112" i="18" s="1"/>
  <c r="L112" i="18" s="1"/>
  <c r="I163" i="18"/>
  <c r="J163" i="18" s="1"/>
  <c r="L163" i="18" s="1"/>
  <c r="I89" i="18"/>
  <c r="J89" i="18" s="1"/>
  <c r="L89" i="18" s="1"/>
  <c r="I56" i="18"/>
  <c r="J56" i="18" s="1"/>
  <c r="I129" i="18"/>
  <c r="J129" i="18" s="1"/>
  <c r="L129" i="18" s="1"/>
  <c r="I110" i="18"/>
  <c r="J110" i="18" s="1"/>
  <c r="L110" i="18" s="1"/>
  <c r="I179" i="18"/>
  <c r="J179" i="18" s="1"/>
  <c r="L179" i="18" s="1"/>
  <c r="L56" i="18" l="1"/>
  <c r="J13" i="18"/>
  <c r="L20" i="18"/>
  <c r="J212" i="18"/>
  <c r="J14" i="18"/>
  <c r="L14" i="18" l="1"/>
  <c r="L212" i="18"/>
  <c r="L13" i="18"/>
  <c r="M130" i="18" l="1"/>
  <c r="N130" i="18" s="1"/>
  <c r="R130" i="18" s="1"/>
  <c r="M157" i="18"/>
  <c r="N157" i="18" s="1"/>
  <c r="R157" i="18" s="1"/>
  <c r="M117" i="18"/>
  <c r="N117" i="18" s="1"/>
  <c r="R117" i="18" s="1"/>
  <c r="M140" i="18"/>
  <c r="N140" i="18" s="1"/>
  <c r="R140" i="18" s="1"/>
  <c r="M98" i="18"/>
  <c r="N98" i="18" s="1"/>
  <c r="R98" i="18" s="1"/>
  <c r="M154" i="18"/>
  <c r="N154" i="18" s="1"/>
  <c r="R154" i="18" s="1"/>
  <c r="M65" i="18"/>
  <c r="N65" i="18" s="1"/>
  <c r="R65" i="18" s="1"/>
  <c r="M156" i="18"/>
  <c r="N156" i="18" s="1"/>
  <c r="R156" i="18" s="1"/>
  <c r="M202" i="18"/>
  <c r="N202" i="18" s="1"/>
  <c r="R202" i="18" s="1"/>
  <c r="M209" i="18"/>
  <c r="N209" i="18" s="1"/>
  <c r="R209" i="18" s="1"/>
  <c r="M155" i="18"/>
  <c r="N155" i="18" s="1"/>
  <c r="R155" i="18" s="1"/>
  <c r="M93" i="18"/>
  <c r="N93" i="18" s="1"/>
  <c r="R93" i="18" s="1"/>
  <c r="M167" i="18"/>
  <c r="N167" i="18" s="1"/>
  <c r="R167" i="18" s="1"/>
  <c r="M88" i="18"/>
  <c r="N88" i="18" s="1"/>
  <c r="R88" i="18" s="1"/>
  <c r="M38" i="18"/>
  <c r="N38" i="18" s="1"/>
  <c r="R38" i="18" s="1"/>
  <c r="M178" i="18"/>
  <c r="N178" i="18" s="1"/>
  <c r="R178" i="18" s="1"/>
  <c r="M72" i="18"/>
  <c r="N72" i="18" s="1"/>
  <c r="R72" i="18" s="1"/>
  <c r="M83" i="18"/>
  <c r="N83" i="18" s="1"/>
  <c r="R83" i="18" s="1"/>
  <c r="M31" i="18"/>
  <c r="N31" i="18" s="1"/>
  <c r="R31" i="18" s="1"/>
  <c r="M149" i="18"/>
  <c r="N149" i="18" s="1"/>
  <c r="R149" i="18" s="1"/>
  <c r="M54" i="18"/>
  <c r="N54" i="18" s="1"/>
  <c r="R54" i="18" s="1"/>
  <c r="M104" i="18"/>
  <c r="N104" i="18" s="1"/>
  <c r="R104" i="18" s="1"/>
  <c r="M92" i="18"/>
  <c r="N92" i="18" s="1"/>
  <c r="R92" i="18" s="1"/>
  <c r="M191" i="18"/>
  <c r="N191" i="18" s="1"/>
  <c r="R191" i="18" s="1"/>
  <c r="M70" i="18"/>
  <c r="N70" i="18" s="1"/>
  <c r="R70" i="18" s="1"/>
  <c r="M68" i="18"/>
  <c r="N68" i="18" s="1"/>
  <c r="R68" i="18" s="1"/>
  <c r="M151" i="18"/>
  <c r="N151" i="18" s="1"/>
  <c r="R151" i="18" s="1"/>
  <c r="M129" i="18"/>
  <c r="N129" i="18" s="1"/>
  <c r="R129" i="18" s="1"/>
  <c r="M146" i="18"/>
  <c r="N146" i="18" s="1"/>
  <c r="R146" i="18" s="1"/>
  <c r="M107" i="18"/>
  <c r="N107" i="18" s="1"/>
  <c r="R107" i="18" s="1"/>
  <c r="M57" i="18"/>
  <c r="N57" i="18" s="1"/>
  <c r="R57" i="18" s="1"/>
  <c r="M169" i="18"/>
  <c r="N169" i="18" s="1"/>
  <c r="R169" i="18" s="1"/>
  <c r="M207" i="18"/>
  <c r="N207" i="18" s="1"/>
  <c r="R207" i="18" s="1"/>
  <c r="M160" i="18"/>
  <c r="N160" i="18" s="1"/>
  <c r="R160" i="18" s="1"/>
  <c r="M182" i="18"/>
  <c r="N182" i="18" s="1"/>
  <c r="R182" i="18" s="1"/>
  <c r="M145" i="18"/>
  <c r="N145" i="18" s="1"/>
  <c r="R145" i="18" s="1"/>
  <c r="M137" i="18"/>
  <c r="N137" i="18" s="1"/>
  <c r="R137" i="18" s="1"/>
  <c r="M97" i="18"/>
  <c r="N97" i="18" s="1"/>
  <c r="R97" i="18" s="1"/>
  <c r="M126" i="18"/>
  <c r="N126" i="18" s="1"/>
  <c r="R126" i="18" s="1"/>
  <c r="M77" i="18"/>
  <c r="N77" i="18" s="1"/>
  <c r="R77" i="18" s="1"/>
  <c r="M20" i="18"/>
  <c r="M180" i="18"/>
  <c r="N180" i="18" s="1"/>
  <c r="R180" i="18" s="1"/>
  <c r="M32" i="18"/>
  <c r="N32" i="18" s="1"/>
  <c r="R32" i="18" s="1"/>
  <c r="M86" i="18"/>
  <c r="N86" i="18" s="1"/>
  <c r="R86" i="18" s="1"/>
  <c r="M131" i="18"/>
  <c r="N131" i="18" s="1"/>
  <c r="R131" i="18" s="1"/>
  <c r="M40" i="18"/>
  <c r="N40" i="18" s="1"/>
  <c r="R40" i="18" s="1"/>
  <c r="M125" i="18"/>
  <c r="N125" i="18" s="1"/>
  <c r="R125" i="18" s="1"/>
  <c r="M168" i="18"/>
  <c r="N168" i="18" s="1"/>
  <c r="R168" i="18" s="1"/>
  <c r="M111" i="18"/>
  <c r="N111" i="18" s="1"/>
  <c r="R111" i="18" s="1"/>
  <c r="M181" i="18"/>
  <c r="N181" i="18" s="1"/>
  <c r="R181" i="18" s="1"/>
  <c r="M195" i="18"/>
  <c r="N195" i="18" s="1"/>
  <c r="R195" i="18" s="1"/>
  <c r="M49" i="18"/>
  <c r="N49" i="18" s="1"/>
  <c r="R49" i="18" s="1"/>
  <c r="M127" i="18"/>
  <c r="N127" i="18" s="1"/>
  <c r="R127" i="18" s="1"/>
  <c r="M30" i="18"/>
  <c r="N30" i="18" s="1"/>
  <c r="R30" i="18" s="1"/>
  <c r="M177" i="18"/>
  <c r="N177" i="18" s="1"/>
  <c r="R177" i="18" s="1"/>
  <c r="M121" i="18"/>
  <c r="N121" i="18" s="1"/>
  <c r="R121" i="18" s="1"/>
  <c r="M26" i="18"/>
  <c r="N26" i="18" s="1"/>
  <c r="R26" i="18" s="1"/>
  <c r="M208" i="18"/>
  <c r="N208" i="18" s="1"/>
  <c r="R208" i="18" s="1"/>
  <c r="M194" i="18"/>
  <c r="N194" i="18" s="1"/>
  <c r="R194" i="18" s="1"/>
  <c r="M78" i="18"/>
  <c r="N78" i="18" s="1"/>
  <c r="R78" i="18" s="1"/>
  <c r="M206" i="18"/>
  <c r="N206" i="18" s="1"/>
  <c r="R206" i="18" s="1"/>
  <c r="M189" i="18"/>
  <c r="N189" i="18" s="1"/>
  <c r="R189" i="18" s="1"/>
  <c r="M82" i="18"/>
  <c r="N82" i="18" s="1"/>
  <c r="R82" i="18" s="1"/>
  <c r="M185" i="18"/>
  <c r="N185" i="18" s="1"/>
  <c r="R185" i="18" s="1"/>
  <c r="M108" i="18"/>
  <c r="N108" i="18" s="1"/>
  <c r="R108" i="18" s="1"/>
  <c r="M41" i="18"/>
  <c r="N41" i="18" s="1"/>
  <c r="R41" i="18" s="1"/>
  <c r="M132" i="18"/>
  <c r="N132" i="18" s="1"/>
  <c r="R132" i="18" s="1"/>
  <c r="M163" i="18"/>
  <c r="N163" i="18" s="1"/>
  <c r="R163" i="18" s="1"/>
  <c r="M48" i="18"/>
  <c r="N48" i="18" s="1"/>
  <c r="R48" i="18" s="1"/>
  <c r="M153" i="18"/>
  <c r="N153" i="18" s="1"/>
  <c r="R153" i="18" s="1"/>
  <c r="M44" i="18"/>
  <c r="N44" i="18" s="1"/>
  <c r="R44" i="18" s="1"/>
  <c r="M150" i="18"/>
  <c r="N150" i="18" s="1"/>
  <c r="R150" i="18" s="1"/>
  <c r="M188" i="18"/>
  <c r="N188" i="18" s="1"/>
  <c r="R188" i="18" s="1"/>
  <c r="M136" i="18"/>
  <c r="N136" i="18" s="1"/>
  <c r="R136" i="18" s="1"/>
  <c r="M123" i="18"/>
  <c r="N123" i="18" s="1"/>
  <c r="R123" i="18" s="1"/>
  <c r="M51" i="18"/>
  <c r="N51" i="18" s="1"/>
  <c r="R51" i="18" s="1"/>
  <c r="M52" i="18"/>
  <c r="N52" i="18" s="1"/>
  <c r="R52" i="18" s="1"/>
  <c r="M138" i="18"/>
  <c r="N138" i="18" s="1"/>
  <c r="R138" i="18" s="1"/>
  <c r="M176" i="18"/>
  <c r="N176" i="18" s="1"/>
  <c r="R176" i="18" s="1"/>
  <c r="M81" i="18"/>
  <c r="N81" i="18" s="1"/>
  <c r="R81" i="18" s="1"/>
  <c r="M143" i="18"/>
  <c r="N143" i="18" s="1"/>
  <c r="R143" i="18" s="1"/>
  <c r="M42" i="18"/>
  <c r="N42" i="18" s="1"/>
  <c r="R42" i="18" s="1"/>
  <c r="M147" i="18"/>
  <c r="N147" i="18" s="1"/>
  <c r="R147" i="18" s="1"/>
  <c r="M198" i="18"/>
  <c r="N198" i="18" s="1"/>
  <c r="R198" i="18" s="1"/>
  <c r="M175" i="18"/>
  <c r="N175" i="18" s="1"/>
  <c r="R175" i="18" s="1"/>
  <c r="M99" i="18"/>
  <c r="N99" i="18" s="1"/>
  <c r="R99" i="18" s="1"/>
  <c r="M61" i="18"/>
  <c r="N61" i="18" s="1"/>
  <c r="R61" i="18" s="1"/>
  <c r="M120" i="18"/>
  <c r="N120" i="18" s="1"/>
  <c r="R120" i="18" s="1"/>
  <c r="M144" i="18"/>
  <c r="N144" i="18" s="1"/>
  <c r="R144" i="18" s="1"/>
  <c r="M33" i="18"/>
  <c r="N33" i="18" s="1"/>
  <c r="R33" i="18" s="1"/>
  <c r="M27" i="18"/>
  <c r="N27" i="18" s="1"/>
  <c r="R27" i="18" s="1"/>
  <c r="M199" i="18"/>
  <c r="N199" i="18" s="1"/>
  <c r="R199" i="18" s="1"/>
  <c r="M159" i="18"/>
  <c r="N159" i="18" s="1"/>
  <c r="R159" i="18" s="1"/>
  <c r="M172" i="18"/>
  <c r="N172" i="18" s="1"/>
  <c r="R172" i="18" s="1"/>
  <c r="M59" i="18"/>
  <c r="N59" i="18" s="1"/>
  <c r="R59" i="18" s="1"/>
  <c r="M43" i="18"/>
  <c r="N43" i="18" s="1"/>
  <c r="R43" i="18" s="1"/>
  <c r="M152" i="18"/>
  <c r="N152" i="18" s="1"/>
  <c r="R152" i="18" s="1"/>
  <c r="M55" i="18"/>
  <c r="N55" i="18" s="1"/>
  <c r="R55" i="18" s="1"/>
  <c r="M122" i="18"/>
  <c r="N122" i="18" s="1"/>
  <c r="R122" i="18" s="1"/>
  <c r="M211" i="18"/>
  <c r="N211" i="18" s="1"/>
  <c r="R211" i="18" s="1"/>
  <c r="M56" i="18"/>
  <c r="M74" i="18"/>
  <c r="N74" i="18" s="1"/>
  <c r="R74" i="18" s="1"/>
  <c r="M179" i="18"/>
  <c r="N179" i="18" s="1"/>
  <c r="R179" i="18" s="1"/>
  <c r="M101" i="18"/>
  <c r="N101" i="18" s="1"/>
  <c r="R101" i="18" s="1"/>
  <c r="M109" i="18"/>
  <c r="N109" i="18" s="1"/>
  <c r="R109" i="18" s="1"/>
  <c r="M148" i="18"/>
  <c r="N148" i="18" s="1"/>
  <c r="R148" i="18" s="1"/>
  <c r="M37" i="18"/>
  <c r="N37" i="18" s="1"/>
  <c r="R37" i="18" s="1"/>
  <c r="M46" i="18"/>
  <c r="N46" i="18" s="1"/>
  <c r="R46" i="18" s="1"/>
  <c r="M76" i="18"/>
  <c r="N76" i="18" s="1"/>
  <c r="R76" i="18" s="1"/>
  <c r="M36" i="18"/>
  <c r="N36" i="18" s="1"/>
  <c r="R36" i="18" s="1"/>
  <c r="M196" i="18"/>
  <c r="N196" i="18" s="1"/>
  <c r="R196" i="18" s="1"/>
  <c r="M190" i="18"/>
  <c r="N190" i="18" s="1"/>
  <c r="R190" i="18" s="1"/>
  <c r="M95" i="18"/>
  <c r="N95" i="18" s="1"/>
  <c r="R95" i="18" s="1"/>
  <c r="M174" i="18"/>
  <c r="N174" i="18" s="1"/>
  <c r="R174" i="18" s="1"/>
  <c r="M133" i="18"/>
  <c r="N133" i="18" s="1"/>
  <c r="R133" i="18" s="1"/>
  <c r="M165" i="18"/>
  <c r="N165" i="18" s="1"/>
  <c r="R165" i="18" s="1"/>
  <c r="M162" i="18"/>
  <c r="N162" i="18" s="1"/>
  <c r="R162" i="18" s="1"/>
  <c r="M135" i="18"/>
  <c r="N135" i="18" s="1"/>
  <c r="R135" i="18" s="1"/>
  <c r="M173" i="18"/>
  <c r="N173" i="18" s="1"/>
  <c r="R173" i="18" s="1"/>
  <c r="M100" i="18"/>
  <c r="N100" i="18" s="1"/>
  <c r="R100" i="18" s="1"/>
  <c r="M64" i="18"/>
  <c r="N64" i="18" s="1"/>
  <c r="R64" i="18" s="1"/>
  <c r="M28" i="18"/>
  <c r="N28" i="18" s="1"/>
  <c r="R28" i="18" s="1"/>
  <c r="M205" i="18"/>
  <c r="N205" i="18" s="1"/>
  <c r="R205" i="18" s="1"/>
  <c r="M116" i="18"/>
  <c r="N116" i="18" s="1"/>
  <c r="R116" i="18" s="1"/>
  <c r="M29" i="18"/>
  <c r="N29" i="18" s="1"/>
  <c r="R29" i="18" s="1"/>
  <c r="M114" i="18"/>
  <c r="N114" i="18" s="1"/>
  <c r="R114" i="18" s="1"/>
  <c r="M210" i="18"/>
  <c r="N210" i="18" s="1"/>
  <c r="R210" i="18" s="1"/>
  <c r="M50" i="18"/>
  <c r="N50" i="18" s="1"/>
  <c r="R50" i="18" s="1"/>
  <c r="M47" i="18"/>
  <c r="N47" i="18" s="1"/>
  <c r="R47" i="18" s="1"/>
  <c r="M102" i="18"/>
  <c r="N102" i="18" s="1"/>
  <c r="R102" i="18" s="1"/>
  <c r="M193" i="18"/>
  <c r="N193" i="18" s="1"/>
  <c r="R193" i="18" s="1"/>
  <c r="M128" i="18"/>
  <c r="N128" i="18" s="1"/>
  <c r="R128" i="18" s="1"/>
  <c r="M204" i="18"/>
  <c r="N204" i="18" s="1"/>
  <c r="R204" i="18" s="1"/>
  <c r="M187" i="18"/>
  <c r="N187" i="18" s="1"/>
  <c r="R187" i="18" s="1"/>
  <c r="M106" i="18"/>
  <c r="N106" i="18" s="1"/>
  <c r="R106" i="18" s="1"/>
  <c r="M35" i="18"/>
  <c r="N35" i="18" s="1"/>
  <c r="R35" i="18" s="1"/>
  <c r="M85" i="18"/>
  <c r="N85" i="18" s="1"/>
  <c r="R85" i="18" s="1"/>
  <c r="M124" i="18"/>
  <c r="N124" i="18" s="1"/>
  <c r="R124" i="18" s="1"/>
  <c r="M105" i="18"/>
  <c r="N105" i="18" s="1"/>
  <c r="R105" i="18" s="1"/>
  <c r="M24" i="18"/>
  <c r="N24" i="18" s="1"/>
  <c r="R24" i="18" s="1"/>
  <c r="M186" i="18"/>
  <c r="N186" i="18" s="1"/>
  <c r="R186" i="18" s="1"/>
  <c r="M67" i="18"/>
  <c r="N67" i="18" s="1"/>
  <c r="R67" i="18" s="1"/>
  <c r="M142" i="18"/>
  <c r="N142" i="18" s="1"/>
  <c r="R142" i="18" s="1"/>
  <c r="M112" i="18"/>
  <c r="N112" i="18" s="1"/>
  <c r="R112" i="18" s="1"/>
  <c r="M58" i="18"/>
  <c r="N58" i="18" s="1"/>
  <c r="R58" i="18" s="1"/>
  <c r="M197" i="18"/>
  <c r="N197" i="18" s="1"/>
  <c r="R197" i="18" s="1"/>
  <c r="M45" i="18"/>
  <c r="N45" i="18" s="1"/>
  <c r="R45" i="18" s="1"/>
  <c r="M171" i="18"/>
  <c r="N171" i="18" s="1"/>
  <c r="R171" i="18" s="1"/>
  <c r="M184" i="18"/>
  <c r="N184" i="18" s="1"/>
  <c r="R184" i="18" s="1"/>
  <c r="M113" i="18"/>
  <c r="N113" i="18" s="1"/>
  <c r="R113" i="18" s="1"/>
  <c r="M34" i="18"/>
  <c r="N34" i="18" s="1"/>
  <c r="R34" i="18" s="1"/>
  <c r="M75" i="18"/>
  <c r="N75" i="18" s="1"/>
  <c r="R75" i="18" s="1"/>
  <c r="M203" i="18"/>
  <c r="N203" i="18" s="1"/>
  <c r="R203" i="18" s="1"/>
  <c r="M103" i="18"/>
  <c r="N103" i="18" s="1"/>
  <c r="R103" i="18" s="1"/>
  <c r="M201" i="18"/>
  <c r="N201" i="18" s="1"/>
  <c r="R201" i="18" s="1"/>
  <c r="M22" i="18"/>
  <c r="N22" i="18" s="1"/>
  <c r="R22" i="18" s="1"/>
  <c r="M87" i="18"/>
  <c r="N87" i="18" s="1"/>
  <c r="R87" i="18" s="1"/>
  <c r="M60" i="18"/>
  <c r="N60" i="18" s="1"/>
  <c r="R60" i="18" s="1"/>
  <c r="M62" i="18"/>
  <c r="N62" i="18" s="1"/>
  <c r="R62" i="18" s="1"/>
  <c r="M110" i="18"/>
  <c r="N110" i="18" s="1"/>
  <c r="R110" i="18" s="1"/>
  <c r="M84" i="18"/>
  <c r="N84" i="18" s="1"/>
  <c r="R84" i="18" s="1"/>
  <c r="M166" i="18"/>
  <c r="N166" i="18" s="1"/>
  <c r="R166" i="18" s="1"/>
  <c r="M94" i="18"/>
  <c r="N94" i="18" s="1"/>
  <c r="R94" i="18" s="1"/>
  <c r="M69" i="18"/>
  <c r="N69" i="18" s="1"/>
  <c r="R69" i="18" s="1"/>
  <c r="M164" i="18"/>
  <c r="N164" i="18" s="1"/>
  <c r="R164" i="18" s="1"/>
  <c r="M23" i="18"/>
  <c r="N23" i="18" s="1"/>
  <c r="R23" i="18" s="1"/>
  <c r="M53" i="18"/>
  <c r="N53" i="18" s="1"/>
  <c r="R53" i="18" s="1"/>
  <c r="M63" i="18"/>
  <c r="N63" i="18" s="1"/>
  <c r="R63" i="18" s="1"/>
  <c r="M89" i="18"/>
  <c r="N89" i="18" s="1"/>
  <c r="R89" i="18" s="1"/>
  <c r="M192" i="18"/>
  <c r="N192" i="18" s="1"/>
  <c r="R192" i="18" s="1"/>
  <c r="M183" i="18"/>
  <c r="N183" i="18" s="1"/>
  <c r="R183" i="18" s="1"/>
  <c r="M90" i="18"/>
  <c r="N90" i="18" s="1"/>
  <c r="R90" i="18" s="1"/>
  <c r="M115" i="18"/>
  <c r="N115" i="18" s="1"/>
  <c r="R115" i="18" s="1"/>
  <c r="M79" i="18"/>
  <c r="N79" i="18" s="1"/>
  <c r="R79" i="18" s="1"/>
  <c r="M73" i="18"/>
  <c r="N73" i="18" s="1"/>
  <c r="R73" i="18" s="1"/>
  <c r="M91" i="18"/>
  <c r="N91" i="18" s="1"/>
  <c r="R91" i="18" s="1"/>
  <c r="M170" i="18"/>
  <c r="N170" i="18" s="1"/>
  <c r="R170" i="18" s="1"/>
  <c r="M118" i="18"/>
  <c r="N118" i="18" s="1"/>
  <c r="R118" i="18" s="1"/>
  <c r="M25" i="18"/>
  <c r="N25" i="18" s="1"/>
  <c r="R25" i="18" s="1"/>
  <c r="M66" i="18"/>
  <c r="N66" i="18" s="1"/>
  <c r="R66" i="18" s="1"/>
  <c r="M119" i="18"/>
  <c r="N119" i="18" s="1"/>
  <c r="R119" i="18" s="1"/>
  <c r="M158" i="18"/>
  <c r="N158" i="18" s="1"/>
  <c r="R158" i="18" s="1"/>
  <c r="M161" i="18"/>
  <c r="N161" i="18" s="1"/>
  <c r="R161" i="18" s="1"/>
  <c r="M80" i="18"/>
  <c r="N80" i="18" s="1"/>
  <c r="R80" i="18" s="1"/>
  <c r="M39" i="18"/>
  <c r="N39" i="18" s="1"/>
  <c r="R39" i="18" s="1"/>
  <c r="M139" i="18"/>
  <c r="N139" i="18" s="1"/>
  <c r="R139" i="18" s="1"/>
  <c r="M200" i="18"/>
  <c r="N200" i="18" s="1"/>
  <c r="R200" i="18" s="1"/>
  <c r="M96" i="18"/>
  <c r="N96" i="18" s="1"/>
  <c r="R96" i="18" s="1"/>
  <c r="M141" i="18"/>
  <c r="N141" i="18" s="1"/>
  <c r="R141" i="18" s="1"/>
  <c r="M21" i="18"/>
  <c r="N21" i="18" s="1"/>
  <c r="R21" i="18" s="1"/>
  <c r="M134" i="18"/>
  <c r="N134" i="18" s="1"/>
  <c r="R134" i="18" s="1"/>
  <c r="M71" i="18"/>
  <c r="N71" i="18" s="1"/>
  <c r="R71" i="18" s="1"/>
  <c r="M13" i="18" l="1"/>
  <c r="N56" i="18"/>
  <c r="M212" i="18"/>
  <c r="N20" i="18"/>
  <c r="R20" i="18" l="1"/>
  <c r="N14" i="18"/>
  <c r="R56" i="18"/>
  <c r="R13" i="18" s="1"/>
  <c r="N13" i="18"/>
  <c r="R14" i="18" l="1"/>
  <c r="R21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<sst xmlns="http://schemas.openxmlformats.org/spreadsheetml/2006/main" count="441" uniqueCount="104">
  <si>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</si>
  <si>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</si>
  <si>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</si>
  <si>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</si>
  <si>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</si>
  <si>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</si>
  <si>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</si>
  <si>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</si>
  <si>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</si>
  <si>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</si>
  <si>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</si>
  <si>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</si>
  <si>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</si>
  <si>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</si>
  <si>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</si>
  <si>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</si>
  <si>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</si>
  <si>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</si>
  <si>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</si>
  <si>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</si>
  <si>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</si>
  <si>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</si>
  <si>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</si>
  <si>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</si>
  <si>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</si>
  <si>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</si>
  <si>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</si>
  <si>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</si>
  <si>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</si>
  <si>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</si>
  <si>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</si>
  <si>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</si>
  <si>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</si>
  <si>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</si>
  <si>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</si>
  <si>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</si>
  <si>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Network Customer True-Up (Schedule 9 charges)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</si>
  <si>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</si>
  <si>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</si>
  <si>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</si>
  <si>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</si>
  <si>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</si>
  <si>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</si>
  <si>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</si>
  <si>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</si>
  <si>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</si>
  <si>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</si>
  <si>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</si>
  <si>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</si>
  <si>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</si>
  <si>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</si>
  <si>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</si>
  <si>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</si>
  <si>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</si>
  <si>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</si>
  <si>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</si>
  <si>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</si>
  <si>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</si>
  <si>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</si>
  <si>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</si>
  <si>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</si>
  <si>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</si>
  <si>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</si>
  <si>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</si>
  <si>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</si>
  <si>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</si>
  <si>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</si>
  <si>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</si>
  <si>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</si>
  <si>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</si>
  <si>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</si>
  <si>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</si>
  <si>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</si>
  <si>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</si>
  <si>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</si>
  <si>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</si>
  <si>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</si>
  <si>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</si>
  <si>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</si>
  <si>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</si>
  <si>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</si>
  <si>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</si>
  <si>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</si>
  <si>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</si>
  <si>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</si>
  <si>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</si>
  <si>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</si>
  <si>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</si>
  <si>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</si>
  <si>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</si>
  <si>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</si>
  <si>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</si>
  <si>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</si>
  <si>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</si>
  <si>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PUBLIC SERVICE COMPANY of OKLAHOMA &amp; SOUTHWESTERN ELECTRIC POWER</t>
  </si>
  <si>
    <t>AEPTCo Formula Rate -- FERC Docket ER18-195</t>
  </si>
  <si>
    <t>Total</t>
  </si>
  <si>
    <t>2021 NOLC Refund Amount with Interest (NITS)</t>
  </si>
  <si>
    <t>2021 Formal Challenge Refund with Interest</t>
  </si>
  <si>
    <t>2021 Load Share</t>
  </si>
  <si>
    <t>2024 True Up Including Interest</t>
  </si>
  <si>
    <r>
      <t>2024 True-Up
(</t>
    </r>
    <r>
      <rPr>
        <sz val="10"/>
        <rFont val="Arial"/>
        <family val="2"/>
      </rPr>
      <t>w/o Interest)</t>
    </r>
  </si>
  <si>
    <t>2024 Interest</t>
  </si>
  <si>
    <t>Total 2024
True-Up Surcharge / (Refund)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</si>
</sst>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4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7" xfId="2" applyNumberFormat="1" applyFont="1" applyBorder="1" applyProtection="1"/>
    <xf numFmtId="165" fontId="0" fillId="0" borderId="18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0" xfId="0" applyBorder="1" applyProtection="1"/>
    <xf numFmtId="0" fontId="9" fillId="3" borderId="21" xfId="0" quotePrefix="1" applyFont="1" applyFill="1" applyBorder="1" applyAlignment="1" applyProtection="1">
      <alignment horizontal="left" vertical="center" wrapText="1"/>
    </xf>
    <xf numFmtId="165" fontId="0" fillId="3" borderId="22" xfId="2" applyNumberFormat="1" applyFont="1" applyFill="1" applyBorder="1" applyAlignment="1" applyProtection="1">
      <alignment vertical="center"/>
    </xf>
    <xf numFmtId="165" fontId="0" fillId="3" borderId="23" xfId="2" applyNumberFormat="1" applyFont="1" applyFill="1" applyBorder="1" applyAlignment="1" applyProtection="1">
      <alignment vertical="center"/>
    </xf>
    <xf numFmtId="165" fontId="3" fillId="3" borderId="24" xfId="2" applyNumberFormat="1" applyFont="1" applyFill="1" applyBorder="1" applyAlignment="1" applyProtection="1">
      <alignment vertical="center"/>
    </xf>
    <xf numFmtId="0" fontId="0" fillId="0" borderId="26" xfId="0" quotePrefix="1" applyBorder="1" applyAlignment="1" applyProtection="1">
      <alignment horizontal="left"/>
    </xf>
    <xf numFmtId="0" fontId="0" fillId="0" borderId="19" xfId="0" applyBorder="1" applyProtection="1"/>
    <xf numFmtId="0" fontId="0" fillId="0" borderId="27" xfId="0" applyBorder="1" applyProtection="1"/>
    <xf numFmtId="0" fontId="9" fillId="0" borderId="21" xfId="0" quotePrefix="1" applyFont="1" applyFill="1" applyBorder="1" applyAlignment="1" applyProtection="1">
      <alignment horizontal="left" vertical="center" wrapText="1"/>
    </xf>
    <xf numFmtId="165" fontId="0" fillId="0" borderId="22" xfId="2" applyNumberFormat="1" applyFont="1" applyFill="1" applyBorder="1" applyAlignment="1" applyProtection="1">
      <alignment vertical="center"/>
    </xf>
    <xf numFmtId="165" fontId="0" fillId="0" borderId="23" xfId="2" applyNumberFormat="1" applyFont="1" applyFill="1" applyBorder="1" applyAlignment="1" applyProtection="1">
      <alignment vertical="center"/>
    </xf>
    <xf numFmtId="165" fontId="3" fillId="0" borderId="24" xfId="2" applyNumberFormat="1" applyFont="1" applyFill="1" applyBorder="1" applyAlignment="1" applyProtection="1">
      <alignment vertical="center"/>
    </xf>
    <xf numFmtId="166" fontId="0" fillId="0" borderId="0" xfId="1" applyNumberFormat="1" applyFont="1" applyProtection="1"/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8" xfId="2" applyNumberFormat="1" applyFont="1" applyBorder="1" applyAlignment="1" applyProtection="1">
      <alignment vertical="center"/>
    </xf>
    <xf numFmtId="165" fontId="0" fillId="0" borderId="29" xfId="2" applyNumberFormat="1" applyFont="1" applyBorder="1" applyAlignment="1" applyProtection="1">
      <alignment vertical="center"/>
    </xf>
    <xf numFmtId="165" fontId="0" fillId="0" borderId="30" xfId="2" applyNumberFormat="1" applyFont="1" applyBorder="1" applyAlignment="1" applyProtection="1">
      <alignment vertical="center"/>
    </xf>
    <xf numFmtId="165" fontId="0" fillId="0" borderId="31" xfId="2" applyNumberFormat="1" applyFont="1" applyBorder="1" applyAlignment="1" applyProtection="1">
      <alignment vertical="center"/>
    </xf>
    <xf numFmtId="166" fontId="0" fillId="0" borderId="0" xfId="0" applyNumberForma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6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2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4" fontId="4" fillId="0" borderId="0" xfId="0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2" xfId="0" quotePrefix="1" applyBorder="1" applyAlignment="1" applyProtection="1">
      <alignment horizontal="right"/>
    </xf>
    <xf numFmtId="0" fontId="0" fillId="0" borderId="23" xfId="0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67" fontId="0" fillId="0" borderId="23" xfId="0" applyNumberFormat="1" applyBorder="1" applyAlignment="1" applyProtection="1">
      <alignment horizontal="center"/>
    </xf>
    <xf numFmtId="167" fontId="0" fillId="4" borderId="25" xfId="0" applyNumberFormat="1" applyFill="1" applyBorder="1" applyAlignment="1" applyProtection="1">
      <alignment horizontal="center"/>
    </xf>
    <xf numFmtId="167" fontId="0" fillId="0" borderId="33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7" xfId="0" applyNumberFormat="1" applyFont="1" applyBorder="1" applyAlignment="1" applyProtection="1">
      <alignment horizontal="right"/>
    </xf>
    <xf numFmtId="14" fontId="1" fillId="0" borderId="17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2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2" xfId="0" applyNumberFormat="1" applyFont="1" applyBorder="1" applyAlignment="1" applyProtection="1">
      <alignment horizontal="center"/>
    </xf>
    <xf numFmtId="14" fontId="0" fillId="0" borderId="17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2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4" xfId="0" quotePrefix="1" applyFont="1" applyBorder="1" applyAlignment="1" applyProtection="1">
      <alignment horizontal="center"/>
    </xf>
    <xf numFmtId="164" fontId="4" fillId="0" borderId="22" xfId="0" quotePrefix="1" applyNumberFormat="1" applyFont="1" applyBorder="1" applyAlignment="1" applyProtection="1">
      <alignment horizontal="center" vertical="center" wrapText="1"/>
    </xf>
    <xf numFmtId="0" fontId="4" fillId="0" borderId="23" xfId="0" quotePrefix="1" applyFont="1" applyBorder="1" applyAlignment="1" applyProtection="1">
      <alignment horizontal="center" vertical="center" wrapText="1"/>
    </xf>
    <xf numFmtId="164" fontId="4" fillId="5" borderId="23" xfId="0" quotePrefix="1" applyNumberFormat="1" applyFont="1" applyFill="1" applyBorder="1" applyAlignment="1" applyProtection="1">
      <alignment horizontal="center" vertical="center" wrapText="1"/>
    </xf>
    <xf numFmtId="164" fontId="4" fillId="0" borderId="23" xfId="0" applyNumberFormat="1" applyFont="1" applyBorder="1" applyAlignment="1" applyProtection="1">
      <alignment horizontal="center" vertical="center" wrapText="1"/>
    </xf>
    <xf numFmtId="164" fontId="4" fillId="0" borderId="33" xfId="0" applyNumberFormat="1" applyFont="1" applyBorder="1" applyAlignment="1" applyProtection="1">
      <alignment horizontal="center" vertical="center" wrapText="1"/>
    </xf>
    <xf numFmtId="164" fontId="4" fillId="0" borderId="34" xfId="0" applyNumberFormat="1" applyFont="1" applyBorder="1" applyAlignment="1" applyProtection="1">
      <alignment horizontal="center" vertical="center" wrapText="1"/>
    </xf>
    <xf numFmtId="164" fontId="4" fillId="0" borderId="27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9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" fontId="8" fillId="6" borderId="8" xfId="0" applyNumberFormat="1" applyFont="1" applyFill="1" applyBorder="1" applyAlignment="1" applyProtection="1">
      <alignment horizontal="center"/>
    </xf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5" xfId="0" applyNumberFormat="1" applyBorder="1" applyAlignment="1" applyProtection="1">
      <alignment horizontal="center"/>
    </xf>
    <xf numFmtId="14" fontId="1" fillId="0" borderId="35" xfId="0" applyNumberFormat="1" applyFont="1" applyFill="1" applyBorder="1" applyProtection="1"/>
    <xf numFmtId="14" fontId="7" fillId="2" borderId="35" xfId="0" applyNumberFormat="1" applyFont="1" applyFill="1" applyBorder="1" applyAlignment="1" applyProtection="1">
      <alignment horizontal="left"/>
    </xf>
    <xf numFmtId="0" fontId="0" fillId="0" borderId="35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5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166" fontId="0" fillId="0" borderId="0" xfId="0" applyNumberFormat="1" applyFill="1" applyBorder="1" applyProtection="1"/>
    <xf numFmtId="167" fontId="7" fillId="6" borderId="25" xfId="0" applyNumberFormat="1" applyFont="1" applyFill="1" applyBorder="1" applyAlignment="1" applyProtection="1">
      <alignment horizontal="center"/>
    </xf>
    <xf numFmtId="164" fontId="0" fillId="0" borderId="27" xfId="0" applyNumberFormat="1" applyBorder="1" applyAlignment="1" applyProtection="1">
      <alignment horizontal="right"/>
    </xf>
    <xf numFmtId="164" fontId="4" fillId="0" borderId="14" xfId="0" quotePrefix="1" applyNumberFormat="1" applyFont="1" applyFill="1" applyBorder="1" applyAlignment="1" applyProtection="1">
      <alignment horizontal="center" wrapText="1"/>
    </xf>
    <xf numFmtId="14" fontId="7" fillId="6" borderId="0" xfId="3" applyNumberFormat="1" applyFont="1" applyFill="1"/>
    <xf numFmtId="14" fontId="7" fillId="2" borderId="8" xfId="3" applyNumberFormat="1" applyFont="1" applyFill="1" applyBorder="1"/>
    <xf numFmtId="14" fontId="7" fillId="6" borderId="8" xfId="3" applyNumberFormat="1" applyFont="1" applyFill="1" applyBorder="1"/>
    <xf numFmtId="164" fontId="5" fillId="0" borderId="0" xfId="0" applyNumberFormat="1" applyFont="1" applyFill="1" applyBorder="1" applyAlignment="1" applyProtection="1">
      <alignment horizontal="center"/>
    </xf>
    <xf numFmtId="10" fontId="24" fillId="0" borderId="0" xfId="4" quotePrefix="1" applyNumberFormat="1" applyFont="1" applyFill="1" applyBorder="1" applyAlignment="1" applyProtection="1">
      <alignment horizontal="left"/>
    </xf>
    <xf numFmtId="164" fontId="4" fillId="0" borderId="23" xfId="0" quotePrefix="1" applyNumberFormat="1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left" vertical="center"/>
    </xf>
    <xf numFmtId="0" fontId="4" fillId="0" borderId="23" xfId="0" quotePrefix="1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1" fillId="0" borderId="0" xfId="5"/>
    <xf numFmtId="37" fontId="0" fillId="0" borderId="0" xfId="6" applyNumberFormat="1" applyFont="1"/>
    <xf numFmtId="37" fontId="1" fillId="0" borderId="0" xfId="5" applyNumberFormat="1"/>
    <xf numFmtId="0" fontId="1" fillId="0" borderId="36" xfId="5" applyBorder="1"/>
    <xf numFmtId="168" fontId="0" fillId="0" borderId="0" xfId="7" applyNumberFormat="1" applyFont="1" applyBorder="1" applyAlignment="1" applyProtection="1">
      <alignment horizontal="left"/>
    </xf>
    <xf numFmtId="0" fontId="1" fillId="0" borderId="37" xfId="5" quotePrefix="1" applyBorder="1" applyAlignment="1">
      <alignment horizontal="left"/>
    </xf>
    <xf numFmtId="168" fontId="0" fillId="0" borderId="0" xfId="7" quotePrefix="1" applyNumberFormat="1" applyFont="1" applyBorder="1" applyAlignment="1" applyProtection="1">
      <alignment horizontal="left"/>
    </xf>
    <xf numFmtId="0" fontId="1" fillId="0" borderId="37" xfId="5" applyBorder="1"/>
    <xf numFmtId="0" fontId="1" fillId="0" borderId="38" xfId="5" applyBorder="1"/>
    <xf numFmtId="0" fontId="9" fillId="3" borderId="39" xfId="5" quotePrefix="1" applyFont="1" applyFill="1" applyBorder="1" applyAlignment="1">
      <alignment horizontal="left" vertical="center" wrapText="1"/>
    </xf>
    <xf numFmtId="168" fontId="9" fillId="3" borderId="0" xfId="7" quotePrefix="1" applyNumberFormat="1" applyFont="1" applyFill="1" applyBorder="1" applyAlignment="1" applyProtection="1">
      <alignment horizontal="left" vertical="center" wrapText="1"/>
    </xf>
    <xf numFmtId="37" fontId="9" fillId="3" borderId="0" xfId="7" quotePrefix="1" applyNumberFormat="1" applyFont="1" applyFill="1" applyBorder="1" applyAlignment="1" applyProtection="1">
      <alignment vertical="center" wrapText="1"/>
    </xf>
    <xf numFmtId="0" fontId="1" fillId="0" borderId="40" xfId="5" quotePrefix="1" applyBorder="1" applyAlignment="1">
      <alignment horizontal="left"/>
    </xf>
    <xf numFmtId="0" fontId="9" fillId="3" borderId="23" xfId="5" quotePrefix="1" applyFont="1" applyFill="1" applyBorder="1" applyAlignment="1">
      <alignment horizontal="left" vertical="center" wrapText="1"/>
    </xf>
    <xf numFmtId="37" fontId="9" fillId="3" borderId="23" xfId="5" quotePrefix="1" applyNumberFormat="1" applyFont="1" applyFill="1" applyBorder="1" applyAlignment="1">
      <alignment vertical="center" wrapText="1"/>
    </xf>
    <xf numFmtId="0" fontId="9" fillId="0" borderId="41" xfId="5" quotePrefix="1" applyFont="1" applyBorder="1" applyAlignment="1">
      <alignment horizontal="center" vertical="center" wrapText="1"/>
    </xf>
    <xf numFmtId="0" fontId="9" fillId="0" borderId="0" xfId="5" quotePrefix="1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7" fontId="0" fillId="0" borderId="0" xfId="0" applyNumberFormat="1" applyBorder="1" applyAlignment="1" applyProtection="1">
      <alignment horizontal="center"/>
    </xf>
    <xf numFmtId="167" fontId="0" fillId="0" borderId="0" xfId="4" applyNumberFormat="1" applyFont="1" applyAlignment="1" applyProtection="1">
      <alignment horizontal="center"/>
    </xf>
    <xf numFmtId="0" fontId="0" fillId="0" borderId="42" xfId="0" applyBorder="1" applyProtection="1"/>
    <xf numFmtId="0" fontId="0" fillId="0" borderId="43" xfId="0" applyBorder="1" applyProtection="1"/>
    <xf numFmtId="0" fontId="0" fillId="0" borderId="42" xfId="0" pivotButton="1" applyBorder="1" applyProtection="1"/>
    <xf numFmtId="0" fontId="0" fillId="0" borderId="44" xfId="0" applyBorder="1" applyProtection="1"/>
    <xf numFmtId="17" fontId="0" fillId="0" borderId="42" xfId="0" applyNumberFormat="1" applyBorder="1" applyProtection="1"/>
    <xf numFmtId="17" fontId="0" fillId="0" borderId="45" xfId="0" applyNumberFormat="1" applyBorder="1" applyProtection="1"/>
    <xf numFmtId="17" fontId="0" fillId="0" borderId="46" xfId="0" applyNumberFormat="1" applyBorder="1" applyProtection="1"/>
    <xf numFmtId="166" fontId="0" fillId="0" borderId="42" xfId="0" applyNumberFormat="1" applyBorder="1" applyProtection="1"/>
    <xf numFmtId="166" fontId="0" fillId="0" borderId="45" xfId="0" applyNumberFormat="1" applyBorder="1" applyProtection="1"/>
    <xf numFmtId="166" fontId="0" fillId="0" borderId="46" xfId="0" applyNumberFormat="1" applyBorder="1" applyProtection="1"/>
    <xf numFmtId="0" fontId="0" fillId="0" borderId="47" xfId="0" applyBorder="1" applyProtection="1"/>
    <xf numFmtId="0" fontId="0" fillId="0" borderId="48" xfId="0" applyBorder="1" applyProtection="1"/>
    <xf numFmtId="166" fontId="0" fillId="0" borderId="48" xfId="0" applyNumberFormat="1" applyBorder="1" applyProtection="1"/>
    <xf numFmtId="166" fontId="0" fillId="0" borderId="49" xfId="0" applyNumberFormat="1" applyBorder="1" applyProtection="1"/>
    <xf numFmtId="0" fontId="0" fillId="0" borderId="50" xfId="0" applyBorder="1" applyProtection="1"/>
    <xf numFmtId="0" fontId="0" fillId="0" borderId="51" xfId="0" applyBorder="1" applyProtection="1"/>
    <xf numFmtId="166" fontId="0" fillId="0" borderId="50" xfId="0" applyNumberFormat="1" applyBorder="1" applyProtection="1"/>
    <xf numFmtId="166" fontId="0" fillId="0" borderId="52" xfId="0" applyNumberFormat="1" applyBorder="1" applyProtection="1"/>
    <xf numFmtId="166" fontId="0" fillId="0" borderId="53" xfId="0" applyNumberFormat="1" applyBorder="1" applyProtection="1"/>
    <xf numFmtId="166" fontId="25" fillId="0" borderId="48" xfId="0" applyNumberFormat="1" applyFont="1" applyBorder="1" applyProtection="1"/>
    <xf numFmtId="166" fontId="25" fillId="0" borderId="0" xfId="0" applyNumberFormat="1" applyFont="1" applyProtection="1"/>
    <xf numFmtId="166" fontId="25" fillId="0" borderId="49" xfId="0" applyNumberFormat="1" applyFont="1" applyBorder="1" applyProtection="1"/>
    <xf numFmtId="166" fontId="25" fillId="0" borderId="42" xfId="0" applyNumberFormat="1" applyFont="1" applyBorder="1" applyProtection="1"/>
    <xf numFmtId="166" fontId="25" fillId="0" borderId="45" xfId="0" applyNumberFormat="1" applyFont="1" applyBorder="1" applyProtection="1"/>
    <xf numFmtId="166" fontId="25" fillId="0" borderId="46" xfId="0" applyNumberFormat="1" applyFon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8">
    <cellStyle name="Comma" xfId="1" builtinId="3"/>
    <cellStyle name="Comma 2" xfId="6" xr:uid="{CF4DD474-9A96-4F40-B60A-3971D2CE1B4F}"/>
    <cellStyle name="Currency" xfId="2" builtinId="4"/>
    <cellStyle name="Normal" xfId="0" builtinId="0"/>
    <cellStyle name="Normal 2" xfId="3" xr:uid="{00000000-0005-0000-0000-000003000000}"/>
    <cellStyle name="Normal 3" xfId="5" xr:uid="{2EF22019-B740-4038-A124-4D553B5A5E39}"/>
    <cellStyle name="Percent" xfId="4" builtinId="5"/>
    <cellStyle name="Percent 2" xfId="7" xr:uid="{ED17F1C2-6DC5-4040-8EF0-B8E356045EFA}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75747" refreshedDate="45800.470922337961" createdVersion="6" refreshedVersion="8" recordCount="192" xr:uid="{00000000-000A-0000-FFFF-FFFFE6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4-12-02T00:00:00" count="180"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3-01-01T00:00:00" u="1"/>
        <d v="2023-02-01T00:00:00" u="1"/>
        <d v="2023-03-01T00:00:00" u="1"/>
        <d v="2023-04-01T00:00:00" u="1"/>
        <d v="2023-05-01T00:00:00" u="1"/>
        <d v="2023-06-01T00:00:00" u="1"/>
        <d v="2023-07-01T00:00:00" u="1"/>
        <d v="2023-08-01T00:00:00" u="1"/>
        <d v="2023-09-01T00:00:00" u="1"/>
        <d v="2023-10-01T00:00:00" u="1"/>
        <d v="2023-11-01T00:00:00" u="1"/>
        <d v="2023-12-01T00:00:00" u="1"/>
        <d v="2022-01-01T00:00:00" u="1"/>
        <d v="2022-02-01T00:00:00" u="1"/>
        <d v="2022-03-01T00:00:00" u="1"/>
        <d v="2022-04-01T00:00:00" u="1"/>
        <d v="2022-05-01T00:00:00" u="1"/>
        <d v="2022-06-01T00:00:00" u="1"/>
        <d v="2022-07-01T00:00:00" u="1"/>
        <d v="2022-08-01T00:00:00" u="1"/>
        <d v="2022-09-01T00:00:00" u="1"/>
        <d v="2022-10-01T00:00:00" u="1"/>
        <d v="2022-11-01T00:00:00" u="1"/>
        <d v="2022-12-01T00:00:00" u="1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4-02-05T00:00:00" maxDate="2025-01-04T00:00:00"/>
    </cacheField>
    <cacheField name="Payment Received*" numFmtId="14">
      <sharedItems containsSemiMixedTypes="0" containsNonDate="0" containsDate="1" containsString="0" minDate="2024-02-26T00:00:00" maxDate="2025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151"/>
    </cacheField>
    <cacheField name="Projected Rate (as Invoiced)" numFmtId="164">
      <sharedItems containsSemiMixedTypes="0" containsString="0" containsNumber="1" containsInteger="1" minValue="1030" maxValue="1030"/>
    </cacheField>
    <cacheField name="Actual True-Up Rate" numFmtId="164">
      <sharedItems containsSemiMixedTypes="0" containsString="0" containsNumber="1" minValue="1020.86" maxValue="1020.86"/>
    </cacheField>
    <cacheField name="True-Up Charge" numFmtId="164">
      <sharedItems containsSemiMixedTypes="0" containsString="0" containsNumber="1" minValue="1020.86" maxValue="4237589.8600000003"/>
    </cacheField>
    <cacheField name="Invoiced*** Charge (proj.)" numFmtId="164">
      <sharedItems containsSemiMixedTypes="0" containsString="0" containsNumber="1" containsInteger="1" minValue="1030" maxValue="4275530"/>
    </cacheField>
    <cacheField name="True-Up w/o Interest" numFmtId="164">
      <sharedItems containsSemiMixedTypes="0" containsString="0" containsNumber="1" minValue="-37940.139999999665" maxValue="-9.1399999999999864"/>
    </cacheField>
    <cacheField name="Interest" numFmtId="164">
      <sharedItems containsSemiMixedTypes="0" containsString="0" containsNumber="1" minValue="-3048.2838452036076" maxValue="-0.73434927612710377"/>
    </cacheField>
    <cacheField name="2024 True Up Including Interest" numFmtId="164">
      <sharedItems containsSemiMixedTypes="0" containsString="0" containsNumber="1" minValue="-40988.423845203273" maxValue="-9.8743492761270897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-40988.423845203273" maxValue="-9.87434927612708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4-02-05T00:00:00"/>
    <d v="2024-02-26T00:00:00"/>
    <x v="0"/>
    <n v="9"/>
    <n v="3252"/>
    <n v="1030"/>
    <n v="1020.86"/>
    <n v="3319836.72"/>
    <n v="3349560"/>
    <n v="-29723.279999999795"/>
    <n v="-2388.1038459653414"/>
    <n v="-32111.383845965138"/>
    <n v="0"/>
    <n v="0"/>
    <n v="0"/>
    <n v="-32111.383845965138"/>
  </r>
  <r>
    <x v="1"/>
    <d v="2024-03-05T00:00:00"/>
    <d v="2024-03-25T00:00:00"/>
    <x v="0"/>
    <n v="9"/>
    <n v="2338"/>
    <n v="1030"/>
    <n v="1020.86"/>
    <n v="2386770.6800000002"/>
    <n v="2408140"/>
    <n v="-21369.319999999832"/>
    <n v="-1716.9086075851685"/>
    <n v="-23086.228607585002"/>
    <n v="0"/>
    <n v="0"/>
    <n v="0"/>
    <n v="-23086.228607585002"/>
  </r>
  <r>
    <x v="2"/>
    <d v="2024-04-03T00:00:00"/>
    <d v="2024-04-24T00:00:00"/>
    <x v="0"/>
    <n v="9"/>
    <n v="2216"/>
    <n v="1030"/>
    <n v="1020.86"/>
    <n v="2262225.7600000002"/>
    <n v="2282480"/>
    <n v="-20254.239999999758"/>
    <n v="-1627.3179958976618"/>
    <n v="-21881.557995897419"/>
    <n v="0"/>
    <n v="0"/>
    <n v="0"/>
    <n v="-21881.557995897419"/>
  </r>
  <r>
    <x v="3"/>
    <d v="2024-05-03T00:00:00"/>
    <d v="2024-05-24T00:00:00"/>
    <x v="0"/>
    <n v="9"/>
    <n v="2777"/>
    <n v="1030"/>
    <n v="1020.86"/>
    <n v="2834928.22"/>
    <n v="2860310"/>
    <n v="-25381.779999999795"/>
    <n v="-2039.287939804967"/>
    <n v="-27421.067939804761"/>
    <n v="0"/>
    <n v="0"/>
    <n v="0"/>
    <n v="-27421.067939804761"/>
  </r>
  <r>
    <x v="4"/>
    <d v="2024-06-05T00:00:00"/>
    <d v="2024-06-24T00:00:00"/>
    <x v="0"/>
    <n v="9"/>
    <n v="3245"/>
    <n v="1030"/>
    <n v="1020.86"/>
    <n v="3312690.7"/>
    <n v="3342350"/>
    <n v="-29659.299999999814"/>
    <n v="-2382.9634010324512"/>
    <n v="-32042.263401032265"/>
    <n v="0"/>
    <n v="0"/>
    <n v="0"/>
    <n v="-32042.263401032265"/>
  </r>
  <r>
    <x v="5"/>
    <d v="2024-07-03T00:00:00"/>
    <d v="2024-07-24T00:00:00"/>
    <x v="0"/>
    <n v="9"/>
    <n v="4080"/>
    <n v="1030"/>
    <n v="1020.86"/>
    <n v="4165108.8000000003"/>
    <n v="4202400"/>
    <n v="-37291.199999999721"/>
    <n v="-2996.1450465985831"/>
    <n v="-40287.345046598304"/>
    <n v="0"/>
    <n v="0"/>
    <n v="0"/>
    <n v="-40287.345046598304"/>
  </r>
  <r>
    <x v="6"/>
    <d v="2024-08-05T00:00:00"/>
    <d v="2024-08-26T00:00:00"/>
    <x v="0"/>
    <n v="9"/>
    <n v="4149"/>
    <n v="1030"/>
    <n v="1020.86"/>
    <n v="4235548.1399999997"/>
    <n v="4273470"/>
    <n v="-37921.860000000335"/>
    <n v="-3046.8151466513532"/>
    <n v="-40968.675146651687"/>
    <n v="0"/>
    <n v="0"/>
    <n v="0"/>
    <n v="-40968.675146651687"/>
  </r>
  <r>
    <x v="7"/>
    <d v="2024-09-04T00:00:00"/>
    <d v="2024-09-24T00:00:00"/>
    <x v="0"/>
    <n v="9"/>
    <n v="4151"/>
    <n v="1030"/>
    <n v="1020.86"/>
    <n v="4237589.8600000003"/>
    <n v="4275530"/>
    <n v="-37940.139999999665"/>
    <n v="-3048.2838452036076"/>
    <n v="-40988.423845203273"/>
    <n v="0"/>
    <n v="0"/>
    <n v="0"/>
    <n v="-40988.423845203273"/>
  </r>
  <r>
    <x v="8"/>
    <d v="2024-10-03T00:00:00"/>
    <d v="2024-10-24T00:00:00"/>
    <x v="0"/>
    <n v="9"/>
    <n v="3859"/>
    <n v="1030"/>
    <n v="1020.86"/>
    <n v="3939498.74"/>
    <n v="3974770"/>
    <n v="-35271.259999999776"/>
    <n v="-2833.8538565744934"/>
    <n v="-38105.113856574273"/>
    <n v="0"/>
    <n v="0"/>
    <n v="0"/>
    <n v="-38105.113856574273"/>
  </r>
  <r>
    <x v="9"/>
    <d v="2024-11-05T00:00:00"/>
    <d v="2024-11-25T00:00:00"/>
    <x v="0"/>
    <n v="9"/>
    <n v="3429"/>
    <n v="1030"/>
    <n v="1020.86"/>
    <n v="3500528.94"/>
    <n v="3531870"/>
    <n v="-31341.060000000056"/>
    <n v="-2518.0836678398387"/>
    <n v="-33859.143667839897"/>
    <n v="0"/>
    <n v="0"/>
    <n v="0"/>
    <n v="-33859.143667839897"/>
  </r>
  <r>
    <x v="10"/>
    <d v="2024-12-04T00:00:00"/>
    <d v="2024-12-24T00:00:00"/>
    <x v="0"/>
    <n v="9"/>
    <n v="2220"/>
    <n v="1030"/>
    <n v="1020.86"/>
    <n v="2266309.2000000002"/>
    <n v="2286600"/>
    <n v="-20290.799999999814"/>
    <n v="-1630.2553930021702"/>
    <n v="-21921.055393001985"/>
    <n v="0"/>
    <n v="0"/>
    <n v="0"/>
    <n v="-21921.055393001985"/>
  </r>
  <r>
    <x v="11"/>
    <d v="2025-01-03T00:00:00"/>
    <d v="2025-01-24T00:00:00"/>
    <x v="0"/>
    <n v="9"/>
    <n v="2569"/>
    <n v="1030"/>
    <n v="1020.86"/>
    <n v="2622589.34"/>
    <n v="2646070"/>
    <n v="-23480.660000000149"/>
    <n v="-1886.5432903705293"/>
    <n v="-25367.203290370679"/>
    <n v="0"/>
    <n v="0"/>
    <n v="0"/>
    <n v="-25367.203290370679"/>
  </r>
  <r>
    <x v="0"/>
    <d v="2024-02-05T00:00:00"/>
    <d v="2024-02-26T00:00:00"/>
    <x v="1"/>
    <n v="9"/>
    <n v="3306"/>
    <n v="1030"/>
    <n v="1020.86"/>
    <n v="3374963.16"/>
    <n v="3405180"/>
    <n v="-30216.839999999851"/>
    <n v="-2427.758706876205"/>
    <n v="-32644.598706876055"/>
    <n v="0"/>
    <n v="0"/>
    <n v="0"/>
    <n v="-32644.598706876055"/>
  </r>
  <r>
    <x v="1"/>
    <d v="2024-03-05T00:00:00"/>
    <d v="2024-03-25T00:00:00"/>
    <x v="1"/>
    <n v="9"/>
    <n v="2611"/>
    <n v="1030"/>
    <n v="1020.86"/>
    <n v="2665465.46"/>
    <n v="2689330"/>
    <n v="-23864.540000000037"/>
    <n v="-1917.3859599678678"/>
    <n v="-25781.925959967906"/>
    <n v="0"/>
    <n v="0"/>
    <n v="0"/>
    <n v="-25781.925959967906"/>
  </r>
  <r>
    <x v="2"/>
    <d v="2024-04-03T00:00:00"/>
    <d v="2024-04-24T00:00:00"/>
    <x v="1"/>
    <n v="9"/>
    <n v="2302"/>
    <n v="1030"/>
    <n v="1020.86"/>
    <n v="2350019.7200000002"/>
    <n v="2371060"/>
    <n v="-21040.279999999795"/>
    <n v="-1690.4720336445928"/>
    <n v="-22730.752033644389"/>
    <n v="0"/>
    <n v="0"/>
    <n v="0"/>
    <n v="-22730.752033644389"/>
  </r>
  <r>
    <x v="3"/>
    <d v="2024-05-03T00:00:00"/>
    <d v="2024-05-24T00:00:00"/>
    <x v="1"/>
    <n v="9"/>
    <n v="2486"/>
    <n v="1030"/>
    <n v="1020.86"/>
    <n v="2537857.96"/>
    <n v="2560580"/>
    <n v="-22722.040000000037"/>
    <n v="-1825.5923004519798"/>
    <n v="-24547.632300452016"/>
    <n v="0"/>
    <n v="0"/>
    <n v="0"/>
    <n v="-24547.632300452016"/>
  </r>
  <r>
    <x v="4"/>
    <d v="2024-06-05T00:00:00"/>
    <d v="2024-06-24T00:00:00"/>
    <x v="1"/>
    <n v="9"/>
    <n v="2970"/>
    <n v="1030"/>
    <n v="1020.86"/>
    <n v="3031954.2"/>
    <n v="3059100"/>
    <n v="-27145.799999999814"/>
    <n v="-2181.0173500974979"/>
    <n v="-29326.817350097313"/>
    <n v="0"/>
    <n v="0"/>
    <n v="0"/>
    <n v="-29326.817350097313"/>
  </r>
  <r>
    <x v="5"/>
    <d v="2024-07-03T00:00:00"/>
    <d v="2024-07-24T00:00:00"/>
    <x v="1"/>
    <n v="9"/>
    <n v="3483"/>
    <n v="1030"/>
    <n v="1020.86"/>
    <n v="3555655.38"/>
    <n v="3587490"/>
    <n v="-31834.620000000112"/>
    <n v="-2557.7385287507022"/>
    <n v="-34392.358528750818"/>
    <n v="0"/>
    <n v="0"/>
    <n v="0"/>
    <n v="-34392.358528750818"/>
  </r>
  <r>
    <x v="6"/>
    <d v="2024-08-05T00:00:00"/>
    <d v="2024-08-26T00:00:00"/>
    <x v="1"/>
    <n v="9"/>
    <n v="3510"/>
    <n v="1030"/>
    <n v="1020.86"/>
    <n v="3583218.6"/>
    <n v="3615300"/>
    <n v="-32081.399999999907"/>
    <n v="-2577.5659592061338"/>
    <n v="-34658.965959206042"/>
    <n v="0"/>
    <n v="0"/>
    <n v="0"/>
    <n v="-34658.965959206042"/>
  </r>
  <r>
    <x v="7"/>
    <d v="2024-09-04T00:00:00"/>
    <d v="2024-09-24T00:00:00"/>
    <x v="1"/>
    <n v="9"/>
    <n v="3574"/>
    <n v="1030"/>
    <n v="1020.86"/>
    <n v="3648553.64"/>
    <n v="3681220"/>
    <n v="-32666.35999999987"/>
    <n v="-2624.5643128782685"/>
    <n v="-35290.924312878138"/>
    <n v="0"/>
    <n v="0"/>
    <n v="0"/>
    <n v="-35290.924312878138"/>
  </r>
  <r>
    <x v="8"/>
    <d v="2024-10-03T00:00:00"/>
    <d v="2024-10-24T00:00:00"/>
    <x v="1"/>
    <n v="9"/>
    <n v="3188"/>
    <n v="1030"/>
    <n v="1020.86"/>
    <n v="3254501.68"/>
    <n v="3283640"/>
    <n v="-29138.319999999832"/>
    <n v="-2341.1054922932067"/>
    <n v="-31479.425492293038"/>
    <n v="0"/>
    <n v="0"/>
    <n v="0"/>
    <n v="-31479.425492293038"/>
  </r>
  <r>
    <x v="9"/>
    <d v="2024-11-05T00:00:00"/>
    <d v="2024-11-25T00:00:00"/>
    <x v="1"/>
    <n v="9"/>
    <n v="2793"/>
    <n v="1030"/>
    <n v="1020.86"/>
    <n v="2851261.98"/>
    <n v="2876790"/>
    <n v="-25528.020000000019"/>
    <n v="-2051.0375282230007"/>
    <n v="-27579.05752822302"/>
    <n v="0"/>
    <n v="0"/>
    <n v="0"/>
    <n v="-27579.05752822302"/>
  </r>
  <r>
    <x v="10"/>
    <d v="2024-12-04T00:00:00"/>
    <d v="2024-12-24T00:00:00"/>
    <x v="1"/>
    <n v="9"/>
    <n v="2339"/>
    <n v="1030"/>
    <n v="1020.86"/>
    <n v="2387791.54"/>
    <n v="2409170"/>
    <n v="-21378.459999999963"/>
    <n v="-1717.6429568612955"/>
    <n v="-23096.102956861258"/>
    <n v="0"/>
    <n v="0"/>
    <n v="0"/>
    <n v="-23096.102956861258"/>
  </r>
  <r>
    <x v="11"/>
    <d v="2025-01-03T00:00:00"/>
    <d v="2025-01-24T00:00:00"/>
    <x v="1"/>
    <n v="9"/>
    <n v="2520"/>
    <n v="1030"/>
    <n v="1020.86"/>
    <n v="2572567.2000000002"/>
    <n v="2595600"/>
    <n v="-23032.799999999814"/>
    <n v="-1850.5601758403013"/>
    <n v="-24883.360175840116"/>
    <n v="0"/>
    <n v="0"/>
    <n v="0"/>
    <n v="-24883.360175840116"/>
  </r>
  <r>
    <x v="0"/>
    <d v="2024-02-05T00:00:00"/>
    <d v="2024-02-26T00:00:00"/>
    <x v="2"/>
    <n v="9"/>
    <n v="216"/>
    <n v="1030"/>
    <n v="1020.86"/>
    <n v="220505.76"/>
    <n v="222480"/>
    <n v="-1974.2399999999907"/>
    <n v="-158.61944364345442"/>
    <n v="-2132.859443643445"/>
    <n v="0"/>
    <n v="0"/>
    <n v="0"/>
    <n v="-2132.859443643445"/>
  </r>
  <r>
    <x v="1"/>
    <d v="2024-03-05T00:00:00"/>
    <d v="2024-03-25T00:00:00"/>
    <x v="2"/>
    <n v="9"/>
    <n v="146"/>
    <n v="1030"/>
    <n v="1020.86"/>
    <n v="149045.56"/>
    <n v="150380"/>
    <n v="-1334.4400000000023"/>
    <n v="-107.21499431455713"/>
    <n v="-1441.6549943145594"/>
    <n v="0"/>
    <n v="0"/>
    <n v="0"/>
    <n v="-1441.6549943145594"/>
  </r>
  <r>
    <x v="2"/>
    <d v="2024-04-03T00:00:00"/>
    <d v="2024-04-24T00:00:00"/>
    <x v="2"/>
    <n v="9"/>
    <n v="113"/>
    <n v="1030"/>
    <n v="1020.86"/>
    <n v="115357.18000000001"/>
    <n v="116390"/>
    <n v="-1032.8199999999924"/>
    <n v="-82.98146820236272"/>
    <n v="-1115.8014682023552"/>
    <n v="0"/>
    <n v="0"/>
    <n v="0"/>
    <n v="-1115.8014682023552"/>
  </r>
  <r>
    <x v="3"/>
    <d v="2024-05-03T00:00:00"/>
    <d v="2024-05-24T00:00:00"/>
    <x v="2"/>
    <n v="9"/>
    <n v="76"/>
    <n v="1030"/>
    <n v="1020.86"/>
    <n v="77585.36"/>
    <n v="78280"/>
    <n v="-694.63999999999942"/>
    <n v="-55.810544985659888"/>
    <n v="-750.45054498565935"/>
    <n v="0"/>
    <n v="0"/>
    <n v="0"/>
    <n v="-750.45054498565935"/>
  </r>
  <r>
    <x v="4"/>
    <d v="2024-06-05T00:00:00"/>
    <d v="2024-06-24T00:00:00"/>
    <x v="2"/>
    <n v="9"/>
    <n v="120"/>
    <n v="1030"/>
    <n v="1020.86"/>
    <n v="122503.2"/>
    <n v="123600"/>
    <n v="-1096.8000000000029"/>
    <n v="-88.121913135252441"/>
    <n v="-1184.9219131352554"/>
    <n v="0"/>
    <n v="0"/>
    <n v="0"/>
    <n v="-1184.9219131352554"/>
  </r>
  <r>
    <x v="5"/>
    <d v="2024-07-03T00:00:00"/>
    <d v="2024-07-24T00:00:00"/>
    <x v="2"/>
    <n v="9"/>
    <n v="147"/>
    <n v="1030"/>
    <n v="1020.86"/>
    <n v="150066.42000000001"/>
    <n v="151410"/>
    <n v="-1343.5799999999872"/>
    <n v="-107.94934359068425"/>
    <n v="-1451.5293435906715"/>
    <n v="0"/>
    <n v="0"/>
    <n v="0"/>
    <n v="-1451.5293435906715"/>
  </r>
  <r>
    <x v="6"/>
    <d v="2024-08-05T00:00:00"/>
    <d v="2024-08-26T00:00:00"/>
    <x v="2"/>
    <n v="9"/>
    <n v="155"/>
    <n v="1030"/>
    <n v="1020.86"/>
    <n v="158233.29999999999"/>
    <n v="159650"/>
    <n v="-1416.7000000000116"/>
    <n v="-113.82413779970108"/>
    <n v="-1530.5241377997127"/>
    <n v="0"/>
    <n v="0"/>
    <n v="0"/>
    <n v="-1530.5241377997127"/>
  </r>
  <r>
    <x v="7"/>
    <d v="2024-09-04T00:00:00"/>
    <d v="2024-09-24T00:00:00"/>
    <x v="2"/>
    <n v="9"/>
    <n v="157"/>
    <n v="1030"/>
    <n v="1020.86"/>
    <n v="160275.01999999999"/>
    <n v="161710"/>
    <n v="-1434.9800000000105"/>
    <n v="-115.29283635195527"/>
    <n v="-1550.2728363519657"/>
    <n v="0"/>
    <n v="0"/>
    <n v="0"/>
    <n v="-1550.2728363519657"/>
  </r>
  <r>
    <x v="8"/>
    <d v="2024-10-03T00:00:00"/>
    <d v="2024-10-24T00:00:00"/>
    <x v="2"/>
    <n v="9"/>
    <n v="126"/>
    <n v="1030"/>
    <n v="1020.86"/>
    <n v="128628.36"/>
    <n v="129780"/>
    <n v="-1151.6399999999994"/>
    <n v="-92.528008792015072"/>
    <n v="-1244.1680087920145"/>
    <n v="0"/>
    <n v="0"/>
    <n v="0"/>
    <n v="-1244.1680087920145"/>
  </r>
  <r>
    <x v="9"/>
    <d v="2024-11-05T00:00:00"/>
    <d v="2024-11-25T00:00:00"/>
    <x v="2"/>
    <n v="9"/>
    <n v="112"/>
    <n v="1030"/>
    <n v="1020.86"/>
    <n v="114336.32000000001"/>
    <n v="115360"/>
    <n v="-1023.679999999993"/>
    <n v="-82.247118926235615"/>
    <n v="-1105.9271189262286"/>
    <n v="0"/>
    <n v="0"/>
    <n v="0"/>
    <n v="-1105.9271189262286"/>
  </r>
  <r>
    <x v="10"/>
    <d v="2024-12-04T00:00:00"/>
    <d v="2024-12-24T00:00:00"/>
    <x v="2"/>
    <n v="9"/>
    <n v="93"/>
    <n v="1030"/>
    <n v="1020.86"/>
    <n v="94939.98"/>
    <n v="95790"/>
    <n v="-850.02000000000407"/>
    <n v="-68.294482679820646"/>
    <n v="-918.31448267982478"/>
    <n v="0"/>
    <n v="0"/>
    <n v="0"/>
    <n v="-918.31448267982478"/>
  </r>
  <r>
    <x v="11"/>
    <d v="2025-01-03T00:00:00"/>
    <d v="2025-01-24T00:00:00"/>
    <x v="2"/>
    <n v="9"/>
    <n v="128"/>
    <n v="1030"/>
    <n v="1020.86"/>
    <n v="130670.08"/>
    <n v="131840"/>
    <n v="-1169.9199999999983"/>
    <n v="-93.996707344269282"/>
    <n v="-1263.9167073442675"/>
    <n v="0"/>
    <n v="0"/>
    <n v="0"/>
    <n v="-1263.9167073442675"/>
  </r>
  <r>
    <x v="0"/>
    <d v="2024-02-05T00:00:00"/>
    <d v="2024-02-26T00:00:00"/>
    <x v="3"/>
    <n v="9"/>
    <n v="1129"/>
    <n v="1030"/>
    <n v="1020.86"/>
    <n v="1152550.94"/>
    <n v="1162870"/>
    <n v="-10319.060000000056"/>
    <n v="-829.08033274750005"/>
    <n v="-11148.140332747556"/>
    <n v="0"/>
    <n v="0"/>
    <n v="0"/>
    <n v="-11148.140332747556"/>
  </r>
  <r>
    <x v="1"/>
    <d v="2024-03-05T00:00:00"/>
    <d v="2024-03-25T00:00:00"/>
    <x v="3"/>
    <n v="9"/>
    <n v="739"/>
    <n v="1030"/>
    <n v="1020.86"/>
    <n v="754415.54"/>
    <n v="761170"/>
    <n v="-6754.4599999999627"/>
    <n v="-542.68411505792972"/>
    <n v="-7297.1441150578921"/>
    <n v="0"/>
    <n v="0"/>
    <n v="0"/>
    <n v="-7297.1441150578921"/>
  </r>
  <r>
    <x v="2"/>
    <d v="2024-04-03T00:00:00"/>
    <d v="2024-04-24T00:00:00"/>
    <x v="3"/>
    <n v="9"/>
    <n v="642"/>
    <n v="1030"/>
    <n v="1020.86"/>
    <n v="655392.12"/>
    <n v="661260"/>
    <n v="-5867.8800000000047"/>
    <n v="-471.45223527360059"/>
    <n v="-6339.332235273605"/>
    <n v="0"/>
    <n v="0"/>
    <n v="0"/>
    <n v="-6339.332235273605"/>
  </r>
  <r>
    <x v="3"/>
    <d v="2024-05-03T00:00:00"/>
    <d v="2024-05-24T00:00:00"/>
    <x v="3"/>
    <n v="9"/>
    <n v="581"/>
    <n v="1030"/>
    <n v="1020.86"/>
    <n v="593119.66"/>
    <n v="598430"/>
    <n v="-5310.3399999999674"/>
    <n v="-426.65692942984725"/>
    <n v="-5736.9969294298144"/>
    <n v="0"/>
    <n v="0"/>
    <n v="0"/>
    <n v="-5736.9969294298144"/>
  </r>
  <r>
    <x v="4"/>
    <d v="2024-06-05T00:00:00"/>
    <d v="2024-06-24T00:00:00"/>
    <x v="3"/>
    <n v="9"/>
    <n v="753"/>
    <n v="1030"/>
    <n v="1020.86"/>
    <n v="768707.58"/>
    <n v="775590"/>
    <n v="-6882.4200000000419"/>
    <n v="-552.9650049237091"/>
    <n v="-7435.3850049237508"/>
    <n v="0"/>
    <n v="0"/>
    <n v="0"/>
    <n v="-7435.3850049237508"/>
  </r>
  <r>
    <x v="5"/>
    <d v="2024-07-03T00:00:00"/>
    <d v="2024-07-24T00:00:00"/>
    <x v="3"/>
    <n v="9"/>
    <n v="1001"/>
    <n v="1030"/>
    <n v="1020.86"/>
    <n v="1021880.86"/>
    <n v="1031030"/>
    <n v="-9149.140000000014"/>
    <n v="-735.08362540323083"/>
    <n v="-9884.223625403245"/>
    <n v="0"/>
    <n v="0"/>
    <n v="0"/>
    <n v="-9884.223625403245"/>
  </r>
  <r>
    <x v="6"/>
    <d v="2024-08-05T00:00:00"/>
    <d v="2024-08-26T00:00:00"/>
    <x v="3"/>
    <n v="9"/>
    <n v="961"/>
    <n v="1030"/>
    <n v="1020.86"/>
    <n v="981046.46"/>
    <n v="989830"/>
    <n v="-8783.5400000000373"/>
    <n v="-705.70965435814662"/>
    <n v="-9489.2496543581838"/>
    <n v="0"/>
    <n v="0"/>
    <n v="0"/>
    <n v="-9489.2496543581838"/>
  </r>
  <r>
    <x v="7"/>
    <d v="2024-09-04T00:00:00"/>
    <d v="2024-09-24T00:00:00"/>
    <x v="3"/>
    <n v="9"/>
    <n v="1017"/>
    <n v="1030"/>
    <n v="1020.86"/>
    <n v="1038214.62"/>
    <n v="1047510"/>
    <n v="-9295.3800000000047"/>
    <n v="-746.83321382126451"/>
    <n v="-10042.213213821269"/>
    <n v="0"/>
    <n v="0"/>
    <n v="0"/>
    <n v="-10042.213213821269"/>
  </r>
  <r>
    <x v="8"/>
    <d v="2024-10-03T00:00:00"/>
    <d v="2024-10-24T00:00:00"/>
    <x v="3"/>
    <n v="9"/>
    <n v="856"/>
    <n v="1030"/>
    <n v="1020.86"/>
    <n v="873856.16"/>
    <n v="881680"/>
    <n v="-7823.8399999999674"/>
    <n v="-628.60298036480071"/>
    <n v="-8452.442980364769"/>
    <n v="0"/>
    <n v="0"/>
    <n v="0"/>
    <n v="-8452.442980364769"/>
  </r>
  <r>
    <x v="9"/>
    <d v="2024-11-05T00:00:00"/>
    <d v="2024-11-25T00:00:00"/>
    <x v="3"/>
    <n v="9"/>
    <n v="786"/>
    <n v="1030"/>
    <n v="1020.86"/>
    <n v="802395.96"/>
    <n v="809580"/>
    <n v="-7184.0400000000373"/>
    <n v="-577.19853103590356"/>
    <n v="-7761.2385310359405"/>
    <n v="0"/>
    <n v="0"/>
    <n v="0"/>
    <n v="-7761.2385310359405"/>
  </r>
  <r>
    <x v="10"/>
    <d v="2024-12-04T00:00:00"/>
    <d v="2024-12-24T00:00:00"/>
    <x v="3"/>
    <n v="9"/>
    <n v="463"/>
    <n v="1030"/>
    <n v="1020.86"/>
    <n v="472658.18"/>
    <n v="476890"/>
    <n v="-4231.820000000007"/>
    <n v="-340.00371484684905"/>
    <n v="-4571.8237148468561"/>
    <n v="0"/>
    <n v="0"/>
    <n v="0"/>
    <n v="-4571.8237148468561"/>
  </r>
  <r>
    <x v="11"/>
    <d v="2025-01-03T00:00:00"/>
    <d v="2025-01-24T00:00:00"/>
    <x v="3"/>
    <n v="9"/>
    <n v="725"/>
    <n v="1030"/>
    <n v="1020.86"/>
    <n v="740123.5"/>
    <n v="746750"/>
    <n v="-6626.5"/>
    <n v="-532.40322519215022"/>
    <n v="-7158.9032251921499"/>
    <n v="0"/>
    <n v="0"/>
    <n v="0"/>
    <n v="-7158.9032251921499"/>
  </r>
  <r>
    <x v="0"/>
    <d v="2024-02-05T00:00:00"/>
    <d v="2024-02-26T00:00:00"/>
    <x v="4"/>
    <n v="9"/>
    <n v="58"/>
    <n v="1030"/>
    <n v="1020.86"/>
    <n v="59209.88"/>
    <n v="59740"/>
    <n v="-530.12000000000262"/>
    <n v="-42.592258015372011"/>
    <n v="-572.71225801537457"/>
    <n v="0"/>
    <n v="0"/>
    <n v="0"/>
    <n v="-572.71225801537457"/>
  </r>
  <r>
    <x v="1"/>
    <d v="2024-03-05T00:00:00"/>
    <d v="2024-03-25T00:00:00"/>
    <x v="4"/>
    <n v="9"/>
    <n v="36"/>
    <n v="1030"/>
    <n v="1020.86"/>
    <n v="36750.959999999999"/>
    <n v="37080"/>
    <n v="-329.04000000000087"/>
    <n v="-26.436573940575734"/>
    <n v="-355.4765739405766"/>
    <n v="0"/>
    <n v="0"/>
    <n v="0"/>
    <n v="-355.4765739405766"/>
  </r>
  <r>
    <x v="2"/>
    <d v="2024-04-03T00:00:00"/>
    <d v="2024-04-24T00:00:00"/>
    <x v="4"/>
    <n v="9"/>
    <n v="29"/>
    <n v="1030"/>
    <n v="1020.86"/>
    <n v="29604.94"/>
    <n v="29870"/>
    <n v="-265.06000000000131"/>
    <n v="-21.296129007686005"/>
    <n v="-286.35612900768729"/>
    <n v="0"/>
    <n v="0"/>
    <n v="0"/>
    <n v="-286.35612900768729"/>
  </r>
  <r>
    <x v="3"/>
    <d v="2024-05-03T00:00:00"/>
    <d v="2024-05-24T00:00:00"/>
    <x v="4"/>
    <n v="9"/>
    <n v="27"/>
    <n v="1030"/>
    <n v="1020.86"/>
    <n v="27563.22"/>
    <n v="27810"/>
    <n v="-246.77999999999884"/>
    <n v="-19.827430455431802"/>
    <n v="-266.60743045543063"/>
    <n v="0"/>
    <n v="0"/>
    <n v="0"/>
    <n v="-266.60743045543063"/>
  </r>
  <r>
    <x v="4"/>
    <d v="2024-06-05T00:00:00"/>
    <d v="2024-06-24T00:00:00"/>
    <x v="4"/>
    <n v="9"/>
    <n v="36"/>
    <n v="1030"/>
    <n v="1020.86"/>
    <n v="36750.959999999999"/>
    <n v="37080"/>
    <n v="-329.04000000000087"/>
    <n v="-26.436573940575734"/>
    <n v="-355.4765739405766"/>
    <n v="0"/>
    <n v="0"/>
    <n v="0"/>
    <n v="-355.4765739405766"/>
  </r>
  <r>
    <x v="5"/>
    <d v="2024-07-03T00:00:00"/>
    <d v="2024-07-24T00:00:00"/>
    <x v="4"/>
    <n v="9"/>
    <n v="53"/>
    <n v="1030"/>
    <n v="1020.86"/>
    <n v="54105.58"/>
    <n v="54590"/>
    <n v="-484.41999999999825"/>
    <n v="-38.920511634736499"/>
    <n v="-523.34051163473475"/>
    <n v="0"/>
    <n v="0"/>
    <n v="0"/>
    <n v="-523.34051163473475"/>
  </r>
  <r>
    <x v="6"/>
    <d v="2024-08-05T00:00:00"/>
    <d v="2024-08-26T00:00:00"/>
    <x v="4"/>
    <n v="9"/>
    <n v="53"/>
    <n v="1030"/>
    <n v="1020.86"/>
    <n v="54105.58"/>
    <n v="54590"/>
    <n v="-484.41999999999825"/>
    <n v="-38.920511634736499"/>
    <n v="-523.34051163473475"/>
    <n v="0"/>
    <n v="0"/>
    <n v="0"/>
    <n v="-523.34051163473475"/>
  </r>
  <r>
    <x v="7"/>
    <d v="2024-09-04T00:00:00"/>
    <d v="2024-09-24T00:00:00"/>
    <x v="4"/>
    <n v="9"/>
    <n v="54"/>
    <n v="1030"/>
    <n v="1020.86"/>
    <n v="55126.44"/>
    <n v="55620"/>
    <n v="-493.55999999999767"/>
    <n v="-39.654860910863604"/>
    <n v="-533.21486091086126"/>
    <n v="0"/>
    <n v="0"/>
    <n v="0"/>
    <n v="-533.21486091086126"/>
  </r>
  <r>
    <x v="8"/>
    <d v="2024-10-03T00:00:00"/>
    <d v="2024-10-24T00:00:00"/>
    <x v="4"/>
    <n v="9"/>
    <n v="48"/>
    <n v="1030"/>
    <n v="1020.86"/>
    <n v="49001.279999999999"/>
    <n v="49440"/>
    <n v="-438.72000000000116"/>
    <n v="-35.248765254100981"/>
    <n v="-473.96876525410215"/>
    <n v="0"/>
    <n v="0"/>
    <n v="0"/>
    <n v="-473.96876525410215"/>
  </r>
  <r>
    <x v="9"/>
    <d v="2024-11-05T00:00:00"/>
    <d v="2024-11-25T00:00:00"/>
    <x v="4"/>
    <n v="9"/>
    <n v="41"/>
    <n v="1030"/>
    <n v="1020.86"/>
    <n v="41855.26"/>
    <n v="42230"/>
    <n v="-374.73999999999796"/>
    <n v="-30.108320321211252"/>
    <n v="-404.8483203212092"/>
    <n v="0"/>
    <n v="0"/>
    <n v="0"/>
    <n v="-404.8483203212092"/>
  </r>
  <r>
    <x v="10"/>
    <d v="2024-12-04T00:00:00"/>
    <d v="2024-12-24T00:00:00"/>
    <x v="4"/>
    <n v="9"/>
    <n v="22"/>
    <n v="1030"/>
    <n v="1020.86"/>
    <n v="22458.920000000002"/>
    <n v="22660"/>
    <n v="-201.07999999999811"/>
    <n v="-16.15568407479628"/>
    <n v="-217.23568407479439"/>
    <n v="0"/>
    <n v="0"/>
    <n v="0"/>
    <n v="-217.23568407479439"/>
  </r>
  <r>
    <x v="11"/>
    <d v="2025-01-03T00:00:00"/>
    <d v="2025-01-24T00:00:00"/>
    <x v="4"/>
    <n v="9"/>
    <n v="37"/>
    <n v="1030"/>
    <n v="1020.86"/>
    <n v="37771.82"/>
    <n v="38110"/>
    <n v="-338.18000000000029"/>
    <n v="-27.170923216702835"/>
    <n v="-365.35092321670311"/>
    <n v="0"/>
    <n v="0"/>
    <n v="0"/>
    <n v="-365.35092321670311"/>
  </r>
  <r>
    <x v="0"/>
    <d v="2024-02-05T00:00:00"/>
    <d v="2024-02-26T00:00:00"/>
    <x v="5"/>
    <n v="9"/>
    <n v="75"/>
    <n v="1030"/>
    <n v="1020.86"/>
    <n v="76564.5"/>
    <n v="77250"/>
    <n v="-685.5"/>
    <n v="-55.076195709532783"/>
    <n v="-740.57619570953284"/>
    <n v="0"/>
    <n v="0"/>
    <n v="0"/>
    <n v="-740.57619570953284"/>
  </r>
  <r>
    <x v="1"/>
    <d v="2024-03-05T00:00:00"/>
    <d v="2024-03-25T00:00:00"/>
    <x v="5"/>
    <n v="9"/>
    <n v="54"/>
    <n v="1030"/>
    <n v="1020.86"/>
    <n v="55126.44"/>
    <n v="55620"/>
    <n v="-493.55999999999767"/>
    <n v="-39.654860910863604"/>
    <n v="-533.21486091086126"/>
    <n v="0"/>
    <n v="0"/>
    <n v="0"/>
    <n v="-533.21486091086126"/>
  </r>
  <r>
    <x v="2"/>
    <d v="2024-04-03T00:00:00"/>
    <d v="2024-04-24T00:00:00"/>
    <x v="5"/>
    <n v="9"/>
    <n v="49"/>
    <n v="1030"/>
    <n v="1020.86"/>
    <n v="50022.14"/>
    <n v="50470"/>
    <n v="-447.86000000000058"/>
    <n v="-35.983114530228086"/>
    <n v="-483.84311453022866"/>
    <n v="0"/>
    <n v="0"/>
    <n v="0"/>
    <n v="-483.84311453022866"/>
  </r>
  <r>
    <x v="3"/>
    <d v="2024-05-03T00:00:00"/>
    <d v="2024-05-24T00:00:00"/>
    <x v="5"/>
    <n v="9"/>
    <n v="43"/>
    <n v="1030"/>
    <n v="1020.86"/>
    <n v="43896.98"/>
    <n v="44290"/>
    <n v="-393.0199999999968"/>
    <n v="-31.577018873465459"/>
    <n v="-424.59701887346228"/>
    <n v="0"/>
    <n v="0"/>
    <n v="0"/>
    <n v="-424.59701887346228"/>
  </r>
  <r>
    <x v="4"/>
    <d v="2024-06-05T00:00:00"/>
    <d v="2024-06-24T00:00:00"/>
    <x v="5"/>
    <n v="9"/>
    <n v="50"/>
    <n v="1030"/>
    <n v="1020.86"/>
    <n v="51043"/>
    <n v="51500"/>
    <n v="-457"/>
    <n v="-36.717463806355191"/>
    <n v="-493.71746380635517"/>
    <n v="0"/>
    <n v="0"/>
    <n v="0"/>
    <n v="-493.71746380635517"/>
  </r>
  <r>
    <x v="5"/>
    <d v="2024-07-03T00:00:00"/>
    <d v="2024-07-24T00:00:00"/>
    <x v="5"/>
    <n v="9"/>
    <n v="59"/>
    <n v="1030"/>
    <n v="1020.86"/>
    <n v="60230.74"/>
    <n v="60770"/>
    <n v="-539.26000000000204"/>
    <n v="-43.326607291499116"/>
    <n v="-582.5866072915012"/>
    <n v="0"/>
    <n v="0"/>
    <n v="0"/>
    <n v="-582.5866072915012"/>
  </r>
  <r>
    <x v="6"/>
    <d v="2024-08-05T00:00:00"/>
    <d v="2024-08-26T00:00:00"/>
    <x v="5"/>
    <n v="9"/>
    <n v="60"/>
    <n v="1030"/>
    <n v="1020.86"/>
    <n v="61251.6"/>
    <n v="61800"/>
    <n v="-548.40000000000146"/>
    <n v="-44.060956567626221"/>
    <n v="-592.4609565676277"/>
    <n v="0"/>
    <n v="0"/>
    <n v="0"/>
    <n v="-592.4609565676277"/>
  </r>
  <r>
    <x v="7"/>
    <d v="2024-09-04T00:00:00"/>
    <d v="2024-09-24T00:00:00"/>
    <x v="5"/>
    <n v="9"/>
    <n v="56"/>
    <n v="1030"/>
    <n v="1020.86"/>
    <n v="57168.160000000003"/>
    <n v="57680"/>
    <n v="-511.83999999999651"/>
    <n v="-41.123559463117807"/>
    <n v="-552.96355946311428"/>
    <n v="0"/>
    <n v="0"/>
    <n v="0"/>
    <n v="-552.96355946311428"/>
  </r>
  <r>
    <x v="8"/>
    <d v="2024-10-03T00:00:00"/>
    <d v="2024-10-24T00:00:00"/>
    <x v="5"/>
    <n v="9"/>
    <n v="55"/>
    <n v="1030"/>
    <n v="1020.86"/>
    <n v="56147.3"/>
    <n v="56650"/>
    <n v="-502.69999999999709"/>
    <n v="-40.389210186990702"/>
    <n v="-543.08921018698777"/>
    <n v="0"/>
    <n v="0"/>
    <n v="0"/>
    <n v="-543.08921018698777"/>
  </r>
  <r>
    <x v="9"/>
    <d v="2024-11-05T00:00:00"/>
    <d v="2024-11-25T00:00:00"/>
    <x v="5"/>
    <n v="9"/>
    <n v="51"/>
    <n v="1030"/>
    <n v="1020.86"/>
    <n v="52063.86"/>
    <n v="52530"/>
    <n v="-466.13999999999942"/>
    <n v="-37.451813082482289"/>
    <n v="-503.59181308248174"/>
    <n v="0"/>
    <n v="0"/>
    <n v="0"/>
    <n v="-503.59181308248174"/>
  </r>
  <r>
    <x v="10"/>
    <d v="2024-12-04T00:00:00"/>
    <d v="2024-12-24T00:00:00"/>
    <x v="5"/>
    <n v="9"/>
    <n v="40"/>
    <n v="1030"/>
    <n v="1020.86"/>
    <n v="40834.400000000001"/>
    <n v="41200"/>
    <n v="-365.59999999999854"/>
    <n v="-29.373971045084151"/>
    <n v="-394.97397104508269"/>
    <n v="0"/>
    <n v="0"/>
    <n v="0"/>
    <n v="-394.97397104508269"/>
  </r>
  <r>
    <x v="11"/>
    <d v="2025-01-03T00:00:00"/>
    <d v="2025-01-24T00:00:00"/>
    <x v="5"/>
    <n v="9"/>
    <n v="51"/>
    <n v="1030"/>
    <n v="1020.86"/>
    <n v="52063.86"/>
    <n v="52530"/>
    <n v="-466.13999999999942"/>
    <n v="-37.451813082482289"/>
    <n v="-503.59181308248174"/>
    <n v="0"/>
    <n v="0"/>
    <n v="0"/>
    <n v="-503.59181308248174"/>
  </r>
  <r>
    <x v="0"/>
    <d v="2024-02-05T00:00:00"/>
    <d v="2024-02-26T00:00:00"/>
    <x v="6"/>
    <n v="9"/>
    <n v="94"/>
    <n v="1030"/>
    <n v="1020.86"/>
    <n v="95960.84"/>
    <n v="96820"/>
    <n v="-859.16000000000349"/>
    <n v="-69.028831955947751"/>
    <n v="-928.18883195595129"/>
    <n v="0"/>
    <n v="0"/>
    <n v="0"/>
    <n v="-928.18883195595129"/>
  </r>
  <r>
    <x v="1"/>
    <d v="2024-03-05T00:00:00"/>
    <d v="2024-03-25T00:00:00"/>
    <x v="6"/>
    <n v="9"/>
    <n v="62"/>
    <n v="1030"/>
    <n v="1020.86"/>
    <n v="63293.32"/>
    <n v="63860"/>
    <n v="-566.68000000000029"/>
    <n v="-45.529655119880431"/>
    <n v="-612.20965511988072"/>
    <n v="0"/>
    <n v="0"/>
    <n v="0"/>
    <n v="-612.20965511988072"/>
  </r>
  <r>
    <x v="2"/>
    <d v="2024-04-03T00:00:00"/>
    <d v="2024-04-24T00:00:00"/>
    <x v="6"/>
    <n v="9"/>
    <n v="60"/>
    <n v="1030"/>
    <n v="1020.86"/>
    <n v="61251.6"/>
    <n v="61800"/>
    <n v="-548.40000000000146"/>
    <n v="-44.060956567626221"/>
    <n v="-592.4609565676277"/>
    <n v="0"/>
    <n v="0"/>
    <n v="0"/>
    <n v="-592.4609565676277"/>
  </r>
  <r>
    <x v="3"/>
    <d v="2024-05-03T00:00:00"/>
    <d v="2024-05-24T00:00:00"/>
    <x v="6"/>
    <n v="9"/>
    <n v="92"/>
    <n v="1030"/>
    <n v="1020.86"/>
    <n v="93919.12"/>
    <n v="94760"/>
    <n v="-840.88000000000466"/>
    <n v="-67.560133403693541"/>
    <n v="-908.44013340369816"/>
    <n v="0"/>
    <n v="0"/>
    <n v="0"/>
    <n v="-908.44013340369816"/>
  </r>
  <r>
    <x v="4"/>
    <d v="2024-06-05T00:00:00"/>
    <d v="2024-06-24T00:00:00"/>
    <x v="6"/>
    <n v="9"/>
    <n v="118"/>
    <n v="1030"/>
    <n v="1020.86"/>
    <n v="120461.48"/>
    <n v="121540"/>
    <n v="-1078.5200000000041"/>
    <n v="-86.653214582998231"/>
    <n v="-1165.1732145830024"/>
    <n v="0"/>
    <n v="0"/>
    <n v="0"/>
    <n v="-1165.1732145830024"/>
  </r>
  <r>
    <x v="5"/>
    <d v="2024-07-03T00:00:00"/>
    <d v="2024-07-24T00:00:00"/>
    <x v="6"/>
    <n v="9"/>
    <n v="143"/>
    <n v="1030"/>
    <n v="1020.86"/>
    <n v="145982.98000000001"/>
    <n v="147290"/>
    <n v="-1307.0199999999895"/>
    <n v="-105.01194648617583"/>
    <n v="-1412.0319464861655"/>
    <n v="0"/>
    <n v="0"/>
    <n v="0"/>
    <n v="-1412.0319464861655"/>
  </r>
  <r>
    <x v="6"/>
    <d v="2024-08-05T00:00:00"/>
    <d v="2024-08-26T00:00:00"/>
    <x v="6"/>
    <n v="9"/>
    <n v="151"/>
    <n v="1030"/>
    <n v="1020.86"/>
    <n v="154149.86000000002"/>
    <n v="155530"/>
    <n v="-1380.1399999999849"/>
    <n v="-110.88674069519266"/>
    <n v="-1491.0267406951775"/>
    <n v="0"/>
    <n v="0"/>
    <n v="0"/>
    <n v="-1491.0267406951775"/>
  </r>
  <r>
    <x v="7"/>
    <d v="2024-09-04T00:00:00"/>
    <d v="2024-09-24T00:00:00"/>
    <x v="6"/>
    <n v="9"/>
    <n v="157"/>
    <n v="1030"/>
    <n v="1020.86"/>
    <n v="160275.01999999999"/>
    <n v="161710"/>
    <n v="-1434.9800000000105"/>
    <n v="-115.29283635195527"/>
    <n v="-1550.2728363519657"/>
    <n v="0"/>
    <n v="0"/>
    <n v="0"/>
    <n v="-1550.2728363519657"/>
  </r>
  <r>
    <x v="8"/>
    <d v="2024-10-03T00:00:00"/>
    <d v="2024-10-24T00:00:00"/>
    <x v="6"/>
    <n v="9"/>
    <n v="146"/>
    <n v="1030"/>
    <n v="1020.86"/>
    <n v="149045.56"/>
    <n v="150380"/>
    <n v="-1334.4400000000023"/>
    <n v="-107.21499431455713"/>
    <n v="-1441.6549943145594"/>
    <n v="0"/>
    <n v="0"/>
    <n v="0"/>
    <n v="-1441.6549943145594"/>
  </r>
  <r>
    <x v="9"/>
    <d v="2024-11-05T00:00:00"/>
    <d v="2024-11-25T00:00:00"/>
    <x v="6"/>
    <n v="9"/>
    <n v="116"/>
    <n v="1030"/>
    <n v="1020.86"/>
    <n v="118419.76"/>
    <n v="119480"/>
    <n v="-1060.2400000000052"/>
    <n v="-85.184516030744021"/>
    <n v="-1145.4245160307491"/>
    <n v="0"/>
    <n v="0"/>
    <n v="0"/>
    <n v="-1145.4245160307491"/>
  </r>
  <r>
    <x v="10"/>
    <d v="2024-12-04T00:00:00"/>
    <d v="2024-12-24T00:00:00"/>
    <x v="6"/>
    <n v="9"/>
    <n v="62"/>
    <n v="1030"/>
    <n v="1020.86"/>
    <n v="63293.32"/>
    <n v="63860"/>
    <n v="-566.68000000000029"/>
    <n v="-45.529655119880431"/>
    <n v="-612.20965511988072"/>
    <n v="0"/>
    <n v="0"/>
    <n v="0"/>
    <n v="-612.20965511988072"/>
  </r>
  <r>
    <x v="11"/>
    <d v="2025-01-03T00:00:00"/>
    <d v="2025-01-24T00:00:00"/>
    <x v="6"/>
    <n v="9"/>
    <n v="77"/>
    <n v="1030"/>
    <n v="1020.86"/>
    <n v="78606.22"/>
    <n v="79310"/>
    <n v="-703.77999999999884"/>
    <n v="-56.544894261786986"/>
    <n v="-760.32489426178586"/>
    <n v="0"/>
    <n v="0"/>
    <n v="0"/>
    <n v="-760.32489426178586"/>
  </r>
  <r>
    <x v="0"/>
    <d v="2024-02-05T00:00:00"/>
    <d v="2024-02-26T00:00:00"/>
    <x v="7"/>
    <n v="9"/>
    <n v="65"/>
    <n v="1030"/>
    <n v="1020.86"/>
    <n v="66355.899999999994"/>
    <n v="66950"/>
    <n v="-594.10000000000582"/>
    <n v="-47.732702948261746"/>
    <n v="-641.83270294826752"/>
    <n v="0"/>
    <n v="0"/>
    <n v="0"/>
    <n v="-641.83270294826752"/>
  </r>
  <r>
    <x v="1"/>
    <d v="2024-03-05T00:00:00"/>
    <d v="2024-03-25T00:00:00"/>
    <x v="7"/>
    <n v="9"/>
    <n v="65"/>
    <n v="1030"/>
    <n v="1020.86"/>
    <n v="66355.899999999994"/>
    <n v="66950"/>
    <n v="-594.10000000000582"/>
    <n v="-47.732702948261746"/>
    <n v="-641.83270294826752"/>
    <n v="0"/>
    <n v="0"/>
    <n v="0"/>
    <n v="-641.83270294826752"/>
  </r>
  <r>
    <x v="2"/>
    <d v="2024-04-03T00:00:00"/>
    <d v="2024-04-24T00:00:00"/>
    <x v="7"/>
    <n v="9"/>
    <n v="64"/>
    <n v="1030"/>
    <n v="1020.86"/>
    <n v="65335.040000000001"/>
    <n v="65920"/>
    <n v="-584.95999999999913"/>
    <n v="-46.998353672134641"/>
    <n v="-631.95835367213374"/>
    <n v="0"/>
    <n v="0"/>
    <n v="0"/>
    <n v="-631.95835367213374"/>
  </r>
  <r>
    <x v="3"/>
    <d v="2024-05-03T00:00:00"/>
    <d v="2024-05-24T00:00:00"/>
    <x v="7"/>
    <n v="9"/>
    <n v="65"/>
    <n v="1030"/>
    <n v="1020.86"/>
    <n v="66355.899999999994"/>
    <n v="66950"/>
    <n v="-594.10000000000582"/>
    <n v="-47.732702948261746"/>
    <n v="-641.83270294826752"/>
    <n v="0"/>
    <n v="0"/>
    <n v="0"/>
    <n v="-641.83270294826752"/>
  </r>
  <r>
    <x v="4"/>
    <d v="2024-06-05T00:00:00"/>
    <d v="2024-06-24T00:00:00"/>
    <x v="7"/>
    <n v="9"/>
    <n v="51"/>
    <n v="1030"/>
    <n v="1020.86"/>
    <n v="52063.86"/>
    <n v="52530"/>
    <n v="-466.13999999999942"/>
    <n v="-37.451813082482289"/>
    <n v="-503.59181308248174"/>
    <n v="0"/>
    <n v="0"/>
    <n v="0"/>
    <n v="-503.59181308248174"/>
  </r>
  <r>
    <x v="5"/>
    <d v="2024-07-03T00:00:00"/>
    <d v="2024-07-24T00:00:00"/>
    <x v="7"/>
    <n v="9"/>
    <n v="59"/>
    <n v="1030"/>
    <n v="1020.86"/>
    <n v="60230.74"/>
    <n v="60770"/>
    <n v="-539.26000000000204"/>
    <n v="-43.326607291499116"/>
    <n v="-582.5866072915012"/>
    <n v="0"/>
    <n v="0"/>
    <n v="0"/>
    <n v="-582.5866072915012"/>
  </r>
  <r>
    <x v="6"/>
    <d v="2024-08-05T00:00:00"/>
    <d v="2024-08-26T00:00:00"/>
    <x v="7"/>
    <n v="9"/>
    <n v="67"/>
    <n v="1030"/>
    <n v="1020.86"/>
    <n v="68397.62"/>
    <n v="69010"/>
    <n v="-612.38000000000466"/>
    <n v="-49.201401500515949"/>
    <n v="-661.58140150052066"/>
    <n v="0"/>
    <n v="0"/>
    <n v="0"/>
    <n v="-661.58140150052066"/>
  </r>
  <r>
    <x v="7"/>
    <d v="2024-09-04T00:00:00"/>
    <d v="2024-09-24T00:00:00"/>
    <x v="7"/>
    <n v="9"/>
    <n v="70"/>
    <n v="1030"/>
    <n v="1020.86"/>
    <n v="71460.2"/>
    <n v="72100"/>
    <n v="-639.80000000000291"/>
    <n v="-51.404449328897257"/>
    <n v="-691.20444932890018"/>
    <n v="0"/>
    <n v="0"/>
    <n v="0"/>
    <n v="-691.20444932890018"/>
  </r>
  <r>
    <x v="8"/>
    <d v="2024-10-03T00:00:00"/>
    <d v="2024-10-24T00:00:00"/>
    <x v="7"/>
    <n v="9"/>
    <n v="72"/>
    <n v="1030"/>
    <n v="1020.86"/>
    <n v="73501.919999999998"/>
    <n v="74160"/>
    <n v="-658.08000000000175"/>
    <n v="-52.873147881151468"/>
    <n v="-710.9531478811532"/>
    <n v="0"/>
    <n v="0"/>
    <n v="0"/>
    <n v="-710.9531478811532"/>
  </r>
  <r>
    <x v="9"/>
    <d v="2024-11-05T00:00:00"/>
    <d v="2024-11-25T00:00:00"/>
    <x v="7"/>
    <n v="9"/>
    <n v="73"/>
    <n v="1030"/>
    <n v="1020.86"/>
    <n v="74522.78"/>
    <n v="75190"/>
    <n v="-667.22000000000116"/>
    <n v="-53.607497157278566"/>
    <n v="-720.82749715727971"/>
    <n v="0"/>
    <n v="0"/>
    <n v="0"/>
    <n v="-720.82749715727971"/>
  </r>
  <r>
    <x v="10"/>
    <d v="2024-12-04T00:00:00"/>
    <d v="2024-12-24T00:00:00"/>
    <x v="7"/>
    <n v="9"/>
    <n v="72"/>
    <n v="1030"/>
    <n v="1020.86"/>
    <n v="73501.919999999998"/>
    <n v="74160"/>
    <n v="-658.08000000000175"/>
    <n v="-52.873147881151468"/>
    <n v="-710.9531478811532"/>
    <n v="0"/>
    <n v="0"/>
    <n v="0"/>
    <n v="-710.9531478811532"/>
  </r>
  <r>
    <x v="11"/>
    <d v="2025-01-03T00:00:00"/>
    <d v="2025-01-24T00:00:00"/>
    <x v="7"/>
    <n v="9"/>
    <n v="65"/>
    <n v="1030"/>
    <n v="1020.86"/>
    <n v="66355.899999999994"/>
    <n v="66950"/>
    <n v="-594.10000000000582"/>
    <n v="-47.732702948261746"/>
    <n v="-641.83270294826752"/>
    <n v="0"/>
    <n v="0"/>
    <n v="0"/>
    <n v="-641.83270294826752"/>
  </r>
  <r>
    <x v="0"/>
    <d v="2024-02-05T00:00:00"/>
    <d v="2024-02-26T00:00:00"/>
    <x v="8"/>
    <n v="9"/>
    <n v="1452"/>
    <n v="1030"/>
    <n v="1020.86"/>
    <n v="1482288.72"/>
    <n v="1495560"/>
    <n v="-13271.280000000028"/>
    <n v="-1066.2751489365546"/>
    <n v="-14337.555148936583"/>
    <n v="0"/>
    <n v="0"/>
    <n v="0"/>
    <n v="-14337.555148936583"/>
  </r>
  <r>
    <x v="1"/>
    <d v="2024-03-05T00:00:00"/>
    <d v="2024-03-25T00:00:00"/>
    <x v="8"/>
    <n v="9"/>
    <n v="966"/>
    <n v="1030"/>
    <n v="1020.86"/>
    <n v="986150.76"/>
    <n v="994980"/>
    <n v="-8829.2399999999907"/>
    <n v="-709.38140073878219"/>
    <n v="-9538.6214007387734"/>
    <n v="0"/>
    <n v="0"/>
    <n v="0"/>
    <n v="-9538.6214007387734"/>
  </r>
  <r>
    <x v="2"/>
    <d v="2024-04-03T00:00:00"/>
    <d v="2024-04-24T00:00:00"/>
    <x v="8"/>
    <n v="9"/>
    <n v="732"/>
    <n v="1030"/>
    <n v="1020.86"/>
    <n v="747269.52"/>
    <n v="753960"/>
    <n v="-6690.4799999999814"/>
    <n v="-537.54367012503997"/>
    <n v="-7228.0236701250215"/>
    <n v="0"/>
    <n v="0"/>
    <n v="0"/>
    <n v="-7228.0236701250215"/>
  </r>
  <r>
    <x v="3"/>
    <d v="2024-05-03T00:00:00"/>
    <d v="2024-05-24T00:00:00"/>
    <x v="8"/>
    <n v="9"/>
    <n v="547"/>
    <n v="1030"/>
    <n v="1020.86"/>
    <n v="558410.42000000004"/>
    <n v="563410"/>
    <n v="-4999.5799999999581"/>
    <n v="-401.68905404152571"/>
    <n v="-5401.2690540414842"/>
    <n v="0"/>
    <n v="0"/>
    <n v="0"/>
    <n v="-5401.2690540414842"/>
  </r>
  <r>
    <x v="4"/>
    <d v="2024-06-05T00:00:00"/>
    <d v="2024-06-24T00:00:00"/>
    <x v="8"/>
    <n v="9"/>
    <n v="747"/>
    <n v="1030"/>
    <n v="1020.86"/>
    <n v="762582.42"/>
    <n v="769410"/>
    <n v="-6827.5799999999581"/>
    <n v="-548.55890926694656"/>
    <n v="-7376.1389092669051"/>
    <n v="0"/>
    <n v="0"/>
    <n v="0"/>
    <n v="-7376.1389092669051"/>
  </r>
  <r>
    <x v="5"/>
    <d v="2024-07-03T00:00:00"/>
    <d v="2024-07-24T00:00:00"/>
    <x v="8"/>
    <n v="9"/>
    <n v="917"/>
    <n v="1030"/>
    <n v="1020.86"/>
    <n v="936128.62"/>
    <n v="944510"/>
    <n v="-8381.3800000000047"/>
    <n v="-673.39828620855417"/>
    <n v="-9054.7782862085587"/>
    <n v="0"/>
    <n v="0"/>
    <n v="0"/>
    <n v="-9054.7782862085587"/>
  </r>
  <r>
    <x v="6"/>
    <d v="2024-08-05T00:00:00"/>
    <d v="2024-08-26T00:00:00"/>
    <x v="8"/>
    <n v="9"/>
    <n v="950"/>
    <n v="1030"/>
    <n v="1020.86"/>
    <n v="969817"/>
    <n v="978500"/>
    <n v="-8683"/>
    <n v="-697.63181232074862"/>
    <n v="-9380.6318123207493"/>
    <n v="0"/>
    <n v="0"/>
    <n v="0"/>
    <n v="-9380.6318123207493"/>
  </r>
  <r>
    <x v="7"/>
    <d v="2024-09-04T00:00:00"/>
    <d v="2024-09-24T00:00:00"/>
    <x v="8"/>
    <n v="9"/>
    <n v="940"/>
    <n v="1030"/>
    <n v="1020.86"/>
    <n v="959608.4"/>
    <n v="968200"/>
    <n v="-8591.5999999999767"/>
    <n v="-690.28831955947749"/>
    <n v="-9281.8883195594535"/>
    <n v="0"/>
    <n v="0"/>
    <n v="0"/>
    <n v="-9281.8883195594535"/>
  </r>
  <r>
    <x v="8"/>
    <d v="2024-10-03T00:00:00"/>
    <d v="2024-10-24T00:00:00"/>
    <x v="8"/>
    <n v="9"/>
    <n v="816"/>
    <n v="1030"/>
    <n v="1020.86"/>
    <n v="833021.76"/>
    <n v="840480"/>
    <n v="-7458.2399999999907"/>
    <n v="-599.22900931971662"/>
    <n v="-8057.4690093197078"/>
    <n v="0"/>
    <n v="0"/>
    <n v="0"/>
    <n v="-8057.4690093197078"/>
  </r>
  <r>
    <x v="9"/>
    <d v="2024-11-05T00:00:00"/>
    <d v="2024-11-25T00:00:00"/>
    <x v="8"/>
    <n v="9"/>
    <n v="683"/>
    <n v="1030"/>
    <n v="1020.86"/>
    <n v="697247.38"/>
    <n v="703490"/>
    <n v="-6242.6199999999953"/>
    <n v="-501.56055559481189"/>
    <n v="-6744.1805555948076"/>
    <n v="0"/>
    <n v="0"/>
    <n v="0"/>
    <n v="-6744.1805555948076"/>
  </r>
  <r>
    <x v="10"/>
    <d v="2024-12-04T00:00:00"/>
    <d v="2024-12-24T00:00:00"/>
    <x v="8"/>
    <n v="9"/>
    <n v="525"/>
    <n v="1030"/>
    <n v="1020.86"/>
    <n v="535951.5"/>
    <n v="540750"/>
    <n v="-4798.5"/>
    <n v="-385.53336996672948"/>
    <n v="-5184.0333699667299"/>
    <n v="0"/>
    <n v="0"/>
    <n v="0"/>
    <n v="-5184.0333699667299"/>
  </r>
  <r>
    <x v="11"/>
    <d v="2025-01-03T00:00:00"/>
    <d v="2025-01-24T00:00:00"/>
    <x v="8"/>
    <n v="9"/>
    <n v="863"/>
    <n v="1030"/>
    <n v="1020.86"/>
    <n v="881002.18"/>
    <n v="888890"/>
    <n v="-7887.8199999999488"/>
    <n v="-633.74342529769046"/>
    <n v="-8521.5634252976397"/>
    <n v="0"/>
    <n v="0"/>
    <n v="0"/>
    <n v="-8521.5634252976397"/>
  </r>
  <r>
    <x v="0"/>
    <d v="2024-02-05T00:00:00"/>
    <d v="2024-02-26T00:00:00"/>
    <x v="9"/>
    <n v="9"/>
    <n v="8"/>
    <n v="1030"/>
    <n v="1020.86"/>
    <n v="8166.88"/>
    <n v="8240"/>
    <n v="-73.119999999999891"/>
    <n v="-5.8747942090168301"/>
    <n v="-78.994794209016717"/>
    <n v="0"/>
    <n v="0"/>
    <n v="0"/>
    <n v="-78.994794209016717"/>
  </r>
  <r>
    <x v="1"/>
    <d v="2024-03-05T00:00:00"/>
    <d v="2024-03-25T00:00:00"/>
    <x v="9"/>
    <n v="9"/>
    <n v="5"/>
    <n v="1030"/>
    <n v="1020.86"/>
    <n v="5104.3"/>
    <n v="5150"/>
    <n v="-45.699999999999818"/>
    <n v="-3.6717463806355188"/>
    <n v="-49.371746380635336"/>
    <n v="0"/>
    <n v="0"/>
    <n v="0"/>
    <n v="-49.371746380635336"/>
  </r>
  <r>
    <x v="2"/>
    <d v="2024-04-03T00:00:00"/>
    <d v="2024-04-24T00:00:00"/>
    <x v="9"/>
    <n v="9"/>
    <n v="5"/>
    <n v="1030"/>
    <n v="1020.86"/>
    <n v="5104.3"/>
    <n v="5150"/>
    <n v="-45.699999999999818"/>
    <n v="-3.6717463806355188"/>
    <n v="-49.371746380635336"/>
    <n v="0"/>
    <n v="0"/>
    <n v="0"/>
    <n v="-49.371746380635336"/>
  </r>
  <r>
    <x v="3"/>
    <d v="2024-05-03T00:00:00"/>
    <d v="2024-05-24T00:00:00"/>
    <x v="9"/>
    <n v="9"/>
    <n v="6"/>
    <n v="1030"/>
    <n v="1020.86"/>
    <n v="6125.16"/>
    <n v="6180"/>
    <n v="-54.840000000000146"/>
    <n v="-4.4060956567626226"/>
    <n v="-59.246095656762769"/>
    <n v="0"/>
    <n v="0"/>
    <n v="0"/>
    <n v="-59.246095656762769"/>
  </r>
  <r>
    <x v="4"/>
    <d v="2024-06-05T00:00:00"/>
    <d v="2024-06-24T00:00:00"/>
    <x v="9"/>
    <n v="9"/>
    <n v="9"/>
    <n v="1030"/>
    <n v="1020.86"/>
    <n v="9187.74"/>
    <n v="9270"/>
    <n v="-82.260000000000218"/>
    <n v="-6.6091434851439335"/>
    <n v="-88.86914348514415"/>
    <n v="0"/>
    <n v="0"/>
    <n v="0"/>
    <n v="-88.86914348514415"/>
  </r>
  <r>
    <x v="5"/>
    <d v="2024-07-03T00:00:00"/>
    <d v="2024-07-24T00:00:00"/>
    <x v="9"/>
    <n v="9"/>
    <n v="14"/>
    <n v="1030"/>
    <n v="1020.86"/>
    <n v="14292.04"/>
    <n v="14420"/>
    <n v="-127.95999999999913"/>
    <n v="-10.280889865779452"/>
    <n v="-138.24088986577857"/>
    <n v="0"/>
    <n v="0"/>
    <n v="0"/>
    <n v="-138.24088986577857"/>
  </r>
  <r>
    <x v="6"/>
    <d v="2024-08-05T00:00:00"/>
    <d v="2024-08-26T00:00:00"/>
    <x v="9"/>
    <n v="9"/>
    <n v="17"/>
    <n v="1030"/>
    <n v="1020.86"/>
    <n v="17354.62"/>
    <n v="17510"/>
    <n v="-155.38000000000102"/>
    <n v="-12.483937694160764"/>
    <n v="-167.86393769416179"/>
    <n v="0"/>
    <n v="0"/>
    <n v="0"/>
    <n v="-167.86393769416179"/>
  </r>
  <r>
    <x v="7"/>
    <d v="2024-09-04T00:00:00"/>
    <d v="2024-09-24T00:00:00"/>
    <x v="9"/>
    <n v="9"/>
    <n v="19"/>
    <n v="1030"/>
    <n v="1020.86"/>
    <n v="19396.34"/>
    <n v="19570"/>
    <n v="-173.65999999999985"/>
    <n v="-13.952636246414972"/>
    <n v="-187.61263624641484"/>
    <n v="0"/>
    <n v="0"/>
    <n v="0"/>
    <n v="-187.61263624641484"/>
  </r>
  <r>
    <x v="8"/>
    <d v="2024-10-03T00:00:00"/>
    <d v="2024-10-24T00:00:00"/>
    <x v="9"/>
    <n v="9"/>
    <n v="11"/>
    <n v="1030"/>
    <n v="1020.86"/>
    <n v="11229.460000000001"/>
    <n v="11330"/>
    <n v="-100.53999999999905"/>
    <n v="-8.0778420373981401"/>
    <n v="-108.6178420373972"/>
    <n v="0"/>
    <n v="0"/>
    <n v="0"/>
    <n v="-108.6178420373972"/>
  </r>
  <r>
    <x v="9"/>
    <d v="2024-11-05T00:00:00"/>
    <d v="2024-11-25T00:00:00"/>
    <x v="9"/>
    <n v="9"/>
    <n v="6"/>
    <n v="1030"/>
    <n v="1020.86"/>
    <n v="6125.16"/>
    <n v="6180"/>
    <n v="-54.840000000000146"/>
    <n v="-4.4060956567626226"/>
    <n v="-59.246095656762769"/>
    <n v="0"/>
    <n v="0"/>
    <n v="0"/>
    <n v="-59.246095656762769"/>
  </r>
  <r>
    <x v="10"/>
    <d v="2024-12-04T00:00:00"/>
    <d v="2024-12-24T00:00:00"/>
    <x v="9"/>
    <n v="9"/>
    <n v="6"/>
    <n v="1030"/>
    <n v="1020.86"/>
    <n v="6125.16"/>
    <n v="6180"/>
    <n v="-54.840000000000146"/>
    <n v="-4.4060956567626226"/>
    <n v="-59.246095656762769"/>
    <n v="0"/>
    <n v="0"/>
    <n v="0"/>
    <n v="-59.246095656762769"/>
  </r>
  <r>
    <x v="11"/>
    <d v="2025-01-03T00:00:00"/>
    <d v="2025-01-24T00:00:00"/>
    <x v="9"/>
    <n v="9"/>
    <n v="6"/>
    <n v="1030"/>
    <n v="1020.86"/>
    <n v="6125.16"/>
    <n v="6180"/>
    <n v="-54.840000000000146"/>
    <n v="-4.4060956567626226"/>
    <n v="-59.246095656762769"/>
    <n v="0"/>
    <n v="0"/>
    <n v="0"/>
    <n v="-59.246095656762769"/>
  </r>
  <r>
    <x v="0"/>
    <d v="2024-02-05T00:00:00"/>
    <d v="2024-02-26T00:00:00"/>
    <x v="10"/>
    <n v="9"/>
    <n v="4"/>
    <n v="1030"/>
    <n v="1020.86"/>
    <n v="4083.44"/>
    <n v="4120"/>
    <n v="-36.559999999999945"/>
    <n v="-2.9373971045084151"/>
    <n v="-39.497397104508359"/>
    <n v="0"/>
    <n v="0"/>
    <n v="0"/>
    <n v="-39.497397104508359"/>
  </r>
  <r>
    <x v="1"/>
    <d v="2024-03-05T00:00:00"/>
    <d v="2024-03-25T00:00:00"/>
    <x v="10"/>
    <n v="9"/>
    <n v="3"/>
    <n v="1030"/>
    <n v="1020.86"/>
    <n v="3062.58"/>
    <n v="3090"/>
    <n v="-27.420000000000073"/>
    <n v="-2.2030478283813113"/>
    <n v="-29.623047828381385"/>
    <n v="0"/>
    <n v="0"/>
    <n v="0"/>
    <n v="-29.623047828381385"/>
  </r>
  <r>
    <x v="2"/>
    <d v="2024-04-03T00:00:00"/>
    <d v="2024-04-24T00:00:00"/>
    <x v="10"/>
    <n v="9"/>
    <n v="3"/>
    <n v="1030"/>
    <n v="1020.86"/>
    <n v="3062.58"/>
    <n v="3090"/>
    <n v="-27.420000000000073"/>
    <n v="-2.2030478283813113"/>
    <n v="-29.623047828381385"/>
    <n v="0"/>
    <n v="0"/>
    <n v="0"/>
    <n v="-29.623047828381385"/>
  </r>
  <r>
    <x v="3"/>
    <d v="2024-05-03T00:00:00"/>
    <d v="2024-05-24T00:00:00"/>
    <x v="10"/>
    <n v="9"/>
    <n v="2"/>
    <n v="1030"/>
    <n v="1020.86"/>
    <n v="2041.72"/>
    <n v="2060"/>
    <n v="-18.279999999999973"/>
    <n v="-1.4686985522542075"/>
    <n v="-19.748698552254179"/>
    <n v="0"/>
    <n v="0"/>
    <n v="0"/>
    <n v="-19.748698552254179"/>
  </r>
  <r>
    <x v="4"/>
    <d v="2024-06-05T00:00:00"/>
    <d v="2024-06-24T00:00:00"/>
    <x v="10"/>
    <n v="9"/>
    <n v="4"/>
    <n v="1030"/>
    <n v="1020.86"/>
    <n v="4083.44"/>
    <n v="4120"/>
    <n v="-36.559999999999945"/>
    <n v="-2.9373971045084151"/>
    <n v="-39.497397104508359"/>
    <n v="0"/>
    <n v="0"/>
    <n v="0"/>
    <n v="-39.497397104508359"/>
  </r>
  <r>
    <x v="5"/>
    <d v="2024-07-03T00:00:00"/>
    <d v="2024-07-24T00:00:00"/>
    <x v="10"/>
    <n v="9"/>
    <n v="4"/>
    <n v="1030"/>
    <n v="1020.86"/>
    <n v="4083.44"/>
    <n v="4120"/>
    <n v="-36.559999999999945"/>
    <n v="-2.9373971045084151"/>
    <n v="-39.497397104508359"/>
    <n v="0"/>
    <n v="0"/>
    <n v="0"/>
    <n v="-39.497397104508359"/>
  </r>
  <r>
    <x v="6"/>
    <d v="2024-08-05T00:00:00"/>
    <d v="2024-08-26T00:00:00"/>
    <x v="10"/>
    <n v="9"/>
    <n v="6"/>
    <n v="1030"/>
    <n v="1020.86"/>
    <n v="6125.16"/>
    <n v="6180"/>
    <n v="-54.840000000000146"/>
    <n v="-4.4060956567626226"/>
    <n v="-59.246095656762769"/>
    <n v="0"/>
    <n v="0"/>
    <n v="0"/>
    <n v="-59.246095656762769"/>
  </r>
  <r>
    <x v="7"/>
    <d v="2024-09-04T00:00:00"/>
    <d v="2024-09-24T00:00:00"/>
    <x v="10"/>
    <n v="9"/>
    <n v="6"/>
    <n v="1030"/>
    <n v="1020.86"/>
    <n v="6125.16"/>
    <n v="6180"/>
    <n v="-54.840000000000146"/>
    <n v="-4.4060956567626226"/>
    <n v="-59.246095656762769"/>
    <n v="0"/>
    <n v="0"/>
    <n v="0"/>
    <n v="-59.246095656762769"/>
  </r>
  <r>
    <x v="8"/>
    <d v="2024-10-03T00:00:00"/>
    <d v="2024-10-24T00:00:00"/>
    <x v="10"/>
    <n v="9"/>
    <n v="3"/>
    <n v="1030"/>
    <n v="1020.86"/>
    <n v="3062.58"/>
    <n v="3090"/>
    <n v="-27.420000000000073"/>
    <n v="-2.2030478283813113"/>
    <n v="-29.623047828381385"/>
    <n v="0"/>
    <n v="0"/>
    <n v="0"/>
    <n v="-29.623047828381385"/>
  </r>
  <r>
    <x v="9"/>
    <d v="2024-11-05T00:00:00"/>
    <d v="2024-11-25T00:00:00"/>
    <x v="10"/>
    <n v="9"/>
    <n v="6"/>
    <n v="1030"/>
    <n v="1020.86"/>
    <n v="6125.16"/>
    <n v="6180"/>
    <n v="-54.840000000000146"/>
    <n v="-4.4060956567626226"/>
    <n v="-59.246095656762769"/>
    <n v="0"/>
    <n v="0"/>
    <n v="0"/>
    <n v="-59.246095656762769"/>
  </r>
  <r>
    <x v="10"/>
    <d v="2024-12-04T00:00:00"/>
    <d v="2024-12-24T00:00:00"/>
    <x v="10"/>
    <n v="9"/>
    <n v="1"/>
    <n v="1030"/>
    <n v="1020.86"/>
    <n v="1020.86"/>
    <n v="1030"/>
    <n v="-9.1399999999999864"/>
    <n v="-0.73434927612710377"/>
    <n v="-9.8743492761270897"/>
    <n v="0"/>
    <n v="0"/>
    <n v="0"/>
    <n v="-9.8743492761270897"/>
  </r>
  <r>
    <x v="11"/>
    <d v="2025-01-03T00:00:00"/>
    <d v="2025-01-24T00:00:00"/>
    <x v="10"/>
    <n v="9"/>
    <n v="3"/>
    <n v="1030"/>
    <n v="1020.86"/>
    <n v="3062.58"/>
    <n v="3090"/>
    <n v="-27.420000000000073"/>
    <n v="-2.2030478283813113"/>
    <n v="-29.623047828381385"/>
    <n v="0"/>
    <n v="0"/>
    <n v="0"/>
    <n v="-29.623047828381385"/>
  </r>
  <r>
    <x v="0"/>
    <d v="2024-02-05T00:00:00"/>
    <d v="2024-02-26T00:00:00"/>
    <x v="11"/>
    <n v="9"/>
    <n v="145"/>
    <n v="1030"/>
    <n v="1020.86"/>
    <n v="148024.70000000001"/>
    <n v="149350"/>
    <n v="-1325.2999999999884"/>
    <n v="-106.48064503843004"/>
    <n v="-1431.7806450384185"/>
    <n v="0"/>
    <n v="0"/>
    <n v="0"/>
    <n v="-1431.7806450384185"/>
  </r>
  <r>
    <x v="1"/>
    <d v="2024-03-05T00:00:00"/>
    <d v="2024-03-25T00:00:00"/>
    <x v="11"/>
    <n v="9"/>
    <n v="100"/>
    <n v="1030"/>
    <n v="1020.86"/>
    <n v="102086"/>
    <n v="103000"/>
    <n v="-914"/>
    <n v="-73.434927612710382"/>
    <n v="-987.43492761271034"/>
    <n v="0"/>
    <n v="0"/>
    <n v="0"/>
    <n v="-987.43492761271034"/>
  </r>
  <r>
    <x v="2"/>
    <d v="2024-04-03T00:00:00"/>
    <d v="2024-04-24T00:00:00"/>
    <x v="11"/>
    <n v="9"/>
    <n v="92"/>
    <n v="1030"/>
    <n v="1020.86"/>
    <n v="93919.12"/>
    <n v="94760"/>
    <n v="-840.88000000000466"/>
    <n v="-67.560133403693541"/>
    <n v="-908.44013340369816"/>
    <n v="0"/>
    <n v="0"/>
    <n v="0"/>
    <n v="-908.44013340369816"/>
  </r>
  <r>
    <x v="3"/>
    <d v="2024-05-03T00:00:00"/>
    <d v="2024-05-24T00:00:00"/>
    <x v="11"/>
    <n v="9"/>
    <n v="101"/>
    <n v="1030"/>
    <n v="1020.86"/>
    <n v="103106.86"/>
    <n v="104030"/>
    <n v="-923.13999999999942"/>
    <n v="-74.169276888837473"/>
    <n v="-997.30927688883685"/>
    <n v="0"/>
    <n v="0"/>
    <n v="0"/>
    <n v="-997.30927688883685"/>
  </r>
  <r>
    <x v="4"/>
    <d v="2024-06-05T00:00:00"/>
    <d v="2024-06-24T00:00:00"/>
    <x v="11"/>
    <n v="9"/>
    <n v="118"/>
    <n v="1030"/>
    <n v="1020.86"/>
    <n v="120461.48"/>
    <n v="121540"/>
    <n v="-1078.5200000000041"/>
    <n v="-86.653214582998231"/>
    <n v="-1165.1732145830024"/>
    <n v="0"/>
    <n v="0"/>
    <n v="0"/>
    <n v="-1165.1732145830024"/>
  </r>
  <r>
    <x v="5"/>
    <d v="2024-07-03T00:00:00"/>
    <d v="2024-07-24T00:00:00"/>
    <x v="11"/>
    <n v="9"/>
    <n v="173"/>
    <n v="1030"/>
    <n v="1020.86"/>
    <n v="176608.78"/>
    <n v="178190"/>
    <n v="-1581.2200000000012"/>
    <n v="-127.04242476998894"/>
    <n v="-1708.26242476999"/>
    <n v="0"/>
    <n v="0"/>
    <n v="0"/>
    <n v="-1708.26242476999"/>
  </r>
  <r>
    <x v="6"/>
    <d v="2024-08-05T00:00:00"/>
    <d v="2024-08-26T00:00:00"/>
    <x v="11"/>
    <n v="9"/>
    <n v="164"/>
    <n v="1030"/>
    <n v="1020.86"/>
    <n v="167421.04"/>
    <n v="168920"/>
    <n v="-1498.9599999999919"/>
    <n v="-120.43328128484501"/>
    <n v="-1619.3932812848368"/>
    <n v="0"/>
    <n v="0"/>
    <n v="0"/>
    <n v="-1619.3932812848368"/>
  </r>
  <r>
    <x v="7"/>
    <d v="2024-09-04T00:00:00"/>
    <d v="2024-09-24T00:00:00"/>
    <x v="11"/>
    <n v="9"/>
    <n v="170"/>
    <n v="1030"/>
    <n v="1020.86"/>
    <n v="173546.2"/>
    <n v="175100"/>
    <n v="-1553.7999999999884"/>
    <n v="-124.83937694160763"/>
    <n v="-1678.6393769415961"/>
    <n v="0"/>
    <n v="0"/>
    <n v="0"/>
    <n v="-1678.6393769415961"/>
  </r>
  <r>
    <x v="8"/>
    <d v="2024-10-03T00:00:00"/>
    <d v="2024-10-24T00:00:00"/>
    <x v="11"/>
    <n v="9"/>
    <n v="156"/>
    <n v="1030"/>
    <n v="1020.86"/>
    <n v="159254.16"/>
    <n v="160680"/>
    <n v="-1425.8399999999965"/>
    <n v="-114.55848707582818"/>
    <n v="-1540.3984870758247"/>
    <n v="0"/>
    <n v="0"/>
    <n v="0"/>
    <n v="-1540.3984870758247"/>
  </r>
  <r>
    <x v="9"/>
    <d v="2024-11-05T00:00:00"/>
    <d v="2024-11-25T00:00:00"/>
    <x v="11"/>
    <n v="9"/>
    <n v="139"/>
    <n v="1030"/>
    <n v="1020.86"/>
    <n v="141899.54"/>
    <n v="143170"/>
    <n v="-1270.4599999999919"/>
    <n v="-102.07454938166742"/>
    <n v="-1372.5345493816592"/>
    <n v="0"/>
    <n v="0"/>
    <n v="0"/>
    <n v="-1372.5345493816592"/>
  </r>
  <r>
    <x v="10"/>
    <d v="2024-12-04T00:00:00"/>
    <d v="2024-12-24T00:00:00"/>
    <x v="11"/>
    <n v="9"/>
    <n v="90"/>
    <n v="1030"/>
    <n v="1020.86"/>
    <n v="91877.4"/>
    <n v="92700"/>
    <n v="-822.60000000000582"/>
    <n v="-66.091434851439331"/>
    <n v="-888.69143485144514"/>
    <n v="0"/>
    <n v="0"/>
    <n v="0"/>
    <n v="-888.69143485144514"/>
  </r>
  <r>
    <x v="11"/>
    <d v="2025-01-03T00:00:00"/>
    <d v="2025-01-24T00:00:00"/>
    <x v="11"/>
    <n v="9"/>
    <n v="110"/>
    <n v="1030"/>
    <n v="1020.86"/>
    <n v="112294.6"/>
    <n v="113300"/>
    <n v="-1005.3999999999942"/>
    <n v="-80.778420373981405"/>
    <n v="-1086.1784203739755"/>
    <n v="0"/>
    <n v="0"/>
    <n v="0"/>
    <n v="-1086.1784203739755"/>
  </r>
  <r>
    <x v="0"/>
    <d v="2024-02-05T00:00:00"/>
    <d v="2024-02-26T00:00:00"/>
    <x v="12"/>
    <n v="9"/>
    <n v="9"/>
    <n v="1030"/>
    <n v="1020.86"/>
    <n v="9187.74"/>
    <n v="9270"/>
    <n v="-82.260000000000218"/>
    <n v="-6.6091434851439335"/>
    <n v="-88.86914348514415"/>
    <n v="0"/>
    <n v="0"/>
    <n v="0"/>
    <n v="-88.86914348514415"/>
  </r>
  <r>
    <x v="1"/>
    <d v="2024-03-05T00:00:00"/>
    <d v="2024-03-25T00:00:00"/>
    <x v="12"/>
    <n v="9"/>
    <n v="8"/>
    <n v="1030"/>
    <n v="1020.86"/>
    <n v="8166.88"/>
    <n v="8240"/>
    <n v="-73.119999999999891"/>
    <n v="-5.8747942090168301"/>
    <n v="-78.994794209016717"/>
    <n v="0"/>
    <n v="0"/>
    <n v="0"/>
    <n v="-78.994794209016717"/>
  </r>
  <r>
    <x v="2"/>
    <d v="2024-04-03T00:00:00"/>
    <d v="2024-04-24T00:00:00"/>
    <x v="12"/>
    <n v="9"/>
    <n v="10"/>
    <n v="1030"/>
    <n v="1020.86"/>
    <n v="10208.6"/>
    <n v="10300"/>
    <n v="-91.399999999999636"/>
    <n v="-7.3434927612710377"/>
    <n v="-98.743492761270673"/>
    <n v="0"/>
    <n v="0"/>
    <n v="0"/>
    <n v="-98.743492761270673"/>
  </r>
  <r>
    <x v="3"/>
    <d v="2024-05-03T00:00:00"/>
    <d v="2024-05-24T00:00:00"/>
    <x v="12"/>
    <n v="9"/>
    <n v="7"/>
    <n v="1030"/>
    <n v="1020.86"/>
    <n v="7146.02"/>
    <n v="7210"/>
    <n v="-63.979999999999563"/>
    <n v="-5.1404449328897259"/>
    <n v="-69.120444932889285"/>
    <n v="0"/>
    <n v="0"/>
    <n v="0"/>
    <n v="-69.120444932889285"/>
  </r>
  <r>
    <x v="4"/>
    <d v="2024-06-05T00:00:00"/>
    <d v="2024-06-24T00:00:00"/>
    <x v="12"/>
    <n v="9"/>
    <n v="10"/>
    <n v="1030"/>
    <n v="1020.86"/>
    <n v="10208.6"/>
    <n v="10300"/>
    <n v="-91.399999999999636"/>
    <n v="-7.3434927612710377"/>
    <n v="-98.743492761270673"/>
    <n v="0"/>
    <n v="0"/>
    <n v="0"/>
    <n v="-98.743492761270673"/>
  </r>
  <r>
    <x v="5"/>
    <d v="2024-07-03T00:00:00"/>
    <d v="2024-07-24T00:00:00"/>
    <x v="12"/>
    <n v="9"/>
    <n v="10"/>
    <n v="1030"/>
    <n v="1020.86"/>
    <n v="10208.6"/>
    <n v="10300"/>
    <n v="-91.399999999999636"/>
    <n v="-7.3434927612710377"/>
    <n v="-98.743492761270673"/>
    <n v="0"/>
    <n v="0"/>
    <n v="0"/>
    <n v="-98.743492761270673"/>
  </r>
  <r>
    <x v="6"/>
    <d v="2024-08-05T00:00:00"/>
    <d v="2024-08-26T00:00:00"/>
    <x v="12"/>
    <n v="9"/>
    <n v="12"/>
    <n v="1030"/>
    <n v="1020.86"/>
    <n v="12250.32"/>
    <n v="12360"/>
    <n v="-109.68000000000029"/>
    <n v="-8.8121913135252452"/>
    <n v="-118.49219131352554"/>
    <n v="0"/>
    <n v="0"/>
    <n v="0"/>
    <n v="-118.49219131352554"/>
  </r>
  <r>
    <x v="7"/>
    <d v="2024-09-04T00:00:00"/>
    <d v="2024-09-24T00:00:00"/>
    <x v="12"/>
    <n v="9"/>
    <n v="12"/>
    <n v="1030"/>
    <n v="1020.86"/>
    <n v="12250.32"/>
    <n v="12360"/>
    <n v="-109.68000000000029"/>
    <n v="-8.8121913135252452"/>
    <n v="-118.49219131352554"/>
    <n v="0"/>
    <n v="0"/>
    <n v="0"/>
    <n v="-118.49219131352554"/>
  </r>
  <r>
    <x v="8"/>
    <d v="2024-10-03T00:00:00"/>
    <d v="2024-10-24T00:00:00"/>
    <x v="12"/>
    <n v="9"/>
    <n v="11"/>
    <n v="1030"/>
    <n v="1020.86"/>
    <n v="11229.460000000001"/>
    <n v="11330"/>
    <n v="-100.53999999999905"/>
    <n v="-8.0778420373981401"/>
    <n v="-108.6178420373972"/>
    <n v="0"/>
    <n v="0"/>
    <n v="0"/>
    <n v="-108.6178420373972"/>
  </r>
  <r>
    <x v="9"/>
    <d v="2024-11-05T00:00:00"/>
    <d v="2024-11-25T00:00:00"/>
    <x v="12"/>
    <n v="9"/>
    <n v="10"/>
    <n v="1030"/>
    <n v="1020.86"/>
    <n v="10208.6"/>
    <n v="10300"/>
    <n v="-91.399999999999636"/>
    <n v="-7.3434927612710377"/>
    <n v="-98.743492761270673"/>
    <n v="0"/>
    <n v="0"/>
    <n v="0"/>
    <n v="-98.743492761270673"/>
  </r>
  <r>
    <x v="10"/>
    <d v="2024-12-04T00:00:00"/>
    <d v="2024-12-24T00:00:00"/>
    <x v="12"/>
    <n v="9"/>
    <n v="10"/>
    <n v="1030"/>
    <n v="1020.86"/>
    <n v="10208.6"/>
    <n v="10300"/>
    <n v="-91.399999999999636"/>
    <n v="-7.3434927612710377"/>
    <n v="-98.743492761270673"/>
    <n v="0"/>
    <n v="0"/>
    <n v="0"/>
    <n v="-98.743492761270673"/>
  </r>
  <r>
    <x v="11"/>
    <d v="2025-01-03T00:00:00"/>
    <d v="2025-01-24T00:00:00"/>
    <x v="12"/>
    <n v="9"/>
    <n v="10"/>
    <n v="1030"/>
    <n v="1020.86"/>
    <n v="10208.6"/>
    <n v="10300"/>
    <n v="-91.399999999999636"/>
    <n v="-7.3434927612710377"/>
    <n v="-98.743492761270673"/>
    <n v="0"/>
    <n v="0"/>
    <n v="0"/>
    <n v="-98.743492761270673"/>
  </r>
  <r>
    <x v="0"/>
    <d v="2024-02-05T00:00:00"/>
    <d v="2024-02-26T00:00:00"/>
    <x v="13"/>
    <n v="9"/>
    <n v="26"/>
    <n v="1030"/>
    <n v="1020.86"/>
    <n v="26542.36"/>
    <n v="26780"/>
    <n v="-237.63999999999942"/>
    <n v="-19.093081179304697"/>
    <n v="-256.73308117930412"/>
    <n v="0"/>
    <n v="0"/>
    <n v="0"/>
    <n v="-256.73308117930412"/>
  </r>
  <r>
    <x v="1"/>
    <d v="2024-03-05T00:00:00"/>
    <d v="2024-03-25T00:00:00"/>
    <x v="13"/>
    <n v="9"/>
    <n v="19"/>
    <n v="1030"/>
    <n v="1020.86"/>
    <n v="19396.34"/>
    <n v="19570"/>
    <n v="-173.65999999999985"/>
    <n v="-13.952636246414972"/>
    <n v="-187.61263624641484"/>
    <n v="0"/>
    <n v="0"/>
    <n v="0"/>
    <n v="-187.61263624641484"/>
  </r>
  <r>
    <x v="2"/>
    <d v="2024-04-03T00:00:00"/>
    <d v="2024-04-24T00:00:00"/>
    <x v="13"/>
    <n v="9"/>
    <n v="18"/>
    <n v="1030"/>
    <n v="1020.86"/>
    <n v="18375.48"/>
    <n v="18540"/>
    <n v="-164.52000000000044"/>
    <n v="-13.218286970287867"/>
    <n v="-177.7382869702883"/>
    <n v="0"/>
    <n v="0"/>
    <n v="0"/>
    <n v="-177.7382869702883"/>
  </r>
  <r>
    <x v="3"/>
    <d v="2024-05-03T00:00:00"/>
    <d v="2024-05-24T00:00:00"/>
    <x v="13"/>
    <n v="9"/>
    <n v="22"/>
    <n v="1030"/>
    <n v="1020.86"/>
    <n v="22458.920000000002"/>
    <n v="22660"/>
    <n v="-201.07999999999811"/>
    <n v="-16.15568407479628"/>
    <n v="-217.23568407479439"/>
    <n v="0"/>
    <n v="0"/>
    <n v="0"/>
    <n v="-217.23568407479439"/>
  </r>
  <r>
    <x v="4"/>
    <d v="2024-06-05T00:00:00"/>
    <d v="2024-06-24T00:00:00"/>
    <x v="13"/>
    <n v="9"/>
    <n v="31"/>
    <n v="1030"/>
    <n v="1020.86"/>
    <n v="31646.66"/>
    <n v="31930"/>
    <n v="-283.34000000000015"/>
    <n v="-22.764827559940215"/>
    <n v="-306.10482755994036"/>
    <n v="0"/>
    <n v="0"/>
    <n v="0"/>
    <n v="-306.10482755994036"/>
  </r>
  <r>
    <x v="5"/>
    <d v="2024-07-03T00:00:00"/>
    <d v="2024-07-24T00:00:00"/>
    <x v="13"/>
    <n v="9"/>
    <n v="36"/>
    <n v="1030"/>
    <n v="1020.86"/>
    <n v="36750.959999999999"/>
    <n v="37080"/>
    <n v="-329.04000000000087"/>
    <n v="-26.436573940575734"/>
    <n v="-355.4765739405766"/>
    <n v="0"/>
    <n v="0"/>
    <n v="0"/>
    <n v="-355.4765739405766"/>
  </r>
  <r>
    <x v="6"/>
    <d v="2024-08-05T00:00:00"/>
    <d v="2024-08-26T00:00:00"/>
    <x v="13"/>
    <n v="9"/>
    <n v="38"/>
    <n v="1030"/>
    <n v="1020.86"/>
    <n v="38792.68"/>
    <n v="39140"/>
    <n v="-347.31999999999971"/>
    <n v="-27.905272492829944"/>
    <n v="-375.22527249282967"/>
    <n v="0"/>
    <n v="0"/>
    <n v="0"/>
    <n v="-375.22527249282967"/>
  </r>
  <r>
    <x v="7"/>
    <d v="2024-09-04T00:00:00"/>
    <d v="2024-09-24T00:00:00"/>
    <x v="13"/>
    <n v="9"/>
    <n v="41"/>
    <n v="1030"/>
    <n v="1020.86"/>
    <n v="41855.26"/>
    <n v="42230"/>
    <n v="-374.73999999999796"/>
    <n v="-30.108320321211252"/>
    <n v="-404.8483203212092"/>
    <n v="0"/>
    <n v="0"/>
    <n v="0"/>
    <n v="-404.8483203212092"/>
  </r>
  <r>
    <x v="8"/>
    <d v="2024-10-03T00:00:00"/>
    <d v="2024-10-24T00:00:00"/>
    <x v="13"/>
    <n v="9"/>
    <n v="29"/>
    <n v="1030"/>
    <n v="1020.86"/>
    <n v="29604.94"/>
    <n v="29870"/>
    <n v="-265.06000000000131"/>
    <n v="-21.296129007686005"/>
    <n v="-286.35612900768729"/>
    <n v="0"/>
    <n v="0"/>
    <n v="0"/>
    <n v="-286.35612900768729"/>
  </r>
  <r>
    <x v="9"/>
    <d v="2024-11-05T00:00:00"/>
    <d v="2024-11-25T00:00:00"/>
    <x v="13"/>
    <n v="9"/>
    <n v="26"/>
    <n v="1030"/>
    <n v="1020.86"/>
    <n v="26542.36"/>
    <n v="26780"/>
    <n v="-237.63999999999942"/>
    <n v="-19.093081179304697"/>
    <n v="-256.73308117930412"/>
    <n v="0"/>
    <n v="0"/>
    <n v="0"/>
    <n v="-256.73308117930412"/>
  </r>
  <r>
    <x v="10"/>
    <d v="2024-12-04T00:00:00"/>
    <d v="2024-12-24T00:00:00"/>
    <x v="13"/>
    <n v="9"/>
    <n v="22"/>
    <n v="1030"/>
    <n v="1020.86"/>
    <n v="22458.920000000002"/>
    <n v="22660"/>
    <n v="-201.07999999999811"/>
    <n v="-16.15568407479628"/>
    <n v="-217.23568407479439"/>
    <n v="0"/>
    <n v="0"/>
    <n v="0"/>
    <n v="-217.23568407479439"/>
  </r>
  <r>
    <x v="11"/>
    <d v="2025-01-03T00:00:00"/>
    <d v="2025-01-24T00:00:00"/>
    <x v="13"/>
    <n v="9"/>
    <n v="18"/>
    <n v="1030"/>
    <n v="1020.86"/>
    <n v="18375.48"/>
    <n v="18540"/>
    <n v="-164.52000000000044"/>
    <n v="-13.218286970287867"/>
    <n v="-177.7382869702883"/>
    <n v="0"/>
    <n v="0"/>
    <n v="0"/>
    <n v="-177.7382869702883"/>
  </r>
  <r>
    <x v="0"/>
    <d v="2024-02-05T00:00:00"/>
    <d v="2024-02-26T00:00:00"/>
    <x v="14"/>
    <n v="9"/>
    <n v="34"/>
    <n v="1030"/>
    <n v="1020.86"/>
    <n v="34709.24"/>
    <n v="35020"/>
    <n v="-310.76000000000204"/>
    <n v="-24.967875388321527"/>
    <n v="-335.72787538832358"/>
    <n v="0"/>
    <n v="0"/>
    <n v="0"/>
    <n v="-335.72787538832358"/>
  </r>
  <r>
    <x v="1"/>
    <d v="2024-03-05T00:00:00"/>
    <d v="2024-03-25T00:00:00"/>
    <x v="14"/>
    <n v="9"/>
    <n v="32"/>
    <n v="1030"/>
    <n v="1020.86"/>
    <n v="32667.52"/>
    <n v="32960"/>
    <n v="-292.47999999999956"/>
    <n v="-23.499176836067321"/>
    <n v="-315.97917683606687"/>
    <n v="0"/>
    <n v="0"/>
    <n v="0"/>
    <n v="-315.97917683606687"/>
  </r>
  <r>
    <x v="2"/>
    <d v="2024-04-03T00:00:00"/>
    <d v="2024-04-24T00:00:00"/>
    <x v="14"/>
    <n v="9"/>
    <n v="32"/>
    <n v="1030"/>
    <n v="1020.86"/>
    <n v="32667.52"/>
    <n v="32960"/>
    <n v="-292.47999999999956"/>
    <n v="-23.499176836067321"/>
    <n v="-315.97917683606687"/>
    <n v="0"/>
    <n v="0"/>
    <n v="0"/>
    <n v="-315.97917683606687"/>
  </r>
  <r>
    <x v="3"/>
    <d v="2024-05-03T00:00:00"/>
    <d v="2024-05-24T00:00:00"/>
    <x v="14"/>
    <n v="9"/>
    <n v="33"/>
    <n v="1030"/>
    <n v="1020.86"/>
    <n v="33688.379999999997"/>
    <n v="33990"/>
    <n v="-301.62000000000262"/>
    <n v="-24.233526112194422"/>
    <n v="-325.85352611219702"/>
    <n v="0"/>
    <n v="0"/>
    <n v="0"/>
    <n v="-325.85352611219702"/>
  </r>
  <r>
    <x v="4"/>
    <d v="2024-06-05T00:00:00"/>
    <d v="2024-06-24T00:00:00"/>
    <x v="14"/>
    <n v="9"/>
    <n v="40"/>
    <n v="1030"/>
    <n v="1020.86"/>
    <n v="40834.400000000001"/>
    <n v="41200"/>
    <n v="-365.59999999999854"/>
    <n v="-29.373971045084151"/>
    <n v="-394.97397104508269"/>
    <n v="0"/>
    <n v="0"/>
    <n v="0"/>
    <n v="-394.97397104508269"/>
  </r>
  <r>
    <x v="5"/>
    <d v="2024-07-03T00:00:00"/>
    <d v="2024-07-24T00:00:00"/>
    <x v="14"/>
    <n v="9"/>
    <n v="47"/>
    <n v="1030"/>
    <n v="1020.86"/>
    <n v="47980.42"/>
    <n v="48410"/>
    <n v="-429.58000000000175"/>
    <n v="-34.514415977973876"/>
    <n v="-464.09441597797564"/>
    <n v="0"/>
    <n v="0"/>
    <n v="0"/>
    <n v="-464.09441597797564"/>
  </r>
  <r>
    <x v="6"/>
    <d v="2024-08-05T00:00:00"/>
    <d v="2024-08-26T00:00:00"/>
    <x v="14"/>
    <n v="9"/>
    <n v="47"/>
    <n v="1030"/>
    <n v="1020.86"/>
    <n v="47980.42"/>
    <n v="48410"/>
    <n v="-429.58000000000175"/>
    <n v="-34.514415977973876"/>
    <n v="-464.09441597797564"/>
    <n v="0"/>
    <n v="0"/>
    <n v="0"/>
    <n v="-464.09441597797564"/>
  </r>
  <r>
    <x v="7"/>
    <d v="2024-09-04T00:00:00"/>
    <d v="2024-09-24T00:00:00"/>
    <x v="14"/>
    <n v="9"/>
    <n v="51"/>
    <n v="1030"/>
    <n v="1020.86"/>
    <n v="52063.86"/>
    <n v="52530"/>
    <n v="-466.13999999999942"/>
    <n v="-37.451813082482289"/>
    <n v="-503.59181308248174"/>
    <n v="0"/>
    <n v="0"/>
    <n v="0"/>
    <n v="-503.59181308248174"/>
  </r>
  <r>
    <x v="8"/>
    <d v="2024-10-03T00:00:00"/>
    <d v="2024-10-24T00:00:00"/>
    <x v="14"/>
    <n v="9"/>
    <n v="43"/>
    <n v="1030"/>
    <n v="1020.86"/>
    <n v="43896.98"/>
    <n v="44290"/>
    <n v="-393.0199999999968"/>
    <n v="-31.577018873465459"/>
    <n v="-424.59701887346228"/>
    <n v="0"/>
    <n v="0"/>
    <n v="0"/>
    <n v="-424.59701887346228"/>
  </r>
  <r>
    <x v="9"/>
    <d v="2024-11-05T00:00:00"/>
    <d v="2024-11-25T00:00:00"/>
    <x v="14"/>
    <n v="9"/>
    <n v="37"/>
    <n v="1030"/>
    <n v="1020.86"/>
    <n v="37771.82"/>
    <n v="38110"/>
    <n v="-338.18000000000029"/>
    <n v="-27.170923216702835"/>
    <n v="-365.35092321670311"/>
    <n v="0"/>
    <n v="0"/>
    <n v="0"/>
    <n v="-365.35092321670311"/>
  </r>
  <r>
    <x v="10"/>
    <d v="2024-12-04T00:00:00"/>
    <d v="2024-12-24T00:00:00"/>
    <x v="14"/>
    <n v="9"/>
    <n v="34"/>
    <n v="1030"/>
    <n v="1020.86"/>
    <n v="34709.24"/>
    <n v="35020"/>
    <n v="-310.76000000000204"/>
    <n v="-24.967875388321527"/>
    <n v="-335.72787538832358"/>
    <n v="0"/>
    <n v="0"/>
    <n v="0"/>
    <n v="-335.72787538832358"/>
  </r>
  <r>
    <x v="11"/>
    <d v="2025-01-03T00:00:00"/>
    <d v="2025-01-24T00:00:00"/>
    <x v="14"/>
    <n v="9"/>
    <n v="32"/>
    <n v="1030"/>
    <n v="1020.86"/>
    <n v="32667.52"/>
    <n v="32960"/>
    <n v="-292.47999999999956"/>
    <n v="-23.499176836067321"/>
    <n v="-315.97917683606687"/>
    <n v="0"/>
    <n v="0"/>
    <n v="0"/>
    <n v="-315.97917683606687"/>
  </r>
  <r>
    <x v="0"/>
    <d v="2024-02-05T00:00:00"/>
    <d v="2024-02-26T00:00:00"/>
    <x v="15"/>
    <n v="9"/>
    <n v="104"/>
    <n v="1030"/>
    <n v="1020.86"/>
    <n v="106169.44"/>
    <n v="107120"/>
    <n v="-950.55999999999767"/>
    <n v="-76.372324717218788"/>
    <n v="-1026.9323247172165"/>
    <n v="0"/>
    <n v="0"/>
    <n v="0"/>
    <n v="-1026.9323247172165"/>
  </r>
  <r>
    <x v="1"/>
    <d v="2024-03-05T00:00:00"/>
    <d v="2024-03-25T00:00:00"/>
    <x v="15"/>
    <n v="9"/>
    <n v="99"/>
    <n v="1030"/>
    <n v="1020.86"/>
    <n v="101065.14"/>
    <n v="101970"/>
    <n v="-904.86000000000058"/>
    <n v="-72.700578336583263"/>
    <n v="-977.56057833658383"/>
    <n v="0"/>
    <n v="0"/>
    <n v="0"/>
    <n v="-977.56057833658383"/>
  </r>
  <r>
    <x v="2"/>
    <d v="2024-04-03T00:00:00"/>
    <d v="2024-04-24T00:00:00"/>
    <x v="15"/>
    <n v="9"/>
    <n v="99"/>
    <n v="1030"/>
    <n v="1020.86"/>
    <n v="101065.14"/>
    <n v="101970"/>
    <n v="-904.86000000000058"/>
    <n v="-72.700578336583263"/>
    <n v="-977.56057833658383"/>
    <n v="0"/>
    <n v="0"/>
    <n v="0"/>
    <n v="-977.56057833658383"/>
  </r>
  <r>
    <x v="3"/>
    <d v="2024-05-03T00:00:00"/>
    <d v="2024-05-24T00:00:00"/>
    <x v="15"/>
    <n v="9"/>
    <n v="99"/>
    <n v="1030"/>
    <n v="1020.86"/>
    <n v="101065.14"/>
    <n v="101970"/>
    <n v="-904.86000000000058"/>
    <n v="-72.700578336583263"/>
    <n v="-977.56057833658383"/>
    <n v="0"/>
    <n v="0"/>
    <n v="0"/>
    <n v="-977.56057833658383"/>
  </r>
  <r>
    <x v="4"/>
    <d v="2024-06-05T00:00:00"/>
    <d v="2024-06-24T00:00:00"/>
    <x v="15"/>
    <n v="9"/>
    <n v="106"/>
    <n v="1030"/>
    <n v="1020.86"/>
    <n v="108211.16"/>
    <n v="109180"/>
    <n v="-968.83999999999651"/>
    <n v="-77.841023269472998"/>
    <n v="-1046.6810232694695"/>
    <n v="0"/>
    <n v="0"/>
    <n v="0"/>
    <n v="-1046.6810232694695"/>
  </r>
  <r>
    <x v="5"/>
    <d v="2024-07-03T00:00:00"/>
    <d v="2024-07-24T00:00:00"/>
    <x v="15"/>
    <n v="9"/>
    <n v="120"/>
    <n v="1030"/>
    <n v="1020.86"/>
    <n v="122503.2"/>
    <n v="123600"/>
    <n v="-1096.8000000000029"/>
    <n v="-88.121913135252441"/>
    <n v="-1184.9219131352554"/>
    <n v="0"/>
    <n v="0"/>
    <n v="0"/>
    <n v="-1184.9219131352554"/>
  </r>
  <r>
    <x v="6"/>
    <d v="2024-08-05T00:00:00"/>
    <d v="2024-08-26T00:00:00"/>
    <x v="15"/>
    <n v="9"/>
    <n v="117"/>
    <n v="1030"/>
    <n v="1020.86"/>
    <n v="119440.62"/>
    <n v="120510"/>
    <n v="-1069.3800000000047"/>
    <n v="-85.91886530687114"/>
    <n v="-1155.2988653068758"/>
    <n v="0"/>
    <n v="0"/>
    <n v="0"/>
    <n v="-1155.2988653068758"/>
  </r>
  <r>
    <x v="7"/>
    <d v="2024-09-04T00:00:00"/>
    <d v="2024-09-24T00:00:00"/>
    <x v="15"/>
    <n v="9"/>
    <n v="118"/>
    <n v="1030"/>
    <n v="1020.86"/>
    <n v="120461.48"/>
    <n v="121540"/>
    <n v="-1078.5200000000041"/>
    <n v="-86.653214582998231"/>
    <n v="-1165.1732145830024"/>
    <n v="0"/>
    <n v="0"/>
    <n v="0"/>
    <n v="-1165.1732145830024"/>
  </r>
  <r>
    <x v="8"/>
    <d v="2024-10-03T00:00:00"/>
    <d v="2024-10-24T00:00:00"/>
    <x v="15"/>
    <n v="9"/>
    <n v="117"/>
    <n v="1030"/>
    <n v="1020.86"/>
    <n v="119440.62"/>
    <n v="120510"/>
    <n v="-1069.3800000000047"/>
    <n v="-85.91886530687114"/>
    <n v="-1155.2988653068758"/>
    <n v="0"/>
    <n v="0"/>
    <n v="0"/>
    <n v="-1155.2988653068758"/>
  </r>
  <r>
    <x v="9"/>
    <d v="2024-11-05T00:00:00"/>
    <d v="2024-11-25T00:00:00"/>
    <x v="15"/>
    <n v="9"/>
    <n v="107"/>
    <n v="1030"/>
    <n v="1020.86"/>
    <n v="109232.02"/>
    <n v="110210"/>
    <n v="-977.97999999999593"/>
    <n v="-78.575372545600089"/>
    <n v="-1056.5553725455961"/>
    <n v="0"/>
    <n v="0"/>
    <n v="0"/>
    <n v="-1056.5553725455961"/>
  </r>
  <r>
    <x v="10"/>
    <d v="2024-12-04T00:00:00"/>
    <d v="2024-12-24T00:00:00"/>
    <x v="15"/>
    <n v="9"/>
    <n v="91"/>
    <n v="1030"/>
    <n v="1020.86"/>
    <n v="92898.26"/>
    <n v="93730"/>
    <n v="-831.74000000000524"/>
    <n v="-66.825784127566436"/>
    <n v="-898.56578412757165"/>
    <n v="0"/>
    <n v="0"/>
    <n v="0"/>
    <n v="-898.56578412757165"/>
  </r>
  <r>
    <x v="11"/>
    <d v="2025-01-03T00:00:00"/>
    <d v="2025-01-24T00:00:00"/>
    <x v="15"/>
    <n v="9"/>
    <n v="102"/>
    <n v="1030"/>
    <n v="1020.86"/>
    <n v="104127.72"/>
    <n v="105060"/>
    <n v="-932.27999999999884"/>
    <n v="-74.903626164964578"/>
    <n v="-1007.1836261649635"/>
    <n v="0"/>
    <n v="0"/>
    <n v="0"/>
    <n v="-1007.18362616496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3" dataOnRows="1" applyNumberFormats="0" applyBorderFormats="0" applyFontFormats="0" applyPatternFormats="0" applyAlignmentFormats="0" applyWidthHeightFormats="1" dataCaption="Data" updatedVersion="8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81">
        <item m="1" x="81"/>
        <item m="1" x="105"/>
        <item m="1" x="129"/>
        <item m="1" x="153"/>
        <item m="1" x="177"/>
        <item m="1" x="57"/>
        <item m="1" x="92"/>
        <item m="1" x="116"/>
        <item m="1" x="140"/>
        <item m="1" x="164"/>
        <item m="1" x="44"/>
        <item m="1" x="68"/>
        <item m="1" x="82"/>
        <item m="1" x="106"/>
        <item m="1" x="130"/>
        <item m="1" x="154"/>
        <item m="1" x="178"/>
        <item m="1" x="58"/>
        <item m="1" x="94"/>
        <item m="1" x="118"/>
        <item m="1" x="142"/>
        <item m="1" x="166"/>
        <item m="1" x="46"/>
        <item m="1" x="70"/>
        <item m="1" x="83"/>
        <item m="1" x="107"/>
        <item m="1" x="131"/>
        <item m="1" x="155"/>
        <item m="1" x="179"/>
        <item m="1" x="59"/>
        <item m="1" x="95"/>
        <item m="1" x="119"/>
        <item m="1" x="143"/>
        <item m="1" x="167"/>
        <item m="1" x="47"/>
        <item m="1" x="71"/>
        <item m="1" x="84"/>
        <item m="1" x="108"/>
        <item m="1" x="132"/>
        <item m="1" x="156"/>
        <item m="1" x="36"/>
        <item m="1" x="60"/>
        <item m="1" x="96"/>
        <item m="1" x="120"/>
        <item m="1" x="144"/>
        <item m="1" x="168"/>
        <item m="1" x="48"/>
        <item m="1" x="72"/>
        <item m="1" x="85"/>
        <item m="1" x="109"/>
        <item m="1" x="133"/>
        <item m="1" x="157"/>
        <item m="1" x="37"/>
        <item m="1" x="61"/>
        <item m="1" x="97"/>
        <item m="1" x="121"/>
        <item m="1" x="145"/>
        <item m="1" x="169"/>
        <item m="1" x="49"/>
        <item m="1" x="73"/>
        <item m="1" x="86"/>
        <item m="1" x="110"/>
        <item m="1" x="134"/>
        <item m="1" x="158"/>
        <item m="1" x="38"/>
        <item m="1" x="62"/>
        <item m="1" x="98"/>
        <item m="1" x="122"/>
        <item m="1" x="146"/>
        <item m="1" x="170"/>
        <item m="1" x="50"/>
        <item m="1" x="74"/>
        <item m="1" x="87"/>
        <item m="1" x="111"/>
        <item m="1" x="135"/>
        <item m="1" x="159"/>
        <item m="1" x="39"/>
        <item m="1" x="63"/>
        <item m="1" x="99"/>
        <item m="1" x="123"/>
        <item m="1" x="147"/>
        <item m="1" x="171"/>
        <item m="1" x="51"/>
        <item m="1" x="75"/>
        <item m="1" x="88"/>
        <item m="1" x="112"/>
        <item m="1" x="136"/>
        <item m="1" x="160"/>
        <item m="1" x="40"/>
        <item m="1" x="64"/>
        <item m="1" x="100"/>
        <item m="1" x="124"/>
        <item m="1" x="148"/>
        <item m="1" x="172"/>
        <item m="1" x="52"/>
        <item m="1" x="76"/>
        <item m="1" x="89"/>
        <item m="1" x="113"/>
        <item m="1" x="137"/>
        <item m="1" x="161"/>
        <item m="1" x="41"/>
        <item m="1" x="65"/>
        <item m="1" x="101"/>
        <item m="1" x="125"/>
        <item m="1" x="149"/>
        <item m="1" x="173"/>
        <item m="1" x="53"/>
        <item m="1" x="77"/>
        <item m="1" x="90"/>
        <item m="1" x="114"/>
        <item m="1" x="138"/>
        <item m="1" x="162"/>
        <item m="1" x="42"/>
        <item m="1" x="66"/>
        <item m="1" x="102"/>
        <item m="1" x="126"/>
        <item m="1" x="150"/>
        <item m="1" x="174"/>
        <item m="1" x="54"/>
        <item m="1" x="78"/>
        <item m="1" x="91"/>
        <item m="1" x="115"/>
        <item m="1" x="139"/>
        <item m="1" x="163"/>
        <item m="1" x="43"/>
        <item m="1" x="67"/>
        <item m="1" x="103"/>
        <item m="1" x="127"/>
        <item m="1" x="151"/>
        <item m="1" x="175"/>
        <item m="1" x="55"/>
        <item m="1" x="79"/>
        <item m="1" x="93"/>
        <item m="1" x="117"/>
        <item m="1" x="141"/>
        <item m="1" x="165"/>
        <item m="1" x="45"/>
        <item m="1" x="69"/>
        <item m="1" x="104"/>
        <item m="1" x="128"/>
        <item m="1" x="152"/>
        <item m="1" x="176"/>
        <item m="1" x="56"/>
        <item m="1" x="80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workbookViewId="0">
      <selection sqref="A1:R19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63</v>
      </c>
    </row>
    <row r="3" spans="1:2" x14ac:dyDescent="0.25">
      <c r="A3" s="2">
        <v>1</v>
      </c>
      <c r="B3" s="3" t="s">
        <v>65</v>
      </c>
    </row>
    <row r="4" spans="1:2" ht="13" x14ac:dyDescent="0.3">
      <c r="A4" s="2">
        <v>2</v>
      </c>
      <c r="B4" s="3" t="s">
        <v>64</v>
      </c>
    </row>
    <row r="5" spans="1:2" ht="13" x14ac:dyDescent="0.3">
      <c r="A5" s="2">
        <v>3</v>
      </c>
      <c r="B5" s="3" t="s">
        <v>66</v>
      </c>
    </row>
    <row r="6" spans="1:2" ht="13" x14ac:dyDescent="0.3">
      <c r="A6" s="2">
        <v>4</v>
      </c>
      <c r="B6" s="4" t="s">
        <v>80</v>
      </c>
    </row>
    <row r="7" spans="1:2" x14ac:dyDescent="0.25">
      <c r="A7" s="2">
        <v>5</v>
      </c>
      <c r="B7" s="3" t="s">
        <v>67</v>
      </c>
    </row>
    <row r="8" spans="1:2" x14ac:dyDescent="0.25">
      <c r="A8" s="2">
        <v>6</v>
      </c>
      <c r="B8" s="3" t="s">
        <v>68</v>
      </c>
    </row>
    <row r="9" spans="1:2" x14ac:dyDescent="0.25">
      <c r="A9" s="2">
        <v>7</v>
      </c>
      <c r="B9" s="5" t="s">
        <v>69</v>
      </c>
    </row>
    <row r="10" spans="1:2" ht="13" x14ac:dyDescent="0.3">
      <c r="A10" s="2">
        <v>8</v>
      </c>
      <c r="B10" s="3" t="s">
        <v>72</v>
      </c>
    </row>
    <row r="11" spans="1:2" x14ac:dyDescent="0.25">
      <c r="A11" s="2"/>
      <c r="B11" s="3" t="s">
        <v>73</v>
      </c>
    </row>
    <row r="12" spans="1:2" x14ac:dyDescent="0.25">
      <c r="A12" s="2"/>
      <c r="B12" s="5" t="s">
        <v>74</v>
      </c>
    </row>
    <row r="13" spans="1:2" x14ac:dyDescent="0.25">
      <c r="A13" s="2"/>
      <c r="B13" s="5" t="s">
        <v>75</v>
      </c>
    </row>
    <row r="14" spans="1:2" x14ac:dyDescent="0.25">
      <c r="A14" s="2">
        <v>9</v>
      </c>
      <c r="B14" s="3" t="s">
        <v>76</v>
      </c>
    </row>
    <row r="15" spans="1:2" x14ac:dyDescent="0.25">
      <c r="A15" s="2">
        <v>10</v>
      </c>
      <c r="B15" s="3" t="s">
        <v>78</v>
      </c>
    </row>
    <row r="16" spans="1:2" x14ac:dyDescent="0.25">
      <c r="A16" s="2">
        <v>11</v>
      </c>
      <c r="B16" s="3" t="s">
        <v>79</v>
      </c>
    </row>
    <row r="17" spans="1:1" x14ac:dyDescent="0.25">
      <c r="A17" s="2"/>
    </row>
  </sheetData>
  <phoneticPr fontId="6" type="noConversion"/>
  <pageMargins left="0.75" right="0.75" top="1" bottom="1" header="0.5" footer="0.5"/>
  <pageSetup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6150B-EB8C-4DB7-9DF4-724F833580F1}">
  <dimension ref="A1:E22"/>
  <sheetViews>
    <sheetView tabSelected="1" workbookViewId="0">
      <selection activeCell="B2" sqref="B2"/>
    </sheetView>
  </sheetViews>
  <sheetFormatPr defaultColWidth="8.7265625" defaultRowHeight="12.5" x14ac:dyDescent="0.25"/>
  <cols>
    <col min="1" max="1" width="51.54296875" style="215" bestFit="1" customWidth="1"/>
    <col min="2" max="2" width="13.1796875" style="215" customWidth="1"/>
    <col min="3" max="3" width="14.1796875" style="215" bestFit="1" customWidth="1"/>
    <col min="4" max="4" width="12.7265625" style="215" bestFit="1" customWidth="1"/>
    <col min="5" max="5" width="10.54296875" style="215" bestFit="1" customWidth="1"/>
    <col min="6" max="16384" width="8.7265625" style="215"/>
  </cols>
  <sheetData>
    <row r="1" spans="1:5" x14ac:dyDescent="0.25">
      <c r="C1" s="215" t="s">
        <v>21</v>
      </c>
      <c r="D1" s="215" t="s">
        <v>22</v>
      </c>
      <c r="E1" s="215" t="s">
        <v>96</v>
      </c>
    </row>
    <row r="2" spans="1:5" ht="25" x14ac:dyDescent="0.25">
      <c r="A2" s="215" t="s">
        <v>97</v>
      </c>
      <c r="B2" s="233" t="s">
        <v>99</v>
      </c>
      <c r="C2" s="216">
        <v>0</v>
      </c>
      <c r="D2" s="216">
        <v>0</v>
      </c>
      <c r="E2" s="217">
        <f>C2+D2</f>
        <v>0</v>
      </c>
    </row>
    <row r="3" spans="1:5" ht="13" thickBot="1" x14ac:dyDescent="0.3"/>
    <row r="4" spans="1:5" x14ac:dyDescent="0.25">
      <c r="A4" s="218" t="s">
        <v>14</v>
      </c>
      <c r="B4" s="219">
        <f>0.074+0.018</f>
        <v>9.1999999999999998E-2</v>
      </c>
      <c r="C4" s="217">
        <f>$C$2*B4</f>
        <v>0</v>
      </c>
      <c r="D4" s="217">
        <f>$D$2*B4</f>
        <v>0</v>
      </c>
      <c r="E4" s="217">
        <f t="shared" ref="E4:E20" si="0">C4+D4</f>
        <v>0</v>
      </c>
    </row>
    <row r="5" spans="1:5" x14ac:dyDescent="0.25">
      <c r="A5" s="220" t="s">
        <v>83</v>
      </c>
      <c r="B5" s="221">
        <v>5.0000000000000001E-3</v>
      </c>
      <c r="C5" s="217">
        <f t="shared" ref="C5:C16" si="1">$C$2*B5</f>
        <v>0</v>
      </c>
      <c r="D5" s="217">
        <f t="shared" ref="D5:D16" si="2">$D$2*B5</f>
        <v>0</v>
      </c>
      <c r="E5" s="217">
        <f t="shared" si="0"/>
        <v>0</v>
      </c>
    </row>
    <row r="6" spans="1:5" x14ac:dyDescent="0.25">
      <c r="A6" s="220" t="s">
        <v>54</v>
      </c>
      <c r="B6" s="221">
        <v>1.4999999999999999E-2</v>
      </c>
      <c r="C6" s="217">
        <f t="shared" si="1"/>
        <v>0</v>
      </c>
      <c r="D6" s="217">
        <f t="shared" si="2"/>
        <v>0</v>
      </c>
      <c r="E6" s="217">
        <f t="shared" si="0"/>
        <v>0</v>
      </c>
    </row>
    <row r="7" spans="1:5" x14ac:dyDescent="0.25">
      <c r="A7" s="222" t="s">
        <v>17</v>
      </c>
      <c r="B7" s="219">
        <v>1.2999999999999999E-2</v>
      </c>
      <c r="C7" s="217">
        <f t="shared" si="1"/>
        <v>0</v>
      </c>
      <c r="D7" s="217">
        <f t="shared" si="2"/>
        <v>0</v>
      </c>
      <c r="E7" s="217">
        <f t="shared" si="0"/>
        <v>0</v>
      </c>
    </row>
    <row r="8" spans="1:5" x14ac:dyDescent="0.25">
      <c r="A8" s="220" t="s">
        <v>13</v>
      </c>
      <c r="B8" s="221">
        <v>0.10199999999999999</v>
      </c>
      <c r="C8" s="217">
        <f t="shared" si="1"/>
        <v>0</v>
      </c>
      <c r="D8" s="217">
        <f t="shared" si="2"/>
        <v>0</v>
      </c>
      <c r="E8" s="217">
        <f t="shared" si="0"/>
        <v>0</v>
      </c>
    </row>
    <row r="9" spans="1:5" x14ac:dyDescent="0.25">
      <c r="A9" s="222" t="s">
        <v>15</v>
      </c>
      <c r="B9" s="219">
        <v>1E-3</v>
      </c>
      <c r="C9" s="217">
        <f t="shared" si="1"/>
        <v>0</v>
      </c>
      <c r="D9" s="217">
        <f t="shared" si="2"/>
        <v>0</v>
      </c>
      <c r="E9" s="217">
        <f t="shared" si="0"/>
        <v>0</v>
      </c>
    </row>
    <row r="10" spans="1:5" x14ac:dyDescent="0.25">
      <c r="A10" s="222" t="s">
        <v>57</v>
      </c>
      <c r="B10" s="219">
        <v>5.0000000000000001E-3</v>
      </c>
      <c r="C10" s="217">
        <f t="shared" si="1"/>
        <v>0</v>
      </c>
      <c r="D10" s="217">
        <f t="shared" si="2"/>
        <v>0</v>
      </c>
      <c r="E10" s="217">
        <f t="shared" si="0"/>
        <v>0</v>
      </c>
    </row>
    <row r="11" spans="1:5" x14ac:dyDescent="0.25">
      <c r="A11" s="222" t="s">
        <v>16</v>
      </c>
      <c r="B11" s="219">
        <v>0</v>
      </c>
      <c r="C11" s="217">
        <f t="shared" si="1"/>
        <v>0</v>
      </c>
      <c r="D11" s="217">
        <f t="shared" si="2"/>
        <v>0</v>
      </c>
      <c r="E11" s="217">
        <f t="shared" si="0"/>
        <v>0</v>
      </c>
    </row>
    <row r="12" spans="1:5" x14ac:dyDescent="0.25">
      <c r="A12" s="220" t="s">
        <v>56</v>
      </c>
      <c r="B12" s="221">
        <v>3.0000000000000001E-3</v>
      </c>
      <c r="C12" s="217">
        <f t="shared" si="1"/>
        <v>0</v>
      </c>
      <c r="D12" s="217">
        <f t="shared" si="2"/>
        <v>0</v>
      </c>
      <c r="E12" s="217">
        <f t="shared" si="0"/>
        <v>0</v>
      </c>
    </row>
    <row r="13" spans="1:5" x14ac:dyDescent="0.25">
      <c r="A13" s="220" t="s">
        <v>19</v>
      </c>
      <c r="B13" s="221">
        <f>0.003+0.002</f>
        <v>5.0000000000000001E-3</v>
      </c>
      <c r="C13" s="217">
        <f t="shared" si="1"/>
        <v>0</v>
      </c>
      <c r="D13" s="217">
        <f t="shared" si="2"/>
        <v>0</v>
      </c>
      <c r="E13" s="217">
        <f t="shared" si="0"/>
        <v>0</v>
      </c>
    </row>
    <row r="14" spans="1:5" x14ac:dyDescent="0.25">
      <c r="A14" s="222" t="s">
        <v>8</v>
      </c>
      <c r="B14" s="219">
        <v>1.2999999999999999E-2</v>
      </c>
      <c r="C14" s="217">
        <f t="shared" si="1"/>
        <v>0</v>
      </c>
      <c r="D14" s="217">
        <f t="shared" si="2"/>
        <v>0</v>
      </c>
      <c r="E14" s="217">
        <f t="shared" si="0"/>
        <v>0</v>
      </c>
    </row>
    <row r="15" spans="1:5" x14ac:dyDescent="0.25">
      <c r="A15" s="222" t="s">
        <v>55</v>
      </c>
      <c r="B15" s="219">
        <v>1E-3</v>
      </c>
      <c r="C15" s="217">
        <f t="shared" si="1"/>
        <v>0</v>
      </c>
      <c r="D15" s="217">
        <f t="shared" si="2"/>
        <v>0</v>
      </c>
      <c r="E15" s="217">
        <f t="shared" si="0"/>
        <v>0</v>
      </c>
    </row>
    <row r="16" spans="1:5" x14ac:dyDescent="0.25">
      <c r="A16" s="223" t="s">
        <v>9</v>
      </c>
      <c r="B16" s="219">
        <v>5.0000000000000001E-3</v>
      </c>
      <c r="C16" s="217">
        <f t="shared" si="1"/>
        <v>0</v>
      </c>
      <c r="D16" s="217">
        <f t="shared" si="2"/>
        <v>0</v>
      </c>
      <c r="E16" s="217">
        <f t="shared" si="0"/>
        <v>0</v>
      </c>
    </row>
    <row r="17" spans="1:5" ht="23" x14ac:dyDescent="0.25">
      <c r="A17" s="224" t="s">
        <v>43</v>
      </c>
      <c r="B17" s="225"/>
      <c r="C17" s="226">
        <f>SUM(C4:C16)</f>
        <v>0</v>
      </c>
      <c r="D17" s="226">
        <f>SUM(D4:D16)</f>
        <v>0</v>
      </c>
      <c r="E17" s="226">
        <f>SUM(E4:E16)</f>
        <v>0</v>
      </c>
    </row>
    <row r="18" spans="1:5" x14ac:dyDescent="0.25">
      <c r="A18" s="227" t="s">
        <v>21</v>
      </c>
      <c r="B18" s="221">
        <v>0.37</v>
      </c>
      <c r="C18" s="217">
        <f>$C$2*B18</f>
        <v>0</v>
      </c>
      <c r="D18" s="217">
        <f>$D$2*B18</f>
        <v>0</v>
      </c>
      <c r="E18" s="217">
        <f t="shared" si="0"/>
        <v>0</v>
      </c>
    </row>
    <row r="19" spans="1:5" x14ac:dyDescent="0.25">
      <c r="A19" s="222" t="s">
        <v>22</v>
      </c>
      <c r="B19" s="219">
        <v>0.35399999999999998</v>
      </c>
      <c r="C19" s="217">
        <f t="shared" ref="C19:C20" si="3">$C$2*B19</f>
        <v>0</v>
      </c>
      <c r="D19" s="217">
        <f t="shared" ref="D19:D20" si="4">$D$2*B19</f>
        <v>0</v>
      </c>
      <c r="E19" s="217">
        <f t="shared" si="0"/>
        <v>0</v>
      </c>
    </row>
    <row r="20" spans="1:5" x14ac:dyDescent="0.25">
      <c r="A20" s="223" t="s">
        <v>81</v>
      </c>
      <c r="B20" s="219">
        <v>1.6E-2</v>
      </c>
      <c r="C20" s="217">
        <f t="shared" si="3"/>
        <v>0</v>
      </c>
      <c r="D20" s="217">
        <f t="shared" si="4"/>
        <v>0</v>
      </c>
      <c r="E20" s="217">
        <f t="shared" si="0"/>
        <v>0</v>
      </c>
    </row>
    <row r="21" spans="1:5" ht="23" x14ac:dyDescent="0.25">
      <c r="A21" s="224" t="s">
        <v>51</v>
      </c>
      <c r="B21" s="228"/>
      <c r="C21" s="229">
        <f>SUM(C18:C20)</f>
        <v>0</v>
      </c>
      <c r="D21" s="229">
        <f>SUM(D18:D20)</f>
        <v>0</v>
      </c>
      <c r="E21" s="229">
        <f>SUM(E18:E20)</f>
        <v>0</v>
      </c>
    </row>
    <row r="22" spans="1:5" ht="13" thickBot="1" x14ac:dyDescent="0.3">
      <c r="A22" s="230" t="s">
        <v>44</v>
      </c>
      <c r="B22" s="231"/>
      <c r="C22" s="217">
        <f>C17+C21</f>
        <v>0</v>
      </c>
      <c r="D22" s="217">
        <f>D17+D21</f>
        <v>0</v>
      </c>
      <c r="E22" s="217">
        <f>E17+E21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42"/>
  <sheetViews>
    <sheetView zoomScale="85" zoomScaleNormal="85" zoomScaleSheetLayoutView="100" workbookViewId="0">
      <selection activeCell="I21" sqref="I21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8" width="14" style="1" customWidth="1"/>
    <col min="9" max="9" width="14.81640625" style="1" customWidth="1"/>
    <col min="10" max="14" width="14" style="1" customWidth="1"/>
    <col min="15" max="15" width="15" style="1" customWidth="1"/>
    <col min="16" max="108" width="31.7265625" style="1" customWidth="1"/>
    <col min="109" max="109" width="11.453125" style="1" customWidth="1"/>
    <col min="110" max="16384" width="33.26953125" style="1"/>
  </cols>
  <sheetData>
    <row r="1" spans="2:17" ht="13" x14ac:dyDescent="0.3">
      <c r="C1" s="261" t="str">
        <f>+Transactions!B1</f>
        <v>AEPTCo Formula Rate -- FERC Docket ER18-195</v>
      </c>
      <c r="D1" s="261"/>
      <c r="E1" s="261"/>
      <c r="F1" s="261"/>
      <c r="G1" s="261"/>
      <c r="H1" s="261"/>
      <c r="I1" s="261"/>
      <c r="J1" s="6">
        <v>2024</v>
      </c>
    </row>
    <row r="2" spans="2:17" ht="13" x14ac:dyDescent="0.3">
      <c r="C2" s="261" t="s">
        <v>36</v>
      </c>
      <c r="D2" s="261"/>
      <c r="E2" s="261"/>
      <c r="F2" s="261"/>
      <c r="G2" s="261"/>
      <c r="H2" s="261"/>
      <c r="I2" s="261"/>
    </row>
    <row r="3" spans="2:17" ht="13" x14ac:dyDescent="0.3">
      <c r="C3" s="261" t="str">
        <f>"for period 01/01/"&amp;F8&amp;" - 12/31/"&amp;F8</f>
        <v>for period 01/01/2024 - 12/31/2024</v>
      </c>
      <c r="D3" s="261"/>
      <c r="E3" s="261"/>
      <c r="F3" s="261"/>
      <c r="G3" s="261"/>
      <c r="H3" s="261"/>
      <c r="I3" s="261"/>
    </row>
    <row r="4" spans="2:17" ht="13" x14ac:dyDescent="0.3">
      <c r="C4" s="261" t="s">
        <v>94</v>
      </c>
      <c r="D4" s="261"/>
      <c r="E4" s="261"/>
      <c r="F4" s="261"/>
      <c r="G4" s="261"/>
      <c r="H4" s="261"/>
      <c r="I4" s="261"/>
    </row>
    <row r="5" spans="2:17" x14ac:dyDescent="0.25">
      <c r="C5" s="7" t="str">
        <f>"Prepared:  May 24_, "&amp;J1+1&amp;""</f>
        <v>Prepared:  May 24_, 2025</v>
      </c>
      <c r="D5" s="8"/>
    </row>
    <row r="6" spans="2:17" x14ac:dyDescent="0.25">
      <c r="C6" s="9"/>
    </row>
    <row r="7" spans="2:17" ht="13" x14ac:dyDescent="0.3">
      <c r="C7" s="10"/>
    </row>
    <row r="8" spans="2:17" ht="27.75" customHeight="1" thickBot="1" x14ac:dyDescent="0.3">
      <c r="F8" s="11">
        <v>2024</v>
      </c>
    </row>
    <row r="9" spans="2:17" ht="20.25" customHeight="1" x14ac:dyDescent="0.3">
      <c r="E9" s="12" t="s">
        <v>93</v>
      </c>
      <c r="F9" s="13"/>
      <c r="G9" s="14"/>
      <c r="H9" s="15"/>
      <c r="J9" s="2"/>
    </row>
    <row r="10" spans="2:17" ht="42" customHeight="1" thickBot="1" x14ac:dyDescent="0.3">
      <c r="B10" s="16"/>
      <c r="E10" s="17" t="str">
        <f>"(per "&amp;$F8&amp;" Projections "&amp;$F8&amp;")"</f>
        <v>(per 2024 Projections 2024)</v>
      </c>
      <c r="F10" s="18" t="str">
        <f>"(per "&amp;F8+1&amp;" Update of May "&amp;F8+1&amp;")"</f>
        <v>(per 2025 Update of May 2025)</v>
      </c>
      <c r="G10" s="19"/>
      <c r="H10" s="20"/>
    </row>
    <row r="11" spans="2:17" ht="21.75" customHeight="1" x14ac:dyDescent="0.25">
      <c r="B11" s="21"/>
      <c r="C11" s="22" t="s">
        <v>39</v>
      </c>
      <c r="D11" s="23" t="s">
        <v>37</v>
      </c>
      <c r="E11" s="24">
        <f>Transactions!K2</f>
        <v>104558417.46081869</v>
      </c>
      <c r="F11" s="25"/>
      <c r="G11" s="26"/>
      <c r="H11" s="27"/>
    </row>
    <row r="12" spans="2:17" ht="21.75" customHeight="1" x14ac:dyDescent="0.25">
      <c r="B12" s="21"/>
      <c r="C12" s="28"/>
      <c r="D12" s="29" t="s">
        <v>42</v>
      </c>
      <c r="E12" s="30"/>
      <c r="F12" s="31">
        <f>+Transactions!J2</f>
        <v>103975622.4174573</v>
      </c>
      <c r="G12" s="32"/>
      <c r="H12" s="33"/>
    </row>
    <row r="13" spans="2:17" ht="21.75" customHeight="1" x14ac:dyDescent="0.25">
      <c r="B13" s="34"/>
      <c r="C13" s="35" t="s">
        <v>40</v>
      </c>
      <c r="D13" s="36" t="s">
        <v>38</v>
      </c>
      <c r="E13" s="37">
        <f>Transactions!K3</f>
        <v>1030</v>
      </c>
      <c r="F13" s="33"/>
      <c r="G13" s="38"/>
      <c r="H13" s="39"/>
    </row>
    <row r="14" spans="2:17" ht="21.75" customHeight="1" thickBot="1" x14ac:dyDescent="0.3">
      <c r="B14" s="16"/>
      <c r="C14" s="40"/>
      <c r="D14" s="41" t="s">
        <v>41</v>
      </c>
      <c r="E14" s="42"/>
      <c r="F14" s="43">
        <f>+Transactions!J3</f>
        <v>1020.86</v>
      </c>
      <c r="G14" s="44"/>
      <c r="H14" s="33"/>
    </row>
    <row r="15" spans="2:17" x14ac:dyDescent="0.25">
      <c r="B15" s="21"/>
      <c r="E15" s="45"/>
    </row>
    <row r="16" spans="2:17" ht="13" x14ac:dyDescent="0.3">
      <c r="B16" s="34"/>
      <c r="C16" s="34"/>
      <c r="D16" s="46"/>
      <c r="E16" s="34"/>
      <c r="F16" s="47"/>
      <c r="G16" s="48"/>
      <c r="H16" s="48"/>
      <c r="J16" s="45"/>
      <c r="L16" s="50"/>
      <c r="M16" s="51"/>
      <c r="N16" s="51"/>
      <c r="O16" s="51"/>
      <c r="P16" s="51"/>
      <c r="Q16" s="51"/>
    </row>
    <row r="17" spans="2:17" ht="13" x14ac:dyDescent="0.3">
      <c r="C17" s="10"/>
      <c r="L17" s="52"/>
      <c r="M17" s="51"/>
      <c r="N17" s="51"/>
      <c r="O17" s="51"/>
      <c r="P17" s="51"/>
      <c r="Q17" s="51"/>
    </row>
    <row r="18" spans="2:17" x14ac:dyDescent="0.25">
      <c r="C18" s="50"/>
      <c r="D18" s="50"/>
      <c r="E18" s="50"/>
      <c r="F18" s="50"/>
      <c r="G18" s="50"/>
      <c r="H18" s="50"/>
      <c r="I18" s="50"/>
      <c r="L18" s="50"/>
      <c r="M18" s="51"/>
      <c r="N18" s="51"/>
      <c r="O18" s="51"/>
      <c r="P18" s="51"/>
      <c r="Q18" s="51"/>
    </row>
    <row r="19" spans="2:17" ht="21" customHeight="1" thickBot="1" x14ac:dyDescent="0.3">
      <c r="C19" s="53" t="s">
        <v>31</v>
      </c>
      <c r="D19" s="53" t="s">
        <v>32</v>
      </c>
      <c r="E19" s="54" t="s">
        <v>33</v>
      </c>
      <c r="F19" s="54" t="s">
        <v>34</v>
      </c>
      <c r="G19" s="53" t="s">
        <v>35</v>
      </c>
      <c r="H19" s="53" t="s">
        <v>92</v>
      </c>
      <c r="I19" s="54" t="s">
        <v>91</v>
      </c>
      <c r="L19" s="50"/>
      <c r="M19" s="51"/>
      <c r="N19" s="51"/>
      <c r="O19" s="51"/>
      <c r="P19" s="51"/>
      <c r="Q19" s="51"/>
    </row>
    <row r="20" spans="2:17" ht="53.25" customHeight="1" x14ac:dyDescent="0.25">
      <c r="C20" s="55" t="s">
        <v>50</v>
      </c>
      <c r="D20" s="56" t="str">
        <f>"Actual Charge
("&amp;F8&amp;" True-Up)"</f>
        <v>Actual Charge
(2024 True-Up)</v>
      </c>
      <c r="E20" s="57" t="str">
        <f>"Invoiced for
CY"&amp;F8&amp;" Transmission Service"</f>
        <v>Invoiced for
CY2024 Transmission Service</v>
      </c>
      <c r="F20" s="56" t="s">
        <v>101</v>
      </c>
      <c r="G20" s="58" t="s">
        <v>102</v>
      </c>
      <c r="H20" s="232" t="s">
        <v>98</v>
      </c>
      <c r="I20" s="59" t="s">
        <v>103</v>
      </c>
      <c r="L20" s="50"/>
      <c r="M20" s="51"/>
      <c r="N20" s="51"/>
      <c r="O20" s="51"/>
      <c r="P20" s="51"/>
      <c r="Q20" s="51"/>
    </row>
    <row r="21" spans="2:17" x14ac:dyDescent="0.25">
      <c r="B21" s="60"/>
      <c r="C21" s="61" t="s">
        <v>14</v>
      </c>
      <c r="D21" s="62">
        <f>GETPIVOTDATA("Sum of "&amp;T(Transactions!$J$19),Pivot!$A$3,"Customer",C21)</f>
        <v>9854361.5800000001</v>
      </c>
      <c r="E21" s="62">
        <f>GETPIVOTDATA("Sum of "&amp;T(Transactions!$K$19),Pivot!$A$3,"Customer",C21)</f>
        <v>9942590</v>
      </c>
      <c r="F21" s="62">
        <f>D21-E21</f>
        <v>-88228.419999999925</v>
      </c>
      <c r="G21" s="51">
        <f>(+GETPIVOTDATA("Sum of "&amp;T(Transactions!$M$19),Pivot!$A$3,"Customer","AECC"))</f>
        <v>-7088.6735624549319</v>
      </c>
      <c r="H21" s="51">
        <f>-'20XX NOLC Refund Detail'!C4</f>
        <v>0</v>
      </c>
      <c r="I21" s="63">
        <f>F21+G21+H21</f>
        <v>-95317.093562454858</v>
      </c>
      <c r="J21" s="60"/>
      <c r="L21" s="50"/>
      <c r="M21" s="51"/>
      <c r="N21" s="51"/>
      <c r="O21" s="51"/>
      <c r="P21" s="51"/>
      <c r="Q21" s="51"/>
    </row>
    <row r="22" spans="2:17" x14ac:dyDescent="0.25">
      <c r="B22" s="60"/>
      <c r="C22" s="64" t="s">
        <v>83</v>
      </c>
      <c r="D22" s="62">
        <f>GETPIVOTDATA("Sum of "&amp;T(Transactions!$J$19),Pivot!$A$3,"Customer",C22)</f>
        <v>504304.83999999997</v>
      </c>
      <c r="E22" s="62">
        <f>GETPIVOTDATA("Sum of "&amp;T(Transactions!$K$19),Pivot!$A$3,"Customer",C22)</f>
        <v>508820</v>
      </c>
      <c r="F22" s="62">
        <f>D22-E22</f>
        <v>-4515.1600000000326</v>
      </c>
      <c r="G22" s="51">
        <f>(+GETPIVOTDATA("Sum of "&amp;T(Transactions!$M$19),Pivot!$A$3,"Customer","AECI"))</f>
        <v>-362.76854240678921</v>
      </c>
      <c r="H22" s="51">
        <f>-'20XX NOLC Refund Detail'!C5</f>
        <v>0</v>
      </c>
      <c r="I22" s="63">
        <f t="shared" ref="I22:I33" si="0">F22+G22+H22</f>
        <v>-4877.9285424068221</v>
      </c>
      <c r="J22" s="60"/>
      <c r="L22" s="50"/>
      <c r="M22" s="51"/>
      <c r="N22" s="51"/>
      <c r="O22" s="51"/>
      <c r="P22" s="51"/>
      <c r="Q22" s="51"/>
    </row>
    <row r="23" spans="2:17" x14ac:dyDescent="0.25">
      <c r="B23" s="60"/>
      <c r="C23" s="64" t="s">
        <v>54</v>
      </c>
      <c r="D23" s="62">
        <f>GETPIVOTDATA("Sum of "&amp;T(Transactions!$J$19),Pivot!$A$3,"Customer",C23)</f>
        <v>1590499.8800000001</v>
      </c>
      <c r="E23" s="62">
        <f>GETPIVOTDATA("Sum of "&amp;T(Transactions!$K$19),Pivot!$A$3,"Customer",C23)</f>
        <v>1604740</v>
      </c>
      <c r="F23" s="62">
        <f t="shared" ref="F23:F35" si="1">D23-E23</f>
        <v>-14240.119999999879</v>
      </c>
      <c r="G23" s="51">
        <f>(+GETPIVOTDATA("Sum of "&amp;T(Transactions!$M$19),Pivot!$A$3,"Customer","Bentonville, AR"))</f>
        <v>-1144.1161722060276</v>
      </c>
      <c r="H23" s="51">
        <f>-'20XX NOLC Refund Detail'!C6</f>
        <v>0</v>
      </c>
      <c r="I23" s="63">
        <f t="shared" si="0"/>
        <v>-15384.236172205907</v>
      </c>
      <c r="J23" s="60"/>
      <c r="L23" s="50"/>
      <c r="M23" s="51"/>
      <c r="N23" s="51"/>
      <c r="O23" s="51"/>
      <c r="P23" s="51"/>
      <c r="Q23" s="51"/>
    </row>
    <row r="24" spans="2:17" x14ac:dyDescent="0.25">
      <c r="B24" s="60"/>
      <c r="C24" s="61" t="s">
        <v>17</v>
      </c>
      <c r="D24" s="62">
        <f>GETPIVOTDATA("Sum of "&amp;T(Transactions!$J$19),Pivot!$A$3,"Customer",C24)</f>
        <v>1305679.94</v>
      </c>
      <c r="E24" s="62">
        <f>GETPIVOTDATA("Sum of "&amp;T(Transactions!$K$19),Pivot!$A$3,"Customer",C24)</f>
        <v>1317370</v>
      </c>
      <c r="F24" s="62">
        <f t="shared" si="1"/>
        <v>-11690.060000000056</v>
      </c>
      <c r="G24" s="51">
        <f>(+GETPIVOTDATA("Sum of "&amp;T(Transactions!$M$19),Pivot!$A$3,"Customer","Coffeyville, KS"))</f>
        <v>-939.2327241665655</v>
      </c>
      <c r="H24" s="51">
        <f>-'20XX NOLC Refund Detail'!C7</f>
        <v>0</v>
      </c>
      <c r="I24" s="63">
        <f t="shared" si="0"/>
        <v>-12629.292724166622</v>
      </c>
      <c r="J24" s="60"/>
      <c r="L24" s="50"/>
      <c r="M24" s="51"/>
      <c r="N24" s="51"/>
      <c r="O24" s="51"/>
      <c r="P24" s="51"/>
      <c r="Q24" s="51"/>
    </row>
    <row r="25" spans="2:17" x14ac:dyDescent="0.25">
      <c r="B25" s="60"/>
      <c r="C25" s="64" t="s">
        <v>13</v>
      </c>
      <c r="D25" s="62">
        <f>GETPIVOTDATA("Sum of "&amp;T(Transactions!$J$19),Pivot!$A$3,"Customer",C25)</f>
        <v>10349478.68</v>
      </c>
      <c r="E25" s="62">
        <f>GETPIVOTDATA("Sum of "&amp;T(Transactions!$K$19),Pivot!$A$3,"Customer",C25)</f>
        <v>10442140</v>
      </c>
      <c r="F25" s="62">
        <f t="shared" si="1"/>
        <v>-92661.320000000298</v>
      </c>
      <c r="G25" s="51">
        <f>(+GETPIVOTDATA("Sum of "&amp;T(Transactions!$M$19),Pivot!$A$3,"Customer","ETEC"))</f>
        <v>-7444.8329613765782</v>
      </c>
      <c r="H25" s="51">
        <f>-'20XX NOLC Refund Detail'!C8</f>
        <v>0</v>
      </c>
      <c r="I25" s="63">
        <f t="shared" si="0"/>
        <v>-100106.15296137688</v>
      </c>
      <c r="J25" s="60"/>
      <c r="L25" s="52"/>
      <c r="M25" s="51"/>
      <c r="N25" s="51"/>
      <c r="O25" s="51"/>
      <c r="P25" s="51"/>
      <c r="Q25" s="51"/>
    </row>
    <row r="26" spans="2:17" x14ac:dyDescent="0.25">
      <c r="B26" s="60"/>
      <c r="C26" s="61" t="s">
        <v>15</v>
      </c>
      <c r="D26" s="62">
        <f>GETPIVOTDATA("Sum of "&amp;T(Transactions!$J$19),Pivot!$A$3,"Customer",C26)</f>
        <v>114336.32000000001</v>
      </c>
      <c r="E26" s="62">
        <f>GETPIVOTDATA("Sum of "&amp;T(Transactions!$K$19),Pivot!$A$3,"Customer",C26)</f>
        <v>115360</v>
      </c>
      <c r="F26" s="62">
        <f t="shared" si="1"/>
        <v>-1023.679999999993</v>
      </c>
      <c r="G26" s="51">
        <f>(+GETPIVOTDATA("Sum of "&amp;T(Transactions!$M$19),Pivot!$A$3,"Customer","Greenbelt"))</f>
        <v>-82.247118926235601</v>
      </c>
      <c r="H26" s="51">
        <f>-'20XX NOLC Refund Detail'!C9</f>
        <v>0</v>
      </c>
      <c r="I26" s="63">
        <f t="shared" si="0"/>
        <v>-1105.9271189262286</v>
      </c>
      <c r="J26" s="60"/>
      <c r="K26" s="65"/>
      <c r="L26" s="65"/>
      <c r="M26" s="65"/>
      <c r="N26" s="65"/>
      <c r="O26" s="51"/>
      <c r="P26" s="51"/>
      <c r="Q26" s="51"/>
    </row>
    <row r="27" spans="2:17" x14ac:dyDescent="0.25">
      <c r="B27" s="60"/>
      <c r="C27" s="61" t="s">
        <v>57</v>
      </c>
      <c r="D27" s="62">
        <f>GETPIVOTDATA("Sum of "&amp;T(Transactions!$J$19),Pivot!$A$3,"Customer",C27)</f>
        <v>471637.31999999995</v>
      </c>
      <c r="E27" s="62">
        <f>GETPIVOTDATA("Sum of "&amp;T(Transactions!$K$19),Pivot!$A$3,"Customer",C27)</f>
        <v>475860</v>
      </c>
      <c r="F27" s="62">
        <f t="shared" si="1"/>
        <v>-4222.6800000000512</v>
      </c>
      <c r="G27" s="51">
        <f>(+GETPIVOTDATA("Sum of "&amp;T(Transactions!$M$19),Pivot!$A$3,"Customer","Hope, AR"))</f>
        <v>-339.2693655707219</v>
      </c>
      <c r="H27" s="51">
        <f>-'20XX NOLC Refund Detail'!C10</f>
        <v>0</v>
      </c>
      <c r="I27" s="63">
        <f t="shared" si="0"/>
        <v>-4561.9493655707729</v>
      </c>
      <c r="J27" s="60"/>
      <c r="K27" s="65"/>
      <c r="L27" s="65"/>
      <c r="M27" s="65"/>
      <c r="N27" s="65"/>
      <c r="O27" s="51"/>
      <c r="P27" s="51"/>
      <c r="Q27" s="51"/>
    </row>
    <row r="28" spans="2:17" x14ac:dyDescent="0.25">
      <c r="B28" s="60"/>
      <c r="C28" s="61" t="s">
        <v>16</v>
      </c>
      <c r="D28" s="62">
        <f>GETPIVOTDATA("Sum of "&amp;T(Transactions!$J$19),Pivot!$A$3,"Customer",C28)</f>
        <v>45938.7</v>
      </c>
      <c r="E28" s="62">
        <f>GETPIVOTDATA("Sum of "&amp;T(Transactions!$K$19),Pivot!$A$3,"Customer",C28)</f>
        <v>46350</v>
      </c>
      <c r="F28" s="62">
        <f t="shared" si="1"/>
        <v>-411.30000000000291</v>
      </c>
      <c r="G28" s="51">
        <f>(+GETPIVOTDATA("Sum of "&amp;T(Transactions!$M$19),Pivot!$A$3,"Customer","Lighthouse"))</f>
        <v>-33.045717425719673</v>
      </c>
      <c r="H28" s="51">
        <f>-'20XX NOLC Refund Detail'!C11</f>
        <v>0</v>
      </c>
      <c r="I28" s="63">
        <f t="shared" si="0"/>
        <v>-444.34571742572257</v>
      </c>
      <c r="J28" s="60"/>
      <c r="L28" s="50"/>
      <c r="M28" s="51"/>
      <c r="N28" s="51"/>
      <c r="O28" s="51"/>
      <c r="P28" s="51"/>
      <c r="Q28" s="51"/>
    </row>
    <row r="29" spans="2:17" x14ac:dyDescent="0.25">
      <c r="B29" s="60"/>
      <c r="C29" s="64" t="s">
        <v>56</v>
      </c>
      <c r="D29" s="62">
        <f>GETPIVOTDATA("Sum of "&amp;T(Transactions!$J$19),Pivot!$A$3,"Customer",C29)</f>
        <v>332800.35999999993</v>
      </c>
      <c r="E29" s="62">
        <f>GETPIVOTDATA("Sum of "&amp;T(Transactions!$K$19),Pivot!$A$3,"Customer",C29)</f>
        <v>335780</v>
      </c>
      <c r="F29" s="62">
        <f t="shared" si="1"/>
        <v>-2979.6400000000722</v>
      </c>
      <c r="G29" s="51">
        <f>(+GETPIVOTDATA("Sum of "&amp;T(Transactions!$M$19),Pivot!$A$3,"Customer","Minden, LA"))</f>
        <v>-239.39786401743581</v>
      </c>
      <c r="H29" s="51">
        <f>-'20XX NOLC Refund Detail'!C12</f>
        <v>0</v>
      </c>
      <c r="I29" s="63">
        <f t="shared" si="0"/>
        <v>-3219.0378640175081</v>
      </c>
      <c r="J29" s="60"/>
      <c r="L29" s="50"/>
      <c r="M29" s="51"/>
      <c r="N29" s="51"/>
      <c r="O29" s="51"/>
      <c r="P29" s="51"/>
      <c r="Q29" s="51"/>
    </row>
    <row r="30" spans="2:17" x14ac:dyDescent="0.25">
      <c r="B30" s="60"/>
      <c r="C30" s="64" t="s">
        <v>19</v>
      </c>
      <c r="D30" s="62">
        <f>GETPIVOTDATA("Sum of "&amp;T(Transactions!$J$19),Pivot!$A$3,"Customer",C30)</f>
        <v>804437.68</v>
      </c>
      <c r="E30" s="62">
        <f>GETPIVOTDATA("Sum of "&amp;T(Transactions!$K$19),Pivot!$A$3,"Customer",C30)</f>
        <v>811640</v>
      </c>
      <c r="F30" s="62">
        <f t="shared" si="1"/>
        <v>-7202.3199999999488</v>
      </c>
      <c r="G30" s="51">
        <f>(+GETPIVOTDATA("Sum of "&amp;T(Transactions!$M$19),Pivot!$A$3,"Customer","OG&amp;E"))</f>
        <v>-578.66722958815774</v>
      </c>
      <c r="H30" s="51">
        <f>-'20XX NOLC Refund Detail'!C13</f>
        <v>0</v>
      </c>
      <c r="I30" s="63">
        <f t="shared" si="0"/>
        <v>-7780.9872295881069</v>
      </c>
      <c r="J30" s="60"/>
    </row>
    <row r="31" spans="2:17" x14ac:dyDescent="0.25">
      <c r="B31" s="60"/>
      <c r="C31" s="61" t="s">
        <v>8</v>
      </c>
      <c r="D31" s="62">
        <f>GETPIVOTDATA("Sum of "&amp;T(Transactions!$J$19),Pivot!$A$3,"Customer",C31)</f>
        <v>1304659.08</v>
      </c>
      <c r="E31" s="62">
        <f>GETPIVOTDATA("Sum of "&amp;T(Transactions!$K$19),Pivot!$A$3,"Customer",C31)</f>
        <v>1316340</v>
      </c>
      <c r="F31" s="62">
        <f t="shared" si="1"/>
        <v>-11680.919999999925</v>
      </c>
      <c r="G31" s="51">
        <f>(+GETPIVOTDATA("Sum of "&amp;T(Transactions!$M$19),Pivot!$A$3,"Customer","OMPA"))</f>
        <v>-938.49837489043853</v>
      </c>
      <c r="H31" s="51">
        <f>-'20XX NOLC Refund Detail'!C14</f>
        <v>0</v>
      </c>
      <c r="I31" s="63">
        <f t="shared" si="0"/>
        <v>-12619.418374890363</v>
      </c>
      <c r="J31" s="60"/>
    </row>
    <row r="32" spans="2:17" x14ac:dyDescent="0.25">
      <c r="B32" s="60"/>
      <c r="C32" s="61" t="s">
        <v>55</v>
      </c>
      <c r="D32" s="62">
        <f>GETPIVOTDATA("Sum of "&amp;T(Transactions!$J$19),Pivot!$A$3,"Customer",C32)</f>
        <v>121482.34000000004</v>
      </c>
      <c r="E32" s="62">
        <f>GETPIVOTDATA("Sum of "&amp;T(Transactions!$K$19),Pivot!$A$3,"Customer",C32)</f>
        <v>122570</v>
      </c>
      <c r="F32" s="62">
        <f t="shared" si="1"/>
        <v>-1087.6599999999598</v>
      </c>
      <c r="G32" s="51">
        <f>(+GETPIVOTDATA("Sum of "&amp;T(Transactions!$M$19),Pivot!$A$3,"Customer","Prescott, AR"))</f>
        <v>-87.387563859125351</v>
      </c>
      <c r="H32" s="51">
        <f>-'20XX NOLC Refund Detail'!C15</f>
        <v>0</v>
      </c>
      <c r="I32" s="63">
        <f t="shared" si="0"/>
        <v>-1175.0475638590851</v>
      </c>
      <c r="J32" s="60"/>
    </row>
    <row r="33" spans="2:11" x14ac:dyDescent="0.25">
      <c r="B33" s="60"/>
      <c r="C33" s="66" t="s">
        <v>9</v>
      </c>
      <c r="D33" s="62">
        <f>GETPIVOTDATA("Sum of "&amp;T(Transactions!$J$19),Pivot!$A$3,"Customer",C33)</f>
        <v>656412.9800000001</v>
      </c>
      <c r="E33" s="62">
        <f>GETPIVOTDATA("Sum of "&amp;T(Transactions!$K$19),Pivot!$A$3,"Customer",C33)</f>
        <v>662290</v>
      </c>
      <c r="F33" s="62">
        <f t="shared" si="1"/>
        <v>-5877.0199999999022</v>
      </c>
      <c r="G33" s="51">
        <f>(+GETPIVOTDATA("Sum of "&amp;T(Transactions!$M$19),Pivot!$A$3,"Customer","WFEC"))</f>
        <v>-472.18658454972763</v>
      </c>
      <c r="H33" s="51">
        <f>-'20XX NOLC Refund Detail'!C16</f>
        <v>0</v>
      </c>
      <c r="I33" s="63">
        <f t="shared" si="0"/>
        <v>-6349.20658454963</v>
      </c>
      <c r="J33" s="60"/>
    </row>
    <row r="34" spans="2:11" ht="23" x14ac:dyDescent="0.25">
      <c r="C34" s="67" t="s">
        <v>43</v>
      </c>
      <c r="D34" s="68">
        <f t="shared" ref="D34:I34" si="2">SUM(D21:D33)</f>
        <v>27456029.700000003</v>
      </c>
      <c r="E34" s="68">
        <f t="shared" si="2"/>
        <v>27701850</v>
      </c>
      <c r="F34" s="68">
        <f t="shared" si="2"/>
        <v>-245820.30000000005</v>
      </c>
      <c r="G34" s="69">
        <f t="shared" si="2"/>
        <v>-19750.323781438459</v>
      </c>
      <c r="H34" s="69">
        <f t="shared" si="2"/>
        <v>0</v>
      </c>
      <c r="I34" s="70">
        <f t="shared" si="2"/>
        <v>-265570.62378143851</v>
      </c>
    </row>
    <row r="35" spans="2:11" x14ac:dyDescent="0.25">
      <c r="C35" s="71" t="s">
        <v>21</v>
      </c>
      <c r="D35" s="62">
        <f>GETPIVOTDATA("Sum of "&amp;T(Transactions!$J$19),Pivot!$A$3,"Customer",C35)</f>
        <v>39083625.100000009</v>
      </c>
      <c r="E35" s="62">
        <f>GETPIVOTDATA("Sum of "&amp;T(Transactions!$K$19),Pivot!$A$3,"Customer",C35)</f>
        <v>39433550</v>
      </c>
      <c r="F35" s="62">
        <f t="shared" si="1"/>
        <v>-349924.89999999106</v>
      </c>
      <c r="G35" s="51">
        <f>(+GETPIVOTDATA("Sum of "&amp;T(Transactions!$M$19),Pivot!$A$3,"Customer","PSO"))</f>
        <v>-28114.562036526168</v>
      </c>
      <c r="H35" s="51">
        <f>-'20XX NOLC Refund Detail'!C18</f>
        <v>0</v>
      </c>
      <c r="I35" s="63">
        <f>F35+G35+H35</f>
        <v>-378039.46203651722</v>
      </c>
    </row>
    <row r="36" spans="2:11" x14ac:dyDescent="0.25">
      <c r="C36" s="72" t="s">
        <v>22</v>
      </c>
      <c r="D36" s="62">
        <f>GETPIVOTDATA("Sum of "&amp;T(Transactions!$J$19),Pivot!$A$3,"Customer",C36)</f>
        <v>35813810.520000003</v>
      </c>
      <c r="E36" s="62">
        <f>GETPIVOTDATA("Sum of "&amp;T(Transactions!$K$19),Pivot!$A$3,"Customer",C36)</f>
        <v>36134460</v>
      </c>
      <c r="F36" s="62">
        <f>D36-E36</f>
        <v>-320649.47999999672</v>
      </c>
      <c r="G36" s="51">
        <f>(+GETPIVOTDATA("Sum of "&amp;T(Transactions!$M$19),Pivot!$A$3,"Customer","SWEPCO"))</f>
        <v>-25762.441305091052</v>
      </c>
      <c r="H36" s="51">
        <f>-'20XX NOLC Refund Detail'!C19</f>
        <v>0</v>
      </c>
      <c r="I36" s="63">
        <f>F36+G36+H36</f>
        <v>-346411.92130508774</v>
      </c>
    </row>
    <row r="37" spans="2:11" x14ac:dyDescent="0.25">
      <c r="C37" s="73" t="s">
        <v>81</v>
      </c>
      <c r="D37" s="62">
        <f>GETPIVOTDATA("Sum of "&amp;T(Transactions!$J$19),Pivot!$A$3,"Customer",C37)</f>
        <v>1622146.5400000003</v>
      </c>
      <c r="E37" s="62">
        <f>GETPIVOTDATA("Sum of "&amp;T(Transactions!$K$19),Pivot!$A$3,"Customer",C37)</f>
        <v>1636670</v>
      </c>
      <c r="F37" s="62">
        <f>D37-E37</f>
        <v>-14523.45999999973</v>
      </c>
      <c r="G37" s="51">
        <f>(+GETPIVOTDATA("Sum of "&amp;T(Transactions!$M$19),Pivot!$A$3,"Customer","SWEPCO-Valley"))</f>
        <v>-1166.880999765968</v>
      </c>
      <c r="H37" s="51">
        <f>-'20XX NOLC Refund Detail'!C20</f>
        <v>0</v>
      </c>
      <c r="I37" s="63">
        <f>F37+G37+H37</f>
        <v>-15690.340999765698</v>
      </c>
    </row>
    <row r="38" spans="2:11" ht="23" x14ac:dyDescent="0.25">
      <c r="C38" s="74" t="s">
        <v>51</v>
      </c>
      <c r="D38" s="75">
        <f t="shared" ref="D38:I38" si="3">SUM(D35:D37)</f>
        <v>76519582.160000011</v>
      </c>
      <c r="E38" s="75">
        <f t="shared" si="3"/>
        <v>77204680</v>
      </c>
      <c r="F38" s="75">
        <f t="shared" si="3"/>
        <v>-685097.83999998751</v>
      </c>
      <c r="G38" s="76">
        <f t="shared" si="3"/>
        <v>-55043.884341383193</v>
      </c>
      <c r="H38" s="76">
        <f t="shared" si="3"/>
        <v>0</v>
      </c>
      <c r="I38" s="77">
        <f t="shared" si="3"/>
        <v>-740141.72434137063</v>
      </c>
      <c r="K38" s="78"/>
    </row>
    <row r="39" spans="2:11" ht="23.25" customHeight="1" thickBot="1" x14ac:dyDescent="0.3">
      <c r="C39" s="79" t="s">
        <v>44</v>
      </c>
      <c r="D39" s="80">
        <f t="shared" ref="D39:I39" si="4">SUM(D34,D38)</f>
        <v>103975611.86000001</v>
      </c>
      <c r="E39" s="81">
        <f t="shared" si="4"/>
        <v>104906530</v>
      </c>
      <c r="F39" s="80">
        <f t="shared" si="4"/>
        <v>-930918.13999998756</v>
      </c>
      <c r="G39" s="81">
        <f t="shared" si="4"/>
        <v>-74794.208122821656</v>
      </c>
      <c r="H39" s="81">
        <f t="shared" si="4"/>
        <v>0</v>
      </c>
      <c r="I39" s="82">
        <f t="shared" si="4"/>
        <v>-1005712.3481228091</v>
      </c>
      <c r="J39" s="83"/>
      <c r="K39" s="78"/>
    </row>
    <row r="40" spans="2:11" x14ac:dyDescent="0.25">
      <c r="E40" s="50"/>
      <c r="F40" s="50"/>
      <c r="G40" s="50"/>
      <c r="H40" s="50"/>
    </row>
    <row r="41" spans="2:11" x14ac:dyDescent="0.25">
      <c r="D41" s="60"/>
      <c r="E41" s="60"/>
      <c r="F41" s="60"/>
      <c r="G41" s="60"/>
      <c r="H41" s="60"/>
      <c r="I41" s="60"/>
    </row>
    <row r="42" spans="2:11" x14ac:dyDescent="0.25">
      <c r="D42" s="60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6"/>
  <sheetViews>
    <sheetView zoomScale="85" workbookViewId="0">
      <pane xSplit="2" ySplit="4" topLeftCell="C95" activePane="bottomRight" state="frozen"/>
      <selection activeCell="I21" sqref="I21"/>
      <selection pane="topRight" activeCell="I21" sqref="I21"/>
      <selection pane="bottomLeft" activeCell="I21" sqref="I21"/>
      <selection pane="bottomRight" activeCell="I21" sqref="I21"/>
    </sheetView>
  </sheetViews>
  <sheetFormatPr defaultColWidth="8.7265625" defaultRowHeight="12.5" x14ac:dyDescent="0.25"/>
  <cols>
    <col min="1" max="1" width="19.1796875" style="1" customWidth="1"/>
    <col min="2" max="2" width="28.54296875" style="1" bestFit="1" customWidth="1"/>
    <col min="3" max="14" width="15.453125" style="1" bestFit="1" customWidth="1"/>
    <col min="15" max="15" width="12.54296875" style="1" bestFit="1" customWidth="1"/>
    <col min="16" max="16384" width="8.7265625" style="1"/>
  </cols>
  <sheetData>
    <row r="3" spans="1:15" x14ac:dyDescent="0.25">
      <c r="A3" s="236"/>
      <c r="B3" s="237"/>
      <c r="C3" s="238" t="s">
        <v>53</v>
      </c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9"/>
    </row>
    <row r="4" spans="1:15" x14ac:dyDescent="0.25">
      <c r="A4" s="238" t="s">
        <v>0</v>
      </c>
      <c r="B4" s="238" t="s">
        <v>24</v>
      </c>
      <c r="C4" s="240">
        <v>45292</v>
      </c>
      <c r="D4" s="241">
        <v>45323</v>
      </c>
      <c r="E4" s="241">
        <v>45352</v>
      </c>
      <c r="F4" s="241">
        <v>45383</v>
      </c>
      <c r="G4" s="241">
        <v>45413</v>
      </c>
      <c r="H4" s="241">
        <v>45444</v>
      </c>
      <c r="I4" s="241">
        <v>45474</v>
      </c>
      <c r="J4" s="241">
        <v>45505</v>
      </c>
      <c r="K4" s="241">
        <v>45536</v>
      </c>
      <c r="L4" s="241">
        <v>45566</v>
      </c>
      <c r="M4" s="241">
        <v>45597</v>
      </c>
      <c r="N4" s="241">
        <v>45627</v>
      </c>
      <c r="O4" s="242" t="s">
        <v>18</v>
      </c>
    </row>
    <row r="5" spans="1:15" x14ac:dyDescent="0.25">
      <c r="A5" s="236" t="s">
        <v>14</v>
      </c>
      <c r="B5" s="236" t="s">
        <v>70</v>
      </c>
      <c r="C5" s="243">
        <v>1152550.94</v>
      </c>
      <c r="D5" s="244">
        <v>754415.54</v>
      </c>
      <c r="E5" s="244">
        <v>655392.12</v>
      </c>
      <c r="F5" s="244">
        <v>593119.66</v>
      </c>
      <c r="G5" s="244">
        <v>768707.58</v>
      </c>
      <c r="H5" s="244">
        <v>1021880.86</v>
      </c>
      <c r="I5" s="244">
        <v>981046.46</v>
      </c>
      <c r="J5" s="244">
        <v>1038214.62</v>
      </c>
      <c r="K5" s="244">
        <v>873856.16</v>
      </c>
      <c r="L5" s="244">
        <v>802395.96</v>
      </c>
      <c r="M5" s="244">
        <v>472658.18</v>
      </c>
      <c r="N5" s="244">
        <v>740123.5</v>
      </c>
      <c r="O5" s="245">
        <v>9854361.5800000001</v>
      </c>
    </row>
    <row r="6" spans="1:15" ht="13" x14ac:dyDescent="0.3">
      <c r="A6" s="246"/>
      <c r="B6" s="247" t="s">
        <v>25</v>
      </c>
      <c r="C6" s="255">
        <v>-10319.060000000056</v>
      </c>
      <c r="D6" s="256">
        <v>-6754.4599999999627</v>
      </c>
      <c r="E6" s="256">
        <v>-5867.8800000000047</v>
      </c>
      <c r="F6" s="256">
        <v>-5310.3399999999674</v>
      </c>
      <c r="G6" s="256">
        <v>-6882.4200000000419</v>
      </c>
      <c r="H6" s="256">
        <v>-9149.140000000014</v>
      </c>
      <c r="I6" s="256">
        <v>-8783.5400000000373</v>
      </c>
      <c r="J6" s="256">
        <v>-9295.3800000000047</v>
      </c>
      <c r="K6" s="256">
        <v>-7823.8399999999674</v>
      </c>
      <c r="L6" s="256">
        <v>-7184.0400000000373</v>
      </c>
      <c r="M6" s="256">
        <v>-4231.820000000007</v>
      </c>
      <c r="N6" s="256">
        <v>-6626.5</v>
      </c>
      <c r="O6" s="257">
        <v>-88228.4200000001</v>
      </c>
    </row>
    <row r="7" spans="1:15" ht="13" x14ac:dyDescent="0.3">
      <c r="A7" s="246"/>
      <c r="B7" s="247" t="s">
        <v>26</v>
      </c>
      <c r="C7" s="255">
        <v>-829.08033274750005</v>
      </c>
      <c r="D7" s="256">
        <v>-542.68411505792972</v>
      </c>
      <c r="E7" s="256">
        <v>-471.45223527360059</v>
      </c>
      <c r="F7" s="256">
        <v>-426.65692942984725</v>
      </c>
      <c r="G7" s="256">
        <v>-552.9650049237091</v>
      </c>
      <c r="H7" s="256">
        <v>-735.08362540323083</v>
      </c>
      <c r="I7" s="256">
        <v>-705.70965435814662</v>
      </c>
      <c r="J7" s="256">
        <v>-746.83321382126451</v>
      </c>
      <c r="K7" s="256">
        <v>-628.60298036480071</v>
      </c>
      <c r="L7" s="256">
        <v>-577.19853103590356</v>
      </c>
      <c r="M7" s="256">
        <v>-340.00371484684905</v>
      </c>
      <c r="N7" s="256">
        <v>-532.40322519215022</v>
      </c>
      <c r="O7" s="257">
        <v>-7088.6735624549319</v>
      </c>
    </row>
    <row r="8" spans="1:15" ht="13" x14ac:dyDescent="0.3">
      <c r="A8" s="246"/>
      <c r="B8" s="247" t="s">
        <v>27</v>
      </c>
      <c r="C8" s="255">
        <v>-11148.140332747556</v>
      </c>
      <c r="D8" s="256">
        <v>-7297.1441150578921</v>
      </c>
      <c r="E8" s="256">
        <v>-6339.332235273605</v>
      </c>
      <c r="F8" s="256">
        <v>-5736.9969294298144</v>
      </c>
      <c r="G8" s="256">
        <v>-7435.3850049237508</v>
      </c>
      <c r="H8" s="256">
        <v>-9884.223625403245</v>
      </c>
      <c r="I8" s="256">
        <v>-9489.2496543581838</v>
      </c>
      <c r="J8" s="256">
        <v>-10042.213213821269</v>
      </c>
      <c r="K8" s="256">
        <v>-8452.442980364769</v>
      </c>
      <c r="L8" s="256">
        <v>-7761.2385310359405</v>
      </c>
      <c r="M8" s="256">
        <v>-4571.8237148468561</v>
      </c>
      <c r="N8" s="256">
        <v>-7158.9032251921499</v>
      </c>
      <c r="O8" s="257">
        <v>-95317.093562455018</v>
      </c>
    </row>
    <row r="9" spans="1:15" x14ac:dyDescent="0.25">
      <c r="A9" s="246"/>
      <c r="B9" s="247" t="s">
        <v>49</v>
      </c>
      <c r="C9" s="248">
        <v>1162870</v>
      </c>
      <c r="D9" s="84">
        <v>761170</v>
      </c>
      <c r="E9" s="84">
        <v>661260</v>
      </c>
      <c r="F9" s="84">
        <v>598430</v>
      </c>
      <c r="G9" s="84">
        <v>775590</v>
      </c>
      <c r="H9" s="84">
        <v>1031030</v>
      </c>
      <c r="I9" s="84">
        <v>989830</v>
      </c>
      <c r="J9" s="84">
        <v>1047510</v>
      </c>
      <c r="K9" s="84">
        <v>881680</v>
      </c>
      <c r="L9" s="84">
        <v>809580</v>
      </c>
      <c r="M9" s="84">
        <v>476890</v>
      </c>
      <c r="N9" s="84">
        <v>746750</v>
      </c>
      <c r="O9" s="249">
        <v>9942590</v>
      </c>
    </row>
    <row r="10" spans="1:15" x14ac:dyDescent="0.25">
      <c r="A10" s="246"/>
      <c r="B10" s="247" t="s">
        <v>87</v>
      </c>
      <c r="C10" s="248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249">
        <v>0</v>
      </c>
    </row>
    <row r="11" spans="1:15" x14ac:dyDescent="0.25">
      <c r="A11" s="246"/>
      <c r="B11" s="247" t="s">
        <v>89</v>
      </c>
      <c r="C11" s="248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249">
        <v>0</v>
      </c>
    </row>
    <row r="12" spans="1:15" x14ac:dyDescent="0.25">
      <c r="A12" s="236" t="s">
        <v>17</v>
      </c>
      <c r="B12" s="236" t="s">
        <v>70</v>
      </c>
      <c r="C12" s="243">
        <v>106169.44</v>
      </c>
      <c r="D12" s="244">
        <v>101065.14</v>
      </c>
      <c r="E12" s="244">
        <v>101065.14</v>
      </c>
      <c r="F12" s="244">
        <v>101065.14</v>
      </c>
      <c r="G12" s="244">
        <v>108211.16</v>
      </c>
      <c r="H12" s="244">
        <v>122503.2</v>
      </c>
      <c r="I12" s="244">
        <v>119440.62</v>
      </c>
      <c r="J12" s="244">
        <v>120461.48</v>
      </c>
      <c r="K12" s="244">
        <v>119440.62</v>
      </c>
      <c r="L12" s="244">
        <v>109232.02</v>
      </c>
      <c r="M12" s="244">
        <v>92898.26</v>
      </c>
      <c r="N12" s="244">
        <v>104127.72</v>
      </c>
      <c r="O12" s="245">
        <v>1305679.94</v>
      </c>
    </row>
    <row r="13" spans="1:15" ht="13" x14ac:dyDescent="0.3">
      <c r="A13" s="246"/>
      <c r="B13" s="247" t="s">
        <v>25</v>
      </c>
      <c r="C13" s="255">
        <v>-950.55999999999767</v>
      </c>
      <c r="D13" s="256">
        <v>-904.86000000000058</v>
      </c>
      <c r="E13" s="256">
        <v>-904.86000000000058</v>
      </c>
      <c r="F13" s="256">
        <v>-904.86000000000058</v>
      </c>
      <c r="G13" s="256">
        <v>-968.83999999999651</v>
      </c>
      <c r="H13" s="256">
        <v>-1096.8000000000029</v>
      </c>
      <c r="I13" s="256">
        <v>-1069.3800000000047</v>
      </c>
      <c r="J13" s="256">
        <v>-1078.5200000000041</v>
      </c>
      <c r="K13" s="256">
        <v>-1069.3800000000047</v>
      </c>
      <c r="L13" s="256">
        <v>-977.97999999999593</v>
      </c>
      <c r="M13" s="256">
        <v>-831.74000000000524</v>
      </c>
      <c r="N13" s="256">
        <v>-932.27999999999884</v>
      </c>
      <c r="O13" s="257">
        <v>-11690.060000000012</v>
      </c>
    </row>
    <row r="14" spans="1:15" ht="13" x14ac:dyDescent="0.3">
      <c r="A14" s="246"/>
      <c r="B14" s="247" t="s">
        <v>26</v>
      </c>
      <c r="C14" s="255">
        <v>-76.372324717218788</v>
      </c>
      <c r="D14" s="256">
        <v>-72.700578336583263</v>
      </c>
      <c r="E14" s="256">
        <v>-72.700578336583263</v>
      </c>
      <c r="F14" s="256">
        <v>-72.700578336583263</v>
      </c>
      <c r="G14" s="256">
        <v>-77.841023269472998</v>
      </c>
      <c r="H14" s="256">
        <v>-88.121913135252441</v>
      </c>
      <c r="I14" s="256">
        <v>-85.91886530687114</v>
      </c>
      <c r="J14" s="256">
        <v>-86.653214582998231</v>
      </c>
      <c r="K14" s="256">
        <v>-85.91886530687114</v>
      </c>
      <c r="L14" s="256">
        <v>-78.575372545600089</v>
      </c>
      <c r="M14" s="256">
        <v>-66.825784127566436</v>
      </c>
      <c r="N14" s="256">
        <v>-74.903626164964578</v>
      </c>
      <c r="O14" s="257">
        <v>-939.2327241665655</v>
      </c>
    </row>
    <row r="15" spans="1:15" ht="13" x14ac:dyDescent="0.3">
      <c r="A15" s="246"/>
      <c r="B15" s="247" t="s">
        <v>27</v>
      </c>
      <c r="C15" s="255">
        <v>-1026.9323247172165</v>
      </c>
      <c r="D15" s="256">
        <v>-977.56057833658383</v>
      </c>
      <c r="E15" s="256">
        <v>-977.56057833658383</v>
      </c>
      <c r="F15" s="256">
        <v>-977.56057833658383</v>
      </c>
      <c r="G15" s="256">
        <v>-1046.6810232694695</v>
      </c>
      <c r="H15" s="256">
        <v>-1184.9219131352554</v>
      </c>
      <c r="I15" s="256">
        <v>-1155.2988653068758</v>
      </c>
      <c r="J15" s="256">
        <v>-1165.1732145830024</v>
      </c>
      <c r="K15" s="256">
        <v>-1155.2988653068758</v>
      </c>
      <c r="L15" s="256">
        <v>-1056.5553725455961</v>
      </c>
      <c r="M15" s="256">
        <v>-898.56578412757165</v>
      </c>
      <c r="N15" s="256">
        <v>-1007.1836261649635</v>
      </c>
      <c r="O15" s="257">
        <v>-12629.292724166578</v>
      </c>
    </row>
    <row r="16" spans="1:15" x14ac:dyDescent="0.25">
      <c r="A16" s="246"/>
      <c r="B16" s="247" t="s">
        <v>49</v>
      </c>
      <c r="C16" s="248">
        <v>107120</v>
      </c>
      <c r="D16" s="84">
        <v>101970</v>
      </c>
      <c r="E16" s="84">
        <v>101970</v>
      </c>
      <c r="F16" s="84">
        <v>101970</v>
      </c>
      <c r="G16" s="84">
        <v>109180</v>
      </c>
      <c r="H16" s="84">
        <v>123600</v>
      </c>
      <c r="I16" s="84">
        <v>120510</v>
      </c>
      <c r="J16" s="84">
        <v>121540</v>
      </c>
      <c r="K16" s="84">
        <v>120510</v>
      </c>
      <c r="L16" s="84">
        <v>110210</v>
      </c>
      <c r="M16" s="84">
        <v>93730</v>
      </c>
      <c r="N16" s="84">
        <v>105060</v>
      </c>
      <c r="O16" s="249">
        <v>1317370</v>
      </c>
    </row>
    <row r="17" spans="1:15" x14ac:dyDescent="0.25">
      <c r="A17" s="246"/>
      <c r="B17" s="247" t="s">
        <v>87</v>
      </c>
      <c r="C17" s="248">
        <v>0</v>
      </c>
      <c r="D17" s="84">
        <v>0</v>
      </c>
      <c r="E17" s="84">
        <v>0</v>
      </c>
      <c r="F17" s="84">
        <v>0</v>
      </c>
      <c r="G17" s="84">
        <v>0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  <c r="M17" s="84">
        <v>0</v>
      </c>
      <c r="N17" s="84">
        <v>0</v>
      </c>
      <c r="O17" s="249">
        <v>0</v>
      </c>
    </row>
    <row r="18" spans="1:15" x14ac:dyDescent="0.25">
      <c r="A18" s="246"/>
      <c r="B18" s="247" t="s">
        <v>89</v>
      </c>
      <c r="C18" s="248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0</v>
      </c>
      <c r="O18" s="249">
        <v>0</v>
      </c>
    </row>
    <row r="19" spans="1:15" x14ac:dyDescent="0.25">
      <c r="A19" s="236" t="s">
        <v>13</v>
      </c>
      <c r="B19" s="236" t="s">
        <v>70</v>
      </c>
      <c r="C19" s="243">
        <v>1482288.72</v>
      </c>
      <c r="D19" s="244">
        <v>986150.76</v>
      </c>
      <c r="E19" s="244">
        <v>747269.52</v>
      </c>
      <c r="F19" s="244">
        <v>558410.42000000004</v>
      </c>
      <c r="G19" s="244">
        <v>762582.42</v>
      </c>
      <c r="H19" s="244">
        <v>936128.62</v>
      </c>
      <c r="I19" s="244">
        <v>969817</v>
      </c>
      <c r="J19" s="244">
        <v>959608.4</v>
      </c>
      <c r="K19" s="244">
        <v>833021.76</v>
      </c>
      <c r="L19" s="244">
        <v>697247.38</v>
      </c>
      <c r="M19" s="244">
        <v>535951.5</v>
      </c>
      <c r="N19" s="244">
        <v>881002.18</v>
      </c>
      <c r="O19" s="245">
        <v>10349478.68</v>
      </c>
    </row>
    <row r="20" spans="1:15" ht="13" x14ac:dyDescent="0.3">
      <c r="A20" s="246"/>
      <c r="B20" s="247" t="s">
        <v>25</v>
      </c>
      <c r="C20" s="255">
        <v>-13271.280000000028</v>
      </c>
      <c r="D20" s="256">
        <v>-8829.2399999999907</v>
      </c>
      <c r="E20" s="256">
        <v>-6690.4799999999814</v>
      </c>
      <c r="F20" s="256">
        <v>-4999.5799999999581</v>
      </c>
      <c r="G20" s="256">
        <v>-6827.5799999999581</v>
      </c>
      <c r="H20" s="256">
        <v>-8381.3800000000047</v>
      </c>
      <c r="I20" s="256">
        <v>-8683</v>
      </c>
      <c r="J20" s="256">
        <v>-8591.5999999999767</v>
      </c>
      <c r="K20" s="256">
        <v>-7458.2399999999907</v>
      </c>
      <c r="L20" s="256">
        <v>-6242.6199999999953</v>
      </c>
      <c r="M20" s="256">
        <v>-4798.5</v>
      </c>
      <c r="N20" s="256">
        <v>-7887.8199999999488</v>
      </c>
      <c r="O20" s="257">
        <v>-92661.319999999832</v>
      </c>
    </row>
    <row r="21" spans="1:15" ht="13" x14ac:dyDescent="0.3">
      <c r="A21" s="246"/>
      <c r="B21" s="247" t="s">
        <v>26</v>
      </c>
      <c r="C21" s="255">
        <v>-1066.2751489365546</v>
      </c>
      <c r="D21" s="256">
        <v>-709.38140073878219</v>
      </c>
      <c r="E21" s="256">
        <v>-537.54367012503997</v>
      </c>
      <c r="F21" s="256">
        <v>-401.68905404152571</v>
      </c>
      <c r="G21" s="256">
        <v>-548.55890926694656</v>
      </c>
      <c r="H21" s="256">
        <v>-673.39828620855417</v>
      </c>
      <c r="I21" s="256">
        <v>-697.63181232074862</v>
      </c>
      <c r="J21" s="256">
        <v>-690.28831955947749</v>
      </c>
      <c r="K21" s="256">
        <v>-599.22900931971662</v>
      </c>
      <c r="L21" s="256">
        <v>-501.56055559481189</v>
      </c>
      <c r="M21" s="256">
        <v>-385.53336996672948</v>
      </c>
      <c r="N21" s="256">
        <v>-633.74342529769046</v>
      </c>
      <c r="O21" s="257">
        <v>-7444.8329613765782</v>
      </c>
    </row>
    <row r="22" spans="1:15" ht="13" x14ac:dyDescent="0.3">
      <c r="A22" s="246"/>
      <c r="B22" s="247" t="s">
        <v>27</v>
      </c>
      <c r="C22" s="255">
        <v>-14337.555148936583</v>
      </c>
      <c r="D22" s="256">
        <v>-9538.6214007387734</v>
      </c>
      <c r="E22" s="256">
        <v>-7228.0236701250215</v>
      </c>
      <c r="F22" s="256">
        <v>-5401.2690540414842</v>
      </c>
      <c r="G22" s="256">
        <v>-7376.1389092669051</v>
      </c>
      <c r="H22" s="256">
        <v>-9054.7782862085587</v>
      </c>
      <c r="I22" s="256">
        <v>-9380.6318123207493</v>
      </c>
      <c r="J22" s="256">
        <v>-9281.8883195594535</v>
      </c>
      <c r="K22" s="256">
        <v>-8057.4690093197078</v>
      </c>
      <c r="L22" s="256">
        <v>-6744.1805555948076</v>
      </c>
      <c r="M22" s="256">
        <v>-5184.0333699667299</v>
      </c>
      <c r="N22" s="256">
        <v>-8521.5634252976397</v>
      </c>
      <c r="O22" s="257">
        <v>-100106.15296137643</v>
      </c>
    </row>
    <row r="23" spans="1:15" x14ac:dyDescent="0.25">
      <c r="A23" s="246"/>
      <c r="B23" s="247" t="s">
        <v>49</v>
      </c>
      <c r="C23" s="248">
        <v>1495560</v>
      </c>
      <c r="D23" s="84">
        <v>994980</v>
      </c>
      <c r="E23" s="84">
        <v>753960</v>
      </c>
      <c r="F23" s="84">
        <v>563410</v>
      </c>
      <c r="G23" s="84">
        <v>769410</v>
      </c>
      <c r="H23" s="84">
        <v>944510</v>
      </c>
      <c r="I23" s="84">
        <v>978500</v>
      </c>
      <c r="J23" s="84">
        <v>968200</v>
      </c>
      <c r="K23" s="84">
        <v>840480</v>
      </c>
      <c r="L23" s="84">
        <v>703490</v>
      </c>
      <c r="M23" s="84">
        <v>540750</v>
      </c>
      <c r="N23" s="84">
        <v>888890</v>
      </c>
      <c r="O23" s="249">
        <v>10442140</v>
      </c>
    </row>
    <row r="24" spans="1:15" x14ac:dyDescent="0.25">
      <c r="A24" s="246"/>
      <c r="B24" s="247" t="s">
        <v>87</v>
      </c>
      <c r="C24" s="248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249">
        <v>0</v>
      </c>
    </row>
    <row r="25" spans="1:15" x14ac:dyDescent="0.25">
      <c r="A25" s="246"/>
      <c r="B25" s="247" t="s">
        <v>89</v>
      </c>
      <c r="C25" s="248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249">
        <v>0</v>
      </c>
    </row>
    <row r="26" spans="1:15" x14ac:dyDescent="0.25">
      <c r="A26" s="236" t="s">
        <v>15</v>
      </c>
      <c r="B26" s="236" t="s">
        <v>70</v>
      </c>
      <c r="C26" s="243">
        <v>8166.88</v>
      </c>
      <c r="D26" s="244">
        <v>5104.3</v>
      </c>
      <c r="E26" s="244">
        <v>5104.3</v>
      </c>
      <c r="F26" s="244">
        <v>6125.16</v>
      </c>
      <c r="G26" s="244">
        <v>9187.74</v>
      </c>
      <c r="H26" s="244">
        <v>14292.04</v>
      </c>
      <c r="I26" s="244">
        <v>17354.62</v>
      </c>
      <c r="J26" s="244">
        <v>19396.34</v>
      </c>
      <c r="K26" s="244">
        <v>11229.460000000001</v>
      </c>
      <c r="L26" s="244">
        <v>6125.16</v>
      </c>
      <c r="M26" s="244">
        <v>6125.16</v>
      </c>
      <c r="N26" s="244">
        <v>6125.16</v>
      </c>
      <c r="O26" s="245">
        <v>114336.32000000001</v>
      </c>
    </row>
    <row r="27" spans="1:15" ht="13" x14ac:dyDescent="0.3">
      <c r="A27" s="246"/>
      <c r="B27" s="247" t="s">
        <v>25</v>
      </c>
      <c r="C27" s="255">
        <v>-73.119999999999891</v>
      </c>
      <c r="D27" s="256">
        <v>-45.699999999999818</v>
      </c>
      <c r="E27" s="256">
        <v>-45.699999999999818</v>
      </c>
      <c r="F27" s="256">
        <v>-54.840000000000146</v>
      </c>
      <c r="G27" s="256">
        <v>-82.260000000000218</v>
      </c>
      <c r="H27" s="256">
        <v>-127.95999999999913</v>
      </c>
      <c r="I27" s="256">
        <v>-155.38000000000102</v>
      </c>
      <c r="J27" s="256">
        <v>-173.65999999999985</v>
      </c>
      <c r="K27" s="256">
        <v>-100.53999999999905</v>
      </c>
      <c r="L27" s="256">
        <v>-54.840000000000146</v>
      </c>
      <c r="M27" s="256">
        <v>-54.840000000000146</v>
      </c>
      <c r="N27" s="256">
        <v>-54.840000000000146</v>
      </c>
      <c r="O27" s="257">
        <v>-1023.6799999999994</v>
      </c>
    </row>
    <row r="28" spans="1:15" ht="13" x14ac:dyDescent="0.3">
      <c r="A28" s="246"/>
      <c r="B28" s="247" t="s">
        <v>26</v>
      </c>
      <c r="C28" s="255">
        <v>-5.8747942090168301</v>
      </c>
      <c r="D28" s="256">
        <v>-3.6717463806355188</v>
      </c>
      <c r="E28" s="256">
        <v>-3.6717463806355188</v>
      </c>
      <c r="F28" s="256">
        <v>-4.4060956567626226</v>
      </c>
      <c r="G28" s="256">
        <v>-6.6091434851439335</v>
      </c>
      <c r="H28" s="256">
        <v>-10.280889865779452</v>
      </c>
      <c r="I28" s="256">
        <v>-12.483937694160764</v>
      </c>
      <c r="J28" s="256">
        <v>-13.952636246414972</v>
      </c>
      <c r="K28" s="256">
        <v>-8.0778420373981401</v>
      </c>
      <c r="L28" s="256">
        <v>-4.4060956567626226</v>
      </c>
      <c r="M28" s="256">
        <v>-4.4060956567626226</v>
      </c>
      <c r="N28" s="256">
        <v>-4.4060956567626226</v>
      </c>
      <c r="O28" s="257">
        <v>-82.247118926235601</v>
      </c>
    </row>
    <row r="29" spans="1:15" ht="13" x14ac:dyDescent="0.3">
      <c r="A29" s="246"/>
      <c r="B29" s="247" t="s">
        <v>27</v>
      </c>
      <c r="C29" s="255">
        <v>-78.994794209016717</v>
      </c>
      <c r="D29" s="256">
        <v>-49.371746380635336</v>
      </c>
      <c r="E29" s="256">
        <v>-49.371746380635336</v>
      </c>
      <c r="F29" s="256">
        <v>-59.246095656762769</v>
      </c>
      <c r="G29" s="256">
        <v>-88.86914348514415</v>
      </c>
      <c r="H29" s="256">
        <v>-138.24088986577857</v>
      </c>
      <c r="I29" s="256">
        <v>-167.86393769416179</v>
      </c>
      <c r="J29" s="256">
        <v>-187.61263624641484</v>
      </c>
      <c r="K29" s="256">
        <v>-108.6178420373972</v>
      </c>
      <c r="L29" s="256">
        <v>-59.246095656762769</v>
      </c>
      <c r="M29" s="256">
        <v>-59.246095656762769</v>
      </c>
      <c r="N29" s="256">
        <v>-59.246095656762769</v>
      </c>
      <c r="O29" s="257">
        <v>-1105.9271189262349</v>
      </c>
    </row>
    <row r="30" spans="1:15" x14ac:dyDescent="0.25">
      <c r="A30" s="246"/>
      <c r="B30" s="247" t="s">
        <v>49</v>
      </c>
      <c r="C30" s="248">
        <v>8240</v>
      </c>
      <c r="D30" s="84">
        <v>5150</v>
      </c>
      <c r="E30" s="84">
        <v>5150</v>
      </c>
      <c r="F30" s="84">
        <v>6180</v>
      </c>
      <c r="G30" s="84">
        <v>9270</v>
      </c>
      <c r="H30" s="84">
        <v>14420</v>
      </c>
      <c r="I30" s="84">
        <v>17510</v>
      </c>
      <c r="J30" s="84">
        <v>19570</v>
      </c>
      <c r="K30" s="84">
        <v>11330</v>
      </c>
      <c r="L30" s="84">
        <v>6180</v>
      </c>
      <c r="M30" s="84">
        <v>6180</v>
      </c>
      <c r="N30" s="84">
        <v>6180</v>
      </c>
      <c r="O30" s="249">
        <v>115360</v>
      </c>
    </row>
    <row r="31" spans="1:15" x14ac:dyDescent="0.25">
      <c r="A31" s="246"/>
      <c r="B31" s="247" t="s">
        <v>87</v>
      </c>
      <c r="C31" s="248">
        <v>0</v>
      </c>
      <c r="D31" s="84">
        <v>0</v>
      </c>
      <c r="E31" s="84">
        <v>0</v>
      </c>
      <c r="F31" s="84">
        <v>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249">
        <v>0</v>
      </c>
    </row>
    <row r="32" spans="1:15" x14ac:dyDescent="0.25">
      <c r="A32" s="246"/>
      <c r="B32" s="247" t="s">
        <v>89</v>
      </c>
      <c r="C32" s="248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249">
        <v>0</v>
      </c>
    </row>
    <row r="33" spans="1:15" x14ac:dyDescent="0.25">
      <c r="A33" s="236" t="s">
        <v>16</v>
      </c>
      <c r="B33" s="236" t="s">
        <v>70</v>
      </c>
      <c r="C33" s="243">
        <v>4083.44</v>
      </c>
      <c r="D33" s="244">
        <v>3062.58</v>
      </c>
      <c r="E33" s="244">
        <v>3062.58</v>
      </c>
      <c r="F33" s="244">
        <v>2041.72</v>
      </c>
      <c r="G33" s="244">
        <v>4083.44</v>
      </c>
      <c r="H33" s="244">
        <v>4083.44</v>
      </c>
      <c r="I33" s="244">
        <v>6125.16</v>
      </c>
      <c r="J33" s="244">
        <v>6125.16</v>
      </c>
      <c r="K33" s="244">
        <v>3062.58</v>
      </c>
      <c r="L33" s="244">
        <v>6125.16</v>
      </c>
      <c r="M33" s="244">
        <v>1020.86</v>
      </c>
      <c r="N33" s="244">
        <v>3062.58</v>
      </c>
      <c r="O33" s="245">
        <v>45938.7</v>
      </c>
    </row>
    <row r="34" spans="1:15" ht="13" x14ac:dyDescent="0.3">
      <c r="A34" s="246"/>
      <c r="B34" s="247" t="s">
        <v>25</v>
      </c>
      <c r="C34" s="255">
        <v>-36.559999999999945</v>
      </c>
      <c r="D34" s="256">
        <v>-27.420000000000073</v>
      </c>
      <c r="E34" s="256">
        <v>-27.420000000000073</v>
      </c>
      <c r="F34" s="256">
        <v>-18.279999999999973</v>
      </c>
      <c r="G34" s="256">
        <v>-36.559999999999945</v>
      </c>
      <c r="H34" s="256">
        <v>-36.559999999999945</v>
      </c>
      <c r="I34" s="256">
        <v>-54.840000000000146</v>
      </c>
      <c r="J34" s="256">
        <v>-54.840000000000146</v>
      </c>
      <c r="K34" s="256">
        <v>-27.420000000000073</v>
      </c>
      <c r="L34" s="256">
        <v>-54.840000000000146</v>
      </c>
      <c r="M34" s="256">
        <v>-9.1399999999999864</v>
      </c>
      <c r="N34" s="256">
        <v>-27.420000000000073</v>
      </c>
      <c r="O34" s="257">
        <v>-411.30000000000052</v>
      </c>
    </row>
    <row r="35" spans="1:15" ht="13" x14ac:dyDescent="0.3">
      <c r="A35" s="246"/>
      <c r="B35" s="247" t="s">
        <v>26</v>
      </c>
      <c r="C35" s="255">
        <v>-2.9373971045084151</v>
      </c>
      <c r="D35" s="256">
        <v>-2.2030478283813113</v>
      </c>
      <c r="E35" s="256">
        <v>-2.2030478283813113</v>
      </c>
      <c r="F35" s="256">
        <v>-1.4686985522542075</v>
      </c>
      <c r="G35" s="256">
        <v>-2.9373971045084151</v>
      </c>
      <c r="H35" s="256">
        <v>-2.9373971045084151</v>
      </c>
      <c r="I35" s="256">
        <v>-4.4060956567626226</v>
      </c>
      <c r="J35" s="256">
        <v>-4.4060956567626226</v>
      </c>
      <c r="K35" s="256">
        <v>-2.2030478283813113</v>
      </c>
      <c r="L35" s="256">
        <v>-4.4060956567626226</v>
      </c>
      <c r="M35" s="256">
        <v>-0.73434927612710377</v>
      </c>
      <c r="N35" s="256">
        <v>-2.2030478283813113</v>
      </c>
      <c r="O35" s="257">
        <v>-33.045717425719673</v>
      </c>
    </row>
    <row r="36" spans="1:15" ht="13" x14ac:dyDescent="0.3">
      <c r="A36" s="246"/>
      <c r="B36" s="247" t="s">
        <v>27</v>
      </c>
      <c r="C36" s="255">
        <v>-39.497397104508359</v>
      </c>
      <c r="D36" s="256">
        <v>-29.623047828381385</v>
      </c>
      <c r="E36" s="256">
        <v>-29.623047828381385</v>
      </c>
      <c r="F36" s="256">
        <v>-19.748698552254179</v>
      </c>
      <c r="G36" s="256">
        <v>-39.497397104508359</v>
      </c>
      <c r="H36" s="256">
        <v>-39.497397104508359</v>
      </c>
      <c r="I36" s="256">
        <v>-59.246095656762769</v>
      </c>
      <c r="J36" s="256">
        <v>-59.246095656762769</v>
      </c>
      <c r="K36" s="256">
        <v>-29.623047828381385</v>
      </c>
      <c r="L36" s="256">
        <v>-59.246095656762769</v>
      </c>
      <c r="M36" s="256">
        <v>-9.8743492761270897</v>
      </c>
      <c r="N36" s="256">
        <v>-29.623047828381385</v>
      </c>
      <c r="O36" s="257">
        <v>-444.34571742572018</v>
      </c>
    </row>
    <row r="37" spans="1:15" x14ac:dyDescent="0.25">
      <c r="A37" s="246"/>
      <c r="B37" s="247" t="s">
        <v>49</v>
      </c>
      <c r="C37" s="248">
        <v>4120</v>
      </c>
      <c r="D37" s="84">
        <v>3090</v>
      </c>
      <c r="E37" s="84">
        <v>3090</v>
      </c>
      <c r="F37" s="84">
        <v>2060</v>
      </c>
      <c r="G37" s="84">
        <v>4120</v>
      </c>
      <c r="H37" s="84">
        <v>4120</v>
      </c>
      <c r="I37" s="84">
        <v>6180</v>
      </c>
      <c r="J37" s="84">
        <v>6180</v>
      </c>
      <c r="K37" s="84">
        <v>3090</v>
      </c>
      <c r="L37" s="84">
        <v>6180</v>
      </c>
      <c r="M37" s="84">
        <v>1030</v>
      </c>
      <c r="N37" s="84">
        <v>3090</v>
      </c>
      <c r="O37" s="249">
        <v>46350</v>
      </c>
    </row>
    <row r="38" spans="1:15" x14ac:dyDescent="0.25">
      <c r="A38" s="246"/>
      <c r="B38" s="247" t="s">
        <v>87</v>
      </c>
      <c r="C38" s="248">
        <v>0</v>
      </c>
      <c r="D38" s="84">
        <v>0</v>
      </c>
      <c r="E38" s="84">
        <v>0</v>
      </c>
      <c r="F38" s="84">
        <v>0</v>
      </c>
      <c r="G38" s="84">
        <v>0</v>
      </c>
      <c r="H38" s="84">
        <v>0</v>
      </c>
      <c r="I38" s="84">
        <v>0</v>
      </c>
      <c r="J38" s="84">
        <v>0</v>
      </c>
      <c r="K38" s="84">
        <v>0</v>
      </c>
      <c r="L38" s="84">
        <v>0</v>
      </c>
      <c r="M38" s="84">
        <v>0</v>
      </c>
      <c r="N38" s="84">
        <v>0</v>
      </c>
      <c r="O38" s="249">
        <v>0</v>
      </c>
    </row>
    <row r="39" spans="1:15" x14ac:dyDescent="0.25">
      <c r="A39" s="246"/>
      <c r="B39" s="247" t="s">
        <v>89</v>
      </c>
      <c r="C39" s="248">
        <v>0</v>
      </c>
      <c r="D39" s="84">
        <v>0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0</v>
      </c>
      <c r="O39" s="249">
        <v>0</v>
      </c>
    </row>
    <row r="40" spans="1:15" x14ac:dyDescent="0.25">
      <c r="A40" s="236" t="s">
        <v>19</v>
      </c>
      <c r="B40" s="236" t="s">
        <v>70</v>
      </c>
      <c r="C40" s="243">
        <v>66355.899999999994</v>
      </c>
      <c r="D40" s="244">
        <v>66355.899999999994</v>
      </c>
      <c r="E40" s="244">
        <v>65335.040000000001</v>
      </c>
      <c r="F40" s="244">
        <v>66355.899999999994</v>
      </c>
      <c r="G40" s="244">
        <v>52063.86</v>
      </c>
      <c r="H40" s="244">
        <v>60230.74</v>
      </c>
      <c r="I40" s="244">
        <v>68397.62</v>
      </c>
      <c r="J40" s="244">
        <v>71460.2</v>
      </c>
      <c r="K40" s="244">
        <v>73501.919999999998</v>
      </c>
      <c r="L40" s="244">
        <v>74522.78</v>
      </c>
      <c r="M40" s="244">
        <v>73501.919999999998</v>
      </c>
      <c r="N40" s="244">
        <v>66355.899999999994</v>
      </c>
      <c r="O40" s="245">
        <v>804437.68</v>
      </c>
    </row>
    <row r="41" spans="1:15" ht="13" x14ac:dyDescent="0.3">
      <c r="A41" s="246"/>
      <c r="B41" s="247" t="s">
        <v>25</v>
      </c>
      <c r="C41" s="255">
        <v>-594.10000000000582</v>
      </c>
      <c r="D41" s="256">
        <v>-594.10000000000582</v>
      </c>
      <c r="E41" s="256">
        <v>-584.95999999999913</v>
      </c>
      <c r="F41" s="256">
        <v>-594.10000000000582</v>
      </c>
      <c r="G41" s="256">
        <v>-466.13999999999942</v>
      </c>
      <c r="H41" s="256">
        <v>-539.26000000000204</v>
      </c>
      <c r="I41" s="256">
        <v>-612.38000000000466</v>
      </c>
      <c r="J41" s="256">
        <v>-639.80000000000291</v>
      </c>
      <c r="K41" s="256">
        <v>-658.08000000000175</v>
      </c>
      <c r="L41" s="256">
        <v>-667.22000000000116</v>
      </c>
      <c r="M41" s="256">
        <v>-658.08000000000175</v>
      </c>
      <c r="N41" s="256">
        <v>-594.10000000000582</v>
      </c>
      <c r="O41" s="257">
        <v>-7202.3200000000361</v>
      </c>
    </row>
    <row r="42" spans="1:15" ht="13" x14ac:dyDescent="0.3">
      <c r="A42" s="246"/>
      <c r="B42" s="247" t="s">
        <v>26</v>
      </c>
      <c r="C42" s="255">
        <v>-47.732702948261746</v>
      </c>
      <c r="D42" s="256">
        <v>-47.732702948261746</v>
      </c>
      <c r="E42" s="256">
        <v>-46.998353672134641</v>
      </c>
      <c r="F42" s="256">
        <v>-47.732702948261746</v>
      </c>
      <c r="G42" s="256">
        <v>-37.451813082482289</v>
      </c>
      <c r="H42" s="256">
        <v>-43.326607291499116</v>
      </c>
      <c r="I42" s="256">
        <v>-49.201401500515949</v>
      </c>
      <c r="J42" s="256">
        <v>-51.404449328897257</v>
      </c>
      <c r="K42" s="256">
        <v>-52.873147881151468</v>
      </c>
      <c r="L42" s="256">
        <v>-53.607497157278566</v>
      </c>
      <c r="M42" s="256">
        <v>-52.873147881151468</v>
      </c>
      <c r="N42" s="256">
        <v>-47.732702948261746</v>
      </c>
      <c r="O42" s="257">
        <v>-578.66722958815774</v>
      </c>
    </row>
    <row r="43" spans="1:15" ht="13" x14ac:dyDescent="0.3">
      <c r="A43" s="246"/>
      <c r="B43" s="247" t="s">
        <v>27</v>
      </c>
      <c r="C43" s="255">
        <v>-641.83270294826752</v>
      </c>
      <c r="D43" s="256">
        <v>-641.83270294826752</v>
      </c>
      <c r="E43" s="256">
        <v>-631.95835367213374</v>
      </c>
      <c r="F43" s="256">
        <v>-641.83270294826752</v>
      </c>
      <c r="G43" s="256">
        <v>-503.59181308248174</v>
      </c>
      <c r="H43" s="256">
        <v>-582.5866072915012</v>
      </c>
      <c r="I43" s="256">
        <v>-661.58140150052066</v>
      </c>
      <c r="J43" s="256">
        <v>-691.20444932890018</v>
      </c>
      <c r="K43" s="256">
        <v>-710.9531478811532</v>
      </c>
      <c r="L43" s="256">
        <v>-720.82749715727971</v>
      </c>
      <c r="M43" s="256">
        <v>-710.9531478811532</v>
      </c>
      <c r="N43" s="256">
        <v>-641.83270294826752</v>
      </c>
      <c r="O43" s="257">
        <v>-7780.9872295881942</v>
      </c>
    </row>
    <row r="44" spans="1:15" x14ac:dyDescent="0.25">
      <c r="A44" s="246"/>
      <c r="B44" s="247" t="s">
        <v>49</v>
      </c>
      <c r="C44" s="248">
        <v>66950</v>
      </c>
      <c r="D44" s="84">
        <v>66950</v>
      </c>
      <c r="E44" s="84">
        <v>65920</v>
      </c>
      <c r="F44" s="84">
        <v>66950</v>
      </c>
      <c r="G44" s="84">
        <v>52530</v>
      </c>
      <c r="H44" s="84">
        <v>60770</v>
      </c>
      <c r="I44" s="84">
        <v>69010</v>
      </c>
      <c r="J44" s="84">
        <v>72100</v>
      </c>
      <c r="K44" s="84">
        <v>74160</v>
      </c>
      <c r="L44" s="84">
        <v>75190</v>
      </c>
      <c r="M44" s="84">
        <v>74160</v>
      </c>
      <c r="N44" s="84">
        <v>66950</v>
      </c>
      <c r="O44" s="249">
        <v>811640</v>
      </c>
    </row>
    <row r="45" spans="1:15" x14ac:dyDescent="0.25">
      <c r="A45" s="246"/>
      <c r="B45" s="247" t="s">
        <v>87</v>
      </c>
      <c r="C45" s="248">
        <v>0</v>
      </c>
      <c r="D45" s="84">
        <v>0</v>
      </c>
      <c r="E45" s="84">
        <v>0</v>
      </c>
      <c r="F45" s="84">
        <v>0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  <c r="L45" s="84">
        <v>0</v>
      </c>
      <c r="M45" s="84">
        <v>0</v>
      </c>
      <c r="N45" s="84">
        <v>0</v>
      </c>
      <c r="O45" s="249">
        <v>0</v>
      </c>
    </row>
    <row r="46" spans="1:15" x14ac:dyDescent="0.25">
      <c r="A46" s="246"/>
      <c r="B46" s="247" t="s">
        <v>89</v>
      </c>
      <c r="C46" s="248">
        <v>0</v>
      </c>
      <c r="D46" s="84">
        <v>0</v>
      </c>
      <c r="E46" s="84">
        <v>0</v>
      </c>
      <c r="F46" s="84">
        <v>0</v>
      </c>
      <c r="G46" s="84">
        <v>0</v>
      </c>
      <c r="H46" s="84">
        <v>0</v>
      </c>
      <c r="I46" s="84">
        <v>0</v>
      </c>
      <c r="J46" s="84">
        <v>0</v>
      </c>
      <c r="K46" s="84">
        <v>0</v>
      </c>
      <c r="L46" s="84">
        <v>0</v>
      </c>
      <c r="M46" s="84">
        <v>0</v>
      </c>
      <c r="N46" s="84">
        <v>0</v>
      </c>
      <c r="O46" s="249">
        <v>0</v>
      </c>
    </row>
    <row r="47" spans="1:15" x14ac:dyDescent="0.25">
      <c r="A47" s="236" t="s">
        <v>8</v>
      </c>
      <c r="B47" s="236" t="s">
        <v>70</v>
      </c>
      <c r="C47" s="243">
        <v>95960.84</v>
      </c>
      <c r="D47" s="244">
        <v>63293.32</v>
      </c>
      <c r="E47" s="244">
        <v>61251.6</v>
      </c>
      <c r="F47" s="244">
        <v>93919.12</v>
      </c>
      <c r="G47" s="244">
        <v>120461.48</v>
      </c>
      <c r="H47" s="244">
        <v>145982.98000000001</v>
      </c>
      <c r="I47" s="244">
        <v>154149.86000000002</v>
      </c>
      <c r="J47" s="244">
        <v>160275.01999999999</v>
      </c>
      <c r="K47" s="244">
        <v>149045.56</v>
      </c>
      <c r="L47" s="244">
        <v>118419.76</v>
      </c>
      <c r="M47" s="244">
        <v>63293.32</v>
      </c>
      <c r="N47" s="244">
        <v>78606.22</v>
      </c>
      <c r="O47" s="245">
        <v>1304659.08</v>
      </c>
    </row>
    <row r="48" spans="1:15" ht="13" x14ac:dyDescent="0.3">
      <c r="A48" s="246"/>
      <c r="B48" s="247" t="s">
        <v>25</v>
      </c>
      <c r="C48" s="255">
        <v>-859.16000000000349</v>
      </c>
      <c r="D48" s="256">
        <v>-566.68000000000029</v>
      </c>
      <c r="E48" s="256">
        <v>-548.40000000000146</v>
      </c>
      <c r="F48" s="256">
        <v>-840.88000000000466</v>
      </c>
      <c r="G48" s="256">
        <v>-1078.5200000000041</v>
      </c>
      <c r="H48" s="256">
        <v>-1307.0199999999895</v>
      </c>
      <c r="I48" s="256">
        <v>-1380.1399999999849</v>
      </c>
      <c r="J48" s="256">
        <v>-1434.9800000000105</v>
      </c>
      <c r="K48" s="256">
        <v>-1334.4400000000023</v>
      </c>
      <c r="L48" s="256">
        <v>-1060.2400000000052</v>
      </c>
      <c r="M48" s="256">
        <v>-566.68000000000029</v>
      </c>
      <c r="N48" s="256">
        <v>-703.77999999999884</v>
      </c>
      <c r="O48" s="257">
        <v>-11680.920000000006</v>
      </c>
    </row>
    <row r="49" spans="1:15" ht="13" x14ac:dyDescent="0.3">
      <c r="A49" s="246"/>
      <c r="B49" s="247" t="s">
        <v>26</v>
      </c>
      <c r="C49" s="255">
        <v>-69.028831955947751</v>
      </c>
      <c r="D49" s="256">
        <v>-45.529655119880431</v>
      </c>
      <c r="E49" s="256">
        <v>-44.060956567626221</v>
      </c>
      <c r="F49" s="256">
        <v>-67.560133403693541</v>
      </c>
      <c r="G49" s="256">
        <v>-86.653214582998231</v>
      </c>
      <c r="H49" s="256">
        <v>-105.01194648617583</v>
      </c>
      <c r="I49" s="256">
        <v>-110.88674069519266</v>
      </c>
      <c r="J49" s="256">
        <v>-115.29283635195527</v>
      </c>
      <c r="K49" s="256">
        <v>-107.21499431455713</v>
      </c>
      <c r="L49" s="256">
        <v>-85.184516030744021</v>
      </c>
      <c r="M49" s="256">
        <v>-45.529655119880431</v>
      </c>
      <c r="N49" s="256">
        <v>-56.544894261786986</v>
      </c>
      <c r="O49" s="257">
        <v>-938.49837489043853</v>
      </c>
    </row>
    <row r="50" spans="1:15" ht="13" x14ac:dyDescent="0.3">
      <c r="A50" s="246"/>
      <c r="B50" s="247" t="s">
        <v>27</v>
      </c>
      <c r="C50" s="255">
        <v>-928.18883195595129</v>
      </c>
      <c r="D50" s="256">
        <v>-612.20965511988072</v>
      </c>
      <c r="E50" s="256">
        <v>-592.4609565676277</v>
      </c>
      <c r="F50" s="256">
        <v>-908.44013340369816</v>
      </c>
      <c r="G50" s="256">
        <v>-1165.1732145830024</v>
      </c>
      <c r="H50" s="256">
        <v>-1412.0319464861655</v>
      </c>
      <c r="I50" s="256">
        <v>-1491.0267406951775</v>
      </c>
      <c r="J50" s="256">
        <v>-1550.2728363519657</v>
      </c>
      <c r="K50" s="256">
        <v>-1441.6549943145594</v>
      </c>
      <c r="L50" s="256">
        <v>-1145.4245160307491</v>
      </c>
      <c r="M50" s="256">
        <v>-612.20965511988072</v>
      </c>
      <c r="N50" s="256">
        <v>-760.32489426178586</v>
      </c>
      <c r="O50" s="257">
        <v>-12619.418374890445</v>
      </c>
    </row>
    <row r="51" spans="1:15" x14ac:dyDescent="0.25">
      <c r="A51" s="246"/>
      <c r="B51" s="247" t="s">
        <v>49</v>
      </c>
      <c r="C51" s="248">
        <v>96820</v>
      </c>
      <c r="D51" s="84">
        <v>63860</v>
      </c>
      <c r="E51" s="84">
        <v>61800</v>
      </c>
      <c r="F51" s="84">
        <v>94760</v>
      </c>
      <c r="G51" s="84">
        <v>121540</v>
      </c>
      <c r="H51" s="84">
        <v>147290</v>
      </c>
      <c r="I51" s="84">
        <v>155530</v>
      </c>
      <c r="J51" s="84">
        <v>161710</v>
      </c>
      <c r="K51" s="84">
        <v>150380</v>
      </c>
      <c r="L51" s="84">
        <v>119480</v>
      </c>
      <c r="M51" s="84">
        <v>63860</v>
      </c>
      <c r="N51" s="84">
        <v>79310</v>
      </c>
      <c r="O51" s="249">
        <v>1316340</v>
      </c>
    </row>
    <row r="52" spans="1:15" x14ac:dyDescent="0.25">
      <c r="A52" s="246"/>
      <c r="B52" s="247" t="s">
        <v>87</v>
      </c>
      <c r="C52" s="248">
        <v>0</v>
      </c>
      <c r="D52" s="84">
        <v>0</v>
      </c>
      <c r="E52" s="84">
        <v>0</v>
      </c>
      <c r="F52" s="84">
        <v>0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249">
        <v>0</v>
      </c>
    </row>
    <row r="53" spans="1:15" x14ac:dyDescent="0.25">
      <c r="A53" s="246"/>
      <c r="B53" s="247" t="s">
        <v>89</v>
      </c>
      <c r="C53" s="248">
        <v>0</v>
      </c>
      <c r="D53" s="84">
        <v>0</v>
      </c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249">
        <v>0</v>
      </c>
    </row>
    <row r="54" spans="1:15" x14ac:dyDescent="0.25">
      <c r="A54" s="236" t="s">
        <v>21</v>
      </c>
      <c r="B54" s="236" t="s">
        <v>70</v>
      </c>
      <c r="C54" s="243">
        <v>3319836.72</v>
      </c>
      <c r="D54" s="244">
        <v>2386770.6800000002</v>
      </c>
      <c r="E54" s="244">
        <v>2262225.7600000002</v>
      </c>
      <c r="F54" s="244">
        <v>2834928.22</v>
      </c>
      <c r="G54" s="244">
        <v>3312690.7</v>
      </c>
      <c r="H54" s="244">
        <v>4165108.8000000003</v>
      </c>
      <c r="I54" s="244">
        <v>4235548.1399999997</v>
      </c>
      <c r="J54" s="244">
        <v>4237589.8600000003</v>
      </c>
      <c r="K54" s="244">
        <v>3939498.74</v>
      </c>
      <c r="L54" s="244">
        <v>3500528.94</v>
      </c>
      <c r="M54" s="244">
        <v>2266309.2000000002</v>
      </c>
      <c r="N54" s="244">
        <v>2622589.34</v>
      </c>
      <c r="O54" s="245">
        <v>39083625.100000009</v>
      </c>
    </row>
    <row r="55" spans="1:15" ht="13" x14ac:dyDescent="0.3">
      <c r="A55" s="246"/>
      <c r="B55" s="247" t="s">
        <v>25</v>
      </c>
      <c r="C55" s="255">
        <v>-29723.279999999795</v>
      </c>
      <c r="D55" s="256">
        <v>-21369.319999999832</v>
      </c>
      <c r="E55" s="256">
        <v>-20254.239999999758</v>
      </c>
      <c r="F55" s="256">
        <v>-25381.779999999795</v>
      </c>
      <c r="G55" s="256">
        <v>-29659.299999999814</v>
      </c>
      <c r="H55" s="256">
        <v>-37291.199999999721</v>
      </c>
      <c r="I55" s="256">
        <v>-37921.860000000335</v>
      </c>
      <c r="J55" s="256">
        <v>-37940.139999999665</v>
      </c>
      <c r="K55" s="256">
        <v>-35271.259999999776</v>
      </c>
      <c r="L55" s="256">
        <v>-31341.060000000056</v>
      </c>
      <c r="M55" s="256">
        <v>-20290.799999999814</v>
      </c>
      <c r="N55" s="256">
        <v>-23480.660000000149</v>
      </c>
      <c r="O55" s="257">
        <v>-349924.89999999851</v>
      </c>
    </row>
    <row r="56" spans="1:15" ht="13" x14ac:dyDescent="0.3">
      <c r="A56" s="246"/>
      <c r="B56" s="247" t="s">
        <v>26</v>
      </c>
      <c r="C56" s="255">
        <v>-2388.1038459653414</v>
      </c>
      <c r="D56" s="256">
        <v>-1716.9086075851685</v>
      </c>
      <c r="E56" s="256">
        <v>-1627.3179958976618</v>
      </c>
      <c r="F56" s="256">
        <v>-2039.287939804967</v>
      </c>
      <c r="G56" s="256">
        <v>-2382.9634010324512</v>
      </c>
      <c r="H56" s="256">
        <v>-2996.1450465985831</v>
      </c>
      <c r="I56" s="256">
        <v>-3046.8151466513532</v>
      </c>
      <c r="J56" s="256">
        <v>-3048.2838452036076</v>
      </c>
      <c r="K56" s="256">
        <v>-2833.8538565744934</v>
      </c>
      <c r="L56" s="256">
        <v>-2518.0836678398387</v>
      </c>
      <c r="M56" s="256">
        <v>-1630.2553930021702</v>
      </c>
      <c r="N56" s="256">
        <v>-1886.5432903705293</v>
      </c>
      <c r="O56" s="257">
        <v>-28114.562036526168</v>
      </c>
    </row>
    <row r="57" spans="1:15" ht="13" x14ac:dyDescent="0.3">
      <c r="A57" s="246"/>
      <c r="B57" s="247" t="s">
        <v>27</v>
      </c>
      <c r="C57" s="255">
        <v>-32111.383845965138</v>
      </c>
      <c r="D57" s="256">
        <v>-23086.228607585002</v>
      </c>
      <c r="E57" s="256">
        <v>-21881.557995897419</v>
      </c>
      <c r="F57" s="256">
        <v>-27421.067939804761</v>
      </c>
      <c r="G57" s="256">
        <v>-32042.263401032265</v>
      </c>
      <c r="H57" s="256">
        <v>-40287.345046598304</v>
      </c>
      <c r="I57" s="256">
        <v>-40968.675146651687</v>
      </c>
      <c r="J57" s="256">
        <v>-40988.423845203273</v>
      </c>
      <c r="K57" s="256">
        <v>-38105.113856574273</v>
      </c>
      <c r="L57" s="256">
        <v>-33859.143667839897</v>
      </c>
      <c r="M57" s="256">
        <v>-21921.055393001985</v>
      </c>
      <c r="N57" s="256">
        <v>-25367.203290370679</v>
      </c>
      <c r="O57" s="257">
        <v>-378039.46203652467</v>
      </c>
    </row>
    <row r="58" spans="1:15" x14ac:dyDescent="0.25">
      <c r="A58" s="246"/>
      <c r="B58" s="247" t="s">
        <v>49</v>
      </c>
      <c r="C58" s="248">
        <v>3349560</v>
      </c>
      <c r="D58" s="84">
        <v>2408140</v>
      </c>
      <c r="E58" s="84">
        <v>2282480</v>
      </c>
      <c r="F58" s="84">
        <v>2860310</v>
      </c>
      <c r="G58" s="84">
        <v>3342350</v>
      </c>
      <c r="H58" s="84">
        <v>4202400</v>
      </c>
      <c r="I58" s="84">
        <v>4273470</v>
      </c>
      <c r="J58" s="84">
        <v>4275530</v>
      </c>
      <c r="K58" s="84">
        <v>3974770</v>
      </c>
      <c r="L58" s="84">
        <v>3531870</v>
      </c>
      <c r="M58" s="84">
        <v>2286600</v>
      </c>
      <c r="N58" s="84">
        <v>2646070</v>
      </c>
      <c r="O58" s="249">
        <v>39433550</v>
      </c>
    </row>
    <row r="59" spans="1:15" x14ac:dyDescent="0.25">
      <c r="A59" s="246"/>
      <c r="B59" s="247" t="s">
        <v>87</v>
      </c>
      <c r="C59" s="248">
        <v>0</v>
      </c>
      <c r="D59" s="84">
        <v>0</v>
      </c>
      <c r="E59" s="84">
        <v>0</v>
      </c>
      <c r="F59" s="84">
        <v>0</v>
      </c>
      <c r="G59" s="84">
        <v>0</v>
      </c>
      <c r="H59" s="84">
        <v>0</v>
      </c>
      <c r="I59" s="84">
        <v>0</v>
      </c>
      <c r="J59" s="84">
        <v>0</v>
      </c>
      <c r="K59" s="84">
        <v>0</v>
      </c>
      <c r="L59" s="84">
        <v>0</v>
      </c>
      <c r="M59" s="84">
        <v>0</v>
      </c>
      <c r="N59" s="84">
        <v>0</v>
      </c>
      <c r="O59" s="249">
        <v>0</v>
      </c>
    </row>
    <row r="60" spans="1:15" x14ac:dyDescent="0.25">
      <c r="A60" s="246"/>
      <c r="B60" s="247" t="s">
        <v>89</v>
      </c>
      <c r="C60" s="248">
        <v>0</v>
      </c>
      <c r="D60" s="84">
        <v>0</v>
      </c>
      <c r="E60" s="84">
        <v>0</v>
      </c>
      <c r="F60" s="84">
        <v>0</v>
      </c>
      <c r="G60" s="84">
        <v>0</v>
      </c>
      <c r="H60" s="84">
        <v>0</v>
      </c>
      <c r="I60" s="84">
        <v>0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249">
        <v>0</v>
      </c>
    </row>
    <row r="61" spans="1:15" x14ac:dyDescent="0.25">
      <c r="A61" s="236" t="s">
        <v>22</v>
      </c>
      <c r="B61" s="236" t="s">
        <v>70</v>
      </c>
      <c r="C61" s="243">
        <v>3374963.16</v>
      </c>
      <c r="D61" s="244">
        <v>2665465.46</v>
      </c>
      <c r="E61" s="244">
        <v>2350019.7200000002</v>
      </c>
      <c r="F61" s="244">
        <v>2537857.96</v>
      </c>
      <c r="G61" s="244">
        <v>3031954.2</v>
      </c>
      <c r="H61" s="244">
        <v>3555655.38</v>
      </c>
      <c r="I61" s="244">
        <v>3583218.6</v>
      </c>
      <c r="J61" s="244">
        <v>3648553.64</v>
      </c>
      <c r="K61" s="244">
        <v>3254501.68</v>
      </c>
      <c r="L61" s="244">
        <v>2851261.98</v>
      </c>
      <c r="M61" s="244">
        <v>2387791.54</v>
      </c>
      <c r="N61" s="244">
        <v>2572567.2000000002</v>
      </c>
      <c r="O61" s="245">
        <v>35813810.520000003</v>
      </c>
    </row>
    <row r="62" spans="1:15" ht="13" x14ac:dyDescent="0.3">
      <c r="A62" s="246"/>
      <c r="B62" s="247" t="s">
        <v>25</v>
      </c>
      <c r="C62" s="255">
        <v>-30216.839999999851</v>
      </c>
      <c r="D62" s="256">
        <v>-23864.540000000037</v>
      </c>
      <c r="E62" s="256">
        <v>-21040.279999999795</v>
      </c>
      <c r="F62" s="256">
        <v>-22722.040000000037</v>
      </c>
      <c r="G62" s="256">
        <v>-27145.799999999814</v>
      </c>
      <c r="H62" s="256">
        <v>-31834.620000000112</v>
      </c>
      <c r="I62" s="256">
        <v>-32081.399999999907</v>
      </c>
      <c r="J62" s="256">
        <v>-32666.35999999987</v>
      </c>
      <c r="K62" s="256">
        <v>-29138.319999999832</v>
      </c>
      <c r="L62" s="256">
        <v>-25528.020000000019</v>
      </c>
      <c r="M62" s="256">
        <v>-21378.459999999963</v>
      </c>
      <c r="N62" s="256">
        <v>-23032.799999999814</v>
      </c>
      <c r="O62" s="257">
        <v>-320649.47999999905</v>
      </c>
    </row>
    <row r="63" spans="1:15" ht="13" x14ac:dyDescent="0.3">
      <c r="A63" s="246"/>
      <c r="B63" s="247" t="s">
        <v>26</v>
      </c>
      <c r="C63" s="255">
        <v>-2427.758706876205</v>
      </c>
      <c r="D63" s="256">
        <v>-1917.3859599678678</v>
      </c>
      <c r="E63" s="256">
        <v>-1690.4720336445928</v>
      </c>
      <c r="F63" s="256">
        <v>-1825.5923004519798</v>
      </c>
      <c r="G63" s="256">
        <v>-2181.0173500974979</v>
      </c>
      <c r="H63" s="256">
        <v>-2557.7385287507022</v>
      </c>
      <c r="I63" s="256">
        <v>-2577.5659592061338</v>
      </c>
      <c r="J63" s="256">
        <v>-2624.5643128782685</v>
      </c>
      <c r="K63" s="256">
        <v>-2341.1054922932067</v>
      </c>
      <c r="L63" s="256">
        <v>-2051.0375282230007</v>
      </c>
      <c r="M63" s="256">
        <v>-1717.6429568612955</v>
      </c>
      <c r="N63" s="256">
        <v>-1850.5601758403013</v>
      </c>
      <c r="O63" s="257">
        <v>-25762.441305091052</v>
      </c>
    </row>
    <row r="64" spans="1:15" ht="13" x14ac:dyDescent="0.3">
      <c r="A64" s="246"/>
      <c r="B64" s="247" t="s">
        <v>27</v>
      </c>
      <c r="C64" s="255">
        <v>-32644.598706876055</v>
      </c>
      <c r="D64" s="256">
        <v>-25781.925959967906</v>
      </c>
      <c r="E64" s="256">
        <v>-22730.752033644389</v>
      </c>
      <c r="F64" s="256">
        <v>-24547.632300452016</v>
      </c>
      <c r="G64" s="256">
        <v>-29326.817350097313</v>
      </c>
      <c r="H64" s="256">
        <v>-34392.358528750818</v>
      </c>
      <c r="I64" s="256">
        <v>-34658.965959206042</v>
      </c>
      <c r="J64" s="256">
        <v>-35290.924312878138</v>
      </c>
      <c r="K64" s="256">
        <v>-31479.425492293038</v>
      </c>
      <c r="L64" s="256">
        <v>-27579.05752822302</v>
      </c>
      <c r="M64" s="256">
        <v>-23096.102956861258</v>
      </c>
      <c r="N64" s="256">
        <v>-24883.360175840116</v>
      </c>
      <c r="O64" s="257">
        <v>-346411.92130509013</v>
      </c>
    </row>
    <row r="65" spans="1:15" x14ac:dyDescent="0.25">
      <c r="A65" s="246"/>
      <c r="B65" s="247" t="s">
        <v>49</v>
      </c>
      <c r="C65" s="248">
        <v>3405180</v>
      </c>
      <c r="D65" s="84">
        <v>2689330</v>
      </c>
      <c r="E65" s="84">
        <v>2371060</v>
      </c>
      <c r="F65" s="84">
        <v>2560580</v>
      </c>
      <c r="G65" s="84">
        <v>3059100</v>
      </c>
      <c r="H65" s="84">
        <v>3587490</v>
      </c>
      <c r="I65" s="84">
        <v>3615300</v>
      </c>
      <c r="J65" s="84">
        <v>3681220</v>
      </c>
      <c r="K65" s="84">
        <v>3283640</v>
      </c>
      <c r="L65" s="84">
        <v>2876790</v>
      </c>
      <c r="M65" s="84">
        <v>2409170</v>
      </c>
      <c r="N65" s="84">
        <v>2595600</v>
      </c>
      <c r="O65" s="249">
        <v>36134460</v>
      </c>
    </row>
    <row r="66" spans="1:15" x14ac:dyDescent="0.25">
      <c r="A66" s="246"/>
      <c r="B66" s="247" t="s">
        <v>87</v>
      </c>
      <c r="C66" s="248">
        <v>0</v>
      </c>
      <c r="D66" s="84">
        <v>0</v>
      </c>
      <c r="E66" s="84">
        <v>0</v>
      </c>
      <c r="F66" s="84">
        <v>0</v>
      </c>
      <c r="G66" s="84">
        <v>0</v>
      </c>
      <c r="H66" s="84">
        <v>0</v>
      </c>
      <c r="I66" s="84">
        <v>0</v>
      </c>
      <c r="J66" s="84">
        <v>0</v>
      </c>
      <c r="K66" s="84">
        <v>0</v>
      </c>
      <c r="L66" s="84">
        <v>0</v>
      </c>
      <c r="M66" s="84">
        <v>0</v>
      </c>
      <c r="N66" s="84">
        <v>0</v>
      </c>
      <c r="O66" s="249">
        <v>0</v>
      </c>
    </row>
    <row r="67" spans="1:15" x14ac:dyDescent="0.25">
      <c r="A67" s="246"/>
      <c r="B67" s="247" t="s">
        <v>89</v>
      </c>
      <c r="C67" s="248">
        <v>0</v>
      </c>
      <c r="D67" s="84">
        <v>0</v>
      </c>
      <c r="E67" s="84">
        <v>0</v>
      </c>
      <c r="F67" s="84">
        <v>0</v>
      </c>
      <c r="G67" s="84">
        <v>0</v>
      </c>
      <c r="H67" s="84">
        <v>0</v>
      </c>
      <c r="I67" s="84">
        <v>0</v>
      </c>
      <c r="J67" s="84">
        <v>0</v>
      </c>
      <c r="K67" s="84">
        <v>0</v>
      </c>
      <c r="L67" s="84">
        <v>0</v>
      </c>
      <c r="M67" s="84">
        <v>0</v>
      </c>
      <c r="N67" s="84">
        <v>0</v>
      </c>
      <c r="O67" s="249">
        <v>0</v>
      </c>
    </row>
    <row r="68" spans="1:15" x14ac:dyDescent="0.25">
      <c r="A68" s="236" t="s">
        <v>9</v>
      </c>
      <c r="B68" s="236" t="s">
        <v>70</v>
      </c>
      <c r="C68" s="243">
        <v>76564.5</v>
      </c>
      <c r="D68" s="244">
        <v>55126.44</v>
      </c>
      <c r="E68" s="244">
        <v>50022.14</v>
      </c>
      <c r="F68" s="244">
        <v>43896.98</v>
      </c>
      <c r="G68" s="244">
        <v>51043</v>
      </c>
      <c r="H68" s="244">
        <v>60230.74</v>
      </c>
      <c r="I68" s="244">
        <v>61251.6</v>
      </c>
      <c r="J68" s="244">
        <v>57168.160000000003</v>
      </c>
      <c r="K68" s="244">
        <v>56147.3</v>
      </c>
      <c r="L68" s="244">
        <v>52063.86</v>
      </c>
      <c r="M68" s="244">
        <v>40834.400000000001</v>
      </c>
      <c r="N68" s="244">
        <v>52063.86</v>
      </c>
      <c r="O68" s="245">
        <v>656412.9800000001</v>
      </c>
    </row>
    <row r="69" spans="1:15" ht="13" x14ac:dyDescent="0.3">
      <c r="A69" s="246"/>
      <c r="B69" s="247" t="s">
        <v>25</v>
      </c>
      <c r="C69" s="255">
        <v>-685.5</v>
      </c>
      <c r="D69" s="256">
        <v>-493.55999999999767</v>
      </c>
      <c r="E69" s="256">
        <v>-447.86000000000058</v>
      </c>
      <c r="F69" s="256">
        <v>-393.0199999999968</v>
      </c>
      <c r="G69" s="256">
        <v>-457</v>
      </c>
      <c r="H69" s="256">
        <v>-539.26000000000204</v>
      </c>
      <c r="I69" s="256">
        <v>-548.40000000000146</v>
      </c>
      <c r="J69" s="256">
        <v>-511.83999999999651</v>
      </c>
      <c r="K69" s="256">
        <v>-502.69999999999709</v>
      </c>
      <c r="L69" s="256">
        <v>-466.13999999999942</v>
      </c>
      <c r="M69" s="256">
        <v>-365.59999999999854</v>
      </c>
      <c r="N69" s="256">
        <v>-466.13999999999942</v>
      </c>
      <c r="O69" s="257">
        <v>-5877.0199999999895</v>
      </c>
    </row>
    <row r="70" spans="1:15" ht="13" x14ac:dyDescent="0.3">
      <c r="A70" s="246"/>
      <c r="B70" s="247" t="s">
        <v>26</v>
      </c>
      <c r="C70" s="255">
        <v>-55.076195709532783</v>
      </c>
      <c r="D70" s="256">
        <v>-39.654860910863604</v>
      </c>
      <c r="E70" s="256">
        <v>-35.983114530228086</v>
      </c>
      <c r="F70" s="256">
        <v>-31.577018873465459</v>
      </c>
      <c r="G70" s="256">
        <v>-36.717463806355191</v>
      </c>
      <c r="H70" s="256">
        <v>-43.326607291499116</v>
      </c>
      <c r="I70" s="256">
        <v>-44.060956567626221</v>
      </c>
      <c r="J70" s="256">
        <v>-41.123559463117807</v>
      </c>
      <c r="K70" s="256">
        <v>-40.389210186990702</v>
      </c>
      <c r="L70" s="256">
        <v>-37.451813082482289</v>
      </c>
      <c r="M70" s="256">
        <v>-29.373971045084151</v>
      </c>
      <c r="N70" s="256">
        <v>-37.451813082482289</v>
      </c>
      <c r="O70" s="257">
        <v>-472.18658454972763</v>
      </c>
    </row>
    <row r="71" spans="1:15" ht="13" x14ac:dyDescent="0.3">
      <c r="A71" s="246"/>
      <c r="B71" s="247" t="s">
        <v>27</v>
      </c>
      <c r="C71" s="255">
        <v>-740.57619570953284</v>
      </c>
      <c r="D71" s="256">
        <v>-533.21486091086126</v>
      </c>
      <c r="E71" s="256">
        <v>-483.84311453022866</v>
      </c>
      <c r="F71" s="256">
        <v>-424.59701887346228</v>
      </c>
      <c r="G71" s="256">
        <v>-493.71746380635517</v>
      </c>
      <c r="H71" s="256">
        <v>-582.5866072915012</v>
      </c>
      <c r="I71" s="256">
        <v>-592.4609565676277</v>
      </c>
      <c r="J71" s="256">
        <v>-552.96355946311428</v>
      </c>
      <c r="K71" s="256">
        <v>-543.08921018698777</v>
      </c>
      <c r="L71" s="256">
        <v>-503.59181308248174</v>
      </c>
      <c r="M71" s="256">
        <v>-394.97397104508269</v>
      </c>
      <c r="N71" s="256">
        <v>-503.59181308248174</v>
      </c>
      <c r="O71" s="257">
        <v>-6349.2065845497182</v>
      </c>
    </row>
    <row r="72" spans="1:15" x14ac:dyDescent="0.25">
      <c r="A72" s="246"/>
      <c r="B72" s="247" t="s">
        <v>49</v>
      </c>
      <c r="C72" s="248">
        <v>77250</v>
      </c>
      <c r="D72" s="84">
        <v>55620</v>
      </c>
      <c r="E72" s="84">
        <v>50470</v>
      </c>
      <c r="F72" s="84">
        <v>44290</v>
      </c>
      <c r="G72" s="84">
        <v>51500</v>
      </c>
      <c r="H72" s="84">
        <v>60770</v>
      </c>
      <c r="I72" s="84">
        <v>61800</v>
      </c>
      <c r="J72" s="84">
        <v>57680</v>
      </c>
      <c r="K72" s="84">
        <v>56650</v>
      </c>
      <c r="L72" s="84">
        <v>52530</v>
      </c>
      <c r="M72" s="84">
        <v>41200</v>
      </c>
      <c r="N72" s="84">
        <v>52530</v>
      </c>
      <c r="O72" s="249">
        <v>662290</v>
      </c>
    </row>
    <row r="73" spans="1:15" x14ac:dyDescent="0.25">
      <c r="A73" s="246"/>
      <c r="B73" s="247" t="s">
        <v>87</v>
      </c>
      <c r="C73" s="248">
        <v>0</v>
      </c>
      <c r="D73" s="84">
        <v>0</v>
      </c>
      <c r="E73" s="84">
        <v>0</v>
      </c>
      <c r="F73" s="84">
        <v>0</v>
      </c>
      <c r="G73" s="84">
        <v>0</v>
      </c>
      <c r="H73" s="84">
        <v>0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0</v>
      </c>
      <c r="O73" s="249">
        <v>0</v>
      </c>
    </row>
    <row r="74" spans="1:15" x14ac:dyDescent="0.25">
      <c r="A74" s="246"/>
      <c r="B74" s="247" t="s">
        <v>89</v>
      </c>
      <c r="C74" s="248">
        <v>0</v>
      </c>
      <c r="D74" s="84">
        <v>0</v>
      </c>
      <c r="E74" s="84">
        <v>0</v>
      </c>
      <c r="F74" s="84">
        <v>0</v>
      </c>
      <c r="G74" s="84">
        <v>0</v>
      </c>
      <c r="H74" s="84">
        <v>0</v>
      </c>
      <c r="I74" s="84">
        <v>0</v>
      </c>
      <c r="J74" s="84">
        <v>0</v>
      </c>
      <c r="K74" s="84">
        <v>0</v>
      </c>
      <c r="L74" s="84">
        <v>0</v>
      </c>
      <c r="M74" s="84">
        <v>0</v>
      </c>
      <c r="N74" s="84">
        <v>0</v>
      </c>
      <c r="O74" s="249">
        <v>0</v>
      </c>
    </row>
    <row r="75" spans="1:15" x14ac:dyDescent="0.25">
      <c r="A75" s="236" t="s">
        <v>54</v>
      </c>
      <c r="B75" s="236" t="s">
        <v>70</v>
      </c>
      <c r="C75" s="243">
        <v>148024.70000000001</v>
      </c>
      <c r="D75" s="244">
        <v>102086</v>
      </c>
      <c r="E75" s="244">
        <v>93919.12</v>
      </c>
      <c r="F75" s="244">
        <v>103106.86</v>
      </c>
      <c r="G75" s="244">
        <v>120461.48</v>
      </c>
      <c r="H75" s="244">
        <v>176608.78</v>
      </c>
      <c r="I75" s="244">
        <v>167421.04</v>
      </c>
      <c r="J75" s="244">
        <v>173546.2</v>
      </c>
      <c r="K75" s="244">
        <v>159254.16</v>
      </c>
      <c r="L75" s="244">
        <v>141899.54</v>
      </c>
      <c r="M75" s="244">
        <v>91877.4</v>
      </c>
      <c r="N75" s="244">
        <v>112294.6</v>
      </c>
      <c r="O75" s="245">
        <v>1590499.8800000001</v>
      </c>
    </row>
    <row r="76" spans="1:15" x14ac:dyDescent="0.25">
      <c r="A76" s="246"/>
      <c r="B76" s="247" t="s">
        <v>25</v>
      </c>
      <c r="C76" s="248">
        <v>-1325.2999999999884</v>
      </c>
      <c r="D76" s="84">
        <v>-914</v>
      </c>
      <c r="E76" s="84">
        <v>-840.88000000000466</v>
      </c>
      <c r="F76" s="84">
        <v>-923.13999999999942</v>
      </c>
      <c r="G76" s="84">
        <v>-1078.5200000000041</v>
      </c>
      <c r="H76" s="84">
        <v>-1581.2200000000012</v>
      </c>
      <c r="I76" s="84">
        <v>-1498.9599999999919</v>
      </c>
      <c r="J76" s="84">
        <v>-1553.7999999999884</v>
      </c>
      <c r="K76" s="84">
        <v>-1425.8399999999965</v>
      </c>
      <c r="L76" s="84">
        <v>-1270.4599999999919</v>
      </c>
      <c r="M76" s="84">
        <v>-822.60000000000582</v>
      </c>
      <c r="N76" s="84">
        <v>-1005.3999999999942</v>
      </c>
      <c r="O76" s="249">
        <v>-14240.119999999966</v>
      </c>
    </row>
    <row r="77" spans="1:15" x14ac:dyDescent="0.25">
      <c r="A77" s="246"/>
      <c r="B77" s="247" t="s">
        <v>26</v>
      </c>
      <c r="C77" s="248">
        <v>-106.48064503843004</v>
      </c>
      <c r="D77" s="84">
        <v>-73.434927612710382</v>
      </c>
      <c r="E77" s="84">
        <v>-67.560133403693541</v>
      </c>
      <c r="F77" s="84">
        <v>-74.169276888837473</v>
      </c>
      <c r="G77" s="84">
        <v>-86.653214582998231</v>
      </c>
      <c r="H77" s="84">
        <v>-127.04242476998894</v>
      </c>
      <c r="I77" s="84">
        <v>-120.43328128484501</v>
      </c>
      <c r="J77" s="84">
        <v>-124.83937694160763</v>
      </c>
      <c r="K77" s="84">
        <v>-114.55848707582818</v>
      </c>
      <c r="L77" s="84">
        <v>-102.07454938166742</v>
      </c>
      <c r="M77" s="84">
        <v>-66.091434851439331</v>
      </c>
      <c r="N77" s="84">
        <v>-80.778420373981405</v>
      </c>
      <c r="O77" s="249">
        <v>-1144.1161722060276</v>
      </c>
    </row>
    <row r="78" spans="1:15" x14ac:dyDescent="0.25">
      <c r="A78" s="246"/>
      <c r="B78" s="247" t="s">
        <v>27</v>
      </c>
      <c r="C78" s="248">
        <v>-1431.7806450384185</v>
      </c>
      <c r="D78" s="84">
        <v>-987.43492761271034</v>
      </c>
      <c r="E78" s="84">
        <v>-908.44013340369816</v>
      </c>
      <c r="F78" s="84">
        <v>-997.30927688883685</v>
      </c>
      <c r="G78" s="84">
        <v>-1165.1732145830024</v>
      </c>
      <c r="H78" s="84">
        <v>-1708.26242476999</v>
      </c>
      <c r="I78" s="84">
        <v>-1619.3932812848368</v>
      </c>
      <c r="J78" s="84">
        <v>-1678.6393769415961</v>
      </c>
      <c r="K78" s="84">
        <v>-1540.3984870758247</v>
      </c>
      <c r="L78" s="84">
        <v>-1372.5345493816592</v>
      </c>
      <c r="M78" s="84">
        <v>-888.69143485144514</v>
      </c>
      <c r="N78" s="84">
        <v>-1086.1784203739755</v>
      </c>
      <c r="O78" s="249">
        <v>-15384.236172205992</v>
      </c>
    </row>
    <row r="79" spans="1:15" x14ac:dyDescent="0.25">
      <c r="A79" s="246"/>
      <c r="B79" s="247" t="s">
        <v>49</v>
      </c>
      <c r="C79" s="248">
        <v>149350</v>
      </c>
      <c r="D79" s="84">
        <v>103000</v>
      </c>
      <c r="E79" s="84">
        <v>94760</v>
      </c>
      <c r="F79" s="84">
        <v>104030</v>
      </c>
      <c r="G79" s="84">
        <v>121540</v>
      </c>
      <c r="H79" s="84">
        <v>178190</v>
      </c>
      <c r="I79" s="84">
        <v>168920</v>
      </c>
      <c r="J79" s="84">
        <v>175100</v>
      </c>
      <c r="K79" s="84">
        <v>160680</v>
      </c>
      <c r="L79" s="84">
        <v>143170</v>
      </c>
      <c r="M79" s="84">
        <v>92700</v>
      </c>
      <c r="N79" s="84">
        <v>113300</v>
      </c>
      <c r="O79" s="249">
        <v>1604740</v>
      </c>
    </row>
    <row r="80" spans="1:15" x14ac:dyDescent="0.25">
      <c r="A80" s="246"/>
      <c r="B80" s="247" t="s">
        <v>87</v>
      </c>
      <c r="C80" s="248">
        <v>0</v>
      </c>
      <c r="D80" s="84">
        <v>0</v>
      </c>
      <c r="E80" s="84">
        <v>0</v>
      </c>
      <c r="F80" s="84">
        <v>0</v>
      </c>
      <c r="G80" s="84">
        <v>0</v>
      </c>
      <c r="H80" s="84">
        <v>0</v>
      </c>
      <c r="I80" s="84">
        <v>0</v>
      </c>
      <c r="J80" s="84">
        <v>0</v>
      </c>
      <c r="K80" s="84">
        <v>0</v>
      </c>
      <c r="L80" s="84">
        <v>0</v>
      </c>
      <c r="M80" s="84">
        <v>0</v>
      </c>
      <c r="N80" s="84">
        <v>0</v>
      </c>
      <c r="O80" s="249">
        <v>0</v>
      </c>
    </row>
    <row r="81" spans="1:15" x14ac:dyDescent="0.25">
      <c r="A81" s="246"/>
      <c r="B81" s="247" t="s">
        <v>89</v>
      </c>
      <c r="C81" s="248">
        <v>0</v>
      </c>
      <c r="D81" s="84">
        <v>0</v>
      </c>
      <c r="E81" s="84">
        <v>0</v>
      </c>
      <c r="F81" s="84">
        <v>0</v>
      </c>
      <c r="G81" s="84">
        <v>0</v>
      </c>
      <c r="H81" s="84">
        <v>0</v>
      </c>
      <c r="I81" s="84">
        <v>0</v>
      </c>
      <c r="J81" s="84">
        <v>0</v>
      </c>
      <c r="K81" s="84">
        <v>0</v>
      </c>
      <c r="L81" s="84">
        <v>0</v>
      </c>
      <c r="M81" s="84">
        <v>0</v>
      </c>
      <c r="N81" s="84">
        <v>0</v>
      </c>
      <c r="O81" s="249">
        <v>0</v>
      </c>
    </row>
    <row r="82" spans="1:15" x14ac:dyDescent="0.25">
      <c r="A82" s="236" t="s">
        <v>55</v>
      </c>
      <c r="B82" s="236" t="s">
        <v>70</v>
      </c>
      <c r="C82" s="243">
        <v>9187.74</v>
      </c>
      <c r="D82" s="244">
        <v>8166.88</v>
      </c>
      <c r="E82" s="244">
        <v>10208.6</v>
      </c>
      <c r="F82" s="244">
        <v>7146.02</v>
      </c>
      <c r="G82" s="244">
        <v>10208.6</v>
      </c>
      <c r="H82" s="244">
        <v>10208.6</v>
      </c>
      <c r="I82" s="244">
        <v>12250.32</v>
      </c>
      <c r="J82" s="244">
        <v>12250.32</v>
      </c>
      <c r="K82" s="244">
        <v>11229.460000000001</v>
      </c>
      <c r="L82" s="244">
        <v>10208.6</v>
      </c>
      <c r="M82" s="244">
        <v>10208.6</v>
      </c>
      <c r="N82" s="244">
        <v>10208.6</v>
      </c>
      <c r="O82" s="245">
        <v>121482.34000000004</v>
      </c>
    </row>
    <row r="83" spans="1:15" x14ac:dyDescent="0.25">
      <c r="A83" s="246"/>
      <c r="B83" s="247" t="s">
        <v>25</v>
      </c>
      <c r="C83" s="248">
        <v>-82.260000000000218</v>
      </c>
      <c r="D83" s="84">
        <v>-73.119999999999891</v>
      </c>
      <c r="E83" s="84">
        <v>-91.399999999999636</v>
      </c>
      <c r="F83" s="84">
        <v>-63.979999999999563</v>
      </c>
      <c r="G83" s="84">
        <v>-91.399999999999636</v>
      </c>
      <c r="H83" s="84">
        <v>-91.399999999999636</v>
      </c>
      <c r="I83" s="84">
        <v>-109.68000000000029</v>
      </c>
      <c r="J83" s="84">
        <v>-109.68000000000029</v>
      </c>
      <c r="K83" s="84">
        <v>-100.53999999999905</v>
      </c>
      <c r="L83" s="84">
        <v>-91.399999999999636</v>
      </c>
      <c r="M83" s="84">
        <v>-91.399999999999636</v>
      </c>
      <c r="N83" s="84">
        <v>-91.399999999999636</v>
      </c>
      <c r="O83" s="249">
        <v>-1087.6599999999971</v>
      </c>
    </row>
    <row r="84" spans="1:15" x14ac:dyDescent="0.25">
      <c r="A84" s="246"/>
      <c r="B84" s="247" t="s">
        <v>26</v>
      </c>
      <c r="C84" s="248">
        <v>-6.6091434851439335</v>
      </c>
      <c r="D84" s="84">
        <v>-5.8747942090168301</v>
      </c>
      <c r="E84" s="84">
        <v>-7.3434927612710377</v>
      </c>
      <c r="F84" s="84">
        <v>-5.1404449328897259</v>
      </c>
      <c r="G84" s="84">
        <v>-7.3434927612710377</v>
      </c>
      <c r="H84" s="84">
        <v>-7.3434927612710377</v>
      </c>
      <c r="I84" s="84">
        <v>-8.8121913135252452</v>
      </c>
      <c r="J84" s="84">
        <v>-8.8121913135252452</v>
      </c>
      <c r="K84" s="84">
        <v>-8.0778420373981401</v>
      </c>
      <c r="L84" s="84">
        <v>-7.3434927612710377</v>
      </c>
      <c r="M84" s="84">
        <v>-7.3434927612710377</v>
      </c>
      <c r="N84" s="84">
        <v>-7.3434927612710377</v>
      </c>
      <c r="O84" s="249">
        <v>-87.387563859125351</v>
      </c>
    </row>
    <row r="85" spans="1:15" x14ac:dyDescent="0.25">
      <c r="A85" s="246"/>
      <c r="B85" s="247" t="s">
        <v>27</v>
      </c>
      <c r="C85" s="248">
        <v>-88.86914348514415</v>
      </c>
      <c r="D85" s="84">
        <v>-78.994794209016717</v>
      </c>
      <c r="E85" s="84">
        <v>-98.743492761270673</v>
      </c>
      <c r="F85" s="84">
        <v>-69.120444932889285</v>
      </c>
      <c r="G85" s="84">
        <v>-98.743492761270673</v>
      </c>
      <c r="H85" s="84">
        <v>-98.743492761270673</v>
      </c>
      <c r="I85" s="84">
        <v>-118.49219131352554</v>
      </c>
      <c r="J85" s="84">
        <v>-118.49219131352554</v>
      </c>
      <c r="K85" s="84">
        <v>-108.6178420373972</v>
      </c>
      <c r="L85" s="84">
        <v>-98.743492761270673</v>
      </c>
      <c r="M85" s="84">
        <v>-98.743492761270673</v>
      </c>
      <c r="N85" s="84">
        <v>-98.743492761270673</v>
      </c>
      <c r="O85" s="249">
        <v>-1175.0475638591224</v>
      </c>
    </row>
    <row r="86" spans="1:15" x14ac:dyDescent="0.25">
      <c r="A86" s="246"/>
      <c r="B86" s="247" t="s">
        <v>49</v>
      </c>
      <c r="C86" s="248">
        <v>9270</v>
      </c>
      <c r="D86" s="84">
        <v>8240</v>
      </c>
      <c r="E86" s="84">
        <v>10300</v>
      </c>
      <c r="F86" s="84">
        <v>7210</v>
      </c>
      <c r="G86" s="84">
        <v>10300</v>
      </c>
      <c r="H86" s="84">
        <v>10300</v>
      </c>
      <c r="I86" s="84">
        <v>12360</v>
      </c>
      <c r="J86" s="84">
        <v>12360</v>
      </c>
      <c r="K86" s="84">
        <v>11330</v>
      </c>
      <c r="L86" s="84">
        <v>10300</v>
      </c>
      <c r="M86" s="84">
        <v>10300</v>
      </c>
      <c r="N86" s="84">
        <v>10300</v>
      </c>
      <c r="O86" s="249">
        <v>122570</v>
      </c>
    </row>
    <row r="87" spans="1:15" x14ac:dyDescent="0.25">
      <c r="A87" s="246"/>
      <c r="B87" s="247" t="s">
        <v>87</v>
      </c>
      <c r="C87" s="248">
        <v>0</v>
      </c>
      <c r="D87" s="84">
        <v>0</v>
      </c>
      <c r="E87" s="84">
        <v>0</v>
      </c>
      <c r="F87" s="84">
        <v>0</v>
      </c>
      <c r="G87" s="84">
        <v>0</v>
      </c>
      <c r="H87" s="84">
        <v>0</v>
      </c>
      <c r="I87" s="84">
        <v>0</v>
      </c>
      <c r="J87" s="84">
        <v>0</v>
      </c>
      <c r="K87" s="84">
        <v>0</v>
      </c>
      <c r="L87" s="84">
        <v>0</v>
      </c>
      <c r="M87" s="84">
        <v>0</v>
      </c>
      <c r="N87" s="84">
        <v>0</v>
      </c>
      <c r="O87" s="249">
        <v>0</v>
      </c>
    </row>
    <row r="88" spans="1:15" x14ac:dyDescent="0.25">
      <c r="A88" s="246"/>
      <c r="B88" s="247" t="s">
        <v>89</v>
      </c>
      <c r="C88" s="248">
        <v>0</v>
      </c>
      <c r="D88" s="84">
        <v>0</v>
      </c>
      <c r="E88" s="84">
        <v>0</v>
      </c>
      <c r="F88" s="84">
        <v>0</v>
      </c>
      <c r="G88" s="84">
        <v>0</v>
      </c>
      <c r="H88" s="84">
        <v>0</v>
      </c>
      <c r="I88" s="84">
        <v>0</v>
      </c>
      <c r="J88" s="84">
        <v>0</v>
      </c>
      <c r="K88" s="84">
        <v>0</v>
      </c>
      <c r="L88" s="84">
        <v>0</v>
      </c>
      <c r="M88" s="84">
        <v>0</v>
      </c>
      <c r="N88" s="84">
        <v>0</v>
      </c>
      <c r="O88" s="249">
        <v>0</v>
      </c>
    </row>
    <row r="89" spans="1:15" x14ac:dyDescent="0.25">
      <c r="A89" s="236" t="s">
        <v>56</v>
      </c>
      <c r="B89" s="236" t="s">
        <v>70</v>
      </c>
      <c r="C89" s="243">
        <v>26542.36</v>
      </c>
      <c r="D89" s="244">
        <v>19396.34</v>
      </c>
      <c r="E89" s="244">
        <v>18375.48</v>
      </c>
      <c r="F89" s="244">
        <v>22458.920000000002</v>
      </c>
      <c r="G89" s="244">
        <v>31646.66</v>
      </c>
      <c r="H89" s="244">
        <v>36750.959999999999</v>
      </c>
      <c r="I89" s="244">
        <v>38792.68</v>
      </c>
      <c r="J89" s="244">
        <v>41855.26</v>
      </c>
      <c r="K89" s="244">
        <v>29604.94</v>
      </c>
      <c r="L89" s="244">
        <v>26542.36</v>
      </c>
      <c r="M89" s="244">
        <v>22458.920000000002</v>
      </c>
      <c r="N89" s="244">
        <v>18375.48</v>
      </c>
      <c r="O89" s="245">
        <v>332800.35999999993</v>
      </c>
    </row>
    <row r="90" spans="1:15" x14ac:dyDescent="0.25">
      <c r="A90" s="246"/>
      <c r="B90" s="247" t="s">
        <v>25</v>
      </c>
      <c r="C90" s="248">
        <v>-237.63999999999942</v>
      </c>
      <c r="D90" s="84">
        <v>-173.65999999999985</v>
      </c>
      <c r="E90" s="84">
        <v>-164.52000000000044</v>
      </c>
      <c r="F90" s="84">
        <v>-201.07999999999811</v>
      </c>
      <c r="G90" s="84">
        <v>-283.34000000000015</v>
      </c>
      <c r="H90" s="84">
        <v>-329.04000000000087</v>
      </c>
      <c r="I90" s="84">
        <v>-347.31999999999971</v>
      </c>
      <c r="J90" s="84">
        <v>-374.73999999999796</v>
      </c>
      <c r="K90" s="84">
        <v>-265.06000000000131</v>
      </c>
      <c r="L90" s="84">
        <v>-237.63999999999942</v>
      </c>
      <c r="M90" s="84">
        <v>-201.07999999999811</v>
      </c>
      <c r="N90" s="84">
        <v>-164.52000000000044</v>
      </c>
      <c r="O90" s="249">
        <v>-2979.6399999999958</v>
      </c>
    </row>
    <row r="91" spans="1:15" x14ac:dyDescent="0.25">
      <c r="A91" s="246"/>
      <c r="B91" s="247" t="s">
        <v>26</v>
      </c>
      <c r="C91" s="248">
        <v>-19.093081179304697</v>
      </c>
      <c r="D91" s="84">
        <v>-13.952636246414972</v>
      </c>
      <c r="E91" s="84">
        <v>-13.218286970287867</v>
      </c>
      <c r="F91" s="84">
        <v>-16.15568407479628</v>
      </c>
      <c r="G91" s="84">
        <v>-22.764827559940215</v>
      </c>
      <c r="H91" s="84">
        <v>-26.436573940575734</v>
      </c>
      <c r="I91" s="84">
        <v>-27.905272492829944</v>
      </c>
      <c r="J91" s="84">
        <v>-30.108320321211252</v>
      </c>
      <c r="K91" s="84">
        <v>-21.296129007686005</v>
      </c>
      <c r="L91" s="84">
        <v>-19.093081179304697</v>
      </c>
      <c r="M91" s="84">
        <v>-16.15568407479628</v>
      </c>
      <c r="N91" s="84">
        <v>-13.218286970287867</v>
      </c>
      <c r="O91" s="249">
        <v>-239.39786401743581</v>
      </c>
    </row>
    <row r="92" spans="1:15" x14ac:dyDescent="0.25">
      <c r="A92" s="246"/>
      <c r="B92" s="247" t="s">
        <v>27</v>
      </c>
      <c r="C92" s="248">
        <v>-256.73308117930412</v>
      </c>
      <c r="D92" s="84">
        <v>-187.61263624641484</v>
      </c>
      <c r="E92" s="84">
        <v>-177.7382869702883</v>
      </c>
      <c r="F92" s="84">
        <v>-217.23568407479439</v>
      </c>
      <c r="G92" s="84">
        <v>-306.10482755994036</v>
      </c>
      <c r="H92" s="84">
        <v>-355.4765739405766</v>
      </c>
      <c r="I92" s="84">
        <v>-375.22527249282967</v>
      </c>
      <c r="J92" s="84">
        <v>-404.8483203212092</v>
      </c>
      <c r="K92" s="84">
        <v>-286.35612900768729</v>
      </c>
      <c r="L92" s="84">
        <v>-256.73308117930412</v>
      </c>
      <c r="M92" s="84">
        <v>-217.23568407479439</v>
      </c>
      <c r="N92" s="84">
        <v>-177.7382869702883</v>
      </c>
      <c r="O92" s="249">
        <v>-3219.0378640174313</v>
      </c>
    </row>
    <row r="93" spans="1:15" x14ac:dyDescent="0.25">
      <c r="A93" s="246"/>
      <c r="B93" s="247" t="s">
        <v>49</v>
      </c>
      <c r="C93" s="248">
        <v>26780</v>
      </c>
      <c r="D93" s="84">
        <v>19570</v>
      </c>
      <c r="E93" s="84">
        <v>18540</v>
      </c>
      <c r="F93" s="84">
        <v>22660</v>
      </c>
      <c r="G93" s="84">
        <v>31930</v>
      </c>
      <c r="H93" s="84">
        <v>37080</v>
      </c>
      <c r="I93" s="84">
        <v>39140</v>
      </c>
      <c r="J93" s="84">
        <v>42230</v>
      </c>
      <c r="K93" s="84">
        <v>29870</v>
      </c>
      <c r="L93" s="84">
        <v>26780</v>
      </c>
      <c r="M93" s="84">
        <v>22660</v>
      </c>
      <c r="N93" s="84">
        <v>18540</v>
      </c>
      <c r="O93" s="249">
        <v>335780</v>
      </c>
    </row>
    <row r="94" spans="1:15" x14ac:dyDescent="0.25">
      <c r="A94" s="246"/>
      <c r="B94" s="247" t="s">
        <v>87</v>
      </c>
      <c r="C94" s="248">
        <v>0</v>
      </c>
      <c r="D94" s="84">
        <v>0</v>
      </c>
      <c r="E94" s="84">
        <v>0</v>
      </c>
      <c r="F94" s="84">
        <v>0</v>
      </c>
      <c r="G94" s="84">
        <v>0</v>
      </c>
      <c r="H94" s="84">
        <v>0</v>
      </c>
      <c r="I94" s="84">
        <v>0</v>
      </c>
      <c r="J94" s="84">
        <v>0</v>
      </c>
      <c r="K94" s="84">
        <v>0</v>
      </c>
      <c r="L94" s="84">
        <v>0</v>
      </c>
      <c r="M94" s="84">
        <v>0</v>
      </c>
      <c r="N94" s="84">
        <v>0</v>
      </c>
      <c r="O94" s="249">
        <v>0</v>
      </c>
    </row>
    <row r="95" spans="1:15" x14ac:dyDescent="0.25">
      <c r="A95" s="246"/>
      <c r="B95" s="247" t="s">
        <v>89</v>
      </c>
      <c r="C95" s="248">
        <v>0</v>
      </c>
      <c r="D95" s="84">
        <v>0</v>
      </c>
      <c r="E95" s="84">
        <v>0</v>
      </c>
      <c r="F95" s="84">
        <v>0</v>
      </c>
      <c r="G95" s="84">
        <v>0</v>
      </c>
      <c r="H95" s="84">
        <v>0</v>
      </c>
      <c r="I95" s="84">
        <v>0</v>
      </c>
      <c r="J95" s="84">
        <v>0</v>
      </c>
      <c r="K95" s="84">
        <v>0</v>
      </c>
      <c r="L95" s="84">
        <v>0</v>
      </c>
      <c r="M95" s="84">
        <v>0</v>
      </c>
      <c r="N95" s="84">
        <v>0</v>
      </c>
      <c r="O95" s="249">
        <v>0</v>
      </c>
    </row>
    <row r="96" spans="1:15" x14ac:dyDescent="0.25">
      <c r="A96" s="236" t="s">
        <v>57</v>
      </c>
      <c r="B96" s="236" t="s">
        <v>70</v>
      </c>
      <c r="C96" s="243">
        <v>34709.24</v>
      </c>
      <c r="D96" s="244">
        <v>32667.52</v>
      </c>
      <c r="E96" s="244">
        <v>32667.52</v>
      </c>
      <c r="F96" s="244">
        <v>33688.379999999997</v>
      </c>
      <c r="G96" s="244">
        <v>40834.400000000001</v>
      </c>
      <c r="H96" s="244">
        <v>47980.42</v>
      </c>
      <c r="I96" s="244">
        <v>47980.42</v>
      </c>
      <c r="J96" s="244">
        <v>52063.86</v>
      </c>
      <c r="K96" s="244">
        <v>43896.98</v>
      </c>
      <c r="L96" s="244">
        <v>37771.82</v>
      </c>
      <c r="M96" s="244">
        <v>34709.24</v>
      </c>
      <c r="N96" s="244">
        <v>32667.52</v>
      </c>
      <c r="O96" s="245">
        <v>471637.31999999995</v>
      </c>
    </row>
    <row r="97" spans="1:15" x14ac:dyDescent="0.25">
      <c r="A97" s="246"/>
      <c r="B97" s="247" t="s">
        <v>25</v>
      </c>
      <c r="C97" s="248">
        <v>-310.76000000000204</v>
      </c>
      <c r="D97" s="84">
        <v>-292.47999999999956</v>
      </c>
      <c r="E97" s="84">
        <v>-292.47999999999956</v>
      </c>
      <c r="F97" s="84">
        <v>-301.62000000000262</v>
      </c>
      <c r="G97" s="84">
        <v>-365.59999999999854</v>
      </c>
      <c r="H97" s="84">
        <v>-429.58000000000175</v>
      </c>
      <c r="I97" s="84">
        <v>-429.58000000000175</v>
      </c>
      <c r="J97" s="84">
        <v>-466.13999999999942</v>
      </c>
      <c r="K97" s="84">
        <v>-393.0199999999968</v>
      </c>
      <c r="L97" s="84">
        <v>-338.18000000000029</v>
      </c>
      <c r="M97" s="84">
        <v>-310.76000000000204</v>
      </c>
      <c r="N97" s="84">
        <v>-292.47999999999956</v>
      </c>
      <c r="O97" s="249">
        <v>-4222.6800000000039</v>
      </c>
    </row>
    <row r="98" spans="1:15" x14ac:dyDescent="0.25">
      <c r="A98" s="246"/>
      <c r="B98" s="247" t="s">
        <v>26</v>
      </c>
      <c r="C98" s="248">
        <v>-24.967875388321527</v>
      </c>
      <c r="D98" s="84">
        <v>-23.499176836067321</v>
      </c>
      <c r="E98" s="84">
        <v>-23.499176836067321</v>
      </c>
      <c r="F98" s="84">
        <v>-24.233526112194422</v>
      </c>
      <c r="G98" s="84">
        <v>-29.373971045084151</v>
      </c>
      <c r="H98" s="84">
        <v>-34.514415977973876</v>
      </c>
      <c r="I98" s="84">
        <v>-34.514415977973876</v>
      </c>
      <c r="J98" s="84">
        <v>-37.451813082482289</v>
      </c>
      <c r="K98" s="84">
        <v>-31.577018873465459</v>
      </c>
      <c r="L98" s="84">
        <v>-27.170923216702835</v>
      </c>
      <c r="M98" s="84">
        <v>-24.967875388321527</v>
      </c>
      <c r="N98" s="84">
        <v>-23.499176836067321</v>
      </c>
      <c r="O98" s="249">
        <v>-339.2693655707219</v>
      </c>
    </row>
    <row r="99" spans="1:15" x14ac:dyDescent="0.25">
      <c r="A99" s="246"/>
      <c r="B99" s="247" t="s">
        <v>27</v>
      </c>
      <c r="C99" s="248">
        <v>-335.72787538832358</v>
      </c>
      <c r="D99" s="84">
        <v>-315.97917683606687</v>
      </c>
      <c r="E99" s="84">
        <v>-315.97917683606687</v>
      </c>
      <c r="F99" s="84">
        <v>-325.85352611219702</v>
      </c>
      <c r="G99" s="84">
        <v>-394.97397104508269</v>
      </c>
      <c r="H99" s="84">
        <v>-464.09441597797564</v>
      </c>
      <c r="I99" s="84">
        <v>-464.09441597797564</v>
      </c>
      <c r="J99" s="84">
        <v>-503.59181308248174</v>
      </c>
      <c r="K99" s="84">
        <v>-424.59701887346228</v>
      </c>
      <c r="L99" s="84">
        <v>-365.35092321670311</v>
      </c>
      <c r="M99" s="84">
        <v>-335.72787538832358</v>
      </c>
      <c r="N99" s="84">
        <v>-315.97917683606687</v>
      </c>
      <c r="O99" s="249">
        <v>-4561.9493655707256</v>
      </c>
    </row>
    <row r="100" spans="1:15" x14ac:dyDescent="0.25">
      <c r="A100" s="246"/>
      <c r="B100" s="247" t="s">
        <v>49</v>
      </c>
      <c r="C100" s="248">
        <v>35020</v>
      </c>
      <c r="D100" s="84">
        <v>32960</v>
      </c>
      <c r="E100" s="84">
        <v>32960</v>
      </c>
      <c r="F100" s="84">
        <v>33990</v>
      </c>
      <c r="G100" s="84">
        <v>41200</v>
      </c>
      <c r="H100" s="84">
        <v>48410</v>
      </c>
      <c r="I100" s="84">
        <v>48410</v>
      </c>
      <c r="J100" s="84">
        <v>52530</v>
      </c>
      <c r="K100" s="84">
        <v>44290</v>
      </c>
      <c r="L100" s="84">
        <v>38110</v>
      </c>
      <c r="M100" s="84">
        <v>35020</v>
      </c>
      <c r="N100" s="84">
        <v>32960</v>
      </c>
      <c r="O100" s="249">
        <v>475860</v>
      </c>
    </row>
    <row r="101" spans="1:15" x14ac:dyDescent="0.25">
      <c r="A101" s="246"/>
      <c r="B101" s="247" t="s">
        <v>87</v>
      </c>
      <c r="C101" s="248">
        <v>0</v>
      </c>
      <c r="D101" s="84">
        <v>0</v>
      </c>
      <c r="E101" s="84">
        <v>0</v>
      </c>
      <c r="F101" s="84">
        <v>0</v>
      </c>
      <c r="G101" s="84">
        <v>0</v>
      </c>
      <c r="H101" s="84">
        <v>0</v>
      </c>
      <c r="I101" s="84">
        <v>0</v>
      </c>
      <c r="J101" s="84">
        <v>0</v>
      </c>
      <c r="K101" s="84">
        <v>0</v>
      </c>
      <c r="L101" s="84">
        <v>0</v>
      </c>
      <c r="M101" s="84">
        <v>0</v>
      </c>
      <c r="N101" s="84">
        <v>0</v>
      </c>
      <c r="O101" s="249">
        <v>0</v>
      </c>
    </row>
    <row r="102" spans="1:15" x14ac:dyDescent="0.25">
      <c r="A102" s="246"/>
      <c r="B102" s="247" t="s">
        <v>89</v>
      </c>
      <c r="C102" s="248">
        <v>0</v>
      </c>
      <c r="D102" s="84">
        <v>0</v>
      </c>
      <c r="E102" s="84">
        <v>0</v>
      </c>
      <c r="F102" s="84">
        <v>0</v>
      </c>
      <c r="G102" s="84">
        <v>0</v>
      </c>
      <c r="H102" s="84">
        <v>0</v>
      </c>
      <c r="I102" s="84">
        <v>0</v>
      </c>
      <c r="J102" s="84">
        <v>0</v>
      </c>
      <c r="K102" s="84">
        <v>0</v>
      </c>
      <c r="L102" s="84">
        <v>0</v>
      </c>
      <c r="M102" s="84">
        <v>0</v>
      </c>
      <c r="N102" s="84">
        <v>0</v>
      </c>
      <c r="O102" s="249">
        <v>0</v>
      </c>
    </row>
    <row r="103" spans="1:15" x14ac:dyDescent="0.25">
      <c r="A103" s="236" t="s">
        <v>81</v>
      </c>
      <c r="B103" s="236" t="s">
        <v>70</v>
      </c>
      <c r="C103" s="243">
        <v>220505.76</v>
      </c>
      <c r="D103" s="244">
        <v>149045.56</v>
      </c>
      <c r="E103" s="244">
        <v>115357.18000000001</v>
      </c>
      <c r="F103" s="244">
        <v>77585.36</v>
      </c>
      <c r="G103" s="244">
        <v>122503.2</v>
      </c>
      <c r="H103" s="244">
        <v>150066.42000000001</v>
      </c>
      <c r="I103" s="244">
        <v>158233.29999999999</v>
      </c>
      <c r="J103" s="244">
        <v>160275.01999999999</v>
      </c>
      <c r="K103" s="244">
        <v>128628.36</v>
      </c>
      <c r="L103" s="244">
        <v>114336.32000000001</v>
      </c>
      <c r="M103" s="244">
        <v>94939.98</v>
      </c>
      <c r="N103" s="244">
        <v>130670.08</v>
      </c>
      <c r="O103" s="245">
        <v>1622146.5400000003</v>
      </c>
    </row>
    <row r="104" spans="1:15" x14ac:dyDescent="0.25">
      <c r="A104" s="246"/>
      <c r="B104" s="247" t="s">
        <v>25</v>
      </c>
      <c r="C104" s="248">
        <v>-1974.2399999999907</v>
      </c>
      <c r="D104" s="84">
        <v>-1334.4400000000023</v>
      </c>
      <c r="E104" s="84">
        <v>-1032.8199999999924</v>
      </c>
      <c r="F104" s="84">
        <v>-694.63999999999942</v>
      </c>
      <c r="G104" s="84">
        <v>-1096.8000000000029</v>
      </c>
      <c r="H104" s="84">
        <v>-1343.5799999999872</v>
      </c>
      <c r="I104" s="84">
        <v>-1416.7000000000116</v>
      </c>
      <c r="J104" s="84">
        <v>-1434.9800000000105</v>
      </c>
      <c r="K104" s="84">
        <v>-1151.6399999999994</v>
      </c>
      <c r="L104" s="84">
        <v>-1023.679999999993</v>
      </c>
      <c r="M104" s="84">
        <v>-850.02000000000407</v>
      </c>
      <c r="N104" s="84">
        <v>-1169.9199999999983</v>
      </c>
      <c r="O104" s="249">
        <v>-14523.459999999992</v>
      </c>
    </row>
    <row r="105" spans="1:15" x14ac:dyDescent="0.25">
      <c r="A105" s="246"/>
      <c r="B105" s="247" t="s">
        <v>26</v>
      </c>
      <c r="C105" s="248">
        <v>-158.61944364345442</v>
      </c>
      <c r="D105" s="84">
        <v>-107.21499431455713</v>
      </c>
      <c r="E105" s="84">
        <v>-82.98146820236272</v>
      </c>
      <c r="F105" s="84">
        <v>-55.810544985659888</v>
      </c>
      <c r="G105" s="84">
        <v>-88.121913135252441</v>
      </c>
      <c r="H105" s="84">
        <v>-107.94934359068425</v>
      </c>
      <c r="I105" s="84">
        <v>-113.82413779970108</v>
      </c>
      <c r="J105" s="84">
        <v>-115.29283635195527</v>
      </c>
      <c r="K105" s="84">
        <v>-92.528008792015072</v>
      </c>
      <c r="L105" s="84">
        <v>-82.247118926235615</v>
      </c>
      <c r="M105" s="84">
        <v>-68.294482679820646</v>
      </c>
      <c r="N105" s="84">
        <v>-93.996707344269282</v>
      </c>
      <c r="O105" s="249">
        <v>-1166.880999765968</v>
      </c>
    </row>
    <row r="106" spans="1:15" x14ac:dyDescent="0.25">
      <c r="A106" s="246"/>
      <c r="B106" s="247" t="s">
        <v>27</v>
      </c>
      <c r="C106" s="248">
        <v>-2132.859443643445</v>
      </c>
      <c r="D106" s="84">
        <v>-1441.6549943145594</v>
      </c>
      <c r="E106" s="84">
        <v>-1115.8014682023552</v>
      </c>
      <c r="F106" s="84">
        <v>-750.45054498565935</v>
      </c>
      <c r="G106" s="84">
        <v>-1184.9219131352554</v>
      </c>
      <c r="H106" s="84">
        <v>-1451.5293435906715</v>
      </c>
      <c r="I106" s="84">
        <v>-1530.5241377997127</v>
      </c>
      <c r="J106" s="84">
        <v>-1550.2728363519657</v>
      </c>
      <c r="K106" s="84">
        <v>-1244.1680087920145</v>
      </c>
      <c r="L106" s="84">
        <v>-1105.9271189262286</v>
      </c>
      <c r="M106" s="84">
        <v>-918.31448267982478</v>
      </c>
      <c r="N106" s="84">
        <v>-1263.9167073442675</v>
      </c>
      <c r="O106" s="249">
        <v>-15690.34099976596</v>
      </c>
    </row>
    <row r="107" spans="1:15" x14ac:dyDescent="0.25">
      <c r="A107" s="246"/>
      <c r="B107" s="247" t="s">
        <v>49</v>
      </c>
      <c r="C107" s="248">
        <v>222480</v>
      </c>
      <c r="D107" s="84">
        <v>150380</v>
      </c>
      <c r="E107" s="84">
        <v>116390</v>
      </c>
      <c r="F107" s="84">
        <v>78280</v>
      </c>
      <c r="G107" s="84">
        <v>123600</v>
      </c>
      <c r="H107" s="84">
        <v>151410</v>
      </c>
      <c r="I107" s="84">
        <v>159650</v>
      </c>
      <c r="J107" s="84">
        <v>161710</v>
      </c>
      <c r="K107" s="84">
        <v>129780</v>
      </c>
      <c r="L107" s="84">
        <v>115360</v>
      </c>
      <c r="M107" s="84">
        <v>95790</v>
      </c>
      <c r="N107" s="84">
        <v>131840</v>
      </c>
      <c r="O107" s="249">
        <v>1636670</v>
      </c>
    </row>
    <row r="108" spans="1:15" x14ac:dyDescent="0.25">
      <c r="A108" s="246"/>
      <c r="B108" s="247" t="s">
        <v>87</v>
      </c>
      <c r="C108" s="248">
        <v>0</v>
      </c>
      <c r="D108" s="84">
        <v>0</v>
      </c>
      <c r="E108" s="84">
        <v>0</v>
      </c>
      <c r="F108" s="84">
        <v>0</v>
      </c>
      <c r="G108" s="84">
        <v>0</v>
      </c>
      <c r="H108" s="84">
        <v>0</v>
      </c>
      <c r="I108" s="84">
        <v>0</v>
      </c>
      <c r="J108" s="84">
        <v>0</v>
      </c>
      <c r="K108" s="84">
        <v>0</v>
      </c>
      <c r="L108" s="84">
        <v>0</v>
      </c>
      <c r="M108" s="84">
        <v>0</v>
      </c>
      <c r="N108" s="84">
        <v>0</v>
      </c>
      <c r="O108" s="249">
        <v>0</v>
      </c>
    </row>
    <row r="109" spans="1:15" x14ac:dyDescent="0.25">
      <c r="A109" s="246"/>
      <c r="B109" s="247" t="s">
        <v>89</v>
      </c>
      <c r="C109" s="248">
        <v>0</v>
      </c>
      <c r="D109" s="84">
        <v>0</v>
      </c>
      <c r="E109" s="84">
        <v>0</v>
      </c>
      <c r="F109" s="84">
        <v>0</v>
      </c>
      <c r="G109" s="84">
        <v>0</v>
      </c>
      <c r="H109" s="84">
        <v>0</v>
      </c>
      <c r="I109" s="84">
        <v>0</v>
      </c>
      <c r="J109" s="84">
        <v>0</v>
      </c>
      <c r="K109" s="84">
        <v>0</v>
      </c>
      <c r="L109" s="84">
        <v>0</v>
      </c>
      <c r="M109" s="84">
        <v>0</v>
      </c>
      <c r="N109" s="84">
        <v>0</v>
      </c>
      <c r="O109" s="249">
        <v>0</v>
      </c>
    </row>
    <row r="110" spans="1:15" x14ac:dyDescent="0.25">
      <c r="A110" s="236" t="s">
        <v>83</v>
      </c>
      <c r="B110" s="236" t="s">
        <v>70</v>
      </c>
      <c r="C110" s="243">
        <v>59209.88</v>
      </c>
      <c r="D110" s="244">
        <v>36750.959999999999</v>
      </c>
      <c r="E110" s="244">
        <v>29604.94</v>
      </c>
      <c r="F110" s="244">
        <v>27563.22</v>
      </c>
      <c r="G110" s="244">
        <v>36750.959999999999</v>
      </c>
      <c r="H110" s="244">
        <v>54105.58</v>
      </c>
      <c r="I110" s="244">
        <v>54105.58</v>
      </c>
      <c r="J110" s="244">
        <v>55126.44</v>
      </c>
      <c r="K110" s="244">
        <v>49001.279999999999</v>
      </c>
      <c r="L110" s="244">
        <v>41855.26</v>
      </c>
      <c r="M110" s="244">
        <v>22458.920000000002</v>
      </c>
      <c r="N110" s="244">
        <v>37771.82</v>
      </c>
      <c r="O110" s="245">
        <v>504304.83999999997</v>
      </c>
    </row>
    <row r="111" spans="1:15" x14ac:dyDescent="0.25">
      <c r="A111" s="246"/>
      <c r="B111" s="247" t="s">
        <v>25</v>
      </c>
      <c r="C111" s="248">
        <v>-530.12000000000262</v>
      </c>
      <c r="D111" s="84">
        <v>-329.04000000000087</v>
      </c>
      <c r="E111" s="84">
        <v>-265.06000000000131</v>
      </c>
      <c r="F111" s="84">
        <v>-246.77999999999884</v>
      </c>
      <c r="G111" s="84">
        <v>-329.04000000000087</v>
      </c>
      <c r="H111" s="84">
        <v>-484.41999999999825</v>
      </c>
      <c r="I111" s="84">
        <v>-484.41999999999825</v>
      </c>
      <c r="J111" s="84">
        <v>-493.55999999999767</v>
      </c>
      <c r="K111" s="84">
        <v>-438.72000000000116</v>
      </c>
      <c r="L111" s="84">
        <v>-374.73999999999796</v>
      </c>
      <c r="M111" s="84">
        <v>-201.07999999999811</v>
      </c>
      <c r="N111" s="84">
        <v>-338.18000000000029</v>
      </c>
      <c r="O111" s="249">
        <v>-4515.1599999999962</v>
      </c>
    </row>
    <row r="112" spans="1:15" x14ac:dyDescent="0.25">
      <c r="A112" s="246"/>
      <c r="B112" s="247" t="s">
        <v>26</v>
      </c>
      <c r="C112" s="248">
        <v>-42.592258015372011</v>
      </c>
      <c r="D112" s="84">
        <v>-26.436573940575734</v>
      </c>
      <c r="E112" s="84">
        <v>-21.296129007686005</v>
      </c>
      <c r="F112" s="84">
        <v>-19.827430455431802</v>
      </c>
      <c r="G112" s="84">
        <v>-26.436573940575734</v>
      </c>
      <c r="H112" s="84">
        <v>-38.920511634736499</v>
      </c>
      <c r="I112" s="84">
        <v>-38.920511634736499</v>
      </c>
      <c r="J112" s="84">
        <v>-39.654860910863604</v>
      </c>
      <c r="K112" s="84">
        <v>-35.248765254100981</v>
      </c>
      <c r="L112" s="84">
        <v>-30.108320321211252</v>
      </c>
      <c r="M112" s="84">
        <v>-16.15568407479628</v>
      </c>
      <c r="N112" s="84">
        <v>-27.170923216702835</v>
      </c>
      <c r="O112" s="249">
        <v>-362.76854240678921</v>
      </c>
    </row>
    <row r="113" spans="1:15" x14ac:dyDescent="0.25">
      <c r="A113" s="246"/>
      <c r="B113" s="247" t="s">
        <v>27</v>
      </c>
      <c r="C113" s="248">
        <v>-572.71225801537457</v>
      </c>
      <c r="D113" s="84">
        <v>-355.4765739405766</v>
      </c>
      <c r="E113" s="84">
        <v>-286.35612900768729</v>
      </c>
      <c r="F113" s="84">
        <v>-266.60743045543063</v>
      </c>
      <c r="G113" s="84">
        <v>-355.4765739405766</v>
      </c>
      <c r="H113" s="84">
        <v>-523.34051163473475</v>
      </c>
      <c r="I113" s="84">
        <v>-523.34051163473475</v>
      </c>
      <c r="J113" s="84">
        <v>-533.21486091086126</v>
      </c>
      <c r="K113" s="84">
        <v>-473.96876525410215</v>
      </c>
      <c r="L113" s="84">
        <v>-404.8483203212092</v>
      </c>
      <c r="M113" s="84">
        <v>-217.23568407479439</v>
      </c>
      <c r="N113" s="84">
        <v>-365.35092321670311</v>
      </c>
      <c r="O113" s="249">
        <v>-4877.9285424067857</v>
      </c>
    </row>
    <row r="114" spans="1:15" x14ac:dyDescent="0.25">
      <c r="A114" s="246"/>
      <c r="B114" s="247" t="s">
        <v>49</v>
      </c>
      <c r="C114" s="248">
        <v>59740</v>
      </c>
      <c r="D114" s="84">
        <v>37080</v>
      </c>
      <c r="E114" s="84">
        <v>29870</v>
      </c>
      <c r="F114" s="84">
        <v>27810</v>
      </c>
      <c r="G114" s="84">
        <v>37080</v>
      </c>
      <c r="H114" s="84">
        <v>54590</v>
      </c>
      <c r="I114" s="84">
        <v>54590</v>
      </c>
      <c r="J114" s="84">
        <v>55620</v>
      </c>
      <c r="K114" s="84">
        <v>49440</v>
      </c>
      <c r="L114" s="84">
        <v>42230</v>
      </c>
      <c r="M114" s="84">
        <v>22660</v>
      </c>
      <c r="N114" s="84">
        <v>38110</v>
      </c>
      <c r="O114" s="249">
        <v>508820</v>
      </c>
    </row>
    <row r="115" spans="1:15" x14ac:dyDescent="0.25">
      <c r="A115" s="246"/>
      <c r="B115" s="247" t="s">
        <v>87</v>
      </c>
      <c r="C115" s="248">
        <v>0</v>
      </c>
      <c r="D115" s="84">
        <v>0</v>
      </c>
      <c r="E115" s="84">
        <v>0</v>
      </c>
      <c r="F115" s="84">
        <v>0</v>
      </c>
      <c r="G115" s="84">
        <v>0</v>
      </c>
      <c r="H115" s="84">
        <v>0</v>
      </c>
      <c r="I115" s="84">
        <v>0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  <c r="O115" s="249">
        <v>0</v>
      </c>
    </row>
    <row r="116" spans="1:15" x14ac:dyDescent="0.25">
      <c r="A116" s="246"/>
      <c r="B116" s="247" t="s">
        <v>89</v>
      </c>
      <c r="C116" s="248">
        <v>0</v>
      </c>
      <c r="D116" s="84">
        <v>0</v>
      </c>
      <c r="E116" s="84">
        <v>0</v>
      </c>
      <c r="F116" s="84">
        <v>0</v>
      </c>
      <c r="G116" s="84">
        <v>0</v>
      </c>
      <c r="H116" s="84">
        <v>0</v>
      </c>
      <c r="I116" s="84">
        <v>0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249">
        <v>0</v>
      </c>
    </row>
    <row r="117" spans="1:15" x14ac:dyDescent="0.25">
      <c r="A117" s="236" t="s">
        <v>71</v>
      </c>
      <c r="B117" s="237"/>
      <c r="C117" s="243">
        <v>10185120.219999999</v>
      </c>
      <c r="D117" s="244">
        <v>7434923.3799999999</v>
      </c>
      <c r="E117" s="244">
        <v>6600880.7600000007</v>
      </c>
      <c r="F117" s="244">
        <v>7109269.04</v>
      </c>
      <c r="G117" s="244">
        <v>8583390.8800000008</v>
      </c>
      <c r="H117" s="244">
        <v>10561817.560000001</v>
      </c>
      <c r="I117" s="244">
        <v>10675133.02</v>
      </c>
      <c r="J117" s="244">
        <v>10813969.979999999</v>
      </c>
      <c r="K117" s="244">
        <v>9734920.9600000009</v>
      </c>
      <c r="L117" s="244">
        <v>8590536.9000000004</v>
      </c>
      <c r="M117" s="244">
        <v>6217037.4000000013</v>
      </c>
      <c r="N117" s="244">
        <v>7468611.7599999998</v>
      </c>
      <c r="O117" s="245">
        <v>103975611.86000001</v>
      </c>
    </row>
    <row r="118" spans="1:15" ht="13" x14ac:dyDescent="0.3">
      <c r="A118" s="236" t="s">
        <v>28</v>
      </c>
      <c r="B118" s="237"/>
      <c r="C118" s="258">
        <v>-91189.779999999708</v>
      </c>
      <c r="D118" s="259">
        <v>-66566.619999999821</v>
      </c>
      <c r="E118" s="259">
        <v>-59099.23999999954</v>
      </c>
      <c r="F118" s="259">
        <v>-63650.959999999766</v>
      </c>
      <c r="G118" s="259">
        <v>-76849.119999999617</v>
      </c>
      <c r="H118" s="259">
        <v>-94562.439999999828</v>
      </c>
      <c r="I118" s="259">
        <v>-95576.980000000272</v>
      </c>
      <c r="J118" s="259">
        <v>-96820.019999999509</v>
      </c>
      <c r="K118" s="259">
        <v>-87159.039999999557</v>
      </c>
      <c r="L118" s="259">
        <v>-76913.100000000064</v>
      </c>
      <c r="M118" s="259">
        <v>-55662.599999999802</v>
      </c>
      <c r="N118" s="259">
        <v>-66868.239999999903</v>
      </c>
      <c r="O118" s="260">
        <v>-930918.13999999769</v>
      </c>
    </row>
    <row r="119" spans="1:15" ht="13" x14ac:dyDescent="0.3">
      <c r="A119" s="236" t="s">
        <v>29</v>
      </c>
      <c r="B119" s="237"/>
      <c r="C119" s="258">
        <v>-7326.6027279201153</v>
      </c>
      <c r="D119" s="259">
        <v>-5348.2657780336967</v>
      </c>
      <c r="E119" s="259">
        <v>-4748.3024194378522</v>
      </c>
      <c r="F119" s="259">
        <v>-5114.0083589491496</v>
      </c>
      <c r="G119" s="259">
        <v>-6174.4087136766875</v>
      </c>
      <c r="H119" s="259">
        <v>-7597.5776108110158</v>
      </c>
      <c r="I119" s="259">
        <v>-7679.0903804611225</v>
      </c>
      <c r="J119" s="259">
        <v>-7778.9618820144105</v>
      </c>
      <c r="K119" s="259">
        <v>-7002.7546971480624</v>
      </c>
      <c r="L119" s="259">
        <v>-6179.5491586095786</v>
      </c>
      <c r="M119" s="259">
        <v>-4472.1870916140615</v>
      </c>
      <c r="N119" s="259">
        <v>-5372.4993041458902</v>
      </c>
      <c r="O119" s="260">
        <v>-74794.208122821627</v>
      </c>
    </row>
    <row r="120" spans="1:15" ht="13" x14ac:dyDescent="0.3">
      <c r="A120" s="236" t="s">
        <v>30</v>
      </c>
      <c r="B120" s="237"/>
      <c r="C120" s="258">
        <v>-98516.382727919874</v>
      </c>
      <c r="D120" s="259">
        <v>-71914.885778033524</v>
      </c>
      <c r="E120" s="259">
        <v>-63847.542419437385</v>
      </c>
      <c r="F120" s="259">
        <v>-68764.968358948929</v>
      </c>
      <c r="G120" s="259">
        <v>-83023.528713676336</v>
      </c>
      <c r="H120" s="259">
        <v>-102160.01761081083</v>
      </c>
      <c r="I120" s="259">
        <v>-103256.07038046139</v>
      </c>
      <c r="J120" s="259">
        <v>-104598.98188201393</v>
      </c>
      <c r="K120" s="259">
        <v>-94161.794697147619</v>
      </c>
      <c r="L120" s="259">
        <v>-83092.649158609682</v>
      </c>
      <c r="M120" s="259">
        <v>-60134.787091613864</v>
      </c>
      <c r="N120" s="259">
        <v>-72240.739304145813</v>
      </c>
      <c r="O120" s="260">
        <v>-1005712.348122819</v>
      </c>
    </row>
    <row r="121" spans="1:15" x14ac:dyDescent="0.25">
      <c r="A121" s="236" t="s">
        <v>61</v>
      </c>
      <c r="B121" s="237"/>
      <c r="C121" s="243">
        <v>10276310</v>
      </c>
      <c r="D121" s="244">
        <v>7501490</v>
      </c>
      <c r="E121" s="244">
        <v>6659980</v>
      </c>
      <c r="F121" s="244">
        <v>7172920</v>
      </c>
      <c r="G121" s="244">
        <v>8660240</v>
      </c>
      <c r="H121" s="244">
        <v>10656380</v>
      </c>
      <c r="I121" s="244">
        <v>10770710</v>
      </c>
      <c r="J121" s="244">
        <v>10910790</v>
      </c>
      <c r="K121" s="244">
        <v>9822080</v>
      </c>
      <c r="L121" s="244">
        <v>8667450</v>
      </c>
      <c r="M121" s="244">
        <v>6272700</v>
      </c>
      <c r="N121" s="244">
        <v>7535480</v>
      </c>
      <c r="O121" s="245">
        <v>104906530</v>
      </c>
    </row>
    <row r="122" spans="1:15" x14ac:dyDescent="0.25">
      <c r="A122" s="236" t="s">
        <v>88</v>
      </c>
      <c r="B122" s="237"/>
      <c r="C122" s="243">
        <v>0</v>
      </c>
      <c r="D122" s="244">
        <v>0</v>
      </c>
      <c r="E122" s="244">
        <v>0</v>
      </c>
      <c r="F122" s="244">
        <v>0</v>
      </c>
      <c r="G122" s="244">
        <v>0</v>
      </c>
      <c r="H122" s="244">
        <v>0</v>
      </c>
      <c r="I122" s="244">
        <v>0</v>
      </c>
      <c r="J122" s="244">
        <v>0</v>
      </c>
      <c r="K122" s="244">
        <v>0</v>
      </c>
      <c r="L122" s="244">
        <v>0</v>
      </c>
      <c r="M122" s="244">
        <v>0</v>
      </c>
      <c r="N122" s="244">
        <v>0</v>
      </c>
      <c r="O122" s="245">
        <v>0</v>
      </c>
    </row>
    <row r="123" spans="1:15" x14ac:dyDescent="0.25">
      <c r="A123" s="250" t="s">
        <v>90</v>
      </c>
      <c r="B123" s="251"/>
      <c r="C123" s="252">
        <v>0</v>
      </c>
      <c r="D123" s="253">
        <v>0</v>
      </c>
      <c r="E123" s="253">
        <v>0</v>
      </c>
      <c r="F123" s="253">
        <v>0</v>
      </c>
      <c r="G123" s="253">
        <v>0</v>
      </c>
      <c r="H123" s="253">
        <v>0</v>
      </c>
      <c r="I123" s="253">
        <v>0</v>
      </c>
      <c r="J123" s="253">
        <v>0</v>
      </c>
      <c r="K123" s="253">
        <v>0</v>
      </c>
      <c r="L123" s="253">
        <v>0</v>
      </c>
      <c r="M123" s="253">
        <v>0</v>
      </c>
      <c r="N123" s="253">
        <v>0</v>
      </c>
      <c r="O123" s="254">
        <v>0</v>
      </c>
    </row>
    <row r="125" spans="1:15" x14ac:dyDescent="0.25">
      <c r="L125" s="202"/>
      <c r="O125" s="202"/>
    </row>
    <row r="126" spans="1:15" x14ac:dyDescent="0.25">
      <c r="L126" s="84"/>
      <c r="O126" s="84"/>
    </row>
  </sheetData>
  <phoneticPr fontId="6" type="noConversion"/>
  <pageMargins left="0.5" right="0.5" top="0.73" bottom="0.98" header="0.5" footer="0.5"/>
  <pageSetup scale="52" fitToHeight="0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zoomScale="90" zoomScaleNormal="90" zoomScaleSheetLayoutView="100" workbookViewId="0">
      <selection activeCell="I21" sqref="I21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32" customWidth="1"/>
    <col min="5" max="5" width="24.26953125" style="1" customWidth="1"/>
    <col min="6" max="6" width="7.7265625" style="132" customWidth="1"/>
    <col min="7" max="7" width="8.81640625" style="132" customWidth="1"/>
    <col min="8" max="8" width="11.1796875" style="132" bestFit="1" customWidth="1"/>
    <col min="9" max="9" width="11.26953125" style="133" customWidth="1"/>
    <col min="10" max="10" width="14.81640625" style="132" bestFit="1" customWidth="1"/>
    <col min="11" max="11" width="14.81640625" style="134" bestFit="1" customWidth="1"/>
    <col min="12" max="12" width="14.7265625" style="132" customWidth="1"/>
    <col min="13" max="13" width="13.453125" style="95" bestFit="1" customWidth="1"/>
    <col min="14" max="15" width="13.453125" style="95" customWidth="1"/>
    <col min="16" max="16" width="14.81640625" style="95" bestFit="1" customWidth="1"/>
    <col min="17" max="17" width="13.453125" style="95" customWidth="1"/>
    <col min="18" max="18" width="15.54296875" style="200" customWidth="1"/>
    <col min="19" max="16384" width="8.7265625" style="1"/>
  </cols>
  <sheetData>
    <row r="1" spans="2:18" ht="21.5" x14ac:dyDescent="0.3">
      <c r="B1" s="10" t="s">
        <v>95</v>
      </c>
      <c r="C1" s="85"/>
      <c r="D1" s="86"/>
      <c r="E1" s="85"/>
      <c r="F1" s="87" t="s">
        <v>12</v>
      </c>
      <c r="G1" s="88"/>
      <c r="H1" s="89"/>
      <c r="I1" s="90"/>
      <c r="J1" s="205" t="str">
        <f>"True-Up ARR
(CY"&amp;R1&amp;")"</f>
        <v>True-Up ARR
(CY2024)</v>
      </c>
      <c r="K1" s="205" t="str">
        <f>"Projected ARR
(Jan'"&amp;RIGHT(R$1,2)&amp;" - Dec'"&amp;RIGHT(R$1,2)&amp;")"</f>
        <v>Projected ARR
(Jan'24 - Dec'24)</v>
      </c>
      <c r="L1" s="91" t="s">
        <v>45</v>
      </c>
      <c r="M1" s="92"/>
      <c r="N1" s="50"/>
      <c r="O1" s="50"/>
      <c r="P1" s="50"/>
      <c r="Q1" s="45"/>
      <c r="R1" s="93">
        <v>2024</v>
      </c>
    </row>
    <row r="2" spans="2:18" ht="13" x14ac:dyDescent="0.3">
      <c r="B2" s="10" t="s">
        <v>52</v>
      </c>
      <c r="C2" s="85"/>
      <c r="D2" s="86"/>
      <c r="E2" s="85"/>
      <c r="F2" s="94">
        <v>9</v>
      </c>
      <c r="G2" s="262"/>
      <c r="H2" s="262"/>
      <c r="I2" s="96" t="s">
        <v>6</v>
      </c>
      <c r="J2" s="97">
        <v>103975622.4174573</v>
      </c>
      <c r="K2" s="97">
        <v>104558417.46081869</v>
      </c>
      <c r="L2" s="210"/>
      <c r="M2" s="99"/>
      <c r="N2" s="50"/>
      <c r="O2" s="50"/>
      <c r="P2" s="50"/>
      <c r="Q2" s="50"/>
      <c r="R2" s="1"/>
    </row>
    <row r="3" spans="2:18" ht="13" x14ac:dyDescent="0.3">
      <c r="B3" s="10" t="str">
        <f>"for CY"&amp;R1&amp;" SPP Network Transmission Service"</f>
        <v>for CY2024 SPP Network Transmission Service</v>
      </c>
      <c r="C3" s="85"/>
      <c r="D3" s="86"/>
      <c r="E3" s="85"/>
      <c r="F3" s="94"/>
      <c r="G3" s="262"/>
      <c r="H3" s="262"/>
      <c r="I3" s="96" t="s">
        <v>10</v>
      </c>
      <c r="J3" s="100">
        <v>1020.86</v>
      </c>
      <c r="K3" s="100">
        <v>1030</v>
      </c>
      <c r="L3" s="121" t="str">
        <f>"Inv. Jan-Dec'"&amp;RIGHT(R1,2)</f>
        <v>Inv. Jan-Dec'24</v>
      </c>
      <c r="M3" s="99"/>
      <c r="N3" s="50"/>
      <c r="O3" s="50"/>
      <c r="P3" s="50"/>
      <c r="Q3" s="50"/>
      <c r="R3" s="1"/>
    </row>
    <row r="4" spans="2:18" ht="13" x14ac:dyDescent="0.3">
      <c r="B4" s="9"/>
      <c r="C4" s="85"/>
      <c r="D4" s="86"/>
      <c r="E4" s="85"/>
      <c r="F4" s="94"/>
      <c r="G4" s="95"/>
      <c r="H4" s="95"/>
      <c r="I4" s="49"/>
      <c r="J4" s="95"/>
      <c r="K4" s="101"/>
      <c r="L4" s="95"/>
      <c r="M4" s="102"/>
      <c r="O4" s="234"/>
      <c r="R4" s="1"/>
    </row>
    <row r="5" spans="2:18" ht="13" x14ac:dyDescent="0.3">
      <c r="B5" s="9"/>
      <c r="C5" s="85"/>
      <c r="D5" s="86"/>
      <c r="E5" s="85"/>
      <c r="F5" s="94"/>
      <c r="G5" s="95"/>
      <c r="H5" s="95"/>
      <c r="I5" s="96"/>
      <c r="J5" s="95"/>
      <c r="K5" s="97">
        <v>0</v>
      </c>
      <c r="L5" s="201"/>
      <c r="M5" s="103"/>
      <c r="N5" s="104"/>
      <c r="O5" s="104"/>
      <c r="P5" s="104"/>
      <c r="Q5" s="104"/>
      <c r="R5" s="105"/>
    </row>
    <row r="6" spans="2:18" ht="13" x14ac:dyDescent="0.3">
      <c r="B6" s="10" t="s">
        <v>23</v>
      </c>
      <c r="D6" s="86"/>
      <c r="E6" s="85"/>
      <c r="F6" s="106"/>
      <c r="G6" s="107"/>
      <c r="H6" s="108"/>
      <c r="I6" s="109"/>
      <c r="J6" s="110"/>
      <c r="K6" s="100">
        <v>0</v>
      </c>
      <c r="L6" s="111"/>
      <c r="M6" s="103"/>
      <c r="N6" s="104"/>
      <c r="O6" s="104"/>
      <c r="P6" s="104"/>
      <c r="Q6" s="104"/>
      <c r="R6" s="1"/>
    </row>
    <row r="7" spans="2:18" ht="13" x14ac:dyDescent="0.3">
      <c r="B7" s="9" t="s">
        <v>77</v>
      </c>
      <c r="D7" s="86"/>
      <c r="E7" s="85"/>
      <c r="F7" s="94"/>
      <c r="G7" s="263"/>
      <c r="H7" s="262"/>
      <c r="I7" s="96"/>
      <c r="J7" s="112"/>
      <c r="K7" s="98"/>
      <c r="L7" s="98"/>
      <c r="M7" s="113"/>
      <c r="N7" s="114"/>
      <c r="O7" s="114"/>
      <c r="P7" s="114"/>
      <c r="Q7" s="114"/>
      <c r="R7" s="1"/>
    </row>
    <row r="8" spans="2:18" ht="13" x14ac:dyDescent="0.3">
      <c r="B8" s="10"/>
      <c r="C8" s="85"/>
      <c r="D8" s="86"/>
      <c r="E8" s="85"/>
      <c r="F8" s="94"/>
      <c r="G8" s="262"/>
      <c r="H8" s="262"/>
      <c r="I8" s="96"/>
      <c r="J8" s="115"/>
      <c r="K8" s="98"/>
      <c r="L8" s="116"/>
      <c r="M8" s="99"/>
      <c r="N8" s="50"/>
      <c r="O8" s="50"/>
      <c r="P8" s="50"/>
      <c r="Q8" s="50"/>
      <c r="R8" s="105"/>
    </row>
    <row r="9" spans="2:18" ht="13" x14ac:dyDescent="0.3">
      <c r="B9" s="117"/>
      <c r="C9" s="85"/>
      <c r="D9" s="86"/>
      <c r="E9" s="85"/>
      <c r="F9" s="94"/>
      <c r="G9" s="95"/>
      <c r="H9" s="95"/>
      <c r="I9" s="118"/>
      <c r="J9" s="119"/>
      <c r="K9" s="120"/>
      <c r="L9" s="121"/>
      <c r="M9" s="99"/>
      <c r="N9" s="50"/>
      <c r="O9" s="50"/>
      <c r="P9" s="50"/>
      <c r="Q9" s="50"/>
      <c r="R9" s="105"/>
    </row>
    <row r="10" spans="2:18" ht="13.5" thickBot="1" x14ac:dyDescent="0.35">
      <c r="B10" s="9"/>
      <c r="D10" s="1"/>
      <c r="E10" s="122"/>
      <c r="F10" s="123"/>
      <c r="G10" s="124"/>
      <c r="H10" s="125"/>
      <c r="I10" s="126"/>
      <c r="J10" s="127"/>
      <c r="K10" s="127"/>
      <c r="L10" s="128"/>
      <c r="M10" s="129"/>
      <c r="R10" s="130"/>
    </row>
    <row r="11" spans="2:18" ht="13" x14ac:dyDescent="0.3">
      <c r="B11" s="131"/>
      <c r="E11" s="122"/>
      <c r="L11" s="135"/>
      <c r="M11" s="1"/>
      <c r="N11" s="1"/>
      <c r="O11" s="1"/>
      <c r="P11" s="1"/>
      <c r="Q11" s="1"/>
      <c r="R11" s="105"/>
    </row>
    <row r="12" spans="2:18" x14ac:dyDescent="0.25">
      <c r="E12" s="122"/>
      <c r="L12" s="135"/>
      <c r="R12" s="136" t="s">
        <v>60</v>
      </c>
    </row>
    <row r="13" spans="2:18" ht="13" x14ac:dyDescent="0.3">
      <c r="E13" s="122"/>
      <c r="F13" s="137"/>
      <c r="G13" s="138"/>
      <c r="H13" s="138"/>
      <c r="I13" s="139" t="s">
        <v>58</v>
      </c>
      <c r="J13" s="140">
        <f t="shared" ref="J13:R13" si="0">SUM(J56:J211)</f>
        <v>27456029.700000014</v>
      </c>
      <c r="K13" s="140">
        <f t="shared" si="0"/>
        <v>27701850</v>
      </c>
      <c r="L13" s="141">
        <f t="shared" si="0"/>
        <v>-245820.29999999996</v>
      </c>
      <c r="M13" s="142">
        <f t="shared" si="0"/>
        <v>-19750.323781438467</v>
      </c>
      <c r="N13" s="140">
        <f t="shared" si="0"/>
        <v>-265570.62378143839</v>
      </c>
      <c r="O13" s="140">
        <f t="shared" si="0"/>
        <v>0</v>
      </c>
      <c r="P13" s="140">
        <f t="shared" si="0"/>
        <v>0</v>
      </c>
      <c r="Q13" s="140">
        <f t="shared" si="0"/>
        <v>0</v>
      </c>
      <c r="R13" s="141">
        <f t="shared" si="0"/>
        <v>-265570.62378143839</v>
      </c>
    </row>
    <row r="14" spans="2:18" ht="13" x14ac:dyDescent="0.3">
      <c r="E14" s="122"/>
      <c r="F14" s="143"/>
      <c r="G14" s="143"/>
      <c r="H14" s="143"/>
      <c r="I14" s="144" t="s">
        <v>59</v>
      </c>
      <c r="J14" s="140">
        <f>SUM(J20:J211)</f>
        <v>103975611.85999995</v>
      </c>
      <c r="K14" s="140">
        <f>SUM(K20:K211)</f>
        <v>104906530</v>
      </c>
      <c r="L14" s="141">
        <f>SUM(L20:L211)</f>
        <v>-930918.13999999803</v>
      </c>
      <c r="M14" s="203">
        <v>-74794.208122821641</v>
      </c>
      <c r="N14" s="140">
        <f>SUM(N20:N211)</f>
        <v>-1005712.3481228187</v>
      </c>
      <c r="O14" s="140">
        <f>SUM(O20:O211)</f>
        <v>0</v>
      </c>
      <c r="P14" s="140">
        <f>SUM(P20:P211)</f>
        <v>0</v>
      </c>
      <c r="Q14" s="140">
        <f>SUM(Q20:Q211)</f>
        <v>0</v>
      </c>
      <c r="R14" s="141">
        <f>SUM(R20:R211)</f>
        <v>-1005712.3481228187</v>
      </c>
    </row>
    <row r="15" spans="2:18" x14ac:dyDescent="0.25">
      <c r="B15" s="145" t="s">
        <v>82</v>
      </c>
      <c r="E15" s="122"/>
      <c r="J15" s="133"/>
      <c r="L15" s="235"/>
      <c r="M15" s="209"/>
      <c r="N15" s="146"/>
      <c r="O15" s="146"/>
      <c r="P15" s="146"/>
      <c r="Q15" s="146"/>
      <c r="R15" s="147" t="s">
        <v>20</v>
      </c>
    </row>
    <row r="16" spans="2:18" x14ac:dyDescent="0.25">
      <c r="B16" s="148" t="str">
        <f>"** Actual Trued-Up CY"&amp;R1&amp;" Charge reflects "&amp;R1&amp;" True-UP Rate x MW"</f>
        <v>** Actual Trued-Up CY2024 Charge reflects 2024 True-UP Rate x MW</v>
      </c>
      <c r="E16" s="122"/>
      <c r="F16" s="95"/>
      <c r="G16" s="5"/>
      <c r="J16" s="149"/>
      <c r="L16" s="150" t="s">
        <v>11</v>
      </c>
      <c r="M16" s="146"/>
      <c r="N16" s="146"/>
      <c r="O16" s="146"/>
      <c r="P16" s="146"/>
      <c r="Q16" s="146"/>
      <c r="R16" s="151"/>
    </row>
    <row r="17" spans="1:18" x14ac:dyDescent="0.25">
      <c r="B17" s="152" t="s">
        <v>62</v>
      </c>
      <c r="E17" s="122"/>
      <c r="I17" s="153"/>
      <c r="J17" s="154"/>
      <c r="K17" s="155"/>
      <c r="L17" s="155"/>
      <c r="M17" s="155"/>
      <c r="N17" s="155"/>
      <c r="O17" s="155"/>
      <c r="P17" s="155"/>
      <c r="Q17" s="155"/>
      <c r="R17" s="156"/>
    </row>
    <row r="18" spans="1:18" ht="3.65" customHeight="1" x14ac:dyDescent="0.25">
      <c r="I18" s="157"/>
      <c r="J18" s="154"/>
      <c r="K18" s="157"/>
      <c r="L18" s="157"/>
      <c r="M18" s="158"/>
      <c r="N18" s="158"/>
      <c r="O18" s="158"/>
      <c r="P18" s="158"/>
      <c r="Q18" s="158"/>
      <c r="R18" s="159"/>
    </row>
    <row r="19" spans="1:18" ht="38.25" customHeight="1" x14ac:dyDescent="0.25">
      <c r="B19" s="160" t="s">
        <v>53</v>
      </c>
      <c r="C19" s="211" t="s">
        <v>4</v>
      </c>
      <c r="D19" s="211" t="s">
        <v>5</v>
      </c>
      <c r="E19" s="212" t="s">
        <v>0</v>
      </c>
      <c r="F19" s="213" t="s">
        <v>12</v>
      </c>
      <c r="G19" s="214" t="s">
        <v>1</v>
      </c>
      <c r="H19" s="161" t="s">
        <v>48</v>
      </c>
      <c r="I19" s="161" t="s">
        <v>46</v>
      </c>
      <c r="J19" s="162" t="str">
        <f>"True-Up Charge"</f>
        <v>True-Up Charge</v>
      </c>
      <c r="K19" s="162" t="s">
        <v>47</v>
      </c>
      <c r="L19" s="163" t="s">
        <v>3</v>
      </c>
      <c r="M19" s="164" t="s">
        <v>7</v>
      </c>
      <c r="N19" s="165" t="s">
        <v>100</v>
      </c>
      <c r="O19" s="165" t="s">
        <v>84</v>
      </c>
      <c r="P19" s="165" t="s">
        <v>85</v>
      </c>
      <c r="Q19" s="165" t="s">
        <v>86</v>
      </c>
      <c r="R19" s="166" t="s">
        <v>2</v>
      </c>
    </row>
    <row r="20" spans="1:18" s="50" customFormat="1" ht="12.75" customHeight="1" x14ac:dyDescent="0.25">
      <c r="A20" s="95">
        <v>1</v>
      </c>
      <c r="B20" s="167">
        <f>DATE($R$1,A20,1)</f>
        <v>45292</v>
      </c>
      <c r="C20" s="206">
        <v>45327</v>
      </c>
      <c r="D20" s="206">
        <v>45348</v>
      </c>
      <c r="E20" s="168" t="s">
        <v>21</v>
      </c>
      <c r="F20" s="95">
        <v>9</v>
      </c>
      <c r="G20" s="169">
        <v>3252</v>
      </c>
      <c r="H20" s="170">
        <f>+$K$3</f>
        <v>1030</v>
      </c>
      <c r="I20" s="170">
        <f t="shared" ref="I20:I63" si="1">$J$3</f>
        <v>1020.86</v>
      </c>
      <c r="J20" s="171">
        <f t="shared" ref="J20:J108" si="2">+$G20*I20</f>
        <v>3319836.72</v>
      </c>
      <c r="K20" s="172">
        <f>+$G20*H20</f>
        <v>3349560</v>
      </c>
      <c r="L20" s="173">
        <f t="shared" ref="L20:L34" si="3">+J20-K20</f>
        <v>-29723.279999999795</v>
      </c>
      <c r="M20" s="174">
        <f>G20/$G$212*$M$14</f>
        <v>-2388.1038459653414</v>
      </c>
      <c r="N20" s="175">
        <f>SUM(L20:M20)</f>
        <v>-32111.383845965138</v>
      </c>
      <c r="O20" s="174">
        <v>0</v>
      </c>
      <c r="P20" s="174">
        <v>0</v>
      </c>
      <c r="Q20" s="174">
        <v>0</v>
      </c>
      <c r="R20" s="175">
        <f>+N20-Q20</f>
        <v>-32111.383845965138</v>
      </c>
    </row>
    <row r="21" spans="1:18" x14ac:dyDescent="0.25">
      <c r="A21" s="132">
        <v>2</v>
      </c>
      <c r="B21" s="167">
        <f t="shared" ref="B21:B108" si="4">DATE($R$1,A21,1)</f>
        <v>45323</v>
      </c>
      <c r="C21" s="206">
        <v>45356</v>
      </c>
      <c r="D21" s="206">
        <v>45376</v>
      </c>
      <c r="E21" s="176" t="s">
        <v>21</v>
      </c>
      <c r="F21" s="132">
        <v>9</v>
      </c>
      <c r="G21" s="169">
        <v>2338</v>
      </c>
      <c r="H21" s="170">
        <f t="shared" ref="H21:H84" si="5">+$K$3</f>
        <v>1030</v>
      </c>
      <c r="I21" s="170">
        <f t="shared" si="1"/>
        <v>1020.86</v>
      </c>
      <c r="J21" s="171">
        <f t="shared" si="2"/>
        <v>2386770.6800000002</v>
      </c>
      <c r="K21" s="172">
        <f t="shared" ref="K21:K33" si="6">+$G21*H21</f>
        <v>2408140</v>
      </c>
      <c r="L21" s="173">
        <f t="shared" si="3"/>
        <v>-21369.319999999832</v>
      </c>
      <c r="M21" s="174">
        <f t="shared" ref="M21:M84" si="7">G21/$G$212*$M$14</f>
        <v>-1716.9086075851685</v>
      </c>
      <c r="N21" s="175">
        <f t="shared" ref="N21:N84" si="8">SUM(L21:M21)</f>
        <v>-23086.228607585002</v>
      </c>
      <c r="O21" s="174">
        <v>0</v>
      </c>
      <c r="P21" s="174">
        <v>0</v>
      </c>
      <c r="Q21" s="174">
        <v>0</v>
      </c>
      <c r="R21" s="175">
        <f t="shared" ref="R21:R84" si="9">+N21-Q21</f>
        <v>-23086.228607585002</v>
      </c>
    </row>
    <row r="22" spans="1:18" x14ac:dyDescent="0.25">
      <c r="A22" s="132">
        <v>3</v>
      </c>
      <c r="B22" s="167">
        <f t="shared" si="4"/>
        <v>45352</v>
      </c>
      <c r="C22" s="206">
        <v>45385</v>
      </c>
      <c r="D22" s="206">
        <v>45406</v>
      </c>
      <c r="E22" s="176" t="s">
        <v>21</v>
      </c>
      <c r="F22" s="132">
        <v>9</v>
      </c>
      <c r="G22" s="169">
        <v>2216</v>
      </c>
      <c r="H22" s="170">
        <f t="shared" si="5"/>
        <v>1030</v>
      </c>
      <c r="I22" s="170">
        <f t="shared" si="1"/>
        <v>1020.86</v>
      </c>
      <c r="J22" s="171">
        <f t="shared" si="2"/>
        <v>2262225.7600000002</v>
      </c>
      <c r="K22" s="172">
        <f t="shared" si="6"/>
        <v>2282480</v>
      </c>
      <c r="L22" s="173">
        <f t="shared" si="3"/>
        <v>-20254.239999999758</v>
      </c>
      <c r="M22" s="174">
        <f t="shared" si="7"/>
        <v>-1627.3179958976618</v>
      </c>
      <c r="N22" s="175">
        <f t="shared" si="8"/>
        <v>-21881.557995897419</v>
      </c>
      <c r="O22" s="174">
        <v>0</v>
      </c>
      <c r="P22" s="174">
        <v>0</v>
      </c>
      <c r="Q22" s="174">
        <v>0</v>
      </c>
      <c r="R22" s="175">
        <f t="shared" si="9"/>
        <v>-21881.557995897419</v>
      </c>
    </row>
    <row r="23" spans="1:18" x14ac:dyDescent="0.25">
      <c r="A23" s="95">
        <v>4</v>
      </c>
      <c r="B23" s="167">
        <f t="shared" si="4"/>
        <v>45383</v>
      </c>
      <c r="C23" s="206">
        <v>45415</v>
      </c>
      <c r="D23" s="206">
        <v>45436</v>
      </c>
      <c r="E23" s="176" t="s">
        <v>21</v>
      </c>
      <c r="F23" s="132">
        <v>9</v>
      </c>
      <c r="G23" s="169">
        <v>2777</v>
      </c>
      <c r="H23" s="170">
        <f t="shared" si="5"/>
        <v>1030</v>
      </c>
      <c r="I23" s="170">
        <f t="shared" si="1"/>
        <v>1020.86</v>
      </c>
      <c r="J23" s="171">
        <f t="shared" si="2"/>
        <v>2834928.22</v>
      </c>
      <c r="K23" s="172">
        <f t="shared" si="6"/>
        <v>2860310</v>
      </c>
      <c r="L23" s="173">
        <f t="shared" si="3"/>
        <v>-25381.779999999795</v>
      </c>
      <c r="M23" s="174">
        <f t="shared" si="7"/>
        <v>-2039.287939804967</v>
      </c>
      <c r="N23" s="175">
        <f t="shared" si="8"/>
        <v>-27421.067939804761</v>
      </c>
      <c r="O23" s="174">
        <v>0</v>
      </c>
      <c r="P23" s="174">
        <v>0</v>
      </c>
      <c r="Q23" s="174">
        <v>0</v>
      </c>
      <c r="R23" s="175">
        <f t="shared" si="9"/>
        <v>-27421.067939804761</v>
      </c>
    </row>
    <row r="24" spans="1:18" ht="12" customHeight="1" x14ac:dyDescent="0.25">
      <c r="A24" s="132">
        <v>5</v>
      </c>
      <c r="B24" s="167">
        <f t="shared" si="4"/>
        <v>45413</v>
      </c>
      <c r="C24" s="206">
        <v>45448</v>
      </c>
      <c r="D24" s="206">
        <v>45467</v>
      </c>
      <c r="E24" s="52" t="s">
        <v>21</v>
      </c>
      <c r="F24" s="132">
        <v>9</v>
      </c>
      <c r="G24" s="169">
        <v>3245</v>
      </c>
      <c r="H24" s="170">
        <f t="shared" si="5"/>
        <v>1030</v>
      </c>
      <c r="I24" s="170">
        <f t="shared" si="1"/>
        <v>1020.86</v>
      </c>
      <c r="J24" s="171">
        <f t="shared" si="2"/>
        <v>3312690.7</v>
      </c>
      <c r="K24" s="172">
        <f t="shared" si="6"/>
        <v>3342350</v>
      </c>
      <c r="L24" s="173">
        <f t="shared" si="3"/>
        <v>-29659.299999999814</v>
      </c>
      <c r="M24" s="174">
        <f t="shared" si="7"/>
        <v>-2382.9634010324512</v>
      </c>
      <c r="N24" s="175">
        <f t="shared" si="8"/>
        <v>-32042.263401032265</v>
      </c>
      <c r="O24" s="174">
        <v>0</v>
      </c>
      <c r="P24" s="174">
        <v>0</v>
      </c>
      <c r="Q24" s="174">
        <v>0</v>
      </c>
      <c r="R24" s="175">
        <f t="shared" si="9"/>
        <v>-32042.263401032265</v>
      </c>
    </row>
    <row r="25" spans="1:18" x14ac:dyDescent="0.25">
      <c r="A25" s="132">
        <v>6</v>
      </c>
      <c r="B25" s="167">
        <f t="shared" si="4"/>
        <v>45444</v>
      </c>
      <c r="C25" s="206">
        <v>45476</v>
      </c>
      <c r="D25" s="206">
        <v>45497</v>
      </c>
      <c r="E25" s="52" t="s">
        <v>21</v>
      </c>
      <c r="F25" s="132">
        <v>9</v>
      </c>
      <c r="G25" s="169">
        <v>4080</v>
      </c>
      <c r="H25" s="170">
        <f t="shared" si="5"/>
        <v>1030</v>
      </c>
      <c r="I25" s="170">
        <f t="shared" si="1"/>
        <v>1020.86</v>
      </c>
      <c r="J25" s="171">
        <f t="shared" si="2"/>
        <v>4165108.8000000003</v>
      </c>
      <c r="K25" s="172">
        <f t="shared" si="6"/>
        <v>4202400</v>
      </c>
      <c r="L25" s="177">
        <f t="shared" si="3"/>
        <v>-37291.199999999721</v>
      </c>
      <c r="M25" s="174">
        <f t="shared" si="7"/>
        <v>-2996.1450465985831</v>
      </c>
      <c r="N25" s="175">
        <f t="shared" si="8"/>
        <v>-40287.345046598304</v>
      </c>
      <c r="O25" s="174">
        <v>0</v>
      </c>
      <c r="P25" s="174">
        <v>0</v>
      </c>
      <c r="Q25" s="174">
        <v>0</v>
      </c>
      <c r="R25" s="175">
        <f t="shared" si="9"/>
        <v>-40287.345046598304</v>
      </c>
    </row>
    <row r="26" spans="1:18" x14ac:dyDescent="0.25">
      <c r="A26" s="95">
        <v>7</v>
      </c>
      <c r="B26" s="167">
        <f t="shared" si="4"/>
        <v>45474</v>
      </c>
      <c r="C26" s="206">
        <v>45509</v>
      </c>
      <c r="D26" s="206">
        <v>45530</v>
      </c>
      <c r="E26" s="52" t="s">
        <v>21</v>
      </c>
      <c r="F26" s="132">
        <v>9</v>
      </c>
      <c r="G26" s="169">
        <v>4149</v>
      </c>
      <c r="H26" s="170">
        <f t="shared" si="5"/>
        <v>1030</v>
      </c>
      <c r="I26" s="170">
        <f t="shared" si="1"/>
        <v>1020.86</v>
      </c>
      <c r="J26" s="171">
        <f t="shared" si="2"/>
        <v>4235548.1399999997</v>
      </c>
      <c r="K26" s="178">
        <f t="shared" si="6"/>
        <v>4273470</v>
      </c>
      <c r="L26" s="177">
        <f t="shared" si="3"/>
        <v>-37921.860000000335</v>
      </c>
      <c r="M26" s="174">
        <f t="shared" si="7"/>
        <v>-3046.8151466513532</v>
      </c>
      <c r="N26" s="175">
        <f t="shared" si="8"/>
        <v>-40968.675146651687</v>
      </c>
      <c r="O26" s="174">
        <v>0</v>
      </c>
      <c r="P26" s="174">
        <v>0</v>
      </c>
      <c r="Q26" s="174">
        <v>0</v>
      </c>
      <c r="R26" s="175">
        <f t="shared" si="9"/>
        <v>-40968.675146651687</v>
      </c>
    </row>
    <row r="27" spans="1:18" x14ac:dyDescent="0.25">
      <c r="A27" s="132">
        <v>8</v>
      </c>
      <c r="B27" s="167">
        <f t="shared" si="4"/>
        <v>45505</v>
      </c>
      <c r="C27" s="206">
        <v>45539</v>
      </c>
      <c r="D27" s="206">
        <v>45559</v>
      </c>
      <c r="E27" s="52" t="s">
        <v>21</v>
      </c>
      <c r="F27" s="132">
        <v>9</v>
      </c>
      <c r="G27" s="169">
        <v>4151</v>
      </c>
      <c r="H27" s="170">
        <f t="shared" si="5"/>
        <v>1030</v>
      </c>
      <c r="I27" s="170">
        <f t="shared" si="1"/>
        <v>1020.86</v>
      </c>
      <c r="J27" s="171">
        <f t="shared" si="2"/>
        <v>4237589.8600000003</v>
      </c>
      <c r="K27" s="178">
        <f t="shared" si="6"/>
        <v>4275530</v>
      </c>
      <c r="L27" s="177">
        <f t="shared" si="3"/>
        <v>-37940.139999999665</v>
      </c>
      <c r="M27" s="174">
        <f t="shared" si="7"/>
        <v>-3048.2838452036076</v>
      </c>
      <c r="N27" s="175">
        <f t="shared" si="8"/>
        <v>-40988.423845203273</v>
      </c>
      <c r="O27" s="174">
        <v>0</v>
      </c>
      <c r="P27" s="174">
        <v>0</v>
      </c>
      <c r="Q27" s="174">
        <v>0</v>
      </c>
      <c r="R27" s="175">
        <f t="shared" si="9"/>
        <v>-40988.423845203273</v>
      </c>
    </row>
    <row r="28" spans="1:18" x14ac:dyDescent="0.25">
      <c r="A28" s="132">
        <v>9</v>
      </c>
      <c r="B28" s="167">
        <f t="shared" si="4"/>
        <v>45536</v>
      </c>
      <c r="C28" s="206">
        <v>45568</v>
      </c>
      <c r="D28" s="206">
        <v>45589</v>
      </c>
      <c r="E28" s="52" t="s">
        <v>21</v>
      </c>
      <c r="F28" s="132">
        <v>9</v>
      </c>
      <c r="G28" s="169">
        <v>3859</v>
      </c>
      <c r="H28" s="170">
        <f t="shared" si="5"/>
        <v>1030</v>
      </c>
      <c r="I28" s="170">
        <f t="shared" si="1"/>
        <v>1020.86</v>
      </c>
      <c r="J28" s="171">
        <f t="shared" si="2"/>
        <v>3939498.74</v>
      </c>
      <c r="K28" s="178">
        <f t="shared" si="6"/>
        <v>3974770</v>
      </c>
      <c r="L28" s="177">
        <f t="shared" si="3"/>
        <v>-35271.259999999776</v>
      </c>
      <c r="M28" s="174">
        <f t="shared" si="7"/>
        <v>-2833.8538565744934</v>
      </c>
      <c r="N28" s="175">
        <f t="shared" si="8"/>
        <v>-38105.113856574273</v>
      </c>
      <c r="O28" s="174">
        <v>0</v>
      </c>
      <c r="P28" s="174">
        <v>0</v>
      </c>
      <c r="Q28" s="174">
        <v>0</v>
      </c>
      <c r="R28" s="175">
        <f t="shared" si="9"/>
        <v>-38105.113856574273</v>
      </c>
    </row>
    <row r="29" spans="1:18" x14ac:dyDescent="0.25">
      <c r="A29" s="95">
        <v>10</v>
      </c>
      <c r="B29" s="167">
        <f t="shared" si="4"/>
        <v>45566</v>
      </c>
      <c r="C29" s="206">
        <v>45601</v>
      </c>
      <c r="D29" s="206">
        <v>45621</v>
      </c>
      <c r="E29" s="52" t="s">
        <v>21</v>
      </c>
      <c r="F29" s="132">
        <v>9</v>
      </c>
      <c r="G29" s="169">
        <v>3429</v>
      </c>
      <c r="H29" s="170">
        <f t="shared" si="5"/>
        <v>1030</v>
      </c>
      <c r="I29" s="170">
        <f t="shared" si="1"/>
        <v>1020.86</v>
      </c>
      <c r="J29" s="171">
        <f t="shared" si="2"/>
        <v>3500528.94</v>
      </c>
      <c r="K29" s="178">
        <f t="shared" si="6"/>
        <v>3531870</v>
      </c>
      <c r="L29" s="177">
        <f t="shared" si="3"/>
        <v>-31341.060000000056</v>
      </c>
      <c r="M29" s="174">
        <f t="shared" si="7"/>
        <v>-2518.0836678398387</v>
      </c>
      <c r="N29" s="175">
        <f t="shared" si="8"/>
        <v>-33859.143667839897</v>
      </c>
      <c r="O29" s="174">
        <v>0</v>
      </c>
      <c r="P29" s="174">
        <v>0</v>
      </c>
      <c r="Q29" s="174">
        <v>0</v>
      </c>
      <c r="R29" s="175">
        <f t="shared" si="9"/>
        <v>-33859.143667839897</v>
      </c>
    </row>
    <row r="30" spans="1:18" x14ac:dyDescent="0.25">
      <c r="A30" s="132">
        <v>11</v>
      </c>
      <c r="B30" s="167">
        <f t="shared" si="4"/>
        <v>45597</v>
      </c>
      <c r="C30" s="206">
        <v>45630</v>
      </c>
      <c r="D30" s="206">
        <v>45650</v>
      </c>
      <c r="E30" s="52" t="s">
        <v>21</v>
      </c>
      <c r="F30" s="132">
        <v>9</v>
      </c>
      <c r="G30" s="169">
        <v>2220</v>
      </c>
      <c r="H30" s="170">
        <f t="shared" si="5"/>
        <v>1030</v>
      </c>
      <c r="I30" s="170">
        <f t="shared" si="1"/>
        <v>1020.86</v>
      </c>
      <c r="J30" s="171">
        <f t="shared" si="2"/>
        <v>2266309.2000000002</v>
      </c>
      <c r="K30" s="178">
        <f t="shared" si="6"/>
        <v>2286600</v>
      </c>
      <c r="L30" s="177">
        <f t="shared" si="3"/>
        <v>-20290.799999999814</v>
      </c>
      <c r="M30" s="174">
        <f t="shared" si="7"/>
        <v>-1630.2553930021702</v>
      </c>
      <c r="N30" s="175">
        <f t="shared" si="8"/>
        <v>-21921.055393001985</v>
      </c>
      <c r="O30" s="174">
        <v>0</v>
      </c>
      <c r="P30" s="174">
        <v>0</v>
      </c>
      <c r="Q30" s="174">
        <v>0</v>
      </c>
      <c r="R30" s="175">
        <f t="shared" si="9"/>
        <v>-21921.055393001985</v>
      </c>
    </row>
    <row r="31" spans="1:18" x14ac:dyDescent="0.25">
      <c r="A31" s="132">
        <v>12</v>
      </c>
      <c r="B31" s="167">
        <f t="shared" si="4"/>
        <v>45627</v>
      </c>
      <c r="C31" s="207">
        <v>45660</v>
      </c>
      <c r="D31" s="208">
        <v>45681</v>
      </c>
      <c r="E31" s="52" t="s">
        <v>21</v>
      </c>
      <c r="F31" s="132">
        <v>9</v>
      </c>
      <c r="G31" s="179">
        <v>2569</v>
      </c>
      <c r="H31" s="180">
        <f t="shared" si="5"/>
        <v>1030</v>
      </c>
      <c r="I31" s="180">
        <f t="shared" si="1"/>
        <v>1020.86</v>
      </c>
      <c r="J31" s="181">
        <f t="shared" si="2"/>
        <v>2622589.34</v>
      </c>
      <c r="K31" s="182">
        <f t="shared" si="6"/>
        <v>2646070</v>
      </c>
      <c r="L31" s="183">
        <f t="shared" si="3"/>
        <v>-23480.660000000149</v>
      </c>
      <c r="M31" s="174">
        <f t="shared" si="7"/>
        <v>-1886.5432903705293</v>
      </c>
      <c r="N31" s="175">
        <f t="shared" si="8"/>
        <v>-25367.203290370679</v>
      </c>
      <c r="O31" s="174">
        <v>0</v>
      </c>
      <c r="P31" s="174">
        <v>0</v>
      </c>
      <c r="Q31" s="174">
        <v>0</v>
      </c>
      <c r="R31" s="175">
        <f t="shared" si="9"/>
        <v>-25367.203290370679</v>
      </c>
    </row>
    <row r="32" spans="1:18" x14ac:dyDescent="0.25">
      <c r="A32" s="95">
        <v>1</v>
      </c>
      <c r="B32" s="184">
        <f t="shared" si="4"/>
        <v>45292</v>
      </c>
      <c r="C32" s="185">
        <f t="shared" ref="C32:D43" si="10">+C20</f>
        <v>45327</v>
      </c>
      <c r="D32" s="185">
        <f t="shared" si="10"/>
        <v>45348</v>
      </c>
      <c r="E32" s="186" t="s">
        <v>22</v>
      </c>
      <c r="F32" s="187">
        <v>9</v>
      </c>
      <c r="G32" s="169">
        <v>3306</v>
      </c>
      <c r="H32" s="170">
        <f t="shared" si="5"/>
        <v>1030</v>
      </c>
      <c r="I32" s="170">
        <f t="shared" si="1"/>
        <v>1020.86</v>
      </c>
      <c r="J32" s="171">
        <f t="shared" si="2"/>
        <v>3374963.16</v>
      </c>
      <c r="K32" s="172">
        <f t="shared" si="6"/>
        <v>3405180</v>
      </c>
      <c r="L32" s="173">
        <f t="shared" si="3"/>
        <v>-30216.839999999851</v>
      </c>
      <c r="M32" s="174">
        <f t="shared" si="7"/>
        <v>-2427.758706876205</v>
      </c>
      <c r="N32" s="175">
        <f t="shared" si="8"/>
        <v>-32644.598706876055</v>
      </c>
      <c r="O32" s="174">
        <v>0</v>
      </c>
      <c r="P32" s="174">
        <v>0</v>
      </c>
      <c r="Q32" s="174">
        <v>0</v>
      </c>
      <c r="R32" s="175">
        <f t="shared" si="9"/>
        <v>-32644.598706876055</v>
      </c>
    </row>
    <row r="33" spans="1:18" x14ac:dyDescent="0.25">
      <c r="A33" s="132">
        <v>2</v>
      </c>
      <c r="B33" s="167">
        <f t="shared" si="4"/>
        <v>45323</v>
      </c>
      <c r="C33" s="188">
        <f t="shared" si="10"/>
        <v>45356</v>
      </c>
      <c r="D33" s="188">
        <f t="shared" si="10"/>
        <v>45376</v>
      </c>
      <c r="E33" s="176" t="s">
        <v>22</v>
      </c>
      <c r="F33" s="132">
        <v>9</v>
      </c>
      <c r="G33" s="169">
        <v>2611</v>
      </c>
      <c r="H33" s="170">
        <f t="shared" si="5"/>
        <v>1030</v>
      </c>
      <c r="I33" s="170">
        <f t="shared" si="1"/>
        <v>1020.86</v>
      </c>
      <c r="J33" s="171">
        <f t="shared" si="2"/>
        <v>2665465.46</v>
      </c>
      <c r="K33" s="172">
        <f t="shared" si="6"/>
        <v>2689330</v>
      </c>
      <c r="L33" s="173">
        <f t="shared" si="3"/>
        <v>-23864.540000000037</v>
      </c>
      <c r="M33" s="174">
        <f t="shared" si="7"/>
        <v>-1917.3859599678678</v>
      </c>
      <c r="N33" s="175">
        <f t="shared" si="8"/>
        <v>-25781.925959967906</v>
      </c>
      <c r="O33" s="174">
        <v>0</v>
      </c>
      <c r="P33" s="174">
        <v>0</v>
      </c>
      <c r="Q33" s="174">
        <v>0</v>
      </c>
      <c r="R33" s="175">
        <f t="shared" si="9"/>
        <v>-25781.925959967906</v>
      </c>
    </row>
    <row r="34" spans="1:18" x14ac:dyDescent="0.25">
      <c r="A34" s="132">
        <v>3</v>
      </c>
      <c r="B34" s="167">
        <f t="shared" si="4"/>
        <v>45352</v>
      </c>
      <c r="C34" s="188">
        <f t="shared" si="10"/>
        <v>45385</v>
      </c>
      <c r="D34" s="188">
        <f t="shared" si="10"/>
        <v>45406</v>
      </c>
      <c r="E34" s="176" t="s">
        <v>22</v>
      </c>
      <c r="F34" s="132">
        <v>9</v>
      </c>
      <c r="G34" s="169">
        <v>2302</v>
      </c>
      <c r="H34" s="170">
        <f t="shared" si="5"/>
        <v>1030</v>
      </c>
      <c r="I34" s="170">
        <f t="shared" si="1"/>
        <v>1020.86</v>
      </c>
      <c r="J34" s="171">
        <f t="shared" si="2"/>
        <v>2350019.7200000002</v>
      </c>
      <c r="K34" s="172">
        <f t="shared" ref="K34:K93" si="11">+$G34*H34</f>
        <v>2371060</v>
      </c>
      <c r="L34" s="173">
        <f t="shared" si="3"/>
        <v>-21040.279999999795</v>
      </c>
      <c r="M34" s="174">
        <f t="shared" si="7"/>
        <v>-1690.4720336445928</v>
      </c>
      <c r="N34" s="175">
        <f t="shared" si="8"/>
        <v>-22730.752033644389</v>
      </c>
      <c r="O34" s="174">
        <v>0</v>
      </c>
      <c r="P34" s="174">
        <v>0</v>
      </c>
      <c r="Q34" s="174">
        <v>0</v>
      </c>
      <c r="R34" s="175">
        <f t="shared" si="9"/>
        <v>-22730.752033644389</v>
      </c>
    </row>
    <row r="35" spans="1:18" x14ac:dyDescent="0.25">
      <c r="A35" s="95">
        <v>4</v>
      </c>
      <c r="B35" s="167">
        <f t="shared" si="4"/>
        <v>45383</v>
      </c>
      <c r="C35" s="188">
        <f t="shared" si="10"/>
        <v>45415</v>
      </c>
      <c r="D35" s="188">
        <f t="shared" si="10"/>
        <v>45436</v>
      </c>
      <c r="E35" s="176" t="s">
        <v>22</v>
      </c>
      <c r="F35" s="132">
        <v>9</v>
      </c>
      <c r="G35" s="169">
        <v>2486</v>
      </c>
      <c r="H35" s="170">
        <f t="shared" si="5"/>
        <v>1030</v>
      </c>
      <c r="I35" s="170">
        <f t="shared" si="1"/>
        <v>1020.86</v>
      </c>
      <c r="J35" s="171">
        <f t="shared" si="2"/>
        <v>2537857.96</v>
      </c>
      <c r="K35" s="172">
        <f t="shared" si="11"/>
        <v>2560580</v>
      </c>
      <c r="L35" s="173">
        <f t="shared" ref="L35:L57" si="12">+J35-K35</f>
        <v>-22722.040000000037</v>
      </c>
      <c r="M35" s="174">
        <f t="shared" si="7"/>
        <v>-1825.5923004519798</v>
      </c>
      <c r="N35" s="175">
        <f t="shared" si="8"/>
        <v>-24547.632300452016</v>
      </c>
      <c r="O35" s="174">
        <v>0</v>
      </c>
      <c r="P35" s="174">
        <v>0</v>
      </c>
      <c r="Q35" s="174">
        <v>0</v>
      </c>
      <c r="R35" s="175">
        <f t="shared" si="9"/>
        <v>-24547.632300452016</v>
      </c>
    </row>
    <row r="36" spans="1:18" x14ac:dyDescent="0.25">
      <c r="A36" s="132">
        <v>5</v>
      </c>
      <c r="B36" s="167">
        <f t="shared" si="4"/>
        <v>45413</v>
      </c>
      <c r="C36" s="188">
        <f t="shared" si="10"/>
        <v>45448</v>
      </c>
      <c r="D36" s="188">
        <f t="shared" si="10"/>
        <v>45467</v>
      </c>
      <c r="E36" s="52" t="s">
        <v>22</v>
      </c>
      <c r="F36" s="132">
        <v>9</v>
      </c>
      <c r="G36" s="169">
        <v>2970</v>
      </c>
      <c r="H36" s="170">
        <f t="shared" si="5"/>
        <v>1030</v>
      </c>
      <c r="I36" s="170">
        <f t="shared" si="1"/>
        <v>1020.86</v>
      </c>
      <c r="J36" s="171">
        <f t="shared" si="2"/>
        <v>3031954.2</v>
      </c>
      <c r="K36" s="172">
        <f t="shared" si="11"/>
        <v>3059100</v>
      </c>
      <c r="L36" s="173">
        <f t="shared" si="12"/>
        <v>-27145.799999999814</v>
      </c>
      <c r="M36" s="174">
        <f t="shared" si="7"/>
        <v>-2181.0173500974979</v>
      </c>
      <c r="N36" s="175">
        <f t="shared" si="8"/>
        <v>-29326.817350097313</v>
      </c>
      <c r="O36" s="174">
        <v>0</v>
      </c>
      <c r="P36" s="174">
        <v>0</v>
      </c>
      <c r="Q36" s="174">
        <v>0</v>
      </c>
      <c r="R36" s="175">
        <f t="shared" si="9"/>
        <v>-29326.817350097313</v>
      </c>
    </row>
    <row r="37" spans="1:18" x14ac:dyDescent="0.25">
      <c r="A37" s="132">
        <v>6</v>
      </c>
      <c r="B37" s="167">
        <f t="shared" si="4"/>
        <v>45444</v>
      </c>
      <c r="C37" s="188">
        <f t="shared" si="10"/>
        <v>45476</v>
      </c>
      <c r="D37" s="188">
        <f t="shared" si="10"/>
        <v>45497</v>
      </c>
      <c r="E37" s="52" t="s">
        <v>22</v>
      </c>
      <c r="F37" s="132">
        <v>9</v>
      </c>
      <c r="G37" s="169">
        <v>3483</v>
      </c>
      <c r="H37" s="170">
        <f t="shared" si="5"/>
        <v>1030</v>
      </c>
      <c r="I37" s="170">
        <f t="shared" si="1"/>
        <v>1020.86</v>
      </c>
      <c r="J37" s="171">
        <f t="shared" si="2"/>
        <v>3555655.38</v>
      </c>
      <c r="K37" s="172">
        <f t="shared" si="11"/>
        <v>3587490</v>
      </c>
      <c r="L37" s="177">
        <f t="shared" si="12"/>
        <v>-31834.620000000112</v>
      </c>
      <c r="M37" s="174">
        <f t="shared" si="7"/>
        <v>-2557.7385287507022</v>
      </c>
      <c r="N37" s="175">
        <f t="shared" si="8"/>
        <v>-34392.358528750818</v>
      </c>
      <c r="O37" s="174">
        <v>0</v>
      </c>
      <c r="P37" s="174">
        <v>0</v>
      </c>
      <c r="Q37" s="174">
        <v>0</v>
      </c>
      <c r="R37" s="175">
        <f t="shared" si="9"/>
        <v>-34392.358528750818</v>
      </c>
    </row>
    <row r="38" spans="1:18" x14ac:dyDescent="0.25">
      <c r="A38" s="95">
        <v>7</v>
      </c>
      <c r="B38" s="167">
        <f t="shared" si="4"/>
        <v>45474</v>
      </c>
      <c r="C38" s="188">
        <f t="shared" si="10"/>
        <v>45509</v>
      </c>
      <c r="D38" s="188">
        <f t="shared" si="10"/>
        <v>45530</v>
      </c>
      <c r="E38" s="52" t="s">
        <v>22</v>
      </c>
      <c r="F38" s="132">
        <v>9</v>
      </c>
      <c r="G38" s="169">
        <v>3510</v>
      </c>
      <c r="H38" s="170">
        <f t="shared" si="5"/>
        <v>1030</v>
      </c>
      <c r="I38" s="170">
        <f t="shared" si="1"/>
        <v>1020.86</v>
      </c>
      <c r="J38" s="171">
        <f t="shared" si="2"/>
        <v>3583218.6</v>
      </c>
      <c r="K38" s="178">
        <f t="shared" si="11"/>
        <v>3615300</v>
      </c>
      <c r="L38" s="177">
        <f t="shared" si="12"/>
        <v>-32081.399999999907</v>
      </c>
      <c r="M38" s="174">
        <f t="shared" si="7"/>
        <v>-2577.5659592061338</v>
      </c>
      <c r="N38" s="175">
        <f t="shared" si="8"/>
        <v>-34658.965959206042</v>
      </c>
      <c r="O38" s="174">
        <v>0</v>
      </c>
      <c r="P38" s="174">
        <v>0</v>
      </c>
      <c r="Q38" s="174">
        <v>0</v>
      </c>
      <c r="R38" s="175">
        <f t="shared" si="9"/>
        <v>-34658.965959206042</v>
      </c>
    </row>
    <row r="39" spans="1:18" x14ac:dyDescent="0.25">
      <c r="A39" s="132">
        <v>8</v>
      </c>
      <c r="B39" s="167">
        <f t="shared" si="4"/>
        <v>45505</v>
      </c>
      <c r="C39" s="188">
        <f t="shared" si="10"/>
        <v>45539</v>
      </c>
      <c r="D39" s="188">
        <f t="shared" si="10"/>
        <v>45559</v>
      </c>
      <c r="E39" s="52" t="s">
        <v>22</v>
      </c>
      <c r="F39" s="132">
        <v>9</v>
      </c>
      <c r="G39" s="169">
        <v>3574</v>
      </c>
      <c r="H39" s="170">
        <f t="shared" si="5"/>
        <v>1030</v>
      </c>
      <c r="I39" s="170">
        <f t="shared" si="1"/>
        <v>1020.86</v>
      </c>
      <c r="J39" s="171">
        <f t="shared" si="2"/>
        <v>3648553.64</v>
      </c>
      <c r="K39" s="178">
        <f t="shared" si="11"/>
        <v>3681220</v>
      </c>
      <c r="L39" s="177">
        <f t="shared" si="12"/>
        <v>-32666.35999999987</v>
      </c>
      <c r="M39" s="174">
        <f t="shared" si="7"/>
        <v>-2624.5643128782685</v>
      </c>
      <c r="N39" s="175">
        <f t="shared" si="8"/>
        <v>-35290.924312878138</v>
      </c>
      <c r="O39" s="174">
        <v>0</v>
      </c>
      <c r="P39" s="174">
        <v>0</v>
      </c>
      <c r="Q39" s="174">
        <v>0</v>
      </c>
      <c r="R39" s="175">
        <f t="shared" si="9"/>
        <v>-35290.924312878138</v>
      </c>
    </row>
    <row r="40" spans="1:18" x14ac:dyDescent="0.25">
      <c r="A40" s="132">
        <v>9</v>
      </c>
      <c r="B40" s="167">
        <f t="shared" si="4"/>
        <v>45536</v>
      </c>
      <c r="C40" s="188">
        <f t="shared" si="10"/>
        <v>45568</v>
      </c>
      <c r="D40" s="188">
        <f t="shared" si="10"/>
        <v>45589</v>
      </c>
      <c r="E40" s="52" t="s">
        <v>22</v>
      </c>
      <c r="F40" s="132">
        <v>9</v>
      </c>
      <c r="G40" s="169">
        <v>3188</v>
      </c>
      <c r="H40" s="170">
        <f t="shared" si="5"/>
        <v>1030</v>
      </c>
      <c r="I40" s="170">
        <f t="shared" si="1"/>
        <v>1020.86</v>
      </c>
      <c r="J40" s="171">
        <f t="shared" si="2"/>
        <v>3254501.68</v>
      </c>
      <c r="K40" s="178">
        <f t="shared" si="11"/>
        <v>3283640</v>
      </c>
      <c r="L40" s="177">
        <f t="shared" si="12"/>
        <v>-29138.319999999832</v>
      </c>
      <c r="M40" s="174">
        <f t="shared" si="7"/>
        <v>-2341.1054922932067</v>
      </c>
      <c r="N40" s="175">
        <f t="shared" si="8"/>
        <v>-31479.425492293038</v>
      </c>
      <c r="O40" s="174">
        <v>0</v>
      </c>
      <c r="P40" s="174">
        <v>0</v>
      </c>
      <c r="Q40" s="174">
        <v>0</v>
      </c>
      <c r="R40" s="175">
        <f t="shared" si="9"/>
        <v>-31479.425492293038</v>
      </c>
    </row>
    <row r="41" spans="1:18" x14ac:dyDescent="0.25">
      <c r="A41" s="95">
        <v>10</v>
      </c>
      <c r="B41" s="167">
        <f t="shared" si="4"/>
        <v>45566</v>
      </c>
      <c r="C41" s="188">
        <f t="shared" si="10"/>
        <v>45601</v>
      </c>
      <c r="D41" s="188">
        <f t="shared" si="10"/>
        <v>45621</v>
      </c>
      <c r="E41" s="52" t="s">
        <v>22</v>
      </c>
      <c r="F41" s="132">
        <v>9</v>
      </c>
      <c r="G41" s="169">
        <v>2793</v>
      </c>
      <c r="H41" s="170">
        <f t="shared" si="5"/>
        <v>1030</v>
      </c>
      <c r="I41" s="170">
        <f t="shared" si="1"/>
        <v>1020.86</v>
      </c>
      <c r="J41" s="171">
        <f t="shared" si="2"/>
        <v>2851261.98</v>
      </c>
      <c r="K41" s="178">
        <f t="shared" si="11"/>
        <v>2876790</v>
      </c>
      <c r="L41" s="177">
        <f t="shared" si="12"/>
        <v>-25528.020000000019</v>
      </c>
      <c r="M41" s="174">
        <f t="shared" si="7"/>
        <v>-2051.0375282230007</v>
      </c>
      <c r="N41" s="175">
        <f t="shared" si="8"/>
        <v>-27579.05752822302</v>
      </c>
      <c r="O41" s="174">
        <v>0</v>
      </c>
      <c r="P41" s="174">
        <v>0</v>
      </c>
      <c r="Q41" s="174">
        <v>0</v>
      </c>
      <c r="R41" s="175">
        <f t="shared" si="9"/>
        <v>-27579.05752822302</v>
      </c>
    </row>
    <row r="42" spans="1:18" x14ac:dyDescent="0.25">
      <c r="A42" s="132">
        <v>11</v>
      </c>
      <c r="B42" s="167">
        <f t="shared" si="4"/>
        <v>45597</v>
      </c>
      <c r="C42" s="188">
        <f t="shared" si="10"/>
        <v>45630</v>
      </c>
      <c r="D42" s="188">
        <f t="shared" si="10"/>
        <v>45650</v>
      </c>
      <c r="E42" s="52" t="s">
        <v>22</v>
      </c>
      <c r="F42" s="132">
        <v>9</v>
      </c>
      <c r="G42" s="169">
        <v>2339</v>
      </c>
      <c r="H42" s="170">
        <f t="shared" si="5"/>
        <v>1030</v>
      </c>
      <c r="I42" s="170">
        <f t="shared" si="1"/>
        <v>1020.86</v>
      </c>
      <c r="J42" s="171">
        <f t="shared" si="2"/>
        <v>2387791.54</v>
      </c>
      <c r="K42" s="178">
        <f t="shared" si="11"/>
        <v>2409170</v>
      </c>
      <c r="L42" s="177">
        <f t="shared" si="12"/>
        <v>-21378.459999999963</v>
      </c>
      <c r="M42" s="174">
        <f t="shared" si="7"/>
        <v>-1717.6429568612955</v>
      </c>
      <c r="N42" s="175">
        <f t="shared" si="8"/>
        <v>-23096.102956861258</v>
      </c>
      <c r="O42" s="174">
        <v>0</v>
      </c>
      <c r="P42" s="174">
        <v>0</v>
      </c>
      <c r="Q42" s="174">
        <v>0</v>
      </c>
      <c r="R42" s="175">
        <f t="shared" si="9"/>
        <v>-23096.102956861258</v>
      </c>
    </row>
    <row r="43" spans="1:18" x14ac:dyDescent="0.25">
      <c r="A43" s="132">
        <v>12</v>
      </c>
      <c r="B43" s="167">
        <f t="shared" si="4"/>
        <v>45627</v>
      </c>
      <c r="C43" s="188">
        <f t="shared" si="10"/>
        <v>45660</v>
      </c>
      <c r="D43" s="188">
        <f t="shared" si="10"/>
        <v>45681</v>
      </c>
      <c r="E43" s="52" t="s">
        <v>22</v>
      </c>
      <c r="F43" s="132">
        <v>9</v>
      </c>
      <c r="G43" s="169">
        <v>2520</v>
      </c>
      <c r="H43" s="180">
        <f t="shared" si="5"/>
        <v>1030</v>
      </c>
      <c r="I43" s="180">
        <f t="shared" si="1"/>
        <v>1020.86</v>
      </c>
      <c r="J43" s="181">
        <f t="shared" si="2"/>
        <v>2572567.2000000002</v>
      </c>
      <c r="K43" s="182">
        <f t="shared" si="11"/>
        <v>2595600</v>
      </c>
      <c r="L43" s="183">
        <f t="shared" si="12"/>
        <v>-23032.799999999814</v>
      </c>
      <c r="M43" s="174">
        <f t="shared" si="7"/>
        <v>-1850.5601758403013</v>
      </c>
      <c r="N43" s="175">
        <f t="shared" si="8"/>
        <v>-24883.360175840116</v>
      </c>
      <c r="O43" s="174">
        <v>0</v>
      </c>
      <c r="P43" s="174">
        <v>0</v>
      </c>
      <c r="Q43" s="174">
        <v>0</v>
      </c>
      <c r="R43" s="175">
        <f t="shared" si="9"/>
        <v>-24883.360175840116</v>
      </c>
    </row>
    <row r="44" spans="1:18" x14ac:dyDescent="0.25">
      <c r="A44" s="95">
        <v>1</v>
      </c>
      <c r="B44" s="184">
        <f t="shared" ref="B44:B55" si="13">DATE($R$1,A44,1)</f>
        <v>45292</v>
      </c>
      <c r="C44" s="185">
        <f t="shared" ref="C44:D55" si="14">+C32</f>
        <v>45327</v>
      </c>
      <c r="D44" s="185">
        <f t="shared" si="14"/>
        <v>45348</v>
      </c>
      <c r="E44" s="186" t="s">
        <v>81</v>
      </c>
      <c r="F44" s="187">
        <v>9</v>
      </c>
      <c r="G44" s="169">
        <v>216</v>
      </c>
      <c r="H44" s="170">
        <f t="shared" si="5"/>
        <v>1030</v>
      </c>
      <c r="I44" s="170">
        <f t="shared" si="1"/>
        <v>1020.86</v>
      </c>
      <c r="J44" s="174">
        <f t="shared" ref="J44:J55" si="15">+$G44*I44</f>
        <v>220505.76</v>
      </c>
      <c r="K44" s="178">
        <f t="shared" ref="K44:K55" si="16">+$G44*H44</f>
        <v>222480</v>
      </c>
      <c r="L44" s="177">
        <f t="shared" ref="L44:L55" si="17">+J44-K44</f>
        <v>-1974.2399999999907</v>
      </c>
      <c r="M44" s="174">
        <f t="shared" si="7"/>
        <v>-158.61944364345442</v>
      </c>
      <c r="N44" s="175">
        <f t="shared" si="8"/>
        <v>-2132.859443643445</v>
      </c>
      <c r="O44" s="174">
        <v>0</v>
      </c>
      <c r="P44" s="174">
        <v>0</v>
      </c>
      <c r="Q44" s="174">
        <v>0</v>
      </c>
      <c r="R44" s="175">
        <f t="shared" si="9"/>
        <v>-2132.859443643445</v>
      </c>
    </row>
    <row r="45" spans="1:18" x14ac:dyDescent="0.25">
      <c r="A45" s="132">
        <v>2</v>
      </c>
      <c r="B45" s="167">
        <f t="shared" si="13"/>
        <v>45323</v>
      </c>
      <c r="C45" s="188">
        <f t="shared" si="14"/>
        <v>45356</v>
      </c>
      <c r="D45" s="188">
        <f t="shared" si="14"/>
        <v>45376</v>
      </c>
      <c r="E45" s="176" t="s">
        <v>81</v>
      </c>
      <c r="F45" s="132">
        <v>9</v>
      </c>
      <c r="G45" s="169">
        <v>146</v>
      </c>
      <c r="H45" s="170">
        <f t="shared" si="5"/>
        <v>1030</v>
      </c>
      <c r="I45" s="170">
        <f t="shared" si="1"/>
        <v>1020.86</v>
      </c>
      <c r="J45" s="174">
        <f t="shared" si="15"/>
        <v>149045.56</v>
      </c>
      <c r="K45" s="178">
        <f t="shared" si="16"/>
        <v>150380</v>
      </c>
      <c r="L45" s="177">
        <f t="shared" si="17"/>
        <v>-1334.4400000000023</v>
      </c>
      <c r="M45" s="174">
        <f t="shared" si="7"/>
        <v>-107.21499431455713</v>
      </c>
      <c r="N45" s="175">
        <f t="shared" si="8"/>
        <v>-1441.6549943145594</v>
      </c>
      <c r="O45" s="174">
        <v>0</v>
      </c>
      <c r="P45" s="174">
        <v>0</v>
      </c>
      <c r="Q45" s="174">
        <v>0</v>
      </c>
      <c r="R45" s="175">
        <f t="shared" si="9"/>
        <v>-1441.6549943145594</v>
      </c>
    </row>
    <row r="46" spans="1:18" x14ac:dyDescent="0.25">
      <c r="A46" s="132">
        <v>3</v>
      </c>
      <c r="B46" s="167">
        <f t="shared" si="13"/>
        <v>45352</v>
      </c>
      <c r="C46" s="188">
        <f t="shared" si="14"/>
        <v>45385</v>
      </c>
      <c r="D46" s="188">
        <f t="shared" si="14"/>
        <v>45406</v>
      </c>
      <c r="E46" s="176" t="s">
        <v>81</v>
      </c>
      <c r="F46" s="132">
        <v>9</v>
      </c>
      <c r="G46" s="169">
        <v>113</v>
      </c>
      <c r="H46" s="170">
        <f t="shared" si="5"/>
        <v>1030</v>
      </c>
      <c r="I46" s="170">
        <f t="shared" si="1"/>
        <v>1020.86</v>
      </c>
      <c r="J46" s="174">
        <f t="shared" si="15"/>
        <v>115357.18000000001</v>
      </c>
      <c r="K46" s="178">
        <f t="shared" si="16"/>
        <v>116390</v>
      </c>
      <c r="L46" s="177">
        <f t="shared" si="17"/>
        <v>-1032.8199999999924</v>
      </c>
      <c r="M46" s="174">
        <f t="shared" si="7"/>
        <v>-82.98146820236272</v>
      </c>
      <c r="N46" s="175">
        <f t="shared" si="8"/>
        <v>-1115.8014682023552</v>
      </c>
      <c r="O46" s="174">
        <v>0</v>
      </c>
      <c r="P46" s="174">
        <v>0</v>
      </c>
      <c r="Q46" s="174">
        <v>0</v>
      </c>
      <c r="R46" s="175">
        <f t="shared" si="9"/>
        <v>-1115.8014682023552</v>
      </c>
    </row>
    <row r="47" spans="1:18" x14ac:dyDescent="0.25">
      <c r="A47" s="95">
        <v>4</v>
      </c>
      <c r="B47" s="167">
        <f t="shared" si="13"/>
        <v>45383</v>
      </c>
      <c r="C47" s="188">
        <f t="shared" si="14"/>
        <v>45415</v>
      </c>
      <c r="D47" s="188">
        <f t="shared" si="14"/>
        <v>45436</v>
      </c>
      <c r="E47" s="176" t="s">
        <v>81</v>
      </c>
      <c r="F47" s="132">
        <v>9</v>
      </c>
      <c r="G47" s="169">
        <v>76</v>
      </c>
      <c r="H47" s="170">
        <f t="shared" si="5"/>
        <v>1030</v>
      </c>
      <c r="I47" s="170">
        <f t="shared" si="1"/>
        <v>1020.86</v>
      </c>
      <c r="J47" s="174">
        <f t="shared" si="15"/>
        <v>77585.36</v>
      </c>
      <c r="K47" s="178">
        <f t="shared" si="16"/>
        <v>78280</v>
      </c>
      <c r="L47" s="177">
        <f t="shared" si="17"/>
        <v>-694.63999999999942</v>
      </c>
      <c r="M47" s="174">
        <f t="shared" si="7"/>
        <v>-55.810544985659888</v>
      </c>
      <c r="N47" s="175">
        <f t="shared" si="8"/>
        <v>-750.45054498565935</v>
      </c>
      <c r="O47" s="174">
        <v>0</v>
      </c>
      <c r="P47" s="174">
        <v>0</v>
      </c>
      <c r="Q47" s="174">
        <v>0</v>
      </c>
      <c r="R47" s="175">
        <f t="shared" si="9"/>
        <v>-750.45054498565935</v>
      </c>
    </row>
    <row r="48" spans="1:18" x14ac:dyDescent="0.25">
      <c r="A48" s="132">
        <v>5</v>
      </c>
      <c r="B48" s="167">
        <f t="shared" si="13"/>
        <v>45413</v>
      </c>
      <c r="C48" s="188">
        <f t="shared" si="14"/>
        <v>45448</v>
      </c>
      <c r="D48" s="188">
        <f t="shared" si="14"/>
        <v>45467</v>
      </c>
      <c r="E48" s="176" t="s">
        <v>81</v>
      </c>
      <c r="F48" s="132">
        <v>9</v>
      </c>
      <c r="G48" s="169">
        <v>120</v>
      </c>
      <c r="H48" s="170">
        <f t="shared" si="5"/>
        <v>1030</v>
      </c>
      <c r="I48" s="170">
        <f t="shared" si="1"/>
        <v>1020.86</v>
      </c>
      <c r="J48" s="174">
        <f t="shared" si="15"/>
        <v>122503.2</v>
      </c>
      <c r="K48" s="178">
        <f t="shared" si="16"/>
        <v>123600</v>
      </c>
      <c r="L48" s="177">
        <f t="shared" si="17"/>
        <v>-1096.8000000000029</v>
      </c>
      <c r="M48" s="174">
        <f t="shared" si="7"/>
        <v>-88.121913135252441</v>
      </c>
      <c r="N48" s="175">
        <f t="shared" si="8"/>
        <v>-1184.9219131352554</v>
      </c>
      <c r="O48" s="174">
        <v>0</v>
      </c>
      <c r="P48" s="174">
        <v>0</v>
      </c>
      <c r="Q48" s="174">
        <v>0</v>
      </c>
      <c r="R48" s="175">
        <f t="shared" si="9"/>
        <v>-1184.9219131352554</v>
      </c>
    </row>
    <row r="49" spans="1:18" x14ac:dyDescent="0.25">
      <c r="A49" s="132">
        <v>6</v>
      </c>
      <c r="B49" s="167">
        <f t="shared" si="13"/>
        <v>45444</v>
      </c>
      <c r="C49" s="188">
        <f t="shared" si="14"/>
        <v>45476</v>
      </c>
      <c r="D49" s="188">
        <f t="shared" si="14"/>
        <v>45497</v>
      </c>
      <c r="E49" s="176" t="s">
        <v>81</v>
      </c>
      <c r="F49" s="132">
        <v>9</v>
      </c>
      <c r="G49" s="169">
        <v>147</v>
      </c>
      <c r="H49" s="170">
        <f t="shared" si="5"/>
        <v>1030</v>
      </c>
      <c r="I49" s="170">
        <f t="shared" si="1"/>
        <v>1020.86</v>
      </c>
      <c r="J49" s="174">
        <f t="shared" si="15"/>
        <v>150066.42000000001</v>
      </c>
      <c r="K49" s="178">
        <f t="shared" si="16"/>
        <v>151410</v>
      </c>
      <c r="L49" s="177">
        <f t="shared" si="17"/>
        <v>-1343.5799999999872</v>
      </c>
      <c r="M49" s="174">
        <f t="shared" si="7"/>
        <v>-107.94934359068425</v>
      </c>
      <c r="N49" s="175">
        <f t="shared" si="8"/>
        <v>-1451.5293435906715</v>
      </c>
      <c r="O49" s="174">
        <v>0</v>
      </c>
      <c r="P49" s="174">
        <v>0</v>
      </c>
      <c r="Q49" s="174">
        <v>0</v>
      </c>
      <c r="R49" s="175">
        <f t="shared" si="9"/>
        <v>-1451.5293435906715</v>
      </c>
    </row>
    <row r="50" spans="1:18" x14ac:dyDescent="0.25">
      <c r="A50" s="95">
        <v>7</v>
      </c>
      <c r="B50" s="167">
        <f t="shared" si="13"/>
        <v>45474</v>
      </c>
      <c r="C50" s="188">
        <f t="shared" si="14"/>
        <v>45509</v>
      </c>
      <c r="D50" s="188">
        <f t="shared" si="14"/>
        <v>45530</v>
      </c>
      <c r="E50" s="176" t="s">
        <v>81</v>
      </c>
      <c r="F50" s="132">
        <v>9</v>
      </c>
      <c r="G50" s="169">
        <v>155</v>
      </c>
      <c r="H50" s="170">
        <f t="shared" si="5"/>
        <v>1030</v>
      </c>
      <c r="I50" s="170">
        <f t="shared" si="1"/>
        <v>1020.86</v>
      </c>
      <c r="J50" s="174">
        <f t="shared" si="15"/>
        <v>158233.29999999999</v>
      </c>
      <c r="K50" s="178">
        <f t="shared" si="16"/>
        <v>159650</v>
      </c>
      <c r="L50" s="177">
        <f t="shared" si="17"/>
        <v>-1416.7000000000116</v>
      </c>
      <c r="M50" s="174">
        <f t="shared" si="7"/>
        <v>-113.82413779970108</v>
      </c>
      <c r="N50" s="175">
        <f t="shared" si="8"/>
        <v>-1530.5241377997127</v>
      </c>
      <c r="O50" s="174">
        <v>0</v>
      </c>
      <c r="P50" s="174">
        <v>0</v>
      </c>
      <c r="Q50" s="174">
        <v>0</v>
      </c>
      <c r="R50" s="175">
        <f t="shared" si="9"/>
        <v>-1530.5241377997127</v>
      </c>
    </row>
    <row r="51" spans="1:18" x14ac:dyDescent="0.25">
      <c r="A51" s="132">
        <v>8</v>
      </c>
      <c r="B51" s="167">
        <f t="shared" si="13"/>
        <v>45505</v>
      </c>
      <c r="C51" s="188">
        <f t="shared" si="14"/>
        <v>45539</v>
      </c>
      <c r="D51" s="188">
        <f t="shared" si="14"/>
        <v>45559</v>
      </c>
      <c r="E51" s="176" t="s">
        <v>81</v>
      </c>
      <c r="F51" s="132">
        <v>9</v>
      </c>
      <c r="G51" s="169">
        <v>157</v>
      </c>
      <c r="H51" s="170">
        <f t="shared" si="5"/>
        <v>1030</v>
      </c>
      <c r="I51" s="170">
        <f t="shared" si="1"/>
        <v>1020.86</v>
      </c>
      <c r="J51" s="174">
        <f t="shared" si="15"/>
        <v>160275.01999999999</v>
      </c>
      <c r="K51" s="178">
        <f t="shared" si="16"/>
        <v>161710</v>
      </c>
      <c r="L51" s="177">
        <f t="shared" si="17"/>
        <v>-1434.9800000000105</v>
      </c>
      <c r="M51" s="174">
        <f t="shared" si="7"/>
        <v>-115.29283635195527</v>
      </c>
      <c r="N51" s="175">
        <f t="shared" si="8"/>
        <v>-1550.2728363519657</v>
      </c>
      <c r="O51" s="174">
        <v>0</v>
      </c>
      <c r="P51" s="174">
        <v>0</v>
      </c>
      <c r="Q51" s="174">
        <v>0</v>
      </c>
      <c r="R51" s="175">
        <f t="shared" si="9"/>
        <v>-1550.2728363519657</v>
      </c>
    </row>
    <row r="52" spans="1:18" x14ac:dyDescent="0.25">
      <c r="A52" s="132">
        <v>9</v>
      </c>
      <c r="B52" s="167">
        <f t="shared" si="13"/>
        <v>45536</v>
      </c>
      <c r="C52" s="188">
        <f t="shared" si="14"/>
        <v>45568</v>
      </c>
      <c r="D52" s="188">
        <f t="shared" si="14"/>
        <v>45589</v>
      </c>
      <c r="E52" s="176" t="s">
        <v>81</v>
      </c>
      <c r="F52" s="132">
        <v>9</v>
      </c>
      <c r="G52" s="169">
        <v>126</v>
      </c>
      <c r="H52" s="170">
        <f t="shared" si="5"/>
        <v>1030</v>
      </c>
      <c r="I52" s="170">
        <f t="shared" si="1"/>
        <v>1020.86</v>
      </c>
      <c r="J52" s="174">
        <f t="shared" si="15"/>
        <v>128628.36</v>
      </c>
      <c r="K52" s="178">
        <f t="shared" si="16"/>
        <v>129780</v>
      </c>
      <c r="L52" s="177">
        <f t="shared" si="17"/>
        <v>-1151.6399999999994</v>
      </c>
      <c r="M52" s="174">
        <f t="shared" si="7"/>
        <v>-92.528008792015072</v>
      </c>
      <c r="N52" s="175">
        <f t="shared" si="8"/>
        <v>-1244.1680087920145</v>
      </c>
      <c r="O52" s="174">
        <v>0</v>
      </c>
      <c r="P52" s="174">
        <v>0</v>
      </c>
      <c r="Q52" s="174">
        <v>0</v>
      </c>
      <c r="R52" s="175">
        <f t="shared" si="9"/>
        <v>-1244.1680087920145</v>
      </c>
    </row>
    <row r="53" spans="1:18" x14ac:dyDescent="0.25">
      <c r="A53" s="95">
        <v>10</v>
      </c>
      <c r="B53" s="167">
        <f t="shared" si="13"/>
        <v>45566</v>
      </c>
      <c r="C53" s="188">
        <f t="shared" si="14"/>
        <v>45601</v>
      </c>
      <c r="D53" s="188">
        <f t="shared" si="14"/>
        <v>45621</v>
      </c>
      <c r="E53" s="176" t="s">
        <v>81</v>
      </c>
      <c r="F53" s="132">
        <v>9</v>
      </c>
      <c r="G53" s="169">
        <v>112</v>
      </c>
      <c r="H53" s="170">
        <f t="shared" si="5"/>
        <v>1030</v>
      </c>
      <c r="I53" s="170">
        <f t="shared" si="1"/>
        <v>1020.86</v>
      </c>
      <c r="J53" s="174">
        <f t="shared" si="15"/>
        <v>114336.32000000001</v>
      </c>
      <c r="K53" s="178">
        <f t="shared" si="16"/>
        <v>115360</v>
      </c>
      <c r="L53" s="177">
        <f t="shared" si="17"/>
        <v>-1023.679999999993</v>
      </c>
      <c r="M53" s="174">
        <f t="shared" si="7"/>
        <v>-82.247118926235615</v>
      </c>
      <c r="N53" s="175">
        <f t="shared" si="8"/>
        <v>-1105.9271189262286</v>
      </c>
      <c r="O53" s="174">
        <v>0</v>
      </c>
      <c r="P53" s="174">
        <v>0</v>
      </c>
      <c r="Q53" s="174">
        <v>0</v>
      </c>
      <c r="R53" s="175">
        <f t="shared" si="9"/>
        <v>-1105.9271189262286</v>
      </c>
    </row>
    <row r="54" spans="1:18" x14ac:dyDescent="0.25">
      <c r="A54" s="132">
        <v>11</v>
      </c>
      <c r="B54" s="167">
        <f t="shared" si="13"/>
        <v>45597</v>
      </c>
      <c r="C54" s="188">
        <f t="shared" si="14"/>
        <v>45630</v>
      </c>
      <c r="D54" s="188">
        <f t="shared" si="14"/>
        <v>45650</v>
      </c>
      <c r="E54" s="176" t="s">
        <v>81</v>
      </c>
      <c r="F54" s="132">
        <v>9</v>
      </c>
      <c r="G54" s="169">
        <v>93</v>
      </c>
      <c r="H54" s="170">
        <f t="shared" si="5"/>
        <v>1030</v>
      </c>
      <c r="I54" s="170">
        <f t="shared" si="1"/>
        <v>1020.86</v>
      </c>
      <c r="J54" s="174">
        <f t="shared" si="15"/>
        <v>94939.98</v>
      </c>
      <c r="K54" s="178">
        <f t="shared" si="16"/>
        <v>95790</v>
      </c>
      <c r="L54" s="177">
        <f t="shared" si="17"/>
        <v>-850.02000000000407</v>
      </c>
      <c r="M54" s="174">
        <f t="shared" si="7"/>
        <v>-68.294482679820646</v>
      </c>
      <c r="N54" s="175">
        <f t="shared" si="8"/>
        <v>-918.31448267982478</v>
      </c>
      <c r="O54" s="174">
        <v>0</v>
      </c>
      <c r="P54" s="174">
        <v>0</v>
      </c>
      <c r="Q54" s="174">
        <v>0</v>
      </c>
      <c r="R54" s="175">
        <f t="shared" si="9"/>
        <v>-918.31448267982478</v>
      </c>
    </row>
    <row r="55" spans="1:18" x14ac:dyDescent="0.25">
      <c r="A55" s="132">
        <v>12</v>
      </c>
      <c r="B55" s="167">
        <f t="shared" si="13"/>
        <v>45627</v>
      </c>
      <c r="C55" s="188">
        <f t="shared" si="14"/>
        <v>45660</v>
      </c>
      <c r="D55" s="188">
        <f t="shared" si="14"/>
        <v>45681</v>
      </c>
      <c r="E55" s="176" t="s">
        <v>81</v>
      </c>
      <c r="F55" s="132">
        <v>9</v>
      </c>
      <c r="G55" s="169">
        <v>128</v>
      </c>
      <c r="H55" s="180">
        <f t="shared" si="5"/>
        <v>1030</v>
      </c>
      <c r="I55" s="180">
        <f t="shared" si="1"/>
        <v>1020.86</v>
      </c>
      <c r="J55" s="181">
        <f t="shared" si="15"/>
        <v>130670.08</v>
      </c>
      <c r="K55" s="182">
        <f t="shared" si="16"/>
        <v>131840</v>
      </c>
      <c r="L55" s="183">
        <f t="shared" si="17"/>
        <v>-1169.9199999999983</v>
      </c>
      <c r="M55" s="174">
        <f t="shared" si="7"/>
        <v>-93.996707344269282</v>
      </c>
      <c r="N55" s="175">
        <f t="shared" si="8"/>
        <v>-1263.9167073442675</v>
      </c>
      <c r="O55" s="174">
        <v>0</v>
      </c>
      <c r="P55" s="174">
        <v>0</v>
      </c>
      <c r="Q55" s="174">
        <v>0</v>
      </c>
      <c r="R55" s="175">
        <f t="shared" si="9"/>
        <v>-1263.9167073442675</v>
      </c>
    </row>
    <row r="56" spans="1:18" s="189" customFormat="1" x14ac:dyDescent="0.25">
      <c r="A56" s="95">
        <v>1</v>
      </c>
      <c r="B56" s="184">
        <f t="shared" si="4"/>
        <v>45292</v>
      </c>
      <c r="C56" s="185">
        <f t="shared" ref="C56:D67" si="18">+C32</f>
        <v>45327</v>
      </c>
      <c r="D56" s="185">
        <f t="shared" si="18"/>
        <v>45348</v>
      </c>
      <c r="E56" s="186" t="s">
        <v>14</v>
      </c>
      <c r="F56" s="187">
        <v>9</v>
      </c>
      <c r="G56" s="169">
        <v>1129</v>
      </c>
      <c r="H56" s="170">
        <f t="shared" si="5"/>
        <v>1030</v>
      </c>
      <c r="I56" s="170">
        <f t="shared" si="1"/>
        <v>1020.86</v>
      </c>
      <c r="J56" s="171">
        <f t="shared" si="2"/>
        <v>1152550.94</v>
      </c>
      <c r="K56" s="172">
        <f t="shared" si="11"/>
        <v>1162870</v>
      </c>
      <c r="L56" s="173">
        <f t="shared" si="12"/>
        <v>-10319.060000000056</v>
      </c>
      <c r="M56" s="174">
        <f t="shared" si="7"/>
        <v>-829.08033274750005</v>
      </c>
      <c r="N56" s="175">
        <f t="shared" si="8"/>
        <v>-11148.140332747556</v>
      </c>
      <c r="O56" s="174">
        <v>0</v>
      </c>
      <c r="P56" s="174">
        <v>0</v>
      </c>
      <c r="Q56" s="174">
        <v>0</v>
      </c>
      <c r="R56" s="175">
        <f t="shared" si="9"/>
        <v>-11148.140332747556</v>
      </c>
    </row>
    <row r="57" spans="1:18" x14ac:dyDescent="0.25">
      <c r="A57" s="132">
        <v>2</v>
      </c>
      <c r="B57" s="167">
        <f t="shared" si="4"/>
        <v>45323</v>
      </c>
      <c r="C57" s="188">
        <f t="shared" si="18"/>
        <v>45356</v>
      </c>
      <c r="D57" s="188">
        <f t="shared" si="18"/>
        <v>45376</v>
      </c>
      <c r="E57" s="176" t="s">
        <v>14</v>
      </c>
      <c r="F57" s="132">
        <v>9</v>
      </c>
      <c r="G57" s="169">
        <v>739</v>
      </c>
      <c r="H57" s="170">
        <f t="shared" si="5"/>
        <v>1030</v>
      </c>
      <c r="I57" s="170">
        <f t="shared" si="1"/>
        <v>1020.86</v>
      </c>
      <c r="J57" s="171">
        <f t="shared" si="2"/>
        <v>754415.54</v>
      </c>
      <c r="K57" s="172">
        <f t="shared" si="11"/>
        <v>761170</v>
      </c>
      <c r="L57" s="173">
        <f t="shared" si="12"/>
        <v>-6754.4599999999627</v>
      </c>
      <c r="M57" s="174">
        <f t="shared" si="7"/>
        <v>-542.68411505792972</v>
      </c>
      <c r="N57" s="175">
        <f t="shared" si="8"/>
        <v>-7297.1441150578921</v>
      </c>
      <c r="O57" s="174">
        <v>0</v>
      </c>
      <c r="P57" s="174">
        <v>0</v>
      </c>
      <c r="Q57" s="174">
        <v>0</v>
      </c>
      <c r="R57" s="175">
        <f t="shared" si="9"/>
        <v>-7297.1441150578921</v>
      </c>
    </row>
    <row r="58" spans="1:18" x14ac:dyDescent="0.25">
      <c r="A58" s="132">
        <v>3</v>
      </c>
      <c r="B58" s="167">
        <f t="shared" si="4"/>
        <v>45352</v>
      </c>
      <c r="C58" s="188">
        <f t="shared" si="18"/>
        <v>45385</v>
      </c>
      <c r="D58" s="188">
        <f t="shared" si="18"/>
        <v>45406</v>
      </c>
      <c r="E58" s="176" t="s">
        <v>14</v>
      </c>
      <c r="F58" s="132">
        <v>9</v>
      </c>
      <c r="G58" s="169">
        <v>642</v>
      </c>
      <c r="H58" s="170">
        <f t="shared" si="5"/>
        <v>1030</v>
      </c>
      <c r="I58" s="170">
        <f t="shared" si="1"/>
        <v>1020.86</v>
      </c>
      <c r="J58" s="171">
        <f t="shared" si="2"/>
        <v>655392.12</v>
      </c>
      <c r="K58" s="172">
        <f t="shared" si="11"/>
        <v>661260</v>
      </c>
      <c r="L58" s="173">
        <f>+J58-K58</f>
        <v>-5867.8800000000047</v>
      </c>
      <c r="M58" s="174">
        <f t="shared" si="7"/>
        <v>-471.45223527360059</v>
      </c>
      <c r="N58" s="175">
        <f t="shared" si="8"/>
        <v>-6339.332235273605</v>
      </c>
      <c r="O58" s="174">
        <v>0</v>
      </c>
      <c r="P58" s="174">
        <v>0</v>
      </c>
      <c r="Q58" s="174">
        <v>0</v>
      </c>
      <c r="R58" s="175">
        <f t="shared" si="9"/>
        <v>-6339.332235273605</v>
      </c>
    </row>
    <row r="59" spans="1:18" x14ac:dyDescent="0.25">
      <c r="A59" s="95">
        <v>4</v>
      </c>
      <c r="B59" s="167">
        <f t="shared" si="4"/>
        <v>45383</v>
      </c>
      <c r="C59" s="188">
        <f t="shared" si="18"/>
        <v>45415</v>
      </c>
      <c r="D59" s="188">
        <f t="shared" si="18"/>
        <v>45436</v>
      </c>
      <c r="E59" s="176" t="s">
        <v>14</v>
      </c>
      <c r="F59" s="132">
        <v>9</v>
      </c>
      <c r="G59" s="169">
        <v>581</v>
      </c>
      <c r="H59" s="170">
        <f t="shared" si="5"/>
        <v>1030</v>
      </c>
      <c r="I59" s="170">
        <f t="shared" si="1"/>
        <v>1020.86</v>
      </c>
      <c r="J59" s="171">
        <f t="shared" si="2"/>
        <v>593119.66</v>
      </c>
      <c r="K59" s="172">
        <f t="shared" si="11"/>
        <v>598430</v>
      </c>
      <c r="L59" s="173">
        <f t="shared" ref="L59:L81" si="19">+J59-K59</f>
        <v>-5310.3399999999674</v>
      </c>
      <c r="M59" s="174">
        <f t="shared" si="7"/>
        <v>-426.65692942984725</v>
      </c>
      <c r="N59" s="175">
        <f t="shared" si="8"/>
        <v>-5736.9969294298144</v>
      </c>
      <c r="O59" s="174">
        <v>0</v>
      </c>
      <c r="P59" s="174">
        <v>0</v>
      </c>
      <c r="Q59" s="174">
        <v>0</v>
      </c>
      <c r="R59" s="175">
        <f t="shared" si="9"/>
        <v>-5736.9969294298144</v>
      </c>
    </row>
    <row r="60" spans="1:18" x14ac:dyDescent="0.25">
      <c r="A60" s="132">
        <v>5</v>
      </c>
      <c r="B60" s="167">
        <f t="shared" si="4"/>
        <v>45413</v>
      </c>
      <c r="C60" s="188">
        <f t="shared" si="18"/>
        <v>45448</v>
      </c>
      <c r="D60" s="188">
        <f t="shared" si="18"/>
        <v>45467</v>
      </c>
      <c r="E60" s="52" t="s">
        <v>14</v>
      </c>
      <c r="F60" s="132">
        <v>9</v>
      </c>
      <c r="G60" s="169">
        <v>753</v>
      </c>
      <c r="H60" s="170">
        <f t="shared" si="5"/>
        <v>1030</v>
      </c>
      <c r="I60" s="170">
        <f t="shared" si="1"/>
        <v>1020.86</v>
      </c>
      <c r="J60" s="171">
        <f t="shared" si="2"/>
        <v>768707.58</v>
      </c>
      <c r="K60" s="172">
        <f t="shared" si="11"/>
        <v>775590</v>
      </c>
      <c r="L60" s="173">
        <f t="shared" si="19"/>
        <v>-6882.4200000000419</v>
      </c>
      <c r="M60" s="174">
        <f t="shared" si="7"/>
        <v>-552.9650049237091</v>
      </c>
      <c r="N60" s="175">
        <f t="shared" si="8"/>
        <v>-7435.3850049237508</v>
      </c>
      <c r="O60" s="174">
        <v>0</v>
      </c>
      <c r="P60" s="174">
        <v>0</v>
      </c>
      <c r="Q60" s="174">
        <v>0</v>
      </c>
      <c r="R60" s="175">
        <f t="shared" si="9"/>
        <v>-7435.3850049237508</v>
      </c>
    </row>
    <row r="61" spans="1:18" x14ac:dyDescent="0.25">
      <c r="A61" s="132">
        <v>6</v>
      </c>
      <c r="B61" s="167">
        <f t="shared" si="4"/>
        <v>45444</v>
      </c>
      <c r="C61" s="188">
        <f t="shared" si="18"/>
        <v>45476</v>
      </c>
      <c r="D61" s="188">
        <f t="shared" si="18"/>
        <v>45497</v>
      </c>
      <c r="E61" s="52" t="s">
        <v>14</v>
      </c>
      <c r="F61" s="132">
        <v>9</v>
      </c>
      <c r="G61" s="169">
        <v>1001</v>
      </c>
      <c r="H61" s="170">
        <f t="shared" si="5"/>
        <v>1030</v>
      </c>
      <c r="I61" s="170">
        <f t="shared" si="1"/>
        <v>1020.86</v>
      </c>
      <c r="J61" s="171">
        <f t="shared" si="2"/>
        <v>1021880.86</v>
      </c>
      <c r="K61" s="172">
        <f t="shared" si="11"/>
        <v>1031030</v>
      </c>
      <c r="L61" s="177">
        <f t="shared" si="19"/>
        <v>-9149.140000000014</v>
      </c>
      <c r="M61" s="174">
        <f t="shared" si="7"/>
        <v>-735.08362540323083</v>
      </c>
      <c r="N61" s="175">
        <f t="shared" si="8"/>
        <v>-9884.223625403245</v>
      </c>
      <c r="O61" s="174">
        <v>0</v>
      </c>
      <c r="P61" s="174">
        <v>0</v>
      </c>
      <c r="Q61" s="174">
        <v>0</v>
      </c>
      <c r="R61" s="175">
        <f t="shared" si="9"/>
        <v>-9884.223625403245</v>
      </c>
    </row>
    <row r="62" spans="1:18" x14ac:dyDescent="0.25">
      <c r="A62" s="95">
        <v>7</v>
      </c>
      <c r="B62" s="167">
        <f t="shared" si="4"/>
        <v>45474</v>
      </c>
      <c r="C62" s="188">
        <f t="shared" si="18"/>
        <v>45509</v>
      </c>
      <c r="D62" s="188">
        <f t="shared" si="18"/>
        <v>45530</v>
      </c>
      <c r="E62" s="52" t="s">
        <v>14</v>
      </c>
      <c r="F62" s="132">
        <v>9</v>
      </c>
      <c r="G62" s="169">
        <v>961</v>
      </c>
      <c r="H62" s="170">
        <f t="shared" si="5"/>
        <v>1030</v>
      </c>
      <c r="I62" s="170">
        <f t="shared" si="1"/>
        <v>1020.86</v>
      </c>
      <c r="J62" s="171">
        <f t="shared" si="2"/>
        <v>981046.46</v>
      </c>
      <c r="K62" s="178">
        <f t="shared" si="11"/>
        <v>989830</v>
      </c>
      <c r="L62" s="177">
        <f t="shared" si="19"/>
        <v>-8783.5400000000373</v>
      </c>
      <c r="M62" s="174">
        <f t="shared" si="7"/>
        <v>-705.70965435814662</v>
      </c>
      <c r="N62" s="175">
        <f t="shared" si="8"/>
        <v>-9489.2496543581838</v>
      </c>
      <c r="O62" s="174">
        <v>0</v>
      </c>
      <c r="P62" s="174">
        <v>0</v>
      </c>
      <c r="Q62" s="174">
        <v>0</v>
      </c>
      <c r="R62" s="175">
        <f t="shared" si="9"/>
        <v>-9489.2496543581838</v>
      </c>
    </row>
    <row r="63" spans="1:18" x14ac:dyDescent="0.25">
      <c r="A63" s="132">
        <v>8</v>
      </c>
      <c r="B63" s="167">
        <f t="shared" si="4"/>
        <v>45505</v>
      </c>
      <c r="C63" s="188">
        <f t="shared" si="18"/>
        <v>45539</v>
      </c>
      <c r="D63" s="188">
        <f t="shared" si="18"/>
        <v>45559</v>
      </c>
      <c r="E63" s="52" t="s">
        <v>14</v>
      </c>
      <c r="F63" s="132">
        <v>9</v>
      </c>
      <c r="G63" s="169">
        <v>1017</v>
      </c>
      <c r="H63" s="170">
        <f t="shared" si="5"/>
        <v>1030</v>
      </c>
      <c r="I63" s="170">
        <f t="shared" si="1"/>
        <v>1020.86</v>
      </c>
      <c r="J63" s="171">
        <f t="shared" si="2"/>
        <v>1038214.62</v>
      </c>
      <c r="K63" s="178">
        <f t="shared" si="11"/>
        <v>1047510</v>
      </c>
      <c r="L63" s="177">
        <f t="shared" si="19"/>
        <v>-9295.3800000000047</v>
      </c>
      <c r="M63" s="174">
        <f t="shared" si="7"/>
        <v>-746.83321382126451</v>
      </c>
      <c r="N63" s="175">
        <f t="shared" si="8"/>
        <v>-10042.213213821269</v>
      </c>
      <c r="O63" s="174">
        <v>0</v>
      </c>
      <c r="P63" s="174">
        <v>0</v>
      </c>
      <c r="Q63" s="174">
        <v>0</v>
      </c>
      <c r="R63" s="175">
        <f t="shared" si="9"/>
        <v>-10042.213213821269</v>
      </c>
    </row>
    <row r="64" spans="1:18" x14ac:dyDescent="0.25">
      <c r="A64" s="132">
        <v>9</v>
      </c>
      <c r="B64" s="167">
        <f t="shared" si="4"/>
        <v>45536</v>
      </c>
      <c r="C64" s="188">
        <f t="shared" si="18"/>
        <v>45568</v>
      </c>
      <c r="D64" s="188">
        <f t="shared" si="18"/>
        <v>45589</v>
      </c>
      <c r="E64" s="52" t="s">
        <v>14</v>
      </c>
      <c r="F64" s="132">
        <v>9</v>
      </c>
      <c r="G64" s="169">
        <v>856</v>
      </c>
      <c r="H64" s="170">
        <f t="shared" si="5"/>
        <v>1030</v>
      </c>
      <c r="I64" s="170">
        <f t="shared" ref="I64:I107" si="20">$J$3</f>
        <v>1020.86</v>
      </c>
      <c r="J64" s="171">
        <f t="shared" si="2"/>
        <v>873856.16</v>
      </c>
      <c r="K64" s="178">
        <f t="shared" si="11"/>
        <v>881680</v>
      </c>
      <c r="L64" s="177">
        <f t="shared" si="19"/>
        <v>-7823.8399999999674</v>
      </c>
      <c r="M64" s="174">
        <f t="shared" si="7"/>
        <v>-628.60298036480071</v>
      </c>
      <c r="N64" s="175">
        <f t="shared" si="8"/>
        <v>-8452.442980364769</v>
      </c>
      <c r="O64" s="174">
        <v>0</v>
      </c>
      <c r="P64" s="174">
        <v>0</v>
      </c>
      <c r="Q64" s="174">
        <v>0</v>
      </c>
      <c r="R64" s="175">
        <f t="shared" si="9"/>
        <v>-8452.442980364769</v>
      </c>
    </row>
    <row r="65" spans="1:18" x14ac:dyDescent="0.25">
      <c r="A65" s="95">
        <v>10</v>
      </c>
      <c r="B65" s="167">
        <f t="shared" si="4"/>
        <v>45566</v>
      </c>
      <c r="C65" s="188">
        <f t="shared" si="18"/>
        <v>45601</v>
      </c>
      <c r="D65" s="188">
        <f t="shared" si="18"/>
        <v>45621</v>
      </c>
      <c r="E65" s="52" t="s">
        <v>14</v>
      </c>
      <c r="F65" s="132">
        <v>9</v>
      </c>
      <c r="G65" s="169">
        <v>786</v>
      </c>
      <c r="H65" s="170">
        <f t="shared" si="5"/>
        <v>1030</v>
      </c>
      <c r="I65" s="170">
        <f t="shared" si="20"/>
        <v>1020.86</v>
      </c>
      <c r="J65" s="171">
        <f t="shared" si="2"/>
        <v>802395.96</v>
      </c>
      <c r="K65" s="178">
        <f t="shared" si="11"/>
        <v>809580</v>
      </c>
      <c r="L65" s="177">
        <f t="shared" si="19"/>
        <v>-7184.0400000000373</v>
      </c>
      <c r="M65" s="174">
        <f t="shared" si="7"/>
        <v>-577.19853103590356</v>
      </c>
      <c r="N65" s="175">
        <f t="shared" si="8"/>
        <v>-7761.2385310359405</v>
      </c>
      <c r="O65" s="174">
        <v>0</v>
      </c>
      <c r="P65" s="174">
        <v>0</v>
      </c>
      <c r="Q65" s="174">
        <v>0</v>
      </c>
      <c r="R65" s="175">
        <f t="shared" si="9"/>
        <v>-7761.2385310359405</v>
      </c>
    </row>
    <row r="66" spans="1:18" x14ac:dyDescent="0.25">
      <c r="A66" s="132">
        <v>11</v>
      </c>
      <c r="B66" s="167">
        <f t="shared" si="4"/>
        <v>45597</v>
      </c>
      <c r="C66" s="188">
        <f t="shared" si="18"/>
        <v>45630</v>
      </c>
      <c r="D66" s="188">
        <f t="shared" si="18"/>
        <v>45650</v>
      </c>
      <c r="E66" s="52" t="s">
        <v>14</v>
      </c>
      <c r="F66" s="132">
        <v>9</v>
      </c>
      <c r="G66" s="169">
        <v>463</v>
      </c>
      <c r="H66" s="170">
        <f t="shared" si="5"/>
        <v>1030</v>
      </c>
      <c r="I66" s="170">
        <f t="shared" si="20"/>
        <v>1020.86</v>
      </c>
      <c r="J66" s="171">
        <f t="shared" si="2"/>
        <v>472658.18</v>
      </c>
      <c r="K66" s="178">
        <f t="shared" si="11"/>
        <v>476890</v>
      </c>
      <c r="L66" s="177">
        <f t="shared" si="19"/>
        <v>-4231.820000000007</v>
      </c>
      <c r="M66" s="174">
        <f t="shared" si="7"/>
        <v>-340.00371484684905</v>
      </c>
      <c r="N66" s="175">
        <f t="shared" si="8"/>
        <v>-4571.8237148468561</v>
      </c>
      <c r="O66" s="174">
        <v>0</v>
      </c>
      <c r="P66" s="174">
        <v>0</v>
      </c>
      <c r="Q66" s="174">
        <v>0</v>
      </c>
      <c r="R66" s="175">
        <f t="shared" si="9"/>
        <v>-4571.8237148468561</v>
      </c>
    </row>
    <row r="67" spans="1:18" s="192" customFormat="1" x14ac:dyDescent="0.25">
      <c r="A67" s="132">
        <v>12</v>
      </c>
      <c r="B67" s="190">
        <f t="shared" si="4"/>
        <v>45627</v>
      </c>
      <c r="C67" s="188">
        <f t="shared" si="18"/>
        <v>45660</v>
      </c>
      <c r="D67" s="188">
        <f t="shared" si="18"/>
        <v>45681</v>
      </c>
      <c r="E67" s="191" t="s">
        <v>14</v>
      </c>
      <c r="F67" s="143">
        <v>9</v>
      </c>
      <c r="G67" s="169">
        <v>725</v>
      </c>
      <c r="H67" s="180">
        <f t="shared" si="5"/>
        <v>1030</v>
      </c>
      <c r="I67" s="180">
        <f t="shared" si="20"/>
        <v>1020.86</v>
      </c>
      <c r="J67" s="181">
        <f t="shared" si="2"/>
        <v>740123.5</v>
      </c>
      <c r="K67" s="182">
        <f t="shared" si="11"/>
        <v>746750</v>
      </c>
      <c r="L67" s="183">
        <f t="shared" si="19"/>
        <v>-6626.5</v>
      </c>
      <c r="M67" s="174">
        <f t="shared" si="7"/>
        <v>-532.40322519215022</v>
      </c>
      <c r="N67" s="175">
        <f t="shared" si="8"/>
        <v>-7158.9032251921499</v>
      </c>
      <c r="O67" s="174">
        <v>0</v>
      </c>
      <c r="P67" s="174">
        <v>0</v>
      </c>
      <c r="Q67" s="174">
        <v>0</v>
      </c>
      <c r="R67" s="175">
        <f t="shared" si="9"/>
        <v>-7158.9032251921499</v>
      </c>
    </row>
    <row r="68" spans="1:18" x14ac:dyDescent="0.25">
      <c r="A68" s="95">
        <v>1</v>
      </c>
      <c r="B68" s="167">
        <f t="shared" si="4"/>
        <v>45292</v>
      </c>
      <c r="C68" s="185">
        <f t="shared" ref="C68:D79" si="21">+C56</f>
        <v>45327</v>
      </c>
      <c r="D68" s="185">
        <f t="shared" si="21"/>
        <v>45348</v>
      </c>
      <c r="E68" s="168" t="s">
        <v>83</v>
      </c>
      <c r="F68" s="95">
        <v>9</v>
      </c>
      <c r="G68" s="169">
        <v>58</v>
      </c>
      <c r="H68" s="170">
        <f t="shared" si="5"/>
        <v>1030</v>
      </c>
      <c r="I68" s="170">
        <f t="shared" si="20"/>
        <v>1020.86</v>
      </c>
      <c r="J68" s="171">
        <f t="shared" si="2"/>
        <v>59209.88</v>
      </c>
      <c r="K68" s="172">
        <f t="shared" si="11"/>
        <v>59740</v>
      </c>
      <c r="L68" s="173">
        <f t="shared" si="19"/>
        <v>-530.12000000000262</v>
      </c>
      <c r="M68" s="174">
        <f t="shared" si="7"/>
        <v>-42.592258015372011</v>
      </c>
      <c r="N68" s="175">
        <f t="shared" si="8"/>
        <v>-572.71225801537457</v>
      </c>
      <c r="O68" s="174">
        <v>0</v>
      </c>
      <c r="P68" s="174">
        <v>0</v>
      </c>
      <c r="Q68" s="174">
        <v>0</v>
      </c>
      <c r="R68" s="175">
        <f t="shared" si="9"/>
        <v>-572.71225801537457</v>
      </c>
    </row>
    <row r="69" spans="1:18" x14ac:dyDescent="0.25">
      <c r="A69" s="132">
        <v>2</v>
      </c>
      <c r="B69" s="167">
        <f t="shared" si="4"/>
        <v>45323</v>
      </c>
      <c r="C69" s="188">
        <f t="shared" si="21"/>
        <v>45356</v>
      </c>
      <c r="D69" s="188">
        <f t="shared" si="21"/>
        <v>45376</v>
      </c>
      <c r="E69" s="176" t="s">
        <v>83</v>
      </c>
      <c r="F69" s="132">
        <v>9</v>
      </c>
      <c r="G69" s="169">
        <v>36</v>
      </c>
      <c r="H69" s="170">
        <f t="shared" si="5"/>
        <v>1030</v>
      </c>
      <c r="I69" s="170">
        <f t="shared" si="20"/>
        <v>1020.86</v>
      </c>
      <c r="J69" s="171">
        <f t="shared" si="2"/>
        <v>36750.959999999999</v>
      </c>
      <c r="K69" s="172">
        <f t="shared" si="11"/>
        <v>37080</v>
      </c>
      <c r="L69" s="173">
        <f t="shared" si="19"/>
        <v>-329.04000000000087</v>
      </c>
      <c r="M69" s="174">
        <f t="shared" si="7"/>
        <v>-26.436573940575734</v>
      </c>
      <c r="N69" s="175">
        <f t="shared" si="8"/>
        <v>-355.4765739405766</v>
      </c>
      <c r="O69" s="174">
        <v>0</v>
      </c>
      <c r="P69" s="174">
        <v>0</v>
      </c>
      <c r="Q69" s="174">
        <v>0</v>
      </c>
      <c r="R69" s="175">
        <f t="shared" si="9"/>
        <v>-355.4765739405766</v>
      </c>
    </row>
    <row r="70" spans="1:18" x14ac:dyDescent="0.25">
      <c r="A70" s="132">
        <v>3</v>
      </c>
      <c r="B70" s="167">
        <f t="shared" si="4"/>
        <v>45352</v>
      </c>
      <c r="C70" s="188">
        <f t="shared" si="21"/>
        <v>45385</v>
      </c>
      <c r="D70" s="188">
        <f t="shared" si="21"/>
        <v>45406</v>
      </c>
      <c r="E70" s="176" t="s">
        <v>83</v>
      </c>
      <c r="F70" s="132">
        <v>9</v>
      </c>
      <c r="G70" s="169">
        <v>29</v>
      </c>
      <c r="H70" s="170">
        <f t="shared" si="5"/>
        <v>1030</v>
      </c>
      <c r="I70" s="170">
        <f t="shared" si="20"/>
        <v>1020.86</v>
      </c>
      <c r="J70" s="171">
        <f t="shared" si="2"/>
        <v>29604.94</v>
      </c>
      <c r="K70" s="172">
        <f t="shared" si="11"/>
        <v>29870</v>
      </c>
      <c r="L70" s="173">
        <f>+J70-K70</f>
        <v>-265.06000000000131</v>
      </c>
      <c r="M70" s="174">
        <f t="shared" si="7"/>
        <v>-21.296129007686005</v>
      </c>
      <c r="N70" s="175">
        <f t="shared" si="8"/>
        <v>-286.35612900768729</v>
      </c>
      <c r="O70" s="174">
        <v>0</v>
      </c>
      <c r="P70" s="174">
        <v>0</v>
      </c>
      <c r="Q70" s="174">
        <v>0</v>
      </c>
      <c r="R70" s="175">
        <f t="shared" si="9"/>
        <v>-286.35612900768729</v>
      </c>
    </row>
    <row r="71" spans="1:18" x14ac:dyDescent="0.25">
      <c r="A71" s="95">
        <v>4</v>
      </c>
      <c r="B71" s="167">
        <f t="shared" si="4"/>
        <v>45383</v>
      </c>
      <c r="C71" s="188">
        <f t="shared" si="21"/>
        <v>45415</v>
      </c>
      <c r="D71" s="188">
        <f t="shared" si="21"/>
        <v>45436</v>
      </c>
      <c r="E71" s="176" t="s">
        <v>83</v>
      </c>
      <c r="F71" s="132">
        <v>9</v>
      </c>
      <c r="G71" s="169">
        <v>27</v>
      </c>
      <c r="H71" s="170">
        <f t="shared" si="5"/>
        <v>1030</v>
      </c>
      <c r="I71" s="170">
        <f t="shared" si="20"/>
        <v>1020.86</v>
      </c>
      <c r="J71" s="171">
        <f t="shared" si="2"/>
        <v>27563.22</v>
      </c>
      <c r="K71" s="172">
        <f t="shared" si="11"/>
        <v>27810</v>
      </c>
      <c r="L71" s="173">
        <f t="shared" ref="L71:L79" si="22">+J71-K71</f>
        <v>-246.77999999999884</v>
      </c>
      <c r="M71" s="174">
        <f t="shared" si="7"/>
        <v>-19.827430455431802</v>
      </c>
      <c r="N71" s="175">
        <f t="shared" si="8"/>
        <v>-266.60743045543063</v>
      </c>
      <c r="O71" s="174">
        <v>0</v>
      </c>
      <c r="P71" s="174">
        <v>0</v>
      </c>
      <c r="Q71" s="174">
        <v>0</v>
      </c>
      <c r="R71" s="175">
        <f t="shared" si="9"/>
        <v>-266.60743045543063</v>
      </c>
    </row>
    <row r="72" spans="1:18" x14ac:dyDescent="0.25">
      <c r="A72" s="132">
        <v>5</v>
      </c>
      <c r="B72" s="167">
        <f t="shared" si="4"/>
        <v>45413</v>
      </c>
      <c r="C72" s="188">
        <f t="shared" si="21"/>
        <v>45448</v>
      </c>
      <c r="D72" s="188">
        <f t="shared" si="21"/>
        <v>45467</v>
      </c>
      <c r="E72" s="176" t="s">
        <v>83</v>
      </c>
      <c r="F72" s="132">
        <v>9</v>
      </c>
      <c r="G72" s="169">
        <v>36</v>
      </c>
      <c r="H72" s="170">
        <f t="shared" si="5"/>
        <v>1030</v>
      </c>
      <c r="I72" s="170">
        <f t="shared" si="20"/>
        <v>1020.86</v>
      </c>
      <c r="J72" s="171">
        <f t="shared" si="2"/>
        <v>36750.959999999999</v>
      </c>
      <c r="K72" s="172">
        <f t="shared" si="11"/>
        <v>37080</v>
      </c>
      <c r="L72" s="173">
        <f t="shared" si="22"/>
        <v>-329.04000000000087</v>
      </c>
      <c r="M72" s="174">
        <f t="shared" si="7"/>
        <v>-26.436573940575734</v>
      </c>
      <c r="N72" s="175">
        <f t="shared" si="8"/>
        <v>-355.4765739405766</v>
      </c>
      <c r="O72" s="174">
        <v>0</v>
      </c>
      <c r="P72" s="174">
        <v>0</v>
      </c>
      <c r="Q72" s="174">
        <v>0</v>
      </c>
      <c r="R72" s="175">
        <f t="shared" si="9"/>
        <v>-355.4765739405766</v>
      </c>
    </row>
    <row r="73" spans="1:18" x14ac:dyDescent="0.25">
      <c r="A73" s="132">
        <v>6</v>
      </c>
      <c r="B73" s="167">
        <f t="shared" si="4"/>
        <v>45444</v>
      </c>
      <c r="C73" s="188">
        <f t="shared" si="21"/>
        <v>45476</v>
      </c>
      <c r="D73" s="188">
        <f t="shared" si="21"/>
        <v>45497</v>
      </c>
      <c r="E73" s="176" t="s">
        <v>83</v>
      </c>
      <c r="F73" s="132">
        <v>9</v>
      </c>
      <c r="G73" s="169">
        <v>53</v>
      </c>
      <c r="H73" s="170">
        <f t="shared" si="5"/>
        <v>1030</v>
      </c>
      <c r="I73" s="170">
        <f t="shared" si="20"/>
        <v>1020.86</v>
      </c>
      <c r="J73" s="171">
        <f t="shared" si="2"/>
        <v>54105.58</v>
      </c>
      <c r="K73" s="172">
        <f t="shared" si="11"/>
        <v>54590</v>
      </c>
      <c r="L73" s="177">
        <f t="shared" si="22"/>
        <v>-484.41999999999825</v>
      </c>
      <c r="M73" s="174">
        <f t="shared" si="7"/>
        <v>-38.920511634736499</v>
      </c>
      <c r="N73" s="175">
        <f t="shared" si="8"/>
        <v>-523.34051163473475</v>
      </c>
      <c r="O73" s="174">
        <v>0</v>
      </c>
      <c r="P73" s="174">
        <v>0</v>
      </c>
      <c r="Q73" s="174">
        <v>0</v>
      </c>
      <c r="R73" s="175">
        <f t="shared" si="9"/>
        <v>-523.34051163473475</v>
      </c>
    </row>
    <row r="74" spans="1:18" x14ac:dyDescent="0.25">
      <c r="A74" s="95">
        <v>7</v>
      </c>
      <c r="B74" s="167">
        <f t="shared" si="4"/>
        <v>45474</v>
      </c>
      <c r="C74" s="188">
        <f t="shared" si="21"/>
        <v>45509</v>
      </c>
      <c r="D74" s="188">
        <f t="shared" si="21"/>
        <v>45530</v>
      </c>
      <c r="E74" s="176" t="s">
        <v>83</v>
      </c>
      <c r="F74" s="132">
        <v>9</v>
      </c>
      <c r="G74" s="169">
        <v>53</v>
      </c>
      <c r="H74" s="170">
        <f t="shared" si="5"/>
        <v>1030</v>
      </c>
      <c r="I74" s="170">
        <f t="shared" si="20"/>
        <v>1020.86</v>
      </c>
      <c r="J74" s="171">
        <f t="shared" si="2"/>
        <v>54105.58</v>
      </c>
      <c r="K74" s="178">
        <f t="shared" si="11"/>
        <v>54590</v>
      </c>
      <c r="L74" s="177">
        <f t="shared" si="22"/>
        <v>-484.41999999999825</v>
      </c>
      <c r="M74" s="174">
        <f t="shared" si="7"/>
        <v>-38.920511634736499</v>
      </c>
      <c r="N74" s="175">
        <f t="shared" si="8"/>
        <v>-523.34051163473475</v>
      </c>
      <c r="O74" s="174">
        <v>0</v>
      </c>
      <c r="P74" s="174">
        <v>0</v>
      </c>
      <c r="Q74" s="174">
        <v>0</v>
      </c>
      <c r="R74" s="175">
        <f t="shared" si="9"/>
        <v>-523.34051163473475</v>
      </c>
    </row>
    <row r="75" spans="1:18" x14ac:dyDescent="0.25">
      <c r="A75" s="132">
        <v>8</v>
      </c>
      <c r="B75" s="167">
        <f t="shared" si="4"/>
        <v>45505</v>
      </c>
      <c r="C75" s="188">
        <f t="shared" si="21"/>
        <v>45539</v>
      </c>
      <c r="D75" s="188">
        <f t="shared" si="21"/>
        <v>45559</v>
      </c>
      <c r="E75" s="176" t="s">
        <v>83</v>
      </c>
      <c r="F75" s="132">
        <v>9</v>
      </c>
      <c r="G75" s="169">
        <v>54</v>
      </c>
      <c r="H75" s="170">
        <f t="shared" si="5"/>
        <v>1030</v>
      </c>
      <c r="I75" s="170">
        <f t="shared" si="20"/>
        <v>1020.86</v>
      </c>
      <c r="J75" s="171">
        <f t="shared" si="2"/>
        <v>55126.44</v>
      </c>
      <c r="K75" s="178">
        <f t="shared" si="11"/>
        <v>55620</v>
      </c>
      <c r="L75" s="177">
        <f t="shared" si="22"/>
        <v>-493.55999999999767</v>
      </c>
      <c r="M75" s="174">
        <f t="shared" si="7"/>
        <v>-39.654860910863604</v>
      </c>
      <c r="N75" s="175">
        <f t="shared" si="8"/>
        <v>-533.21486091086126</v>
      </c>
      <c r="O75" s="174">
        <v>0</v>
      </c>
      <c r="P75" s="174">
        <v>0</v>
      </c>
      <c r="Q75" s="174">
        <v>0</v>
      </c>
      <c r="R75" s="175">
        <f t="shared" si="9"/>
        <v>-533.21486091086126</v>
      </c>
    </row>
    <row r="76" spans="1:18" x14ac:dyDescent="0.25">
      <c r="A76" s="132">
        <v>9</v>
      </c>
      <c r="B76" s="167">
        <f t="shared" si="4"/>
        <v>45536</v>
      </c>
      <c r="C76" s="188">
        <f t="shared" si="21"/>
        <v>45568</v>
      </c>
      <c r="D76" s="188">
        <f t="shared" si="21"/>
        <v>45589</v>
      </c>
      <c r="E76" s="176" t="s">
        <v>83</v>
      </c>
      <c r="F76" s="132">
        <v>9</v>
      </c>
      <c r="G76" s="169">
        <v>48</v>
      </c>
      <c r="H76" s="170">
        <f t="shared" si="5"/>
        <v>1030</v>
      </c>
      <c r="I76" s="170">
        <f t="shared" si="20"/>
        <v>1020.86</v>
      </c>
      <c r="J76" s="171">
        <f t="shared" si="2"/>
        <v>49001.279999999999</v>
      </c>
      <c r="K76" s="178">
        <f t="shared" si="11"/>
        <v>49440</v>
      </c>
      <c r="L76" s="177">
        <f t="shared" si="22"/>
        <v>-438.72000000000116</v>
      </c>
      <c r="M76" s="174">
        <f t="shared" si="7"/>
        <v>-35.248765254100981</v>
      </c>
      <c r="N76" s="175">
        <f t="shared" si="8"/>
        <v>-473.96876525410215</v>
      </c>
      <c r="O76" s="174">
        <v>0</v>
      </c>
      <c r="P76" s="174">
        <v>0</v>
      </c>
      <c r="Q76" s="174">
        <v>0</v>
      </c>
      <c r="R76" s="175">
        <f t="shared" si="9"/>
        <v>-473.96876525410215</v>
      </c>
    </row>
    <row r="77" spans="1:18" x14ac:dyDescent="0.25">
      <c r="A77" s="95">
        <v>10</v>
      </c>
      <c r="B77" s="167">
        <f t="shared" si="4"/>
        <v>45566</v>
      </c>
      <c r="C77" s="188">
        <f t="shared" si="21"/>
        <v>45601</v>
      </c>
      <c r="D77" s="188">
        <f t="shared" si="21"/>
        <v>45621</v>
      </c>
      <c r="E77" s="176" t="s">
        <v>83</v>
      </c>
      <c r="F77" s="132">
        <v>9</v>
      </c>
      <c r="G77" s="169">
        <v>41</v>
      </c>
      <c r="H77" s="170">
        <f t="shared" si="5"/>
        <v>1030</v>
      </c>
      <c r="I77" s="170">
        <f t="shared" si="20"/>
        <v>1020.86</v>
      </c>
      <c r="J77" s="171">
        <f t="shared" si="2"/>
        <v>41855.26</v>
      </c>
      <c r="K77" s="178">
        <f t="shared" si="11"/>
        <v>42230</v>
      </c>
      <c r="L77" s="177">
        <f t="shared" si="22"/>
        <v>-374.73999999999796</v>
      </c>
      <c r="M77" s="174">
        <f t="shared" si="7"/>
        <v>-30.108320321211252</v>
      </c>
      <c r="N77" s="175">
        <f t="shared" si="8"/>
        <v>-404.8483203212092</v>
      </c>
      <c r="O77" s="174">
        <v>0</v>
      </c>
      <c r="P77" s="174">
        <v>0</v>
      </c>
      <c r="Q77" s="174">
        <v>0</v>
      </c>
      <c r="R77" s="175">
        <f t="shared" si="9"/>
        <v>-404.8483203212092</v>
      </c>
    </row>
    <row r="78" spans="1:18" x14ac:dyDescent="0.25">
      <c r="A78" s="132">
        <v>11</v>
      </c>
      <c r="B78" s="167">
        <f t="shared" si="4"/>
        <v>45597</v>
      </c>
      <c r="C78" s="188">
        <f t="shared" si="21"/>
        <v>45630</v>
      </c>
      <c r="D78" s="188">
        <f t="shared" si="21"/>
        <v>45650</v>
      </c>
      <c r="E78" s="176" t="s">
        <v>83</v>
      </c>
      <c r="F78" s="132">
        <v>9</v>
      </c>
      <c r="G78" s="169">
        <v>22</v>
      </c>
      <c r="H78" s="170">
        <f t="shared" si="5"/>
        <v>1030</v>
      </c>
      <c r="I78" s="170">
        <f t="shared" si="20"/>
        <v>1020.86</v>
      </c>
      <c r="J78" s="171">
        <f t="shared" si="2"/>
        <v>22458.920000000002</v>
      </c>
      <c r="K78" s="178">
        <f>+$G78*H78</f>
        <v>22660</v>
      </c>
      <c r="L78" s="177">
        <f t="shared" si="22"/>
        <v>-201.07999999999811</v>
      </c>
      <c r="M78" s="174">
        <f t="shared" si="7"/>
        <v>-16.15568407479628</v>
      </c>
      <c r="N78" s="175">
        <f t="shared" si="8"/>
        <v>-217.23568407479439</v>
      </c>
      <c r="O78" s="174">
        <v>0</v>
      </c>
      <c r="P78" s="174">
        <v>0</v>
      </c>
      <c r="Q78" s="174">
        <v>0</v>
      </c>
      <c r="R78" s="175">
        <f t="shared" si="9"/>
        <v>-217.23568407479439</v>
      </c>
    </row>
    <row r="79" spans="1:18" s="192" customFormat="1" x14ac:dyDescent="0.25">
      <c r="A79" s="132">
        <v>12</v>
      </c>
      <c r="B79" s="190">
        <f t="shared" si="4"/>
        <v>45627</v>
      </c>
      <c r="C79" s="193">
        <f t="shared" si="21"/>
        <v>45660</v>
      </c>
      <c r="D79" s="193">
        <f t="shared" si="21"/>
        <v>45681</v>
      </c>
      <c r="E79" s="194" t="s">
        <v>83</v>
      </c>
      <c r="F79" s="143">
        <v>9</v>
      </c>
      <c r="G79" s="169">
        <v>37</v>
      </c>
      <c r="H79" s="180">
        <f t="shared" si="5"/>
        <v>1030</v>
      </c>
      <c r="I79" s="180">
        <f t="shared" si="20"/>
        <v>1020.86</v>
      </c>
      <c r="J79" s="181">
        <f t="shared" si="2"/>
        <v>37771.82</v>
      </c>
      <c r="K79" s="182">
        <f>+$G79*H79</f>
        <v>38110</v>
      </c>
      <c r="L79" s="183">
        <f t="shared" si="22"/>
        <v>-338.18000000000029</v>
      </c>
      <c r="M79" s="174">
        <f t="shared" si="7"/>
        <v>-27.170923216702835</v>
      </c>
      <c r="N79" s="175">
        <f t="shared" si="8"/>
        <v>-365.35092321670311</v>
      </c>
      <c r="O79" s="174">
        <v>0</v>
      </c>
      <c r="P79" s="174">
        <v>0</v>
      </c>
      <c r="Q79" s="174">
        <v>0</v>
      </c>
      <c r="R79" s="175">
        <f t="shared" si="9"/>
        <v>-365.35092321670311</v>
      </c>
    </row>
    <row r="80" spans="1:18" s="50" customFormat="1" ht="12.75" customHeight="1" x14ac:dyDescent="0.25">
      <c r="A80" s="95">
        <v>1</v>
      </c>
      <c r="B80" s="167">
        <f t="shared" si="4"/>
        <v>45292</v>
      </c>
      <c r="C80" s="185">
        <f t="shared" ref="C80:D91" si="23">+C56</f>
        <v>45327</v>
      </c>
      <c r="D80" s="185">
        <f t="shared" si="23"/>
        <v>45348</v>
      </c>
      <c r="E80" s="168" t="s">
        <v>9</v>
      </c>
      <c r="F80" s="95">
        <v>9</v>
      </c>
      <c r="G80" s="169">
        <v>75</v>
      </c>
      <c r="H80" s="170">
        <f t="shared" si="5"/>
        <v>1030</v>
      </c>
      <c r="I80" s="170">
        <f t="shared" si="20"/>
        <v>1020.86</v>
      </c>
      <c r="J80" s="171">
        <f t="shared" si="2"/>
        <v>76564.5</v>
      </c>
      <c r="K80" s="172">
        <f t="shared" si="11"/>
        <v>77250</v>
      </c>
      <c r="L80" s="173">
        <f t="shared" si="19"/>
        <v>-685.5</v>
      </c>
      <c r="M80" s="174">
        <f t="shared" si="7"/>
        <v>-55.076195709532783</v>
      </c>
      <c r="N80" s="175">
        <f t="shared" si="8"/>
        <v>-740.57619570953284</v>
      </c>
      <c r="O80" s="174">
        <v>0</v>
      </c>
      <c r="P80" s="174">
        <v>0</v>
      </c>
      <c r="Q80" s="174">
        <v>0</v>
      </c>
      <c r="R80" s="175">
        <f t="shared" si="9"/>
        <v>-740.57619570953284</v>
      </c>
    </row>
    <row r="81" spans="1:18" x14ac:dyDescent="0.25">
      <c r="A81" s="132">
        <v>2</v>
      </c>
      <c r="B81" s="167">
        <f t="shared" si="4"/>
        <v>45323</v>
      </c>
      <c r="C81" s="188">
        <f t="shared" si="23"/>
        <v>45356</v>
      </c>
      <c r="D81" s="188">
        <f t="shared" si="23"/>
        <v>45376</v>
      </c>
      <c r="E81" s="176" t="s">
        <v>9</v>
      </c>
      <c r="F81" s="132">
        <v>9</v>
      </c>
      <c r="G81" s="169">
        <v>54</v>
      </c>
      <c r="H81" s="170">
        <f t="shared" si="5"/>
        <v>1030</v>
      </c>
      <c r="I81" s="170">
        <f t="shared" si="20"/>
        <v>1020.86</v>
      </c>
      <c r="J81" s="171">
        <f t="shared" si="2"/>
        <v>55126.44</v>
      </c>
      <c r="K81" s="172">
        <f t="shared" si="11"/>
        <v>55620</v>
      </c>
      <c r="L81" s="173">
        <f t="shared" si="19"/>
        <v>-493.55999999999767</v>
      </c>
      <c r="M81" s="174">
        <f t="shared" si="7"/>
        <v>-39.654860910863604</v>
      </c>
      <c r="N81" s="175">
        <f t="shared" si="8"/>
        <v>-533.21486091086126</v>
      </c>
      <c r="O81" s="174">
        <v>0</v>
      </c>
      <c r="P81" s="174">
        <v>0</v>
      </c>
      <c r="Q81" s="174">
        <v>0</v>
      </c>
      <c r="R81" s="175">
        <f t="shared" si="9"/>
        <v>-533.21486091086126</v>
      </c>
    </row>
    <row r="82" spans="1:18" x14ac:dyDescent="0.25">
      <c r="A82" s="132">
        <v>3</v>
      </c>
      <c r="B82" s="167">
        <f t="shared" si="4"/>
        <v>45352</v>
      </c>
      <c r="C82" s="188">
        <f t="shared" si="23"/>
        <v>45385</v>
      </c>
      <c r="D82" s="188">
        <f t="shared" si="23"/>
        <v>45406</v>
      </c>
      <c r="E82" s="176" t="s">
        <v>9</v>
      </c>
      <c r="F82" s="132">
        <v>9</v>
      </c>
      <c r="G82" s="169">
        <v>49</v>
      </c>
      <c r="H82" s="170">
        <f t="shared" si="5"/>
        <v>1030</v>
      </c>
      <c r="I82" s="170">
        <f t="shared" si="20"/>
        <v>1020.86</v>
      </c>
      <c r="J82" s="171">
        <f t="shared" si="2"/>
        <v>50022.14</v>
      </c>
      <c r="K82" s="172">
        <f t="shared" si="11"/>
        <v>50470</v>
      </c>
      <c r="L82" s="173">
        <f>+J82-K82</f>
        <v>-447.86000000000058</v>
      </c>
      <c r="M82" s="174">
        <f t="shared" si="7"/>
        <v>-35.983114530228086</v>
      </c>
      <c r="N82" s="175">
        <f t="shared" si="8"/>
        <v>-483.84311453022866</v>
      </c>
      <c r="O82" s="174">
        <v>0</v>
      </c>
      <c r="P82" s="174">
        <v>0</v>
      </c>
      <c r="Q82" s="174">
        <v>0</v>
      </c>
      <c r="R82" s="175">
        <f t="shared" si="9"/>
        <v>-483.84311453022866</v>
      </c>
    </row>
    <row r="83" spans="1:18" ht="12" customHeight="1" x14ac:dyDescent="0.25">
      <c r="A83" s="95">
        <v>4</v>
      </c>
      <c r="B83" s="167">
        <f t="shared" si="4"/>
        <v>45383</v>
      </c>
      <c r="C83" s="188">
        <f t="shared" si="23"/>
        <v>45415</v>
      </c>
      <c r="D83" s="188">
        <f t="shared" si="23"/>
        <v>45436</v>
      </c>
      <c r="E83" s="52" t="s">
        <v>9</v>
      </c>
      <c r="F83" s="132">
        <v>9</v>
      </c>
      <c r="G83" s="169">
        <v>43</v>
      </c>
      <c r="H83" s="170">
        <f t="shared" si="5"/>
        <v>1030</v>
      </c>
      <c r="I83" s="170">
        <f t="shared" si="20"/>
        <v>1020.86</v>
      </c>
      <c r="J83" s="171">
        <f t="shared" si="2"/>
        <v>43896.98</v>
      </c>
      <c r="K83" s="172">
        <f t="shared" si="11"/>
        <v>44290</v>
      </c>
      <c r="L83" s="173">
        <f t="shared" ref="L83:L93" si="24">+J83-K83</f>
        <v>-393.0199999999968</v>
      </c>
      <c r="M83" s="174">
        <f t="shared" si="7"/>
        <v>-31.577018873465459</v>
      </c>
      <c r="N83" s="175">
        <f t="shared" si="8"/>
        <v>-424.59701887346228</v>
      </c>
      <c r="O83" s="174">
        <v>0</v>
      </c>
      <c r="P83" s="174">
        <v>0</v>
      </c>
      <c r="Q83" s="174">
        <v>0</v>
      </c>
      <c r="R83" s="175">
        <f t="shared" si="9"/>
        <v>-424.59701887346228</v>
      </c>
    </row>
    <row r="84" spans="1:18" ht="12" customHeight="1" x14ac:dyDescent="0.25">
      <c r="A84" s="132">
        <v>5</v>
      </c>
      <c r="B84" s="167">
        <f t="shared" si="4"/>
        <v>45413</v>
      </c>
      <c r="C84" s="188">
        <f t="shared" si="23"/>
        <v>45448</v>
      </c>
      <c r="D84" s="188">
        <f t="shared" si="23"/>
        <v>45467</v>
      </c>
      <c r="E84" s="52" t="s">
        <v>9</v>
      </c>
      <c r="F84" s="132">
        <v>9</v>
      </c>
      <c r="G84" s="169">
        <v>50</v>
      </c>
      <c r="H84" s="170">
        <f t="shared" si="5"/>
        <v>1030</v>
      </c>
      <c r="I84" s="170">
        <f t="shared" si="20"/>
        <v>1020.86</v>
      </c>
      <c r="J84" s="171">
        <f t="shared" si="2"/>
        <v>51043</v>
      </c>
      <c r="K84" s="172">
        <f t="shared" si="11"/>
        <v>51500</v>
      </c>
      <c r="L84" s="173">
        <f t="shared" si="24"/>
        <v>-457</v>
      </c>
      <c r="M84" s="174">
        <f t="shared" si="7"/>
        <v>-36.717463806355191</v>
      </c>
      <c r="N84" s="175">
        <f t="shared" si="8"/>
        <v>-493.71746380635517</v>
      </c>
      <c r="O84" s="174">
        <v>0</v>
      </c>
      <c r="P84" s="174">
        <v>0</v>
      </c>
      <c r="Q84" s="174">
        <v>0</v>
      </c>
      <c r="R84" s="175">
        <f t="shared" si="9"/>
        <v>-493.71746380635517</v>
      </c>
    </row>
    <row r="85" spans="1:18" x14ac:dyDescent="0.25">
      <c r="A85" s="132">
        <v>6</v>
      </c>
      <c r="B85" s="167">
        <f t="shared" si="4"/>
        <v>45444</v>
      </c>
      <c r="C85" s="188">
        <f t="shared" si="23"/>
        <v>45476</v>
      </c>
      <c r="D85" s="188">
        <f t="shared" si="23"/>
        <v>45497</v>
      </c>
      <c r="E85" s="52" t="s">
        <v>9</v>
      </c>
      <c r="F85" s="132">
        <v>9</v>
      </c>
      <c r="G85" s="169">
        <v>59</v>
      </c>
      <c r="H85" s="170">
        <f t="shared" ref="H85:H148" si="25">+$K$3</f>
        <v>1030</v>
      </c>
      <c r="I85" s="170">
        <f t="shared" si="20"/>
        <v>1020.86</v>
      </c>
      <c r="J85" s="171">
        <f t="shared" si="2"/>
        <v>60230.74</v>
      </c>
      <c r="K85" s="172">
        <f t="shared" si="11"/>
        <v>60770</v>
      </c>
      <c r="L85" s="177">
        <f t="shared" si="24"/>
        <v>-539.26000000000204</v>
      </c>
      <c r="M85" s="174">
        <f t="shared" ref="M85:M148" si="26">G85/$G$212*$M$14</f>
        <v>-43.326607291499116</v>
      </c>
      <c r="N85" s="175">
        <f t="shared" ref="N85:N148" si="27">SUM(L85:M85)</f>
        <v>-582.5866072915012</v>
      </c>
      <c r="O85" s="174">
        <v>0</v>
      </c>
      <c r="P85" s="174">
        <v>0</v>
      </c>
      <c r="Q85" s="174">
        <v>0</v>
      </c>
      <c r="R85" s="175">
        <f t="shared" ref="R85:R148" si="28">+N85-Q85</f>
        <v>-582.5866072915012</v>
      </c>
    </row>
    <row r="86" spans="1:18" x14ac:dyDescent="0.25">
      <c r="A86" s="95">
        <v>7</v>
      </c>
      <c r="B86" s="167">
        <f t="shared" si="4"/>
        <v>45474</v>
      </c>
      <c r="C86" s="188">
        <f t="shared" si="23"/>
        <v>45509</v>
      </c>
      <c r="D86" s="188">
        <f t="shared" si="23"/>
        <v>45530</v>
      </c>
      <c r="E86" s="52" t="s">
        <v>9</v>
      </c>
      <c r="F86" s="132">
        <v>9</v>
      </c>
      <c r="G86" s="169">
        <v>60</v>
      </c>
      <c r="H86" s="170">
        <f t="shared" si="25"/>
        <v>1030</v>
      </c>
      <c r="I86" s="170">
        <f t="shared" si="20"/>
        <v>1020.86</v>
      </c>
      <c r="J86" s="171">
        <f t="shared" si="2"/>
        <v>61251.6</v>
      </c>
      <c r="K86" s="178">
        <f t="shared" si="11"/>
        <v>61800</v>
      </c>
      <c r="L86" s="177">
        <f t="shared" si="24"/>
        <v>-548.40000000000146</v>
      </c>
      <c r="M86" s="174">
        <f t="shared" si="26"/>
        <v>-44.060956567626221</v>
      </c>
      <c r="N86" s="175">
        <f t="shared" si="27"/>
        <v>-592.4609565676277</v>
      </c>
      <c r="O86" s="174">
        <v>0</v>
      </c>
      <c r="P86" s="174">
        <v>0</v>
      </c>
      <c r="Q86" s="174">
        <v>0</v>
      </c>
      <c r="R86" s="175">
        <f t="shared" si="28"/>
        <v>-592.4609565676277</v>
      </c>
    </row>
    <row r="87" spans="1:18" x14ac:dyDescent="0.25">
      <c r="A87" s="132">
        <v>8</v>
      </c>
      <c r="B87" s="167">
        <f t="shared" si="4"/>
        <v>45505</v>
      </c>
      <c r="C87" s="188">
        <f t="shared" si="23"/>
        <v>45539</v>
      </c>
      <c r="D87" s="188">
        <f t="shared" si="23"/>
        <v>45559</v>
      </c>
      <c r="E87" s="52" t="s">
        <v>9</v>
      </c>
      <c r="F87" s="132">
        <v>9</v>
      </c>
      <c r="G87" s="169">
        <v>56</v>
      </c>
      <c r="H87" s="170">
        <f t="shared" si="25"/>
        <v>1030</v>
      </c>
      <c r="I87" s="170">
        <f t="shared" si="20"/>
        <v>1020.86</v>
      </c>
      <c r="J87" s="171">
        <f t="shared" si="2"/>
        <v>57168.160000000003</v>
      </c>
      <c r="K87" s="178">
        <f t="shared" si="11"/>
        <v>57680</v>
      </c>
      <c r="L87" s="177">
        <f t="shared" si="24"/>
        <v>-511.83999999999651</v>
      </c>
      <c r="M87" s="174">
        <f t="shared" si="26"/>
        <v>-41.123559463117807</v>
      </c>
      <c r="N87" s="175">
        <f t="shared" si="27"/>
        <v>-552.96355946311428</v>
      </c>
      <c r="O87" s="174">
        <v>0</v>
      </c>
      <c r="P87" s="174">
        <v>0</v>
      </c>
      <c r="Q87" s="174">
        <v>0</v>
      </c>
      <c r="R87" s="175">
        <f t="shared" si="28"/>
        <v>-552.96355946311428</v>
      </c>
    </row>
    <row r="88" spans="1:18" x14ac:dyDescent="0.25">
      <c r="A88" s="132">
        <v>9</v>
      </c>
      <c r="B88" s="167">
        <f t="shared" si="4"/>
        <v>45536</v>
      </c>
      <c r="C88" s="188">
        <f t="shared" si="23"/>
        <v>45568</v>
      </c>
      <c r="D88" s="188">
        <f t="shared" si="23"/>
        <v>45589</v>
      </c>
      <c r="E88" s="52" t="s">
        <v>9</v>
      </c>
      <c r="F88" s="132">
        <v>9</v>
      </c>
      <c r="G88" s="169">
        <v>55</v>
      </c>
      <c r="H88" s="170">
        <f t="shared" si="25"/>
        <v>1030</v>
      </c>
      <c r="I88" s="170">
        <f t="shared" si="20"/>
        <v>1020.86</v>
      </c>
      <c r="J88" s="171">
        <f t="shared" si="2"/>
        <v>56147.3</v>
      </c>
      <c r="K88" s="178">
        <f t="shared" si="11"/>
        <v>56650</v>
      </c>
      <c r="L88" s="177">
        <f t="shared" si="24"/>
        <v>-502.69999999999709</v>
      </c>
      <c r="M88" s="174">
        <f t="shared" si="26"/>
        <v>-40.389210186990702</v>
      </c>
      <c r="N88" s="175">
        <f t="shared" si="27"/>
        <v>-543.08921018698777</v>
      </c>
      <c r="O88" s="174">
        <v>0</v>
      </c>
      <c r="P88" s="174">
        <v>0</v>
      </c>
      <c r="Q88" s="174">
        <v>0</v>
      </c>
      <c r="R88" s="175">
        <f t="shared" si="28"/>
        <v>-543.08921018698777</v>
      </c>
    </row>
    <row r="89" spans="1:18" x14ac:dyDescent="0.25">
      <c r="A89" s="95">
        <v>10</v>
      </c>
      <c r="B89" s="167">
        <f t="shared" si="4"/>
        <v>45566</v>
      </c>
      <c r="C89" s="188">
        <f t="shared" si="23"/>
        <v>45601</v>
      </c>
      <c r="D89" s="188">
        <f t="shared" si="23"/>
        <v>45621</v>
      </c>
      <c r="E89" s="52" t="s">
        <v>9</v>
      </c>
      <c r="F89" s="132">
        <v>9</v>
      </c>
      <c r="G89" s="169">
        <v>51</v>
      </c>
      <c r="H89" s="170">
        <f t="shared" si="25"/>
        <v>1030</v>
      </c>
      <c r="I89" s="170">
        <f t="shared" si="20"/>
        <v>1020.86</v>
      </c>
      <c r="J89" s="171">
        <f t="shared" si="2"/>
        <v>52063.86</v>
      </c>
      <c r="K89" s="178">
        <f t="shared" si="11"/>
        <v>52530</v>
      </c>
      <c r="L89" s="177">
        <f t="shared" si="24"/>
        <v>-466.13999999999942</v>
      </c>
      <c r="M89" s="174">
        <f t="shared" si="26"/>
        <v>-37.451813082482289</v>
      </c>
      <c r="N89" s="175">
        <f t="shared" si="27"/>
        <v>-503.59181308248174</v>
      </c>
      <c r="O89" s="174">
        <v>0</v>
      </c>
      <c r="P89" s="174">
        <v>0</v>
      </c>
      <c r="Q89" s="174">
        <v>0</v>
      </c>
      <c r="R89" s="175">
        <f t="shared" si="28"/>
        <v>-503.59181308248174</v>
      </c>
    </row>
    <row r="90" spans="1:18" x14ac:dyDescent="0.25">
      <c r="A90" s="132">
        <v>11</v>
      </c>
      <c r="B90" s="167">
        <f t="shared" si="4"/>
        <v>45597</v>
      </c>
      <c r="C90" s="188">
        <f t="shared" si="23"/>
        <v>45630</v>
      </c>
      <c r="D90" s="188">
        <f t="shared" si="23"/>
        <v>45650</v>
      </c>
      <c r="E90" s="52" t="s">
        <v>9</v>
      </c>
      <c r="F90" s="132">
        <v>9</v>
      </c>
      <c r="G90" s="169">
        <v>40</v>
      </c>
      <c r="H90" s="170">
        <f t="shared" si="25"/>
        <v>1030</v>
      </c>
      <c r="I90" s="170">
        <f t="shared" si="20"/>
        <v>1020.86</v>
      </c>
      <c r="J90" s="171">
        <f t="shared" si="2"/>
        <v>40834.400000000001</v>
      </c>
      <c r="K90" s="178">
        <f t="shared" si="11"/>
        <v>41200</v>
      </c>
      <c r="L90" s="177">
        <f t="shared" si="24"/>
        <v>-365.59999999999854</v>
      </c>
      <c r="M90" s="174">
        <f t="shared" si="26"/>
        <v>-29.373971045084151</v>
      </c>
      <c r="N90" s="175">
        <f t="shared" si="27"/>
        <v>-394.97397104508269</v>
      </c>
      <c r="O90" s="174">
        <v>0</v>
      </c>
      <c r="P90" s="174">
        <v>0</v>
      </c>
      <c r="Q90" s="174">
        <v>0</v>
      </c>
      <c r="R90" s="175">
        <f t="shared" si="28"/>
        <v>-394.97397104508269</v>
      </c>
    </row>
    <row r="91" spans="1:18" s="192" customFormat="1" x14ac:dyDescent="0.25">
      <c r="A91" s="132">
        <v>12</v>
      </c>
      <c r="B91" s="190">
        <f t="shared" si="4"/>
        <v>45627</v>
      </c>
      <c r="C91" s="188">
        <f t="shared" si="23"/>
        <v>45660</v>
      </c>
      <c r="D91" s="188">
        <f t="shared" si="23"/>
        <v>45681</v>
      </c>
      <c r="E91" s="191" t="s">
        <v>9</v>
      </c>
      <c r="F91" s="143">
        <v>9</v>
      </c>
      <c r="G91" s="169">
        <v>51</v>
      </c>
      <c r="H91" s="180">
        <f t="shared" si="25"/>
        <v>1030</v>
      </c>
      <c r="I91" s="180">
        <f t="shared" si="20"/>
        <v>1020.86</v>
      </c>
      <c r="J91" s="181">
        <f t="shared" si="2"/>
        <v>52063.86</v>
      </c>
      <c r="K91" s="182">
        <f t="shared" si="11"/>
        <v>52530</v>
      </c>
      <c r="L91" s="183">
        <f t="shared" si="24"/>
        <v>-466.13999999999942</v>
      </c>
      <c r="M91" s="174">
        <f t="shared" si="26"/>
        <v>-37.451813082482289</v>
      </c>
      <c r="N91" s="175">
        <f t="shared" si="27"/>
        <v>-503.59181308248174</v>
      </c>
      <c r="O91" s="174">
        <v>0</v>
      </c>
      <c r="P91" s="174">
        <v>0</v>
      </c>
      <c r="Q91" s="174">
        <v>0</v>
      </c>
      <c r="R91" s="175">
        <f t="shared" si="28"/>
        <v>-503.59181308248174</v>
      </c>
    </row>
    <row r="92" spans="1:18" x14ac:dyDescent="0.25">
      <c r="A92" s="95">
        <v>1</v>
      </c>
      <c r="B92" s="167">
        <f t="shared" si="4"/>
        <v>45292</v>
      </c>
      <c r="C92" s="185">
        <f t="shared" ref="C92:D95" si="29">+C80</f>
        <v>45327</v>
      </c>
      <c r="D92" s="185">
        <f t="shared" si="29"/>
        <v>45348</v>
      </c>
      <c r="E92" s="168" t="s">
        <v>8</v>
      </c>
      <c r="F92" s="95">
        <v>9</v>
      </c>
      <c r="G92" s="169">
        <v>94</v>
      </c>
      <c r="H92" s="170">
        <f t="shared" si="25"/>
        <v>1030</v>
      </c>
      <c r="I92" s="170">
        <f t="shared" si="20"/>
        <v>1020.86</v>
      </c>
      <c r="J92" s="171">
        <f t="shared" si="2"/>
        <v>95960.84</v>
      </c>
      <c r="K92" s="172">
        <f t="shared" si="11"/>
        <v>96820</v>
      </c>
      <c r="L92" s="173">
        <f t="shared" si="24"/>
        <v>-859.16000000000349</v>
      </c>
      <c r="M92" s="174">
        <f t="shared" si="26"/>
        <v>-69.028831955947751</v>
      </c>
      <c r="N92" s="175">
        <f t="shared" si="27"/>
        <v>-928.18883195595129</v>
      </c>
      <c r="O92" s="174">
        <v>0</v>
      </c>
      <c r="P92" s="174">
        <v>0</v>
      </c>
      <c r="Q92" s="174">
        <v>0</v>
      </c>
      <c r="R92" s="175">
        <f t="shared" si="28"/>
        <v>-928.18883195595129</v>
      </c>
    </row>
    <row r="93" spans="1:18" x14ac:dyDescent="0.25">
      <c r="A93" s="132">
        <v>2</v>
      </c>
      <c r="B93" s="167">
        <f t="shared" si="4"/>
        <v>45323</v>
      </c>
      <c r="C93" s="188">
        <f t="shared" si="29"/>
        <v>45356</v>
      </c>
      <c r="D93" s="188">
        <f t="shared" si="29"/>
        <v>45376</v>
      </c>
      <c r="E93" s="176" t="s">
        <v>8</v>
      </c>
      <c r="F93" s="132">
        <v>9</v>
      </c>
      <c r="G93" s="169">
        <v>62</v>
      </c>
      <c r="H93" s="170">
        <f t="shared" si="25"/>
        <v>1030</v>
      </c>
      <c r="I93" s="170">
        <f t="shared" si="20"/>
        <v>1020.86</v>
      </c>
      <c r="J93" s="171">
        <f t="shared" si="2"/>
        <v>63293.32</v>
      </c>
      <c r="K93" s="172">
        <f t="shared" si="11"/>
        <v>63860</v>
      </c>
      <c r="L93" s="173">
        <f t="shared" si="24"/>
        <v>-566.68000000000029</v>
      </c>
      <c r="M93" s="174">
        <f t="shared" si="26"/>
        <v>-45.529655119880431</v>
      </c>
      <c r="N93" s="175">
        <f t="shared" si="27"/>
        <v>-612.20965511988072</v>
      </c>
      <c r="O93" s="174">
        <v>0</v>
      </c>
      <c r="P93" s="174">
        <v>0</v>
      </c>
      <c r="Q93" s="174">
        <v>0</v>
      </c>
      <c r="R93" s="175">
        <f t="shared" si="28"/>
        <v>-612.20965511988072</v>
      </c>
    </row>
    <row r="94" spans="1:18" x14ac:dyDescent="0.25">
      <c r="A94" s="132">
        <v>3</v>
      </c>
      <c r="B94" s="167">
        <f t="shared" si="4"/>
        <v>45352</v>
      </c>
      <c r="C94" s="188">
        <f t="shared" si="29"/>
        <v>45385</v>
      </c>
      <c r="D94" s="188">
        <f t="shared" si="29"/>
        <v>45406</v>
      </c>
      <c r="E94" s="176" t="s">
        <v>8</v>
      </c>
      <c r="F94" s="132">
        <v>9</v>
      </c>
      <c r="G94" s="169">
        <v>60</v>
      </c>
      <c r="H94" s="170">
        <f t="shared" si="25"/>
        <v>1030</v>
      </c>
      <c r="I94" s="170">
        <f t="shared" si="20"/>
        <v>1020.86</v>
      </c>
      <c r="J94" s="171">
        <f t="shared" si="2"/>
        <v>61251.6</v>
      </c>
      <c r="K94" s="172">
        <f t="shared" ref="K94:K133" si="30">+$G94*H94</f>
        <v>61800</v>
      </c>
      <c r="L94" s="173">
        <f>+J94-K94</f>
        <v>-548.40000000000146</v>
      </c>
      <c r="M94" s="174">
        <f t="shared" si="26"/>
        <v>-44.060956567626221</v>
      </c>
      <c r="N94" s="175">
        <f t="shared" si="27"/>
        <v>-592.4609565676277</v>
      </c>
      <c r="O94" s="174">
        <v>0</v>
      </c>
      <c r="P94" s="174">
        <v>0</v>
      </c>
      <c r="Q94" s="174">
        <v>0</v>
      </c>
      <c r="R94" s="175">
        <f t="shared" si="28"/>
        <v>-592.4609565676277</v>
      </c>
    </row>
    <row r="95" spans="1:18" x14ac:dyDescent="0.25">
      <c r="A95" s="95">
        <v>4</v>
      </c>
      <c r="B95" s="167">
        <f t="shared" si="4"/>
        <v>45383</v>
      </c>
      <c r="C95" s="188">
        <f t="shared" si="29"/>
        <v>45415</v>
      </c>
      <c r="D95" s="188">
        <f t="shared" si="29"/>
        <v>45436</v>
      </c>
      <c r="E95" s="176" t="s">
        <v>8</v>
      </c>
      <c r="F95" s="132">
        <v>9</v>
      </c>
      <c r="G95" s="169">
        <v>92</v>
      </c>
      <c r="H95" s="170">
        <f t="shared" si="25"/>
        <v>1030</v>
      </c>
      <c r="I95" s="170">
        <f t="shared" si="20"/>
        <v>1020.86</v>
      </c>
      <c r="J95" s="171">
        <f t="shared" si="2"/>
        <v>93919.12</v>
      </c>
      <c r="K95" s="172">
        <f t="shared" si="30"/>
        <v>94760</v>
      </c>
      <c r="L95" s="173">
        <f t="shared" ref="L95:L105" si="31">+J95-K95</f>
        <v>-840.88000000000466</v>
      </c>
      <c r="M95" s="174">
        <f t="shared" si="26"/>
        <v>-67.560133403693541</v>
      </c>
      <c r="N95" s="175">
        <f t="shared" si="27"/>
        <v>-908.44013340369816</v>
      </c>
      <c r="O95" s="174">
        <v>0</v>
      </c>
      <c r="P95" s="174">
        <v>0</v>
      </c>
      <c r="Q95" s="174">
        <v>0</v>
      </c>
      <c r="R95" s="175">
        <f t="shared" si="28"/>
        <v>-908.44013340369816</v>
      </c>
    </row>
    <row r="96" spans="1:18" x14ac:dyDescent="0.25">
      <c r="A96" s="132">
        <v>5</v>
      </c>
      <c r="B96" s="167">
        <f t="shared" si="4"/>
        <v>45413</v>
      </c>
      <c r="C96" s="188">
        <f t="shared" ref="C96:D116" si="32">+C84</f>
        <v>45448</v>
      </c>
      <c r="D96" s="188">
        <f t="shared" si="32"/>
        <v>45467</v>
      </c>
      <c r="E96" s="52" t="s">
        <v>8</v>
      </c>
      <c r="F96" s="132">
        <v>9</v>
      </c>
      <c r="G96" s="169">
        <v>118</v>
      </c>
      <c r="H96" s="170">
        <f t="shared" si="25"/>
        <v>1030</v>
      </c>
      <c r="I96" s="170">
        <f t="shared" si="20"/>
        <v>1020.86</v>
      </c>
      <c r="J96" s="171">
        <f t="shared" si="2"/>
        <v>120461.48</v>
      </c>
      <c r="K96" s="172">
        <f t="shared" si="30"/>
        <v>121540</v>
      </c>
      <c r="L96" s="173">
        <f t="shared" si="31"/>
        <v>-1078.5200000000041</v>
      </c>
      <c r="M96" s="174">
        <f t="shared" si="26"/>
        <v>-86.653214582998231</v>
      </c>
      <c r="N96" s="175">
        <f t="shared" si="27"/>
        <v>-1165.1732145830024</v>
      </c>
      <c r="O96" s="174">
        <v>0</v>
      </c>
      <c r="P96" s="174">
        <v>0</v>
      </c>
      <c r="Q96" s="174">
        <v>0</v>
      </c>
      <c r="R96" s="175">
        <f t="shared" si="28"/>
        <v>-1165.1732145830024</v>
      </c>
    </row>
    <row r="97" spans="1:18" x14ac:dyDescent="0.25">
      <c r="A97" s="132">
        <v>6</v>
      </c>
      <c r="B97" s="167">
        <f t="shared" si="4"/>
        <v>45444</v>
      </c>
      <c r="C97" s="188">
        <f t="shared" si="32"/>
        <v>45476</v>
      </c>
      <c r="D97" s="188">
        <f t="shared" si="32"/>
        <v>45497</v>
      </c>
      <c r="E97" s="52" t="s">
        <v>8</v>
      </c>
      <c r="F97" s="132">
        <v>9</v>
      </c>
      <c r="G97" s="169">
        <v>143</v>
      </c>
      <c r="H97" s="170">
        <f t="shared" si="25"/>
        <v>1030</v>
      </c>
      <c r="I97" s="170">
        <f t="shared" si="20"/>
        <v>1020.86</v>
      </c>
      <c r="J97" s="171">
        <f t="shared" si="2"/>
        <v>145982.98000000001</v>
      </c>
      <c r="K97" s="172">
        <f t="shared" si="30"/>
        <v>147290</v>
      </c>
      <c r="L97" s="177">
        <f t="shared" si="31"/>
        <v>-1307.0199999999895</v>
      </c>
      <c r="M97" s="174">
        <f t="shared" si="26"/>
        <v>-105.01194648617583</v>
      </c>
      <c r="N97" s="175">
        <f t="shared" si="27"/>
        <v>-1412.0319464861655</v>
      </c>
      <c r="O97" s="174">
        <v>0</v>
      </c>
      <c r="P97" s="174">
        <v>0</v>
      </c>
      <c r="Q97" s="174">
        <v>0</v>
      </c>
      <c r="R97" s="175">
        <f t="shared" si="28"/>
        <v>-1412.0319464861655</v>
      </c>
    </row>
    <row r="98" spans="1:18" x14ac:dyDescent="0.25">
      <c r="A98" s="95">
        <v>7</v>
      </c>
      <c r="B98" s="167">
        <f t="shared" si="4"/>
        <v>45474</v>
      </c>
      <c r="C98" s="188">
        <f t="shared" si="32"/>
        <v>45509</v>
      </c>
      <c r="D98" s="188">
        <f t="shared" si="32"/>
        <v>45530</v>
      </c>
      <c r="E98" s="52" t="s">
        <v>8</v>
      </c>
      <c r="F98" s="132">
        <v>9</v>
      </c>
      <c r="G98" s="169">
        <v>151</v>
      </c>
      <c r="H98" s="170">
        <f t="shared" si="25"/>
        <v>1030</v>
      </c>
      <c r="I98" s="170">
        <f t="shared" si="20"/>
        <v>1020.86</v>
      </c>
      <c r="J98" s="171">
        <f t="shared" si="2"/>
        <v>154149.86000000002</v>
      </c>
      <c r="K98" s="178">
        <f t="shared" si="30"/>
        <v>155530</v>
      </c>
      <c r="L98" s="177">
        <f t="shared" si="31"/>
        <v>-1380.1399999999849</v>
      </c>
      <c r="M98" s="174">
        <f t="shared" si="26"/>
        <v>-110.88674069519266</v>
      </c>
      <c r="N98" s="175">
        <f t="shared" si="27"/>
        <v>-1491.0267406951775</v>
      </c>
      <c r="O98" s="174">
        <v>0</v>
      </c>
      <c r="P98" s="174">
        <v>0</v>
      </c>
      <c r="Q98" s="174">
        <v>0</v>
      </c>
      <c r="R98" s="175">
        <f t="shared" si="28"/>
        <v>-1491.0267406951775</v>
      </c>
    </row>
    <row r="99" spans="1:18" x14ac:dyDescent="0.25">
      <c r="A99" s="132">
        <v>8</v>
      </c>
      <c r="B99" s="167">
        <f t="shared" si="4"/>
        <v>45505</v>
      </c>
      <c r="C99" s="188">
        <f t="shared" si="32"/>
        <v>45539</v>
      </c>
      <c r="D99" s="188">
        <f t="shared" si="32"/>
        <v>45559</v>
      </c>
      <c r="E99" s="52" t="s">
        <v>8</v>
      </c>
      <c r="F99" s="132">
        <v>9</v>
      </c>
      <c r="G99" s="169">
        <v>157</v>
      </c>
      <c r="H99" s="170">
        <f t="shared" si="25"/>
        <v>1030</v>
      </c>
      <c r="I99" s="170">
        <f t="shared" si="20"/>
        <v>1020.86</v>
      </c>
      <c r="J99" s="171">
        <f t="shared" si="2"/>
        <v>160275.01999999999</v>
      </c>
      <c r="K99" s="178">
        <f t="shared" si="30"/>
        <v>161710</v>
      </c>
      <c r="L99" s="177">
        <f t="shared" si="31"/>
        <v>-1434.9800000000105</v>
      </c>
      <c r="M99" s="174">
        <f t="shared" si="26"/>
        <v>-115.29283635195527</v>
      </c>
      <c r="N99" s="175">
        <f t="shared" si="27"/>
        <v>-1550.2728363519657</v>
      </c>
      <c r="O99" s="174">
        <v>0</v>
      </c>
      <c r="P99" s="174">
        <v>0</v>
      </c>
      <c r="Q99" s="174">
        <v>0</v>
      </c>
      <c r="R99" s="175">
        <f t="shared" si="28"/>
        <v>-1550.2728363519657</v>
      </c>
    </row>
    <row r="100" spans="1:18" x14ac:dyDescent="0.25">
      <c r="A100" s="132">
        <v>9</v>
      </c>
      <c r="B100" s="167">
        <f t="shared" si="4"/>
        <v>45536</v>
      </c>
      <c r="C100" s="188">
        <f t="shared" si="32"/>
        <v>45568</v>
      </c>
      <c r="D100" s="188">
        <f t="shared" si="32"/>
        <v>45589</v>
      </c>
      <c r="E100" s="52" t="s">
        <v>8</v>
      </c>
      <c r="F100" s="132">
        <v>9</v>
      </c>
      <c r="G100" s="169">
        <v>146</v>
      </c>
      <c r="H100" s="170">
        <f t="shared" si="25"/>
        <v>1030</v>
      </c>
      <c r="I100" s="170">
        <f t="shared" si="20"/>
        <v>1020.86</v>
      </c>
      <c r="J100" s="171">
        <f t="shared" si="2"/>
        <v>149045.56</v>
      </c>
      <c r="K100" s="178">
        <f t="shared" si="30"/>
        <v>150380</v>
      </c>
      <c r="L100" s="177">
        <f t="shared" si="31"/>
        <v>-1334.4400000000023</v>
      </c>
      <c r="M100" s="174">
        <f t="shared" si="26"/>
        <v>-107.21499431455713</v>
      </c>
      <c r="N100" s="175">
        <f t="shared" si="27"/>
        <v>-1441.6549943145594</v>
      </c>
      <c r="O100" s="174">
        <v>0</v>
      </c>
      <c r="P100" s="174">
        <v>0</v>
      </c>
      <c r="Q100" s="174">
        <v>0</v>
      </c>
      <c r="R100" s="175">
        <f t="shared" si="28"/>
        <v>-1441.6549943145594</v>
      </c>
    </row>
    <row r="101" spans="1:18" x14ac:dyDescent="0.25">
      <c r="A101" s="95">
        <v>10</v>
      </c>
      <c r="B101" s="167">
        <f t="shared" si="4"/>
        <v>45566</v>
      </c>
      <c r="C101" s="188">
        <f t="shared" si="32"/>
        <v>45601</v>
      </c>
      <c r="D101" s="188">
        <f t="shared" si="32"/>
        <v>45621</v>
      </c>
      <c r="E101" s="52" t="s">
        <v>8</v>
      </c>
      <c r="F101" s="132">
        <v>9</v>
      </c>
      <c r="G101" s="169">
        <v>116</v>
      </c>
      <c r="H101" s="170">
        <f t="shared" si="25"/>
        <v>1030</v>
      </c>
      <c r="I101" s="170">
        <f t="shared" si="20"/>
        <v>1020.86</v>
      </c>
      <c r="J101" s="171">
        <f t="shared" si="2"/>
        <v>118419.76</v>
      </c>
      <c r="K101" s="178">
        <f t="shared" si="30"/>
        <v>119480</v>
      </c>
      <c r="L101" s="177">
        <f t="shared" si="31"/>
        <v>-1060.2400000000052</v>
      </c>
      <c r="M101" s="174">
        <f t="shared" si="26"/>
        <v>-85.184516030744021</v>
      </c>
      <c r="N101" s="175">
        <f t="shared" si="27"/>
        <v>-1145.4245160307491</v>
      </c>
      <c r="O101" s="174">
        <v>0</v>
      </c>
      <c r="P101" s="174">
        <v>0</v>
      </c>
      <c r="Q101" s="174">
        <v>0</v>
      </c>
      <c r="R101" s="175">
        <f t="shared" si="28"/>
        <v>-1145.4245160307491</v>
      </c>
    </row>
    <row r="102" spans="1:18" x14ac:dyDescent="0.25">
      <c r="A102" s="132">
        <v>11</v>
      </c>
      <c r="B102" s="167">
        <f t="shared" si="4"/>
        <v>45597</v>
      </c>
      <c r="C102" s="188">
        <f t="shared" si="32"/>
        <v>45630</v>
      </c>
      <c r="D102" s="188">
        <f t="shared" si="32"/>
        <v>45650</v>
      </c>
      <c r="E102" s="52" t="s">
        <v>8</v>
      </c>
      <c r="F102" s="132">
        <v>9</v>
      </c>
      <c r="G102" s="169">
        <v>62</v>
      </c>
      <c r="H102" s="170">
        <f t="shared" si="25"/>
        <v>1030</v>
      </c>
      <c r="I102" s="170">
        <f t="shared" si="20"/>
        <v>1020.86</v>
      </c>
      <c r="J102" s="171">
        <f t="shared" si="2"/>
        <v>63293.32</v>
      </c>
      <c r="K102" s="178">
        <f t="shared" si="30"/>
        <v>63860</v>
      </c>
      <c r="L102" s="177">
        <f t="shared" si="31"/>
        <v>-566.68000000000029</v>
      </c>
      <c r="M102" s="174">
        <f t="shared" si="26"/>
        <v>-45.529655119880431</v>
      </c>
      <c r="N102" s="175">
        <f t="shared" si="27"/>
        <v>-612.20965511988072</v>
      </c>
      <c r="O102" s="174">
        <v>0</v>
      </c>
      <c r="P102" s="174">
        <v>0</v>
      </c>
      <c r="Q102" s="174">
        <v>0</v>
      </c>
      <c r="R102" s="175">
        <f t="shared" si="28"/>
        <v>-612.20965511988072</v>
      </c>
    </row>
    <row r="103" spans="1:18" s="192" customFormat="1" x14ac:dyDescent="0.25">
      <c r="A103" s="132">
        <v>12</v>
      </c>
      <c r="B103" s="190">
        <f t="shared" si="4"/>
        <v>45627</v>
      </c>
      <c r="C103" s="188">
        <f t="shared" si="32"/>
        <v>45660</v>
      </c>
      <c r="D103" s="188">
        <f t="shared" si="32"/>
        <v>45681</v>
      </c>
      <c r="E103" s="191" t="s">
        <v>8</v>
      </c>
      <c r="F103" s="143">
        <v>9</v>
      </c>
      <c r="G103" s="169">
        <v>77</v>
      </c>
      <c r="H103" s="180">
        <f t="shared" si="25"/>
        <v>1030</v>
      </c>
      <c r="I103" s="180">
        <f t="shared" si="20"/>
        <v>1020.86</v>
      </c>
      <c r="J103" s="181">
        <f t="shared" si="2"/>
        <v>78606.22</v>
      </c>
      <c r="K103" s="182">
        <f t="shared" si="30"/>
        <v>79310</v>
      </c>
      <c r="L103" s="183">
        <f t="shared" si="31"/>
        <v>-703.77999999999884</v>
      </c>
      <c r="M103" s="174">
        <f t="shared" si="26"/>
        <v>-56.544894261786986</v>
      </c>
      <c r="N103" s="175">
        <f t="shared" si="27"/>
        <v>-760.32489426178586</v>
      </c>
      <c r="O103" s="174">
        <v>0</v>
      </c>
      <c r="P103" s="174">
        <v>0</v>
      </c>
      <c r="Q103" s="174">
        <v>0</v>
      </c>
      <c r="R103" s="175">
        <f t="shared" si="28"/>
        <v>-760.32489426178586</v>
      </c>
    </row>
    <row r="104" spans="1:18" x14ac:dyDescent="0.25">
      <c r="A104" s="95">
        <v>1</v>
      </c>
      <c r="B104" s="167">
        <f t="shared" si="4"/>
        <v>45292</v>
      </c>
      <c r="C104" s="185">
        <f t="shared" si="32"/>
        <v>45327</v>
      </c>
      <c r="D104" s="185">
        <f t="shared" si="32"/>
        <v>45348</v>
      </c>
      <c r="E104" s="168" t="s">
        <v>19</v>
      </c>
      <c r="F104" s="95">
        <v>9</v>
      </c>
      <c r="G104" s="169">
        <v>65</v>
      </c>
      <c r="H104" s="170">
        <f t="shared" si="25"/>
        <v>1030</v>
      </c>
      <c r="I104" s="170">
        <f t="shared" si="20"/>
        <v>1020.86</v>
      </c>
      <c r="J104" s="171">
        <f t="shared" si="2"/>
        <v>66355.899999999994</v>
      </c>
      <c r="K104" s="172">
        <f t="shared" si="30"/>
        <v>66950</v>
      </c>
      <c r="L104" s="173">
        <f t="shared" si="31"/>
        <v>-594.10000000000582</v>
      </c>
      <c r="M104" s="174">
        <f t="shared" si="26"/>
        <v>-47.732702948261746</v>
      </c>
      <c r="N104" s="175">
        <f t="shared" si="27"/>
        <v>-641.83270294826752</v>
      </c>
      <c r="O104" s="174">
        <v>0</v>
      </c>
      <c r="P104" s="174">
        <v>0</v>
      </c>
      <c r="Q104" s="174">
        <v>0</v>
      </c>
      <c r="R104" s="175">
        <f t="shared" si="28"/>
        <v>-641.83270294826752</v>
      </c>
    </row>
    <row r="105" spans="1:18" x14ac:dyDescent="0.25">
      <c r="A105" s="132">
        <v>2</v>
      </c>
      <c r="B105" s="167">
        <f t="shared" si="4"/>
        <v>45323</v>
      </c>
      <c r="C105" s="188">
        <f t="shared" si="32"/>
        <v>45356</v>
      </c>
      <c r="D105" s="188">
        <f t="shared" si="32"/>
        <v>45376</v>
      </c>
      <c r="E105" s="176" t="s">
        <v>19</v>
      </c>
      <c r="F105" s="132">
        <v>9</v>
      </c>
      <c r="G105" s="169">
        <v>65</v>
      </c>
      <c r="H105" s="170">
        <f t="shared" si="25"/>
        <v>1030</v>
      </c>
      <c r="I105" s="170">
        <f t="shared" si="20"/>
        <v>1020.86</v>
      </c>
      <c r="J105" s="171">
        <f t="shared" si="2"/>
        <v>66355.899999999994</v>
      </c>
      <c r="K105" s="172">
        <f t="shared" si="30"/>
        <v>66950</v>
      </c>
      <c r="L105" s="173">
        <f t="shared" si="31"/>
        <v>-594.10000000000582</v>
      </c>
      <c r="M105" s="174">
        <f t="shared" si="26"/>
        <v>-47.732702948261746</v>
      </c>
      <c r="N105" s="175">
        <f t="shared" si="27"/>
        <v>-641.83270294826752</v>
      </c>
      <c r="O105" s="174">
        <v>0</v>
      </c>
      <c r="P105" s="174">
        <v>0</v>
      </c>
      <c r="Q105" s="174">
        <v>0</v>
      </c>
      <c r="R105" s="175">
        <f t="shared" si="28"/>
        <v>-641.83270294826752</v>
      </c>
    </row>
    <row r="106" spans="1:18" x14ac:dyDescent="0.25">
      <c r="A106" s="132">
        <v>3</v>
      </c>
      <c r="B106" s="167">
        <f t="shared" si="4"/>
        <v>45352</v>
      </c>
      <c r="C106" s="188">
        <f t="shared" si="32"/>
        <v>45385</v>
      </c>
      <c r="D106" s="188">
        <f t="shared" si="32"/>
        <v>45406</v>
      </c>
      <c r="E106" s="176" t="s">
        <v>19</v>
      </c>
      <c r="F106" s="132">
        <v>9</v>
      </c>
      <c r="G106" s="169">
        <v>64</v>
      </c>
      <c r="H106" s="170">
        <f t="shared" si="25"/>
        <v>1030</v>
      </c>
      <c r="I106" s="170">
        <f t="shared" si="20"/>
        <v>1020.86</v>
      </c>
      <c r="J106" s="171">
        <f t="shared" si="2"/>
        <v>65335.040000000001</v>
      </c>
      <c r="K106" s="172">
        <f t="shared" si="30"/>
        <v>65920</v>
      </c>
      <c r="L106" s="173">
        <f>+J106-K106</f>
        <v>-584.95999999999913</v>
      </c>
      <c r="M106" s="174">
        <f t="shared" si="26"/>
        <v>-46.998353672134641</v>
      </c>
      <c r="N106" s="175">
        <f t="shared" si="27"/>
        <v>-631.95835367213374</v>
      </c>
      <c r="O106" s="174">
        <v>0</v>
      </c>
      <c r="P106" s="174">
        <v>0</v>
      </c>
      <c r="Q106" s="174">
        <v>0</v>
      </c>
      <c r="R106" s="175">
        <f t="shared" si="28"/>
        <v>-631.95835367213374</v>
      </c>
    </row>
    <row r="107" spans="1:18" x14ac:dyDescent="0.25">
      <c r="A107" s="95">
        <v>4</v>
      </c>
      <c r="B107" s="167">
        <f t="shared" si="4"/>
        <v>45383</v>
      </c>
      <c r="C107" s="188">
        <f t="shared" si="32"/>
        <v>45415</v>
      </c>
      <c r="D107" s="188">
        <f t="shared" si="32"/>
        <v>45436</v>
      </c>
      <c r="E107" s="52" t="s">
        <v>19</v>
      </c>
      <c r="F107" s="132">
        <v>9</v>
      </c>
      <c r="G107" s="169">
        <v>65</v>
      </c>
      <c r="H107" s="170">
        <f t="shared" si="25"/>
        <v>1030</v>
      </c>
      <c r="I107" s="170">
        <f t="shared" si="20"/>
        <v>1020.86</v>
      </c>
      <c r="J107" s="171">
        <f t="shared" si="2"/>
        <v>66355.899999999994</v>
      </c>
      <c r="K107" s="172">
        <f t="shared" si="30"/>
        <v>66950</v>
      </c>
      <c r="L107" s="173">
        <f t="shared" ref="L107:L115" si="33">+J107-K107</f>
        <v>-594.10000000000582</v>
      </c>
      <c r="M107" s="174">
        <f t="shared" si="26"/>
        <v>-47.732702948261746</v>
      </c>
      <c r="N107" s="175">
        <f t="shared" si="27"/>
        <v>-641.83270294826752</v>
      </c>
      <c r="O107" s="174">
        <v>0</v>
      </c>
      <c r="P107" s="174">
        <v>0</v>
      </c>
      <c r="Q107" s="174">
        <v>0</v>
      </c>
      <c r="R107" s="175">
        <f t="shared" si="28"/>
        <v>-641.83270294826752</v>
      </c>
    </row>
    <row r="108" spans="1:18" x14ac:dyDescent="0.25">
      <c r="A108" s="132">
        <v>5</v>
      </c>
      <c r="B108" s="167">
        <f t="shared" si="4"/>
        <v>45413</v>
      </c>
      <c r="C108" s="188">
        <f t="shared" si="32"/>
        <v>45448</v>
      </c>
      <c r="D108" s="188">
        <f t="shared" si="32"/>
        <v>45467</v>
      </c>
      <c r="E108" s="52" t="s">
        <v>19</v>
      </c>
      <c r="F108" s="132">
        <v>9</v>
      </c>
      <c r="G108" s="169">
        <v>51</v>
      </c>
      <c r="H108" s="170">
        <f t="shared" si="25"/>
        <v>1030</v>
      </c>
      <c r="I108" s="170">
        <f t="shared" ref="I108:I127" si="34">$J$3</f>
        <v>1020.86</v>
      </c>
      <c r="J108" s="171">
        <f t="shared" si="2"/>
        <v>52063.86</v>
      </c>
      <c r="K108" s="172">
        <f t="shared" si="30"/>
        <v>52530</v>
      </c>
      <c r="L108" s="173">
        <f t="shared" si="33"/>
        <v>-466.13999999999942</v>
      </c>
      <c r="M108" s="174">
        <f t="shared" si="26"/>
        <v>-37.451813082482289</v>
      </c>
      <c r="N108" s="175">
        <f t="shared" si="27"/>
        <v>-503.59181308248174</v>
      </c>
      <c r="O108" s="174">
        <v>0</v>
      </c>
      <c r="P108" s="174">
        <v>0</v>
      </c>
      <c r="Q108" s="174">
        <v>0</v>
      </c>
      <c r="R108" s="175">
        <f t="shared" si="28"/>
        <v>-503.59181308248174</v>
      </c>
    </row>
    <row r="109" spans="1:18" x14ac:dyDescent="0.25">
      <c r="A109" s="132">
        <v>6</v>
      </c>
      <c r="B109" s="167">
        <f t="shared" ref="B109:B148" si="35">DATE($R$1,A109,1)</f>
        <v>45444</v>
      </c>
      <c r="C109" s="188">
        <f t="shared" si="32"/>
        <v>45476</v>
      </c>
      <c r="D109" s="188">
        <f t="shared" si="32"/>
        <v>45497</v>
      </c>
      <c r="E109" s="52" t="s">
        <v>19</v>
      </c>
      <c r="F109" s="132">
        <v>9</v>
      </c>
      <c r="G109" s="169">
        <v>59</v>
      </c>
      <c r="H109" s="170">
        <f t="shared" si="25"/>
        <v>1030</v>
      </c>
      <c r="I109" s="170">
        <f t="shared" si="34"/>
        <v>1020.86</v>
      </c>
      <c r="J109" s="171">
        <f t="shared" ref="J109:J148" si="36">+$G109*I109</f>
        <v>60230.74</v>
      </c>
      <c r="K109" s="172">
        <f t="shared" si="30"/>
        <v>60770</v>
      </c>
      <c r="L109" s="177">
        <f t="shared" si="33"/>
        <v>-539.26000000000204</v>
      </c>
      <c r="M109" s="174">
        <f t="shared" si="26"/>
        <v>-43.326607291499116</v>
      </c>
      <c r="N109" s="175">
        <f t="shared" si="27"/>
        <v>-582.5866072915012</v>
      </c>
      <c r="O109" s="174">
        <v>0</v>
      </c>
      <c r="P109" s="174">
        <v>0</v>
      </c>
      <c r="Q109" s="174">
        <v>0</v>
      </c>
      <c r="R109" s="175">
        <f t="shared" si="28"/>
        <v>-582.5866072915012</v>
      </c>
    </row>
    <row r="110" spans="1:18" x14ac:dyDescent="0.25">
      <c r="A110" s="95">
        <v>7</v>
      </c>
      <c r="B110" s="167">
        <f t="shared" si="35"/>
        <v>45474</v>
      </c>
      <c r="C110" s="188">
        <f t="shared" si="32"/>
        <v>45509</v>
      </c>
      <c r="D110" s="188">
        <f t="shared" si="32"/>
        <v>45530</v>
      </c>
      <c r="E110" s="52" t="s">
        <v>19</v>
      </c>
      <c r="F110" s="132">
        <v>9</v>
      </c>
      <c r="G110" s="169">
        <v>67</v>
      </c>
      <c r="H110" s="170">
        <f t="shared" si="25"/>
        <v>1030</v>
      </c>
      <c r="I110" s="170">
        <f t="shared" si="34"/>
        <v>1020.86</v>
      </c>
      <c r="J110" s="171">
        <f t="shared" si="36"/>
        <v>68397.62</v>
      </c>
      <c r="K110" s="178">
        <f t="shared" si="30"/>
        <v>69010</v>
      </c>
      <c r="L110" s="177">
        <f t="shared" si="33"/>
        <v>-612.38000000000466</v>
      </c>
      <c r="M110" s="174">
        <f t="shared" si="26"/>
        <v>-49.201401500515949</v>
      </c>
      <c r="N110" s="175">
        <f t="shared" si="27"/>
        <v>-661.58140150052066</v>
      </c>
      <c r="O110" s="174">
        <v>0</v>
      </c>
      <c r="P110" s="174">
        <v>0</v>
      </c>
      <c r="Q110" s="174">
        <v>0</v>
      </c>
      <c r="R110" s="175">
        <f t="shared" si="28"/>
        <v>-661.58140150052066</v>
      </c>
    </row>
    <row r="111" spans="1:18" x14ac:dyDescent="0.25">
      <c r="A111" s="132">
        <v>8</v>
      </c>
      <c r="B111" s="167">
        <f t="shared" si="35"/>
        <v>45505</v>
      </c>
      <c r="C111" s="188">
        <f t="shared" si="32"/>
        <v>45539</v>
      </c>
      <c r="D111" s="188">
        <f t="shared" si="32"/>
        <v>45559</v>
      </c>
      <c r="E111" s="52" t="s">
        <v>19</v>
      </c>
      <c r="F111" s="132">
        <v>9</v>
      </c>
      <c r="G111" s="169">
        <v>70</v>
      </c>
      <c r="H111" s="170">
        <f t="shared" si="25"/>
        <v>1030</v>
      </c>
      <c r="I111" s="170">
        <f t="shared" si="34"/>
        <v>1020.86</v>
      </c>
      <c r="J111" s="171">
        <f t="shared" si="36"/>
        <v>71460.2</v>
      </c>
      <c r="K111" s="178">
        <f t="shared" si="30"/>
        <v>72100</v>
      </c>
      <c r="L111" s="177">
        <f t="shared" si="33"/>
        <v>-639.80000000000291</v>
      </c>
      <c r="M111" s="174">
        <f t="shared" si="26"/>
        <v>-51.404449328897257</v>
      </c>
      <c r="N111" s="175">
        <f t="shared" si="27"/>
        <v>-691.20444932890018</v>
      </c>
      <c r="O111" s="174">
        <v>0</v>
      </c>
      <c r="P111" s="174">
        <v>0</v>
      </c>
      <c r="Q111" s="174">
        <v>0</v>
      </c>
      <c r="R111" s="175">
        <f t="shared" si="28"/>
        <v>-691.20444932890018</v>
      </c>
    </row>
    <row r="112" spans="1:18" x14ac:dyDescent="0.25">
      <c r="A112" s="132">
        <v>9</v>
      </c>
      <c r="B112" s="167">
        <f t="shared" si="35"/>
        <v>45536</v>
      </c>
      <c r="C112" s="188">
        <f t="shared" si="32"/>
        <v>45568</v>
      </c>
      <c r="D112" s="188">
        <f t="shared" si="32"/>
        <v>45589</v>
      </c>
      <c r="E112" s="52" t="s">
        <v>19</v>
      </c>
      <c r="F112" s="132">
        <v>9</v>
      </c>
      <c r="G112" s="169">
        <v>72</v>
      </c>
      <c r="H112" s="170">
        <f t="shared" si="25"/>
        <v>1030</v>
      </c>
      <c r="I112" s="170">
        <f t="shared" si="34"/>
        <v>1020.86</v>
      </c>
      <c r="J112" s="171">
        <f t="shared" si="36"/>
        <v>73501.919999999998</v>
      </c>
      <c r="K112" s="178">
        <f t="shared" si="30"/>
        <v>74160</v>
      </c>
      <c r="L112" s="177">
        <f t="shared" si="33"/>
        <v>-658.08000000000175</v>
      </c>
      <c r="M112" s="174">
        <f t="shared" si="26"/>
        <v>-52.873147881151468</v>
      </c>
      <c r="N112" s="175">
        <f t="shared" si="27"/>
        <v>-710.9531478811532</v>
      </c>
      <c r="O112" s="174">
        <v>0</v>
      </c>
      <c r="P112" s="174">
        <v>0</v>
      </c>
      <c r="Q112" s="174">
        <v>0</v>
      </c>
      <c r="R112" s="175">
        <f t="shared" si="28"/>
        <v>-710.9531478811532</v>
      </c>
    </row>
    <row r="113" spans="1:18" x14ac:dyDescent="0.25">
      <c r="A113" s="95">
        <v>10</v>
      </c>
      <c r="B113" s="167">
        <f t="shared" si="35"/>
        <v>45566</v>
      </c>
      <c r="C113" s="188">
        <f t="shared" si="32"/>
        <v>45601</v>
      </c>
      <c r="D113" s="188">
        <f t="shared" si="32"/>
        <v>45621</v>
      </c>
      <c r="E113" s="52" t="s">
        <v>19</v>
      </c>
      <c r="F113" s="132">
        <v>9</v>
      </c>
      <c r="G113" s="169">
        <v>73</v>
      </c>
      <c r="H113" s="170">
        <f t="shared" si="25"/>
        <v>1030</v>
      </c>
      <c r="I113" s="170">
        <f t="shared" si="34"/>
        <v>1020.86</v>
      </c>
      <c r="J113" s="171">
        <f t="shared" si="36"/>
        <v>74522.78</v>
      </c>
      <c r="K113" s="178">
        <f t="shared" si="30"/>
        <v>75190</v>
      </c>
      <c r="L113" s="177">
        <f t="shared" si="33"/>
        <v>-667.22000000000116</v>
      </c>
      <c r="M113" s="174">
        <f t="shared" si="26"/>
        <v>-53.607497157278566</v>
      </c>
      <c r="N113" s="175">
        <f t="shared" si="27"/>
        <v>-720.82749715727971</v>
      </c>
      <c r="O113" s="174">
        <v>0</v>
      </c>
      <c r="P113" s="174">
        <v>0</v>
      </c>
      <c r="Q113" s="174">
        <v>0</v>
      </c>
      <c r="R113" s="175">
        <f t="shared" si="28"/>
        <v>-720.82749715727971</v>
      </c>
    </row>
    <row r="114" spans="1:18" x14ac:dyDescent="0.25">
      <c r="A114" s="132">
        <v>11</v>
      </c>
      <c r="B114" s="167">
        <f t="shared" si="35"/>
        <v>45597</v>
      </c>
      <c r="C114" s="188">
        <f t="shared" si="32"/>
        <v>45630</v>
      </c>
      <c r="D114" s="188">
        <f t="shared" si="32"/>
        <v>45650</v>
      </c>
      <c r="E114" s="52" t="s">
        <v>19</v>
      </c>
      <c r="F114" s="132">
        <v>9</v>
      </c>
      <c r="G114" s="169">
        <v>72</v>
      </c>
      <c r="H114" s="170">
        <f t="shared" si="25"/>
        <v>1030</v>
      </c>
      <c r="I114" s="170">
        <f t="shared" si="34"/>
        <v>1020.86</v>
      </c>
      <c r="J114" s="171">
        <f t="shared" si="36"/>
        <v>73501.919999999998</v>
      </c>
      <c r="K114" s="178">
        <f t="shared" si="30"/>
        <v>74160</v>
      </c>
      <c r="L114" s="177">
        <f t="shared" si="33"/>
        <v>-658.08000000000175</v>
      </c>
      <c r="M114" s="174">
        <f t="shared" si="26"/>
        <v>-52.873147881151468</v>
      </c>
      <c r="N114" s="175">
        <f t="shared" si="27"/>
        <v>-710.9531478811532</v>
      </c>
      <c r="O114" s="174">
        <v>0</v>
      </c>
      <c r="P114" s="174">
        <v>0</v>
      </c>
      <c r="Q114" s="174">
        <v>0</v>
      </c>
      <c r="R114" s="175">
        <f t="shared" si="28"/>
        <v>-710.9531478811532</v>
      </c>
    </row>
    <row r="115" spans="1:18" s="192" customFormat="1" x14ac:dyDescent="0.25">
      <c r="A115" s="132">
        <v>12</v>
      </c>
      <c r="B115" s="190">
        <f t="shared" si="35"/>
        <v>45627</v>
      </c>
      <c r="C115" s="193">
        <f t="shared" si="32"/>
        <v>45660</v>
      </c>
      <c r="D115" s="193">
        <f t="shared" si="32"/>
        <v>45681</v>
      </c>
      <c r="E115" s="191" t="s">
        <v>19</v>
      </c>
      <c r="F115" s="143">
        <v>9</v>
      </c>
      <c r="G115" s="169">
        <v>65</v>
      </c>
      <c r="H115" s="180">
        <f t="shared" si="25"/>
        <v>1030</v>
      </c>
      <c r="I115" s="180">
        <f t="shared" si="34"/>
        <v>1020.86</v>
      </c>
      <c r="J115" s="181">
        <f t="shared" si="36"/>
        <v>66355.899999999994</v>
      </c>
      <c r="K115" s="182">
        <f t="shared" si="30"/>
        <v>66950</v>
      </c>
      <c r="L115" s="183">
        <f t="shared" si="33"/>
        <v>-594.10000000000582</v>
      </c>
      <c r="M115" s="174">
        <f t="shared" si="26"/>
        <v>-47.732702948261746</v>
      </c>
      <c r="N115" s="175">
        <f t="shared" si="27"/>
        <v>-641.83270294826752</v>
      </c>
      <c r="O115" s="174">
        <v>0</v>
      </c>
      <c r="P115" s="174">
        <v>0</v>
      </c>
      <c r="Q115" s="174">
        <v>0</v>
      </c>
      <c r="R115" s="175">
        <f t="shared" si="28"/>
        <v>-641.83270294826752</v>
      </c>
    </row>
    <row r="116" spans="1:18" x14ac:dyDescent="0.25">
      <c r="A116" s="95">
        <v>1</v>
      </c>
      <c r="B116" s="167">
        <f t="shared" si="35"/>
        <v>45292</v>
      </c>
      <c r="C116" s="188">
        <f t="shared" si="32"/>
        <v>45327</v>
      </c>
      <c r="D116" s="188">
        <f t="shared" si="32"/>
        <v>45348</v>
      </c>
      <c r="E116" s="168" t="s">
        <v>13</v>
      </c>
      <c r="F116" s="95">
        <v>9</v>
      </c>
      <c r="G116" s="169">
        <v>1452</v>
      </c>
      <c r="H116" s="170">
        <f t="shared" si="25"/>
        <v>1030</v>
      </c>
      <c r="I116" s="170">
        <f t="shared" si="34"/>
        <v>1020.86</v>
      </c>
      <c r="J116" s="171">
        <f t="shared" si="36"/>
        <v>1482288.72</v>
      </c>
      <c r="K116" s="172">
        <f t="shared" si="30"/>
        <v>1495560</v>
      </c>
      <c r="L116" s="173">
        <f>+J116-K116</f>
        <v>-13271.280000000028</v>
      </c>
      <c r="M116" s="174">
        <f t="shared" si="26"/>
        <v>-1066.2751489365546</v>
      </c>
      <c r="N116" s="175">
        <f t="shared" si="27"/>
        <v>-14337.555148936583</v>
      </c>
      <c r="O116" s="174">
        <v>0</v>
      </c>
      <c r="P116" s="174">
        <v>0</v>
      </c>
      <c r="Q116" s="174">
        <v>0</v>
      </c>
      <c r="R116" s="175">
        <f t="shared" si="28"/>
        <v>-14337.555148936583</v>
      </c>
    </row>
    <row r="117" spans="1:18" x14ac:dyDescent="0.25">
      <c r="A117" s="132">
        <v>2</v>
      </c>
      <c r="B117" s="167">
        <f t="shared" si="35"/>
        <v>45323</v>
      </c>
      <c r="C117" s="188">
        <f t="shared" ref="C117:D139" si="37">+C105</f>
        <v>45356</v>
      </c>
      <c r="D117" s="188">
        <f t="shared" si="37"/>
        <v>45376</v>
      </c>
      <c r="E117" s="176" t="s">
        <v>13</v>
      </c>
      <c r="F117" s="132">
        <v>9</v>
      </c>
      <c r="G117" s="169">
        <v>966</v>
      </c>
      <c r="H117" s="170">
        <f t="shared" si="25"/>
        <v>1030</v>
      </c>
      <c r="I117" s="170">
        <f t="shared" si="34"/>
        <v>1020.86</v>
      </c>
      <c r="J117" s="171">
        <f t="shared" si="36"/>
        <v>986150.76</v>
      </c>
      <c r="K117" s="172">
        <f t="shared" si="30"/>
        <v>994980</v>
      </c>
      <c r="L117" s="173">
        <f>+J117-K117</f>
        <v>-8829.2399999999907</v>
      </c>
      <c r="M117" s="174">
        <f t="shared" si="26"/>
        <v>-709.38140073878219</v>
      </c>
      <c r="N117" s="175">
        <f t="shared" si="27"/>
        <v>-9538.6214007387734</v>
      </c>
      <c r="O117" s="174">
        <v>0</v>
      </c>
      <c r="P117" s="174">
        <v>0</v>
      </c>
      <c r="Q117" s="174">
        <v>0</v>
      </c>
      <c r="R117" s="175">
        <f t="shared" si="28"/>
        <v>-9538.6214007387734</v>
      </c>
    </row>
    <row r="118" spans="1:18" x14ac:dyDescent="0.25">
      <c r="A118" s="132">
        <v>3</v>
      </c>
      <c r="B118" s="167">
        <f t="shared" si="35"/>
        <v>45352</v>
      </c>
      <c r="C118" s="188">
        <f t="shared" si="37"/>
        <v>45385</v>
      </c>
      <c r="D118" s="188">
        <f t="shared" si="37"/>
        <v>45406</v>
      </c>
      <c r="E118" s="176" t="s">
        <v>13</v>
      </c>
      <c r="F118" s="132">
        <v>9</v>
      </c>
      <c r="G118" s="169">
        <v>732</v>
      </c>
      <c r="H118" s="170">
        <f t="shared" si="25"/>
        <v>1030</v>
      </c>
      <c r="I118" s="170">
        <f t="shared" si="34"/>
        <v>1020.86</v>
      </c>
      <c r="J118" s="171">
        <f t="shared" si="36"/>
        <v>747269.52</v>
      </c>
      <c r="K118" s="172">
        <f t="shared" si="30"/>
        <v>753960</v>
      </c>
      <c r="L118" s="173">
        <f>+J118-K118</f>
        <v>-6690.4799999999814</v>
      </c>
      <c r="M118" s="174">
        <f t="shared" si="26"/>
        <v>-537.54367012503997</v>
      </c>
      <c r="N118" s="175">
        <f t="shared" si="27"/>
        <v>-7228.0236701250215</v>
      </c>
      <c r="O118" s="174">
        <v>0</v>
      </c>
      <c r="P118" s="174">
        <v>0</v>
      </c>
      <c r="Q118" s="174">
        <v>0</v>
      </c>
      <c r="R118" s="175">
        <f t="shared" si="28"/>
        <v>-7228.0236701250215</v>
      </c>
    </row>
    <row r="119" spans="1:18" x14ac:dyDescent="0.25">
      <c r="A119" s="95">
        <v>4</v>
      </c>
      <c r="B119" s="167">
        <f t="shared" si="35"/>
        <v>45383</v>
      </c>
      <c r="C119" s="188">
        <f t="shared" si="37"/>
        <v>45415</v>
      </c>
      <c r="D119" s="188">
        <f t="shared" si="37"/>
        <v>45436</v>
      </c>
      <c r="E119" s="52" t="s">
        <v>13</v>
      </c>
      <c r="F119" s="132">
        <v>9</v>
      </c>
      <c r="G119" s="169">
        <v>547</v>
      </c>
      <c r="H119" s="170">
        <f t="shared" si="25"/>
        <v>1030</v>
      </c>
      <c r="I119" s="170">
        <f t="shared" si="34"/>
        <v>1020.86</v>
      </c>
      <c r="J119" s="171">
        <f t="shared" si="36"/>
        <v>558410.42000000004</v>
      </c>
      <c r="K119" s="172">
        <f t="shared" si="30"/>
        <v>563410</v>
      </c>
      <c r="L119" s="173">
        <f t="shared" ref="L119:L127" si="38">+J119-K119</f>
        <v>-4999.5799999999581</v>
      </c>
      <c r="M119" s="174">
        <f t="shared" si="26"/>
        <v>-401.68905404152571</v>
      </c>
      <c r="N119" s="175">
        <f t="shared" si="27"/>
        <v>-5401.2690540414842</v>
      </c>
      <c r="O119" s="174">
        <v>0</v>
      </c>
      <c r="P119" s="174">
        <v>0</v>
      </c>
      <c r="Q119" s="174">
        <v>0</v>
      </c>
      <c r="R119" s="175">
        <f t="shared" si="28"/>
        <v>-5401.2690540414842</v>
      </c>
    </row>
    <row r="120" spans="1:18" x14ac:dyDescent="0.25">
      <c r="A120" s="132">
        <v>5</v>
      </c>
      <c r="B120" s="167">
        <f t="shared" si="35"/>
        <v>45413</v>
      </c>
      <c r="C120" s="188">
        <f t="shared" si="37"/>
        <v>45448</v>
      </c>
      <c r="D120" s="188">
        <f t="shared" si="37"/>
        <v>45467</v>
      </c>
      <c r="E120" s="52" t="s">
        <v>13</v>
      </c>
      <c r="F120" s="132">
        <v>9</v>
      </c>
      <c r="G120" s="169">
        <v>747</v>
      </c>
      <c r="H120" s="170">
        <f t="shared" si="25"/>
        <v>1030</v>
      </c>
      <c r="I120" s="170">
        <f t="shared" si="34"/>
        <v>1020.86</v>
      </c>
      <c r="J120" s="171">
        <f t="shared" si="36"/>
        <v>762582.42</v>
      </c>
      <c r="K120" s="172">
        <f t="shared" si="30"/>
        <v>769410</v>
      </c>
      <c r="L120" s="173">
        <f t="shared" si="38"/>
        <v>-6827.5799999999581</v>
      </c>
      <c r="M120" s="174">
        <f t="shared" si="26"/>
        <v>-548.55890926694656</v>
      </c>
      <c r="N120" s="175">
        <f t="shared" si="27"/>
        <v>-7376.1389092669051</v>
      </c>
      <c r="O120" s="174">
        <v>0</v>
      </c>
      <c r="P120" s="174">
        <v>0</v>
      </c>
      <c r="Q120" s="174">
        <v>0</v>
      </c>
      <c r="R120" s="175">
        <f t="shared" si="28"/>
        <v>-7376.1389092669051</v>
      </c>
    </row>
    <row r="121" spans="1:18" x14ac:dyDescent="0.25">
      <c r="A121" s="132">
        <v>6</v>
      </c>
      <c r="B121" s="167">
        <f t="shared" si="35"/>
        <v>45444</v>
      </c>
      <c r="C121" s="188">
        <f t="shared" si="37"/>
        <v>45476</v>
      </c>
      <c r="D121" s="188">
        <f t="shared" si="37"/>
        <v>45497</v>
      </c>
      <c r="E121" s="52" t="s">
        <v>13</v>
      </c>
      <c r="F121" s="132">
        <v>9</v>
      </c>
      <c r="G121" s="169">
        <v>917</v>
      </c>
      <c r="H121" s="170">
        <f t="shared" si="25"/>
        <v>1030</v>
      </c>
      <c r="I121" s="170">
        <f t="shared" si="34"/>
        <v>1020.86</v>
      </c>
      <c r="J121" s="171">
        <f t="shared" si="36"/>
        <v>936128.62</v>
      </c>
      <c r="K121" s="172">
        <f t="shared" si="30"/>
        <v>944510</v>
      </c>
      <c r="L121" s="177">
        <f t="shared" si="38"/>
        <v>-8381.3800000000047</v>
      </c>
      <c r="M121" s="174">
        <f t="shared" si="26"/>
        <v>-673.39828620855417</v>
      </c>
      <c r="N121" s="175">
        <f t="shared" si="27"/>
        <v>-9054.7782862085587</v>
      </c>
      <c r="O121" s="174">
        <v>0</v>
      </c>
      <c r="P121" s="174">
        <v>0</v>
      </c>
      <c r="Q121" s="174">
        <v>0</v>
      </c>
      <c r="R121" s="175">
        <f t="shared" si="28"/>
        <v>-9054.7782862085587</v>
      </c>
    </row>
    <row r="122" spans="1:18" x14ac:dyDescent="0.25">
      <c r="A122" s="95">
        <v>7</v>
      </c>
      <c r="B122" s="167">
        <f t="shared" si="35"/>
        <v>45474</v>
      </c>
      <c r="C122" s="188">
        <f t="shared" si="37"/>
        <v>45509</v>
      </c>
      <c r="D122" s="188">
        <f t="shared" si="37"/>
        <v>45530</v>
      </c>
      <c r="E122" s="52" t="s">
        <v>13</v>
      </c>
      <c r="F122" s="132">
        <v>9</v>
      </c>
      <c r="G122" s="169">
        <v>950</v>
      </c>
      <c r="H122" s="170">
        <f t="shared" si="25"/>
        <v>1030</v>
      </c>
      <c r="I122" s="170">
        <f t="shared" si="34"/>
        <v>1020.86</v>
      </c>
      <c r="J122" s="171">
        <f t="shared" si="36"/>
        <v>969817</v>
      </c>
      <c r="K122" s="178">
        <f t="shared" si="30"/>
        <v>978500</v>
      </c>
      <c r="L122" s="177">
        <f t="shared" si="38"/>
        <v>-8683</v>
      </c>
      <c r="M122" s="174">
        <f t="shared" si="26"/>
        <v>-697.63181232074862</v>
      </c>
      <c r="N122" s="175">
        <f t="shared" si="27"/>
        <v>-9380.6318123207493</v>
      </c>
      <c r="O122" s="174">
        <v>0</v>
      </c>
      <c r="P122" s="174">
        <v>0</v>
      </c>
      <c r="Q122" s="174">
        <v>0</v>
      </c>
      <c r="R122" s="175">
        <f t="shared" si="28"/>
        <v>-9380.6318123207493</v>
      </c>
    </row>
    <row r="123" spans="1:18" x14ac:dyDescent="0.25">
      <c r="A123" s="132">
        <v>8</v>
      </c>
      <c r="B123" s="167">
        <f t="shared" si="35"/>
        <v>45505</v>
      </c>
      <c r="C123" s="188">
        <f t="shared" si="37"/>
        <v>45539</v>
      </c>
      <c r="D123" s="188">
        <f t="shared" si="37"/>
        <v>45559</v>
      </c>
      <c r="E123" s="52" t="s">
        <v>13</v>
      </c>
      <c r="F123" s="132">
        <v>9</v>
      </c>
      <c r="G123" s="169">
        <v>940</v>
      </c>
      <c r="H123" s="170">
        <f t="shared" si="25"/>
        <v>1030</v>
      </c>
      <c r="I123" s="170">
        <f t="shared" si="34"/>
        <v>1020.86</v>
      </c>
      <c r="J123" s="171">
        <f t="shared" si="36"/>
        <v>959608.4</v>
      </c>
      <c r="K123" s="178">
        <f t="shared" si="30"/>
        <v>968200</v>
      </c>
      <c r="L123" s="177">
        <f t="shared" si="38"/>
        <v>-8591.5999999999767</v>
      </c>
      <c r="M123" s="174">
        <f t="shared" si="26"/>
        <v>-690.28831955947749</v>
      </c>
      <c r="N123" s="175">
        <f t="shared" si="27"/>
        <v>-9281.8883195594535</v>
      </c>
      <c r="O123" s="174">
        <v>0</v>
      </c>
      <c r="P123" s="174">
        <v>0</v>
      </c>
      <c r="Q123" s="174">
        <v>0</v>
      </c>
      <c r="R123" s="175">
        <f t="shared" si="28"/>
        <v>-9281.8883195594535</v>
      </c>
    </row>
    <row r="124" spans="1:18" x14ac:dyDescent="0.25">
      <c r="A124" s="132">
        <v>9</v>
      </c>
      <c r="B124" s="167">
        <f t="shared" si="35"/>
        <v>45536</v>
      </c>
      <c r="C124" s="188">
        <f t="shared" si="37"/>
        <v>45568</v>
      </c>
      <c r="D124" s="188">
        <f t="shared" si="37"/>
        <v>45589</v>
      </c>
      <c r="E124" s="52" t="s">
        <v>13</v>
      </c>
      <c r="F124" s="132">
        <v>9</v>
      </c>
      <c r="G124" s="169">
        <v>816</v>
      </c>
      <c r="H124" s="170">
        <f t="shared" si="25"/>
        <v>1030</v>
      </c>
      <c r="I124" s="170">
        <f t="shared" si="34"/>
        <v>1020.86</v>
      </c>
      <c r="J124" s="171">
        <f t="shared" si="36"/>
        <v>833021.76</v>
      </c>
      <c r="K124" s="178">
        <f t="shared" si="30"/>
        <v>840480</v>
      </c>
      <c r="L124" s="177">
        <f t="shared" si="38"/>
        <v>-7458.2399999999907</v>
      </c>
      <c r="M124" s="174">
        <f t="shared" si="26"/>
        <v>-599.22900931971662</v>
      </c>
      <c r="N124" s="175">
        <f t="shared" si="27"/>
        <v>-8057.4690093197078</v>
      </c>
      <c r="O124" s="174">
        <v>0</v>
      </c>
      <c r="P124" s="174">
        <v>0</v>
      </c>
      <c r="Q124" s="174">
        <v>0</v>
      </c>
      <c r="R124" s="175">
        <f t="shared" si="28"/>
        <v>-8057.4690093197078</v>
      </c>
    </row>
    <row r="125" spans="1:18" x14ac:dyDescent="0.25">
      <c r="A125" s="95">
        <v>10</v>
      </c>
      <c r="B125" s="167">
        <f t="shared" si="35"/>
        <v>45566</v>
      </c>
      <c r="C125" s="188">
        <f t="shared" si="37"/>
        <v>45601</v>
      </c>
      <c r="D125" s="188">
        <f t="shared" si="37"/>
        <v>45621</v>
      </c>
      <c r="E125" s="52" t="s">
        <v>13</v>
      </c>
      <c r="F125" s="132">
        <v>9</v>
      </c>
      <c r="G125" s="169">
        <v>683</v>
      </c>
      <c r="H125" s="170">
        <f t="shared" si="25"/>
        <v>1030</v>
      </c>
      <c r="I125" s="170">
        <f t="shared" si="34"/>
        <v>1020.86</v>
      </c>
      <c r="J125" s="171">
        <f t="shared" si="36"/>
        <v>697247.38</v>
      </c>
      <c r="K125" s="178">
        <f t="shared" si="30"/>
        <v>703490</v>
      </c>
      <c r="L125" s="177">
        <f t="shared" si="38"/>
        <v>-6242.6199999999953</v>
      </c>
      <c r="M125" s="174">
        <f t="shared" si="26"/>
        <v>-501.56055559481189</v>
      </c>
      <c r="N125" s="175">
        <f t="shared" si="27"/>
        <v>-6744.1805555948076</v>
      </c>
      <c r="O125" s="174">
        <v>0</v>
      </c>
      <c r="P125" s="174">
        <v>0</v>
      </c>
      <c r="Q125" s="174">
        <v>0</v>
      </c>
      <c r="R125" s="175">
        <f t="shared" si="28"/>
        <v>-6744.1805555948076</v>
      </c>
    </row>
    <row r="126" spans="1:18" x14ac:dyDescent="0.25">
      <c r="A126" s="132">
        <v>11</v>
      </c>
      <c r="B126" s="167">
        <f t="shared" si="35"/>
        <v>45597</v>
      </c>
      <c r="C126" s="188">
        <f t="shared" si="37"/>
        <v>45630</v>
      </c>
      <c r="D126" s="188">
        <f t="shared" si="37"/>
        <v>45650</v>
      </c>
      <c r="E126" s="52" t="s">
        <v>13</v>
      </c>
      <c r="F126" s="132">
        <v>9</v>
      </c>
      <c r="G126" s="169">
        <v>525</v>
      </c>
      <c r="H126" s="170">
        <f t="shared" si="25"/>
        <v>1030</v>
      </c>
      <c r="I126" s="170">
        <f t="shared" si="34"/>
        <v>1020.86</v>
      </c>
      <c r="J126" s="171">
        <f t="shared" si="36"/>
        <v>535951.5</v>
      </c>
      <c r="K126" s="178">
        <f t="shared" si="30"/>
        <v>540750</v>
      </c>
      <c r="L126" s="177">
        <f t="shared" si="38"/>
        <v>-4798.5</v>
      </c>
      <c r="M126" s="174">
        <f t="shared" si="26"/>
        <v>-385.53336996672948</v>
      </c>
      <c r="N126" s="175">
        <f t="shared" si="27"/>
        <v>-5184.0333699667299</v>
      </c>
      <c r="O126" s="174">
        <v>0</v>
      </c>
      <c r="P126" s="174">
        <v>0</v>
      </c>
      <c r="Q126" s="174">
        <v>0</v>
      </c>
      <c r="R126" s="175">
        <f t="shared" si="28"/>
        <v>-5184.0333699667299</v>
      </c>
    </row>
    <row r="127" spans="1:18" s="192" customFormat="1" x14ac:dyDescent="0.25">
      <c r="A127" s="132">
        <v>12</v>
      </c>
      <c r="B127" s="190">
        <f t="shared" si="35"/>
        <v>45627</v>
      </c>
      <c r="C127" s="193">
        <f t="shared" si="37"/>
        <v>45660</v>
      </c>
      <c r="D127" s="193">
        <f t="shared" si="37"/>
        <v>45681</v>
      </c>
      <c r="E127" s="191" t="s">
        <v>13</v>
      </c>
      <c r="F127" s="143">
        <v>9</v>
      </c>
      <c r="G127" s="169">
        <v>863</v>
      </c>
      <c r="H127" s="180">
        <f t="shared" si="25"/>
        <v>1030</v>
      </c>
      <c r="I127" s="180">
        <f t="shared" si="34"/>
        <v>1020.86</v>
      </c>
      <c r="J127" s="181">
        <f t="shared" si="36"/>
        <v>881002.18</v>
      </c>
      <c r="K127" s="182">
        <f t="shared" si="30"/>
        <v>888890</v>
      </c>
      <c r="L127" s="183">
        <f t="shared" si="38"/>
        <v>-7887.8199999999488</v>
      </c>
      <c r="M127" s="174">
        <f t="shared" si="26"/>
        <v>-633.74342529769046</v>
      </c>
      <c r="N127" s="175">
        <f t="shared" si="27"/>
        <v>-8521.5634252976397</v>
      </c>
      <c r="O127" s="174">
        <v>0</v>
      </c>
      <c r="P127" s="174">
        <v>0</v>
      </c>
      <c r="Q127" s="174">
        <v>0</v>
      </c>
      <c r="R127" s="175">
        <f t="shared" si="28"/>
        <v>-8521.5634252976397</v>
      </c>
    </row>
    <row r="128" spans="1:18" x14ac:dyDescent="0.25">
      <c r="A128" s="95">
        <v>1</v>
      </c>
      <c r="B128" s="167">
        <f t="shared" si="35"/>
        <v>45292</v>
      </c>
      <c r="C128" s="188">
        <f t="shared" si="37"/>
        <v>45327</v>
      </c>
      <c r="D128" s="188">
        <f t="shared" si="37"/>
        <v>45348</v>
      </c>
      <c r="E128" s="168" t="s">
        <v>15</v>
      </c>
      <c r="F128" s="95">
        <v>9</v>
      </c>
      <c r="G128" s="169">
        <v>8</v>
      </c>
      <c r="H128" s="170">
        <f t="shared" si="25"/>
        <v>1030</v>
      </c>
      <c r="I128" s="170">
        <f t="shared" ref="I128:I147" si="39">$J$3</f>
        <v>1020.86</v>
      </c>
      <c r="J128" s="171">
        <f t="shared" si="36"/>
        <v>8166.88</v>
      </c>
      <c r="K128" s="172">
        <f t="shared" si="30"/>
        <v>8240</v>
      </c>
      <c r="L128" s="173">
        <f>+J128-K128</f>
        <v>-73.119999999999891</v>
      </c>
      <c r="M128" s="174">
        <f t="shared" si="26"/>
        <v>-5.8747942090168301</v>
      </c>
      <c r="N128" s="175">
        <f t="shared" si="27"/>
        <v>-78.994794209016717</v>
      </c>
      <c r="O128" s="174">
        <v>0</v>
      </c>
      <c r="P128" s="174">
        <v>0</v>
      </c>
      <c r="Q128" s="174">
        <v>0</v>
      </c>
      <c r="R128" s="175">
        <f t="shared" si="28"/>
        <v>-78.994794209016717</v>
      </c>
    </row>
    <row r="129" spans="1:18" x14ac:dyDescent="0.25">
      <c r="A129" s="132">
        <v>2</v>
      </c>
      <c r="B129" s="167">
        <f t="shared" si="35"/>
        <v>45323</v>
      </c>
      <c r="C129" s="188">
        <f t="shared" si="37"/>
        <v>45356</v>
      </c>
      <c r="D129" s="188">
        <f t="shared" si="37"/>
        <v>45376</v>
      </c>
      <c r="E129" s="176" t="s">
        <v>15</v>
      </c>
      <c r="F129" s="132">
        <v>9</v>
      </c>
      <c r="G129" s="169">
        <v>5</v>
      </c>
      <c r="H129" s="170">
        <f t="shared" si="25"/>
        <v>1030</v>
      </c>
      <c r="I129" s="170">
        <f t="shared" si="39"/>
        <v>1020.86</v>
      </c>
      <c r="J129" s="171">
        <f t="shared" si="36"/>
        <v>5104.3</v>
      </c>
      <c r="K129" s="172">
        <f t="shared" si="30"/>
        <v>5150</v>
      </c>
      <c r="L129" s="173">
        <f>+J129-K129</f>
        <v>-45.699999999999818</v>
      </c>
      <c r="M129" s="174">
        <f t="shared" si="26"/>
        <v>-3.6717463806355188</v>
      </c>
      <c r="N129" s="175">
        <f t="shared" si="27"/>
        <v>-49.371746380635336</v>
      </c>
      <c r="O129" s="174">
        <v>0</v>
      </c>
      <c r="P129" s="174">
        <v>0</v>
      </c>
      <c r="Q129" s="174">
        <v>0</v>
      </c>
      <c r="R129" s="175">
        <f t="shared" si="28"/>
        <v>-49.371746380635336</v>
      </c>
    </row>
    <row r="130" spans="1:18" x14ac:dyDescent="0.25">
      <c r="A130" s="132">
        <v>3</v>
      </c>
      <c r="B130" s="167">
        <f t="shared" si="35"/>
        <v>45352</v>
      </c>
      <c r="C130" s="188">
        <f t="shared" si="37"/>
        <v>45385</v>
      </c>
      <c r="D130" s="188">
        <f t="shared" si="37"/>
        <v>45406</v>
      </c>
      <c r="E130" s="176" t="s">
        <v>15</v>
      </c>
      <c r="F130" s="132">
        <v>9</v>
      </c>
      <c r="G130" s="169">
        <v>5</v>
      </c>
      <c r="H130" s="170">
        <f t="shared" si="25"/>
        <v>1030</v>
      </c>
      <c r="I130" s="170">
        <f t="shared" si="39"/>
        <v>1020.86</v>
      </c>
      <c r="J130" s="171">
        <f t="shared" si="36"/>
        <v>5104.3</v>
      </c>
      <c r="K130" s="172">
        <f t="shared" si="30"/>
        <v>5150</v>
      </c>
      <c r="L130" s="173">
        <f>+J130-K130</f>
        <v>-45.699999999999818</v>
      </c>
      <c r="M130" s="174">
        <f t="shared" si="26"/>
        <v>-3.6717463806355188</v>
      </c>
      <c r="N130" s="175">
        <f t="shared" si="27"/>
        <v>-49.371746380635336</v>
      </c>
      <c r="O130" s="174">
        <v>0</v>
      </c>
      <c r="P130" s="174">
        <v>0</v>
      </c>
      <c r="Q130" s="174">
        <v>0</v>
      </c>
      <c r="R130" s="175">
        <f t="shared" si="28"/>
        <v>-49.371746380635336</v>
      </c>
    </row>
    <row r="131" spans="1:18" x14ac:dyDescent="0.25">
      <c r="A131" s="95">
        <v>4</v>
      </c>
      <c r="B131" s="167">
        <f t="shared" si="35"/>
        <v>45383</v>
      </c>
      <c r="C131" s="188">
        <f t="shared" si="37"/>
        <v>45415</v>
      </c>
      <c r="D131" s="188">
        <f t="shared" si="37"/>
        <v>45436</v>
      </c>
      <c r="E131" s="176" t="s">
        <v>15</v>
      </c>
      <c r="F131" s="132">
        <v>9</v>
      </c>
      <c r="G131" s="169">
        <v>6</v>
      </c>
      <c r="H131" s="170">
        <f t="shared" si="25"/>
        <v>1030</v>
      </c>
      <c r="I131" s="170">
        <f t="shared" si="39"/>
        <v>1020.86</v>
      </c>
      <c r="J131" s="171">
        <f t="shared" si="36"/>
        <v>6125.16</v>
      </c>
      <c r="K131" s="172">
        <f t="shared" si="30"/>
        <v>6180</v>
      </c>
      <c r="L131" s="173">
        <f t="shared" ref="L131:L141" si="40">+J131-K131</f>
        <v>-54.840000000000146</v>
      </c>
      <c r="M131" s="174">
        <f t="shared" si="26"/>
        <v>-4.4060956567626226</v>
      </c>
      <c r="N131" s="175">
        <f t="shared" si="27"/>
        <v>-59.246095656762769</v>
      </c>
      <c r="O131" s="174">
        <v>0</v>
      </c>
      <c r="P131" s="174">
        <v>0</v>
      </c>
      <c r="Q131" s="174">
        <v>0</v>
      </c>
      <c r="R131" s="175">
        <f t="shared" si="28"/>
        <v>-59.246095656762769</v>
      </c>
    </row>
    <row r="132" spans="1:18" x14ac:dyDescent="0.25">
      <c r="A132" s="132">
        <v>5</v>
      </c>
      <c r="B132" s="167">
        <f t="shared" si="35"/>
        <v>45413</v>
      </c>
      <c r="C132" s="188">
        <f t="shared" si="37"/>
        <v>45448</v>
      </c>
      <c r="D132" s="188">
        <f t="shared" si="37"/>
        <v>45467</v>
      </c>
      <c r="E132" s="52" t="s">
        <v>15</v>
      </c>
      <c r="F132" s="132">
        <v>9</v>
      </c>
      <c r="G132" s="169">
        <v>9</v>
      </c>
      <c r="H132" s="170">
        <f t="shared" si="25"/>
        <v>1030</v>
      </c>
      <c r="I132" s="170">
        <f t="shared" si="39"/>
        <v>1020.86</v>
      </c>
      <c r="J132" s="171">
        <f t="shared" si="36"/>
        <v>9187.74</v>
      </c>
      <c r="K132" s="172">
        <f t="shared" si="30"/>
        <v>9270</v>
      </c>
      <c r="L132" s="173">
        <f t="shared" si="40"/>
        <v>-82.260000000000218</v>
      </c>
      <c r="M132" s="174">
        <f t="shared" si="26"/>
        <v>-6.6091434851439335</v>
      </c>
      <c r="N132" s="175">
        <f t="shared" si="27"/>
        <v>-88.86914348514415</v>
      </c>
      <c r="O132" s="174">
        <v>0</v>
      </c>
      <c r="P132" s="174">
        <v>0</v>
      </c>
      <c r="Q132" s="174">
        <v>0</v>
      </c>
      <c r="R132" s="175">
        <f t="shared" si="28"/>
        <v>-88.86914348514415</v>
      </c>
    </row>
    <row r="133" spans="1:18" x14ac:dyDescent="0.25">
      <c r="A133" s="132">
        <v>6</v>
      </c>
      <c r="B133" s="167">
        <f t="shared" si="35"/>
        <v>45444</v>
      </c>
      <c r="C133" s="188">
        <f t="shared" si="37"/>
        <v>45476</v>
      </c>
      <c r="D133" s="188">
        <f t="shared" si="37"/>
        <v>45497</v>
      </c>
      <c r="E133" s="52" t="s">
        <v>15</v>
      </c>
      <c r="F133" s="132">
        <v>9</v>
      </c>
      <c r="G133" s="169">
        <v>14</v>
      </c>
      <c r="H133" s="170">
        <f t="shared" si="25"/>
        <v>1030</v>
      </c>
      <c r="I133" s="170">
        <f t="shared" si="39"/>
        <v>1020.86</v>
      </c>
      <c r="J133" s="171">
        <f t="shared" si="36"/>
        <v>14292.04</v>
      </c>
      <c r="K133" s="172">
        <f t="shared" si="30"/>
        <v>14420</v>
      </c>
      <c r="L133" s="177">
        <f t="shared" si="40"/>
        <v>-127.95999999999913</v>
      </c>
      <c r="M133" s="174">
        <f t="shared" si="26"/>
        <v>-10.280889865779452</v>
      </c>
      <c r="N133" s="175">
        <f t="shared" si="27"/>
        <v>-138.24088986577857</v>
      </c>
      <c r="O133" s="174">
        <v>0</v>
      </c>
      <c r="P133" s="174">
        <v>0</v>
      </c>
      <c r="Q133" s="174">
        <v>0</v>
      </c>
      <c r="R133" s="175">
        <f t="shared" si="28"/>
        <v>-138.24088986577857</v>
      </c>
    </row>
    <row r="134" spans="1:18" x14ac:dyDescent="0.25">
      <c r="A134" s="95">
        <v>7</v>
      </c>
      <c r="B134" s="167">
        <f t="shared" si="35"/>
        <v>45474</v>
      </c>
      <c r="C134" s="188">
        <f t="shared" si="37"/>
        <v>45509</v>
      </c>
      <c r="D134" s="188">
        <f t="shared" si="37"/>
        <v>45530</v>
      </c>
      <c r="E134" s="52" t="s">
        <v>15</v>
      </c>
      <c r="F134" s="132">
        <v>9</v>
      </c>
      <c r="G134" s="169">
        <v>17</v>
      </c>
      <c r="H134" s="170">
        <f t="shared" si="25"/>
        <v>1030</v>
      </c>
      <c r="I134" s="170">
        <f t="shared" si="39"/>
        <v>1020.86</v>
      </c>
      <c r="J134" s="171">
        <f t="shared" si="36"/>
        <v>17354.62</v>
      </c>
      <c r="K134" s="178">
        <f t="shared" ref="K134:K197" si="41">+$G134*H134</f>
        <v>17510</v>
      </c>
      <c r="L134" s="177">
        <f t="shared" si="40"/>
        <v>-155.38000000000102</v>
      </c>
      <c r="M134" s="174">
        <f t="shared" si="26"/>
        <v>-12.483937694160764</v>
      </c>
      <c r="N134" s="175">
        <f t="shared" si="27"/>
        <v>-167.86393769416179</v>
      </c>
      <c r="O134" s="174">
        <v>0</v>
      </c>
      <c r="P134" s="174">
        <v>0</v>
      </c>
      <c r="Q134" s="174">
        <v>0</v>
      </c>
      <c r="R134" s="175">
        <f t="shared" si="28"/>
        <v>-167.86393769416179</v>
      </c>
    </row>
    <row r="135" spans="1:18" x14ac:dyDescent="0.25">
      <c r="A135" s="132">
        <v>8</v>
      </c>
      <c r="B135" s="167">
        <f t="shared" si="35"/>
        <v>45505</v>
      </c>
      <c r="C135" s="188">
        <f t="shared" si="37"/>
        <v>45539</v>
      </c>
      <c r="D135" s="188">
        <f t="shared" si="37"/>
        <v>45559</v>
      </c>
      <c r="E135" s="52" t="s">
        <v>15</v>
      </c>
      <c r="F135" s="132">
        <v>9</v>
      </c>
      <c r="G135" s="169">
        <v>19</v>
      </c>
      <c r="H135" s="170">
        <f t="shared" si="25"/>
        <v>1030</v>
      </c>
      <c r="I135" s="170">
        <f t="shared" si="39"/>
        <v>1020.86</v>
      </c>
      <c r="J135" s="171">
        <f t="shared" si="36"/>
        <v>19396.34</v>
      </c>
      <c r="K135" s="178">
        <f t="shared" si="41"/>
        <v>19570</v>
      </c>
      <c r="L135" s="177">
        <f t="shared" si="40"/>
        <v>-173.65999999999985</v>
      </c>
      <c r="M135" s="174">
        <f t="shared" si="26"/>
        <v>-13.952636246414972</v>
      </c>
      <c r="N135" s="175">
        <f t="shared" si="27"/>
        <v>-187.61263624641484</v>
      </c>
      <c r="O135" s="174">
        <v>0</v>
      </c>
      <c r="P135" s="174">
        <v>0</v>
      </c>
      <c r="Q135" s="174">
        <v>0</v>
      </c>
      <c r="R135" s="175">
        <f t="shared" si="28"/>
        <v>-187.61263624641484</v>
      </c>
    </row>
    <row r="136" spans="1:18" x14ac:dyDescent="0.25">
      <c r="A136" s="132">
        <v>9</v>
      </c>
      <c r="B136" s="167">
        <f t="shared" si="35"/>
        <v>45536</v>
      </c>
      <c r="C136" s="188">
        <f t="shared" si="37"/>
        <v>45568</v>
      </c>
      <c r="D136" s="188">
        <f t="shared" si="37"/>
        <v>45589</v>
      </c>
      <c r="E136" s="52" t="s">
        <v>15</v>
      </c>
      <c r="F136" s="132">
        <v>9</v>
      </c>
      <c r="G136" s="169">
        <v>11</v>
      </c>
      <c r="H136" s="170">
        <f t="shared" si="25"/>
        <v>1030</v>
      </c>
      <c r="I136" s="170">
        <f t="shared" si="39"/>
        <v>1020.86</v>
      </c>
      <c r="J136" s="171">
        <f t="shared" si="36"/>
        <v>11229.460000000001</v>
      </c>
      <c r="K136" s="178">
        <f t="shared" si="41"/>
        <v>11330</v>
      </c>
      <c r="L136" s="177">
        <f t="shared" si="40"/>
        <v>-100.53999999999905</v>
      </c>
      <c r="M136" s="174">
        <f t="shared" si="26"/>
        <v>-8.0778420373981401</v>
      </c>
      <c r="N136" s="175">
        <f t="shared" si="27"/>
        <v>-108.6178420373972</v>
      </c>
      <c r="O136" s="174">
        <v>0</v>
      </c>
      <c r="P136" s="174">
        <v>0</v>
      </c>
      <c r="Q136" s="174">
        <v>0</v>
      </c>
      <c r="R136" s="175">
        <f t="shared" si="28"/>
        <v>-108.6178420373972</v>
      </c>
    </row>
    <row r="137" spans="1:18" x14ac:dyDescent="0.25">
      <c r="A137" s="95">
        <v>10</v>
      </c>
      <c r="B137" s="167">
        <f t="shared" si="35"/>
        <v>45566</v>
      </c>
      <c r="C137" s="188">
        <f t="shared" si="37"/>
        <v>45601</v>
      </c>
      <c r="D137" s="188">
        <f t="shared" si="37"/>
        <v>45621</v>
      </c>
      <c r="E137" s="52" t="s">
        <v>15</v>
      </c>
      <c r="F137" s="132">
        <v>9</v>
      </c>
      <c r="G137" s="169">
        <v>6</v>
      </c>
      <c r="H137" s="170">
        <f t="shared" si="25"/>
        <v>1030</v>
      </c>
      <c r="I137" s="170">
        <f t="shared" si="39"/>
        <v>1020.86</v>
      </c>
      <c r="J137" s="171">
        <f t="shared" si="36"/>
        <v>6125.16</v>
      </c>
      <c r="K137" s="178">
        <f t="shared" si="41"/>
        <v>6180</v>
      </c>
      <c r="L137" s="177">
        <f t="shared" si="40"/>
        <v>-54.840000000000146</v>
      </c>
      <c r="M137" s="174">
        <f t="shared" si="26"/>
        <v>-4.4060956567626226</v>
      </c>
      <c r="N137" s="175">
        <f t="shared" si="27"/>
        <v>-59.246095656762769</v>
      </c>
      <c r="O137" s="174">
        <v>0</v>
      </c>
      <c r="P137" s="174">
        <v>0</v>
      </c>
      <c r="Q137" s="174">
        <v>0</v>
      </c>
      <c r="R137" s="175">
        <f t="shared" si="28"/>
        <v>-59.246095656762769</v>
      </c>
    </row>
    <row r="138" spans="1:18" x14ac:dyDescent="0.25">
      <c r="A138" s="132">
        <v>11</v>
      </c>
      <c r="B138" s="167">
        <f t="shared" si="35"/>
        <v>45597</v>
      </c>
      <c r="C138" s="188">
        <f t="shared" si="37"/>
        <v>45630</v>
      </c>
      <c r="D138" s="188">
        <f t="shared" si="37"/>
        <v>45650</v>
      </c>
      <c r="E138" s="52" t="s">
        <v>15</v>
      </c>
      <c r="F138" s="132">
        <v>9</v>
      </c>
      <c r="G138" s="169">
        <v>6</v>
      </c>
      <c r="H138" s="170">
        <f t="shared" si="25"/>
        <v>1030</v>
      </c>
      <c r="I138" s="170">
        <f t="shared" si="39"/>
        <v>1020.86</v>
      </c>
      <c r="J138" s="171">
        <f t="shared" si="36"/>
        <v>6125.16</v>
      </c>
      <c r="K138" s="178">
        <f t="shared" si="41"/>
        <v>6180</v>
      </c>
      <c r="L138" s="177">
        <f t="shared" si="40"/>
        <v>-54.840000000000146</v>
      </c>
      <c r="M138" s="174">
        <f t="shared" si="26"/>
        <v>-4.4060956567626226</v>
      </c>
      <c r="N138" s="175">
        <f t="shared" si="27"/>
        <v>-59.246095656762769</v>
      </c>
      <c r="O138" s="174">
        <v>0</v>
      </c>
      <c r="P138" s="174">
        <v>0</v>
      </c>
      <c r="Q138" s="174">
        <v>0</v>
      </c>
      <c r="R138" s="175">
        <f t="shared" si="28"/>
        <v>-59.246095656762769</v>
      </c>
    </row>
    <row r="139" spans="1:18" s="192" customFormat="1" x14ac:dyDescent="0.25">
      <c r="A139" s="132">
        <v>12</v>
      </c>
      <c r="B139" s="190">
        <f t="shared" si="35"/>
        <v>45627</v>
      </c>
      <c r="C139" s="188">
        <f t="shared" si="37"/>
        <v>45660</v>
      </c>
      <c r="D139" s="188">
        <f t="shared" si="37"/>
        <v>45681</v>
      </c>
      <c r="E139" s="191" t="s">
        <v>15</v>
      </c>
      <c r="F139" s="143">
        <v>9</v>
      </c>
      <c r="G139" s="169">
        <v>6</v>
      </c>
      <c r="H139" s="180">
        <f t="shared" si="25"/>
        <v>1030</v>
      </c>
      <c r="I139" s="180">
        <f t="shared" si="39"/>
        <v>1020.86</v>
      </c>
      <c r="J139" s="181">
        <f t="shared" si="36"/>
        <v>6125.16</v>
      </c>
      <c r="K139" s="182">
        <f t="shared" si="41"/>
        <v>6180</v>
      </c>
      <c r="L139" s="183">
        <f t="shared" si="40"/>
        <v>-54.840000000000146</v>
      </c>
      <c r="M139" s="174">
        <f t="shared" si="26"/>
        <v>-4.4060956567626226</v>
      </c>
      <c r="N139" s="175">
        <f t="shared" si="27"/>
        <v>-59.246095656762769</v>
      </c>
      <c r="O139" s="174">
        <v>0</v>
      </c>
      <c r="P139" s="174">
        <v>0</v>
      </c>
      <c r="Q139" s="174">
        <v>0</v>
      </c>
      <c r="R139" s="175">
        <f t="shared" si="28"/>
        <v>-59.246095656762769</v>
      </c>
    </row>
    <row r="140" spans="1:18" x14ac:dyDescent="0.25">
      <c r="A140" s="95">
        <v>1</v>
      </c>
      <c r="B140" s="167">
        <f t="shared" si="35"/>
        <v>45292</v>
      </c>
      <c r="C140" s="185">
        <f t="shared" ref="C140:D151" si="42">+C128</f>
        <v>45327</v>
      </c>
      <c r="D140" s="185">
        <f t="shared" si="42"/>
        <v>45348</v>
      </c>
      <c r="E140" s="195" t="s">
        <v>16</v>
      </c>
      <c r="F140" s="132">
        <v>9</v>
      </c>
      <c r="G140" s="169">
        <v>4</v>
      </c>
      <c r="H140" s="170">
        <f t="shared" si="25"/>
        <v>1030</v>
      </c>
      <c r="I140" s="170">
        <f t="shared" si="39"/>
        <v>1020.86</v>
      </c>
      <c r="J140" s="171">
        <f t="shared" si="36"/>
        <v>4083.44</v>
      </c>
      <c r="K140" s="172">
        <f t="shared" si="41"/>
        <v>4120</v>
      </c>
      <c r="L140" s="173">
        <f t="shared" si="40"/>
        <v>-36.559999999999945</v>
      </c>
      <c r="M140" s="174">
        <f t="shared" si="26"/>
        <v>-2.9373971045084151</v>
      </c>
      <c r="N140" s="175">
        <f t="shared" si="27"/>
        <v>-39.497397104508359</v>
      </c>
      <c r="O140" s="174">
        <v>0</v>
      </c>
      <c r="P140" s="174">
        <v>0</v>
      </c>
      <c r="Q140" s="174">
        <v>0</v>
      </c>
      <c r="R140" s="175">
        <f t="shared" si="28"/>
        <v>-39.497397104508359</v>
      </c>
    </row>
    <row r="141" spans="1:18" x14ac:dyDescent="0.25">
      <c r="A141" s="132">
        <v>2</v>
      </c>
      <c r="B141" s="167">
        <f t="shared" si="35"/>
        <v>45323</v>
      </c>
      <c r="C141" s="188">
        <f t="shared" si="42"/>
        <v>45356</v>
      </c>
      <c r="D141" s="188">
        <f t="shared" si="42"/>
        <v>45376</v>
      </c>
      <c r="E141" s="52" t="s">
        <v>16</v>
      </c>
      <c r="F141" s="132">
        <v>9</v>
      </c>
      <c r="G141" s="169">
        <v>3</v>
      </c>
      <c r="H141" s="170">
        <f t="shared" si="25"/>
        <v>1030</v>
      </c>
      <c r="I141" s="170">
        <f t="shared" si="39"/>
        <v>1020.86</v>
      </c>
      <c r="J141" s="171">
        <f t="shared" si="36"/>
        <v>3062.58</v>
      </c>
      <c r="K141" s="172">
        <f t="shared" si="41"/>
        <v>3090</v>
      </c>
      <c r="L141" s="173">
        <f t="shared" si="40"/>
        <v>-27.420000000000073</v>
      </c>
      <c r="M141" s="174">
        <f t="shared" si="26"/>
        <v>-2.2030478283813113</v>
      </c>
      <c r="N141" s="175">
        <f t="shared" si="27"/>
        <v>-29.623047828381385</v>
      </c>
      <c r="O141" s="174">
        <v>0</v>
      </c>
      <c r="P141" s="174">
        <v>0</v>
      </c>
      <c r="Q141" s="174">
        <v>0</v>
      </c>
      <c r="R141" s="175">
        <f t="shared" si="28"/>
        <v>-29.623047828381385</v>
      </c>
    </row>
    <row r="142" spans="1:18" x14ac:dyDescent="0.25">
      <c r="A142" s="132">
        <v>3</v>
      </c>
      <c r="B142" s="167">
        <f t="shared" si="35"/>
        <v>45352</v>
      </c>
      <c r="C142" s="188">
        <f t="shared" si="42"/>
        <v>45385</v>
      </c>
      <c r="D142" s="188">
        <f t="shared" si="42"/>
        <v>45406</v>
      </c>
      <c r="E142" s="52" t="s">
        <v>16</v>
      </c>
      <c r="F142" s="132">
        <v>9</v>
      </c>
      <c r="G142" s="169">
        <v>3</v>
      </c>
      <c r="H142" s="170">
        <f t="shared" si="25"/>
        <v>1030</v>
      </c>
      <c r="I142" s="170">
        <f t="shared" si="39"/>
        <v>1020.86</v>
      </c>
      <c r="J142" s="171">
        <f t="shared" si="36"/>
        <v>3062.58</v>
      </c>
      <c r="K142" s="172">
        <f t="shared" si="41"/>
        <v>3090</v>
      </c>
      <c r="L142" s="173">
        <f>+J142-K142</f>
        <v>-27.420000000000073</v>
      </c>
      <c r="M142" s="174">
        <f t="shared" si="26"/>
        <v>-2.2030478283813113</v>
      </c>
      <c r="N142" s="175">
        <f t="shared" si="27"/>
        <v>-29.623047828381385</v>
      </c>
      <c r="O142" s="174">
        <v>0</v>
      </c>
      <c r="P142" s="174">
        <v>0</v>
      </c>
      <c r="Q142" s="174">
        <v>0</v>
      </c>
      <c r="R142" s="175">
        <f t="shared" si="28"/>
        <v>-29.623047828381385</v>
      </c>
    </row>
    <row r="143" spans="1:18" x14ac:dyDescent="0.25">
      <c r="A143" s="95">
        <v>4</v>
      </c>
      <c r="B143" s="167">
        <f t="shared" si="35"/>
        <v>45383</v>
      </c>
      <c r="C143" s="188">
        <f t="shared" si="42"/>
        <v>45415</v>
      </c>
      <c r="D143" s="188">
        <f t="shared" si="42"/>
        <v>45436</v>
      </c>
      <c r="E143" s="52" t="s">
        <v>16</v>
      </c>
      <c r="F143" s="132">
        <v>9</v>
      </c>
      <c r="G143" s="169">
        <v>2</v>
      </c>
      <c r="H143" s="170">
        <f t="shared" si="25"/>
        <v>1030</v>
      </c>
      <c r="I143" s="170">
        <f t="shared" si="39"/>
        <v>1020.86</v>
      </c>
      <c r="J143" s="171">
        <f t="shared" si="36"/>
        <v>2041.72</v>
      </c>
      <c r="K143" s="172">
        <f t="shared" si="41"/>
        <v>2060</v>
      </c>
      <c r="L143" s="173">
        <f t="shared" ref="L143:L153" si="43">+J143-K143</f>
        <v>-18.279999999999973</v>
      </c>
      <c r="M143" s="174">
        <f t="shared" si="26"/>
        <v>-1.4686985522542075</v>
      </c>
      <c r="N143" s="175">
        <f t="shared" si="27"/>
        <v>-19.748698552254179</v>
      </c>
      <c r="O143" s="174">
        <v>0</v>
      </c>
      <c r="P143" s="174">
        <v>0</v>
      </c>
      <c r="Q143" s="174">
        <v>0</v>
      </c>
      <c r="R143" s="175">
        <f t="shared" si="28"/>
        <v>-19.748698552254179</v>
      </c>
    </row>
    <row r="144" spans="1:18" x14ac:dyDescent="0.25">
      <c r="A144" s="132">
        <v>5</v>
      </c>
      <c r="B144" s="167">
        <f t="shared" si="35"/>
        <v>45413</v>
      </c>
      <c r="C144" s="188">
        <f t="shared" si="42"/>
        <v>45448</v>
      </c>
      <c r="D144" s="188">
        <f t="shared" si="42"/>
        <v>45467</v>
      </c>
      <c r="E144" s="52" t="s">
        <v>16</v>
      </c>
      <c r="F144" s="132">
        <v>9</v>
      </c>
      <c r="G144" s="169">
        <v>4</v>
      </c>
      <c r="H144" s="170">
        <f t="shared" si="25"/>
        <v>1030</v>
      </c>
      <c r="I144" s="170">
        <f t="shared" si="39"/>
        <v>1020.86</v>
      </c>
      <c r="J144" s="171">
        <f t="shared" si="36"/>
        <v>4083.44</v>
      </c>
      <c r="K144" s="172">
        <f t="shared" si="41"/>
        <v>4120</v>
      </c>
      <c r="L144" s="173">
        <f t="shared" si="43"/>
        <v>-36.559999999999945</v>
      </c>
      <c r="M144" s="174">
        <f t="shared" si="26"/>
        <v>-2.9373971045084151</v>
      </c>
      <c r="N144" s="175">
        <f t="shared" si="27"/>
        <v>-39.497397104508359</v>
      </c>
      <c r="O144" s="174">
        <v>0</v>
      </c>
      <c r="P144" s="174">
        <v>0</v>
      </c>
      <c r="Q144" s="174">
        <v>0</v>
      </c>
      <c r="R144" s="175">
        <f t="shared" si="28"/>
        <v>-39.497397104508359</v>
      </c>
    </row>
    <row r="145" spans="1:19" x14ac:dyDescent="0.25">
      <c r="A145" s="132">
        <v>6</v>
      </c>
      <c r="B145" s="167">
        <f t="shared" si="35"/>
        <v>45444</v>
      </c>
      <c r="C145" s="188">
        <f t="shared" si="42"/>
        <v>45476</v>
      </c>
      <c r="D145" s="188">
        <f t="shared" si="42"/>
        <v>45497</v>
      </c>
      <c r="E145" s="52" t="s">
        <v>16</v>
      </c>
      <c r="F145" s="132">
        <v>9</v>
      </c>
      <c r="G145" s="169">
        <v>4</v>
      </c>
      <c r="H145" s="170">
        <f t="shared" si="25"/>
        <v>1030</v>
      </c>
      <c r="I145" s="170">
        <f t="shared" si="39"/>
        <v>1020.86</v>
      </c>
      <c r="J145" s="171">
        <f t="shared" si="36"/>
        <v>4083.44</v>
      </c>
      <c r="K145" s="172">
        <f t="shared" si="41"/>
        <v>4120</v>
      </c>
      <c r="L145" s="177">
        <f t="shared" si="43"/>
        <v>-36.559999999999945</v>
      </c>
      <c r="M145" s="174">
        <f t="shared" si="26"/>
        <v>-2.9373971045084151</v>
      </c>
      <c r="N145" s="175">
        <f t="shared" si="27"/>
        <v>-39.497397104508359</v>
      </c>
      <c r="O145" s="174">
        <v>0</v>
      </c>
      <c r="P145" s="174">
        <v>0</v>
      </c>
      <c r="Q145" s="174">
        <v>0</v>
      </c>
      <c r="R145" s="175">
        <f t="shared" si="28"/>
        <v>-39.497397104508359</v>
      </c>
    </row>
    <row r="146" spans="1:19" x14ac:dyDescent="0.25">
      <c r="A146" s="95">
        <v>7</v>
      </c>
      <c r="B146" s="167">
        <f t="shared" si="35"/>
        <v>45474</v>
      </c>
      <c r="C146" s="188">
        <f t="shared" si="42"/>
        <v>45509</v>
      </c>
      <c r="D146" s="188">
        <f t="shared" si="42"/>
        <v>45530</v>
      </c>
      <c r="E146" s="52" t="s">
        <v>16</v>
      </c>
      <c r="F146" s="132">
        <v>9</v>
      </c>
      <c r="G146" s="169">
        <v>6</v>
      </c>
      <c r="H146" s="170">
        <f t="shared" si="25"/>
        <v>1030</v>
      </c>
      <c r="I146" s="170">
        <f t="shared" si="39"/>
        <v>1020.86</v>
      </c>
      <c r="J146" s="171">
        <f t="shared" si="36"/>
        <v>6125.16</v>
      </c>
      <c r="K146" s="178">
        <f t="shared" si="41"/>
        <v>6180</v>
      </c>
      <c r="L146" s="177">
        <f t="shared" si="43"/>
        <v>-54.840000000000146</v>
      </c>
      <c r="M146" s="174">
        <f t="shared" si="26"/>
        <v>-4.4060956567626226</v>
      </c>
      <c r="N146" s="175">
        <f t="shared" si="27"/>
        <v>-59.246095656762769</v>
      </c>
      <c r="O146" s="174">
        <v>0</v>
      </c>
      <c r="P146" s="174">
        <v>0</v>
      </c>
      <c r="Q146" s="174">
        <v>0</v>
      </c>
      <c r="R146" s="175">
        <f t="shared" si="28"/>
        <v>-59.246095656762769</v>
      </c>
    </row>
    <row r="147" spans="1:19" x14ac:dyDescent="0.25">
      <c r="A147" s="132">
        <v>8</v>
      </c>
      <c r="B147" s="167">
        <f t="shared" si="35"/>
        <v>45505</v>
      </c>
      <c r="C147" s="188">
        <f t="shared" si="42"/>
        <v>45539</v>
      </c>
      <c r="D147" s="188">
        <f t="shared" si="42"/>
        <v>45559</v>
      </c>
      <c r="E147" s="52" t="s">
        <v>16</v>
      </c>
      <c r="F147" s="132">
        <v>9</v>
      </c>
      <c r="G147" s="169">
        <v>6</v>
      </c>
      <c r="H147" s="170">
        <f t="shared" si="25"/>
        <v>1030</v>
      </c>
      <c r="I147" s="170">
        <f t="shared" si="39"/>
        <v>1020.86</v>
      </c>
      <c r="J147" s="171">
        <f t="shared" si="36"/>
        <v>6125.16</v>
      </c>
      <c r="K147" s="178">
        <f t="shared" si="41"/>
        <v>6180</v>
      </c>
      <c r="L147" s="177">
        <f t="shared" si="43"/>
        <v>-54.840000000000146</v>
      </c>
      <c r="M147" s="174">
        <f t="shared" si="26"/>
        <v>-4.4060956567626226</v>
      </c>
      <c r="N147" s="175">
        <f t="shared" si="27"/>
        <v>-59.246095656762769</v>
      </c>
      <c r="O147" s="174">
        <v>0</v>
      </c>
      <c r="P147" s="174">
        <v>0</v>
      </c>
      <c r="Q147" s="174">
        <v>0</v>
      </c>
      <c r="R147" s="175">
        <f t="shared" si="28"/>
        <v>-59.246095656762769</v>
      </c>
    </row>
    <row r="148" spans="1:19" x14ac:dyDescent="0.25">
      <c r="A148" s="132">
        <v>9</v>
      </c>
      <c r="B148" s="167">
        <f t="shared" si="35"/>
        <v>45536</v>
      </c>
      <c r="C148" s="188">
        <f t="shared" si="42"/>
        <v>45568</v>
      </c>
      <c r="D148" s="188">
        <f t="shared" si="42"/>
        <v>45589</v>
      </c>
      <c r="E148" s="52" t="s">
        <v>16</v>
      </c>
      <c r="F148" s="132">
        <v>9</v>
      </c>
      <c r="G148" s="169">
        <v>3</v>
      </c>
      <c r="H148" s="170">
        <f t="shared" si="25"/>
        <v>1030</v>
      </c>
      <c r="I148" s="170">
        <f t="shared" ref="I148:I179" si="44">$J$3</f>
        <v>1020.86</v>
      </c>
      <c r="J148" s="171">
        <f t="shared" si="36"/>
        <v>3062.58</v>
      </c>
      <c r="K148" s="178">
        <f t="shared" si="41"/>
        <v>3090</v>
      </c>
      <c r="L148" s="177">
        <f t="shared" si="43"/>
        <v>-27.420000000000073</v>
      </c>
      <c r="M148" s="174">
        <f t="shared" si="26"/>
        <v>-2.2030478283813113</v>
      </c>
      <c r="N148" s="175">
        <f t="shared" si="27"/>
        <v>-29.623047828381385</v>
      </c>
      <c r="O148" s="174">
        <v>0</v>
      </c>
      <c r="P148" s="174">
        <v>0</v>
      </c>
      <c r="Q148" s="174">
        <v>0</v>
      </c>
      <c r="R148" s="175">
        <f t="shared" si="28"/>
        <v>-29.623047828381385</v>
      </c>
    </row>
    <row r="149" spans="1:19" x14ac:dyDescent="0.25">
      <c r="A149" s="95">
        <v>10</v>
      </c>
      <c r="B149" s="167">
        <f t="shared" ref="B149:B211" si="45">DATE($R$1,A149,1)</f>
        <v>45566</v>
      </c>
      <c r="C149" s="188">
        <f t="shared" si="42"/>
        <v>45601</v>
      </c>
      <c r="D149" s="188">
        <f t="shared" si="42"/>
        <v>45621</v>
      </c>
      <c r="E149" s="52" t="s">
        <v>16</v>
      </c>
      <c r="F149" s="132">
        <v>9</v>
      </c>
      <c r="G149" s="169">
        <v>6</v>
      </c>
      <c r="H149" s="170">
        <f t="shared" ref="H149:H211" si="46">+$K$3</f>
        <v>1030</v>
      </c>
      <c r="I149" s="170">
        <f t="shared" si="44"/>
        <v>1020.86</v>
      </c>
      <c r="J149" s="171">
        <f t="shared" ref="J149:J211" si="47">+$G149*I149</f>
        <v>6125.16</v>
      </c>
      <c r="K149" s="178">
        <f t="shared" si="41"/>
        <v>6180</v>
      </c>
      <c r="L149" s="177">
        <f t="shared" si="43"/>
        <v>-54.840000000000146</v>
      </c>
      <c r="M149" s="174">
        <f t="shared" ref="M149:M211" si="48">G149/$G$212*$M$14</f>
        <v>-4.4060956567626226</v>
      </c>
      <c r="N149" s="175">
        <f t="shared" ref="N149:N211" si="49">SUM(L149:M149)</f>
        <v>-59.246095656762769</v>
      </c>
      <c r="O149" s="174">
        <v>0</v>
      </c>
      <c r="P149" s="174">
        <v>0</v>
      </c>
      <c r="Q149" s="174">
        <v>0</v>
      </c>
      <c r="R149" s="175">
        <f t="shared" ref="R149:R211" si="50">+N149-Q149</f>
        <v>-59.246095656762769</v>
      </c>
    </row>
    <row r="150" spans="1:19" x14ac:dyDescent="0.25">
      <c r="A150" s="132">
        <v>11</v>
      </c>
      <c r="B150" s="167">
        <f t="shared" si="45"/>
        <v>45597</v>
      </c>
      <c r="C150" s="188">
        <f t="shared" si="42"/>
        <v>45630</v>
      </c>
      <c r="D150" s="188">
        <f t="shared" si="42"/>
        <v>45650</v>
      </c>
      <c r="E150" s="52" t="s">
        <v>16</v>
      </c>
      <c r="F150" s="132">
        <v>9</v>
      </c>
      <c r="G150" s="169">
        <v>1</v>
      </c>
      <c r="H150" s="170">
        <f t="shared" si="46"/>
        <v>1030</v>
      </c>
      <c r="I150" s="170">
        <f t="shared" si="44"/>
        <v>1020.86</v>
      </c>
      <c r="J150" s="171">
        <f t="shared" si="47"/>
        <v>1020.86</v>
      </c>
      <c r="K150" s="178">
        <f t="shared" si="41"/>
        <v>1030</v>
      </c>
      <c r="L150" s="177">
        <f t="shared" si="43"/>
        <v>-9.1399999999999864</v>
      </c>
      <c r="M150" s="174">
        <f t="shared" si="48"/>
        <v>-0.73434927612710377</v>
      </c>
      <c r="N150" s="175">
        <f t="shared" si="49"/>
        <v>-9.8743492761270897</v>
      </c>
      <c r="O150" s="174">
        <v>0</v>
      </c>
      <c r="P150" s="174">
        <v>0</v>
      </c>
      <c r="Q150" s="174">
        <v>0</v>
      </c>
      <c r="R150" s="175">
        <f t="shared" si="50"/>
        <v>-9.8743492761270897</v>
      </c>
    </row>
    <row r="151" spans="1:19" s="192" customFormat="1" x14ac:dyDescent="0.25">
      <c r="A151" s="132">
        <v>12</v>
      </c>
      <c r="B151" s="190">
        <f t="shared" si="45"/>
        <v>45627</v>
      </c>
      <c r="C151" s="188">
        <f t="shared" si="42"/>
        <v>45660</v>
      </c>
      <c r="D151" s="188">
        <f t="shared" si="42"/>
        <v>45681</v>
      </c>
      <c r="E151" s="191" t="s">
        <v>16</v>
      </c>
      <c r="F151" s="143">
        <v>9</v>
      </c>
      <c r="G151" s="169">
        <v>3</v>
      </c>
      <c r="H151" s="180">
        <f t="shared" si="46"/>
        <v>1030</v>
      </c>
      <c r="I151" s="180">
        <f t="shared" si="44"/>
        <v>1020.86</v>
      </c>
      <c r="J151" s="181">
        <f t="shared" si="47"/>
        <v>3062.58</v>
      </c>
      <c r="K151" s="182">
        <f t="shared" si="41"/>
        <v>3090</v>
      </c>
      <c r="L151" s="183">
        <f t="shared" si="43"/>
        <v>-27.420000000000073</v>
      </c>
      <c r="M151" s="174">
        <f t="shared" si="48"/>
        <v>-2.2030478283813113</v>
      </c>
      <c r="N151" s="175">
        <f t="shared" si="49"/>
        <v>-29.623047828381385</v>
      </c>
      <c r="O151" s="174">
        <v>0</v>
      </c>
      <c r="P151" s="174">
        <v>0</v>
      </c>
      <c r="Q151" s="174">
        <v>0</v>
      </c>
      <c r="R151" s="175">
        <f t="shared" si="50"/>
        <v>-29.623047828381385</v>
      </c>
    </row>
    <row r="152" spans="1:19" x14ac:dyDescent="0.25">
      <c r="A152" s="95">
        <v>1</v>
      </c>
      <c r="B152" s="167">
        <f t="shared" si="45"/>
        <v>45292</v>
      </c>
      <c r="C152" s="185">
        <f t="shared" ref="C152:D171" si="51">+C140</f>
        <v>45327</v>
      </c>
      <c r="D152" s="185">
        <f t="shared" si="51"/>
        <v>45348</v>
      </c>
      <c r="E152" s="195" t="s">
        <v>54</v>
      </c>
      <c r="F152" s="95">
        <v>9</v>
      </c>
      <c r="G152" s="169">
        <v>145</v>
      </c>
      <c r="H152" s="170">
        <f t="shared" si="46"/>
        <v>1030</v>
      </c>
      <c r="I152" s="170">
        <f t="shared" si="44"/>
        <v>1020.86</v>
      </c>
      <c r="J152" s="171">
        <f t="shared" si="47"/>
        <v>148024.70000000001</v>
      </c>
      <c r="K152" s="172">
        <f t="shared" si="41"/>
        <v>149350</v>
      </c>
      <c r="L152" s="173">
        <f t="shared" si="43"/>
        <v>-1325.2999999999884</v>
      </c>
      <c r="M152" s="174">
        <f t="shared" si="48"/>
        <v>-106.48064503843004</v>
      </c>
      <c r="N152" s="175">
        <f t="shared" si="49"/>
        <v>-1431.7806450384185</v>
      </c>
      <c r="O152" s="174">
        <v>0</v>
      </c>
      <c r="P152" s="174">
        <v>0</v>
      </c>
      <c r="Q152" s="174">
        <v>0</v>
      </c>
      <c r="R152" s="175">
        <f t="shared" si="50"/>
        <v>-1431.7806450384185</v>
      </c>
    </row>
    <row r="153" spans="1:19" x14ac:dyDescent="0.25">
      <c r="A153" s="132">
        <v>2</v>
      </c>
      <c r="B153" s="167">
        <f t="shared" si="45"/>
        <v>45323</v>
      </c>
      <c r="C153" s="188">
        <f t="shared" si="51"/>
        <v>45356</v>
      </c>
      <c r="D153" s="188">
        <f t="shared" si="51"/>
        <v>45376</v>
      </c>
      <c r="E153" s="196" t="s">
        <v>54</v>
      </c>
      <c r="F153" s="132">
        <v>9</v>
      </c>
      <c r="G153" s="169">
        <v>100</v>
      </c>
      <c r="H153" s="170">
        <f t="shared" si="46"/>
        <v>1030</v>
      </c>
      <c r="I153" s="170">
        <f t="shared" si="44"/>
        <v>1020.86</v>
      </c>
      <c r="J153" s="171">
        <f t="shared" si="47"/>
        <v>102086</v>
      </c>
      <c r="K153" s="172">
        <f t="shared" si="41"/>
        <v>103000</v>
      </c>
      <c r="L153" s="173">
        <f t="shared" si="43"/>
        <v>-914</v>
      </c>
      <c r="M153" s="174">
        <f t="shared" si="48"/>
        <v>-73.434927612710382</v>
      </c>
      <c r="N153" s="175">
        <f t="shared" si="49"/>
        <v>-987.43492761271034</v>
      </c>
      <c r="O153" s="174">
        <v>0</v>
      </c>
      <c r="P153" s="174">
        <v>0</v>
      </c>
      <c r="Q153" s="174">
        <v>0</v>
      </c>
      <c r="R153" s="175">
        <f t="shared" si="50"/>
        <v>-987.43492761271034</v>
      </c>
    </row>
    <row r="154" spans="1:19" x14ac:dyDescent="0.25">
      <c r="A154" s="132">
        <v>3</v>
      </c>
      <c r="B154" s="167">
        <f t="shared" si="45"/>
        <v>45352</v>
      </c>
      <c r="C154" s="188">
        <f t="shared" si="51"/>
        <v>45385</v>
      </c>
      <c r="D154" s="188">
        <f t="shared" si="51"/>
        <v>45406</v>
      </c>
      <c r="E154" s="196" t="s">
        <v>54</v>
      </c>
      <c r="F154" s="132">
        <v>9</v>
      </c>
      <c r="G154" s="169">
        <v>92</v>
      </c>
      <c r="H154" s="170">
        <f t="shared" si="46"/>
        <v>1030</v>
      </c>
      <c r="I154" s="170">
        <f t="shared" si="44"/>
        <v>1020.86</v>
      </c>
      <c r="J154" s="171">
        <f t="shared" si="47"/>
        <v>93919.12</v>
      </c>
      <c r="K154" s="172">
        <f t="shared" si="41"/>
        <v>94760</v>
      </c>
      <c r="L154" s="173">
        <f>+J154-K154</f>
        <v>-840.88000000000466</v>
      </c>
      <c r="M154" s="174">
        <f t="shared" si="48"/>
        <v>-67.560133403693541</v>
      </c>
      <c r="N154" s="175">
        <f t="shared" si="49"/>
        <v>-908.44013340369816</v>
      </c>
      <c r="O154" s="174">
        <v>0</v>
      </c>
      <c r="P154" s="174">
        <v>0</v>
      </c>
      <c r="Q154" s="174">
        <v>0</v>
      </c>
      <c r="R154" s="175">
        <f t="shared" si="50"/>
        <v>-908.44013340369816</v>
      </c>
    </row>
    <row r="155" spans="1:19" x14ac:dyDescent="0.25">
      <c r="A155" s="95">
        <v>4</v>
      </c>
      <c r="B155" s="167">
        <f t="shared" si="45"/>
        <v>45383</v>
      </c>
      <c r="C155" s="188">
        <f t="shared" si="51"/>
        <v>45415</v>
      </c>
      <c r="D155" s="188">
        <f t="shared" si="51"/>
        <v>45436</v>
      </c>
      <c r="E155" s="196" t="s">
        <v>54</v>
      </c>
      <c r="F155" s="132">
        <v>9</v>
      </c>
      <c r="G155" s="169">
        <v>101</v>
      </c>
      <c r="H155" s="170">
        <f t="shared" si="46"/>
        <v>1030</v>
      </c>
      <c r="I155" s="170">
        <f t="shared" si="44"/>
        <v>1020.86</v>
      </c>
      <c r="J155" s="171">
        <f t="shared" si="47"/>
        <v>103106.86</v>
      </c>
      <c r="K155" s="172">
        <f t="shared" si="41"/>
        <v>104030</v>
      </c>
      <c r="L155" s="173">
        <f t="shared" ref="L155:L165" si="52">+J155-K155</f>
        <v>-923.13999999999942</v>
      </c>
      <c r="M155" s="174">
        <f t="shared" si="48"/>
        <v>-74.169276888837473</v>
      </c>
      <c r="N155" s="175">
        <f t="shared" si="49"/>
        <v>-997.30927688883685</v>
      </c>
      <c r="O155" s="174">
        <v>0</v>
      </c>
      <c r="P155" s="174">
        <v>0</v>
      </c>
      <c r="Q155" s="174">
        <v>0</v>
      </c>
      <c r="R155" s="175">
        <f t="shared" si="50"/>
        <v>-997.30927688883685</v>
      </c>
    </row>
    <row r="156" spans="1:19" x14ac:dyDescent="0.25">
      <c r="A156" s="132">
        <v>5</v>
      </c>
      <c r="B156" s="167">
        <f t="shared" si="45"/>
        <v>45413</v>
      </c>
      <c r="C156" s="188">
        <f t="shared" si="51"/>
        <v>45448</v>
      </c>
      <c r="D156" s="188">
        <f t="shared" si="51"/>
        <v>45467</v>
      </c>
      <c r="E156" s="196" t="s">
        <v>54</v>
      </c>
      <c r="F156" s="132">
        <v>9</v>
      </c>
      <c r="G156" s="169">
        <v>118</v>
      </c>
      <c r="H156" s="170">
        <f t="shared" si="46"/>
        <v>1030</v>
      </c>
      <c r="I156" s="170">
        <f t="shared" si="44"/>
        <v>1020.86</v>
      </c>
      <c r="J156" s="171">
        <f t="shared" si="47"/>
        <v>120461.48</v>
      </c>
      <c r="K156" s="172">
        <f t="shared" si="41"/>
        <v>121540</v>
      </c>
      <c r="L156" s="173">
        <f t="shared" si="52"/>
        <v>-1078.5200000000041</v>
      </c>
      <c r="M156" s="174">
        <f t="shared" si="48"/>
        <v>-86.653214582998231</v>
      </c>
      <c r="N156" s="175">
        <f t="shared" si="49"/>
        <v>-1165.1732145830024</v>
      </c>
      <c r="O156" s="174">
        <v>0</v>
      </c>
      <c r="P156" s="174">
        <v>0</v>
      </c>
      <c r="Q156" s="174">
        <v>0</v>
      </c>
      <c r="R156" s="175">
        <f t="shared" si="50"/>
        <v>-1165.1732145830024</v>
      </c>
    </row>
    <row r="157" spans="1:19" x14ac:dyDescent="0.25">
      <c r="A157" s="132">
        <v>6</v>
      </c>
      <c r="B157" s="167">
        <f t="shared" si="45"/>
        <v>45444</v>
      </c>
      <c r="C157" s="188">
        <f t="shared" si="51"/>
        <v>45476</v>
      </c>
      <c r="D157" s="188">
        <f t="shared" si="51"/>
        <v>45497</v>
      </c>
      <c r="E157" s="196" t="s">
        <v>54</v>
      </c>
      <c r="F157" s="132">
        <v>9</v>
      </c>
      <c r="G157" s="169">
        <v>173</v>
      </c>
      <c r="H157" s="170">
        <f t="shared" si="46"/>
        <v>1030</v>
      </c>
      <c r="I157" s="170">
        <f t="shared" si="44"/>
        <v>1020.86</v>
      </c>
      <c r="J157" s="171">
        <f t="shared" si="47"/>
        <v>176608.78</v>
      </c>
      <c r="K157" s="172">
        <f t="shared" si="41"/>
        <v>178190</v>
      </c>
      <c r="L157" s="177">
        <f t="shared" si="52"/>
        <v>-1581.2200000000012</v>
      </c>
      <c r="M157" s="174">
        <f t="shared" si="48"/>
        <v>-127.04242476998894</v>
      </c>
      <c r="N157" s="175">
        <f t="shared" si="49"/>
        <v>-1708.26242476999</v>
      </c>
      <c r="O157" s="174">
        <v>0</v>
      </c>
      <c r="P157" s="174">
        <v>0</v>
      </c>
      <c r="Q157" s="174">
        <v>0</v>
      </c>
      <c r="R157" s="175">
        <f t="shared" si="50"/>
        <v>-1708.26242476999</v>
      </c>
    </row>
    <row r="158" spans="1:19" x14ac:dyDescent="0.25">
      <c r="A158" s="95">
        <v>7</v>
      </c>
      <c r="B158" s="167">
        <f t="shared" si="45"/>
        <v>45474</v>
      </c>
      <c r="C158" s="188">
        <f t="shared" si="51"/>
        <v>45509</v>
      </c>
      <c r="D158" s="188">
        <f t="shared" si="51"/>
        <v>45530</v>
      </c>
      <c r="E158" s="196" t="s">
        <v>54</v>
      </c>
      <c r="F158" s="132">
        <v>9</v>
      </c>
      <c r="G158" s="169">
        <v>164</v>
      </c>
      <c r="H158" s="170">
        <f t="shared" si="46"/>
        <v>1030</v>
      </c>
      <c r="I158" s="170">
        <f t="shared" si="44"/>
        <v>1020.86</v>
      </c>
      <c r="J158" s="171">
        <f t="shared" si="47"/>
        <v>167421.04</v>
      </c>
      <c r="K158" s="178">
        <f t="shared" si="41"/>
        <v>168920</v>
      </c>
      <c r="L158" s="177">
        <f t="shared" si="52"/>
        <v>-1498.9599999999919</v>
      </c>
      <c r="M158" s="174">
        <f t="shared" si="48"/>
        <v>-120.43328128484501</v>
      </c>
      <c r="N158" s="175">
        <f t="shared" si="49"/>
        <v>-1619.3932812848368</v>
      </c>
      <c r="O158" s="174">
        <v>0</v>
      </c>
      <c r="P158" s="174">
        <v>0</v>
      </c>
      <c r="Q158" s="174">
        <v>0</v>
      </c>
      <c r="R158" s="175">
        <f t="shared" si="50"/>
        <v>-1619.3932812848368</v>
      </c>
    </row>
    <row r="159" spans="1:19" x14ac:dyDescent="0.25">
      <c r="A159" s="132">
        <v>8</v>
      </c>
      <c r="B159" s="167">
        <f t="shared" si="45"/>
        <v>45505</v>
      </c>
      <c r="C159" s="188">
        <f t="shared" si="51"/>
        <v>45539</v>
      </c>
      <c r="D159" s="188">
        <f t="shared" si="51"/>
        <v>45559</v>
      </c>
      <c r="E159" s="196" t="s">
        <v>54</v>
      </c>
      <c r="F159" s="95">
        <v>9</v>
      </c>
      <c r="G159" s="169">
        <v>170</v>
      </c>
      <c r="H159" s="170">
        <f t="shared" si="46"/>
        <v>1030</v>
      </c>
      <c r="I159" s="170">
        <f t="shared" si="44"/>
        <v>1020.86</v>
      </c>
      <c r="J159" s="171">
        <f t="shared" si="47"/>
        <v>173546.2</v>
      </c>
      <c r="K159" s="178">
        <f t="shared" si="41"/>
        <v>175100</v>
      </c>
      <c r="L159" s="177">
        <f t="shared" si="52"/>
        <v>-1553.7999999999884</v>
      </c>
      <c r="M159" s="174">
        <f t="shared" si="48"/>
        <v>-124.83937694160763</v>
      </c>
      <c r="N159" s="175">
        <f t="shared" si="49"/>
        <v>-1678.6393769415961</v>
      </c>
      <c r="O159" s="174">
        <v>0</v>
      </c>
      <c r="P159" s="174">
        <v>0</v>
      </c>
      <c r="Q159" s="174">
        <v>0</v>
      </c>
      <c r="R159" s="175">
        <f t="shared" si="50"/>
        <v>-1678.6393769415961</v>
      </c>
      <c r="S159" s="50"/>
    </row>
    <row r="160" spans="1:19" x14ac:dyDescent="0.25">
      <c r="A160" s="132">
        <v>9</v>
      </c>
      <c r="B160" s="167">
        <f t="shared" si="45"/>
        <v>45536</v>
      </c>
      <c r="C160" s="188">
        <f t="shared" si="51"/>
        <v>45568</v>
      </c>
      <c r="D160" s="188">
        <f t="shared" si="51"/>
        <v>45589</v>
      </c>
      <c r="E160" s="196" t="s">
        <v>54</v>
      </c>
      <c r="F160" s="95">
        <v>9</v>
      </c>
      <c r="G160" s="169">
        <v>156</v>
      </c>
      <c r="H160" s="170">
        <f t="shared" si="46"/>
        <v>1030</v>
      </c>
      <c r="I160" s="170">
        <f t="shared" si="44"/>
        <v>1020.86</v>
      </c>
      <c r="J160" s="171">
        <f t="shared" si="47"/>
        <v>159254.16</v>
      </c>
      <c r="K160" s="178">
        <f t="shared" si="41"/>
        <v>160680</v>
      </c>
      <c r="L160" s="177">
        <f t="shared" si="52"/>
        <v>-1425.8399999999965</v>
      </c>
      <c r="M160" s="174">
        <f t="shared" si="48"/>
        <v>-114.55848707582818</v>
      </c>
      <c r="N160" s="175">
        <f t="shared" si="49"/>
        <v>-1540.3984870758247</v>
      </c>
      <c r="O160" s="174">
        <v>0</v>
      </c>
      <c r="P160" s="174">
        <v>0</v>
      </c>
      <c r="Q160" s="174">
        <v>0</v>
      </c>
      <c r="R160" s="175">
        <f t="shared" si="50"/>
        <v>-1540.3984870758247</v>
      </c>
    </row>
    <row r="161" spans="1:19" x14ac:dyDescent="0.25">
      <c r="A161" s="95">
        <v>10</v>
      </c>
      <c r="B161" s="167">
        <f t="shared" si="45"/>
        <v>45566</v>
      </c>
      <c r="C161" s="188">
        <f t="shared" si="51"/>
        <v>45601</v>
      </c>
      <c r="D161" s="188">
        <f t="shared" si="51"/>
        <v>45621</v>
      </c>
      <c r="E161" s="196" t="s">
        <v>54</v>
      </c>
      <c r="F161" s="95">
        <v>9</v>
      </c>
      <c r="G161" s="169">
        <v>139</v>
      </c>
      <c r="H161" s="170">
        <f t="shared" si="46"/>
        <v>1030</v>
      </c>
      <c r="I161" s="170">
        <f t="shared" si="44"/>
        <v>1020.86</v>
      </c>
      <c r="J161" s="171">
        <f t="shared" si="47"/>
        <v>141899.54</v>
      </c>
      <c r="K161" s="178">
        <f t="shared" si="41"/>
        <v>143170</v>
      </c>
      <c r="L161" s="177">
        <f t="shared" si="52"/>
        <v>-1270.4599999999919</v>
      </c>
      <c r="M161" s="174">
        <f t="shared" si="48"/>
        <v>-102.07454938166742</v>
      </c>
      <c r="N161" s="175">
        <f t="shared" si="49"/>
        <v>-1372.5345493816592</v>
      </c>
      <c r="O161" s="174">
        <v>0</v>
      </c>
      <c r="P161" s="174">
        <v>0</v>
      </c>
      <c r="Q161" s="174">
        <v>0</v>
      </c>
      <c r="R161" s="175">
        <f t="shared" si="50"/>
        <v>-1372.5345493816592</v>
      </c>
    </row>
    <row r="162" spans="1:19" x14ac:dyDescent="0.25">
      <c r="A162" s="132">
        <v>11</v>
      </c>
      <c r="B162" s="167">
        <f t="shared" si="45"/>
        <v>45597</v>
      </c>
      <c r="C162" s="188">
        <f t="shared" si="51"/>
        <v>45630</v>
      </c>
      <c r="D162" s="188">
        <f t="shared" si="51"/>
        <v>45650</v>
      </c>
      <c r="E162" s="196" t="s">
        <v>54</v>
      </c>
      <c r="F162" s="95">
        <v>9</v>
      </c>
      <c r="G162" s="169">
        <v>90</v>
      </c>
      <c r="H162" s="170">
        <f t="shared" si="46"/>
        <v>1030</v>
      </c>
      <c r="I162" s="170">
        <f t="shared" si="44"/>
        <v>1020.86</v>
      </c>
      <c r="J162" s="171">
        <f t="shared" si="47"/>
        <v>91877.4</v>
      </c>
      <c r="K162" s="178">
        <f t="shared" si="41"/>
        <v>92700</v>
      </c>
      <c r="L162" s="177">
        <f t="shared" si="52"/>
        <v>-822.60000000000582</v>
      </c>
      <c r="M162" s="174">
        <f t="shared" si="48"/>
        <v>-66.091434851439331</v>
      </c>
      <c r="N162" s="175">
        <f t="shared" si="49"/>
        <v>-888.69143485144514</v>
      </c>
      <c r="O162" s="174">
        <v>0</v>
      </c>
      <c r="P162" s="174">
        <v>0</v>
      </c>
      <c r="Q162" s="174">
        <v>0</v>
      </c>
      <c r="R162" s="175">
        <f t="shared" si="50"/>
        <v>-888.69143485144514</v>
      </c>
    </row>
    <row r="163" spans="1:19" s="192" customFormat="1" x14ac:dyDescent="0.25">
      <c r="A163" s="132">
        <v>12</v>
      </c>
      <c r="B163" s="190">
        <f t="shared" si="45"/>
        <v>45627</v>
      </c>
      <c r="C163" s="188">
        <f t="shared" si="51"/>
        <v>45660</v>
      </c>
      <c r="D163" s="188">
        <f t="shared" si="51"/>
        <v>45681</v>
      </c>
      <c r="E163" s="197" t="s">
        <v>54</v>
      </c>
      <c r="F163" s="143">
        <v>9</v>
      </c>
      <c r="G163" s="169">
        <v>110</v>
      </c>
      <c r="H163" s="180">
        <f t="shared" si="46"/>
        <v>1030</v>
      </c>
      <c r="I163" s="180">
        <f t="shared" si="44"/>
        <v>1020.86</v>
      </c>
      <c r="J163" s="181">
        <f t="shared" si="47"/>
        <v>112294.6</v>
      </c>
      <c r="K163" s="182">
        <f t="shared" si="41"/>
        <v>113300</v>
      </c>
      <c r="L163" s="183">
        <f t="shared" si="52"/>
        <v>-1005.3999999999942</v>
      </c>
      <c r="M163" s="181">
        <f t="shared" si="48"/>
        <v>-80.778420373981405</v>
      </c>
      <c r="N163" s="204">
        <f t="shared" si="49"/>
        <v>-1086.1784203739755</v>
      </c>
      <c r="O163" s="181">
        <v>0</v>
      </c>
      <c r="P163" s="181">
        <v>0</v>
      </c>
      <c r="Q163" s="181">
        <v>0</v>
      </c>
      <c r="R163" s="204">
        <f t="shared" si="50"/>
        <v>-1086.1784203739755</v>
      </c>
    </row>
    <row r="164" spans="1:19" x14ac:dyDescent="0.25">
      <c r="A164" s="95">
        <v>1</v>
      </c>
      <c r="B164" s="167">
        <f t="shared" si="45"/>
        <v>45292</v>
      </c>
      <c r="C164" s="185">
        <f t="shared" si="51"/>
        <v>45327</v>
      </c>
      <c r="D164" s="185">
        <f t="shared" si="51"/>
        <v>45348</v>
      </c>
      <c r="E164" s="195" t="s">
        <v>55</v>
      </c>
      <c r="F164" s="95">
        <v>9</v>
      </c>
      <c r="G164" s="169">
        <v>9</v>
      </c>
      <c r="H164" s="170">
        <f t="shared" si="46"/>
        <v>1030</v>
      </c>
      <c r="I164" s="170">
        <f t="shared" si="44"/>
        <v>1020.86</v>
      </c>
      <c r="J164" s="171">
        <f t="shared" si="47"/>
        <v>9187.74</v>
      </c>
      <c r="K164" s="172">
        <f t="shared" si="41"/>
        <v>9270</v>
      </c>
      <c r="L164" s="173">
        <f t="shared" si="52"/>
        <v>-82.260000000000218</v>
      </c>
      <c r="M164" s="174">
        <f t="shared" si="48"/>
        <v>-6.6091434851439335</v>
      </c>
      <c r="N164" s="175">
        <f t="shared" si="49"/>
        <v>-88.86914348514415</v>
      </c>
      <c r="O164" s="174">
        <v>0</v>
      </c>
      <c r="P164" s="174">
        <v>0</v>
      </c>
      <c r="Q164" s="174">
        <v>0</v>
      </c>
      <c r="R164" s="175">
        <f t="shared" si="50"/>
        <v>-88.86914348514415</v>
      </c>
    </row>
    <row r="165" spans="1:19" x14ac:dyDescent="0.25">
      <c r="A165" s="132">
        <v>2</v>
      </c>
      <c r="B165" s="167">
        <f t="shared" si="45"/>
        <v>45323</v>
      </c>
      <c r="C165" s="188">
        <f t="shared" si="51"/>
        <v>45356</v>
      </c>
      <c r="D165" s="188">
        <f t="shared" si="51"/>
        <v>45376</v>
      </c>
      <c r="E165" s="196" t="s">
        <v>55</v>
      </c>
      <c r="F165" s="132">
        <v>9</v>
      </c>
      <c r="G165" s="169">
        <v>8</v>
      </c>
      <c r="H165" s="170">
        <f t="shared" si="46"/>
        <v>1030</v>
      </c>
      <c r="I165" s="170">
        <f t="shared" si="44"/>
        <v>1020.86</v>
      </c>
      <c r="J165" s="171">
        <f t="shared" si="47"/>
        <v>8166.88</v>
      </c>
      <c r="K165" s="172">
        <f t="shared" si="41"/>
        <v>8240</v>
      </c>
      <c r="L165" s="173">
        <f t="shared" si="52"/>
        <v>-73.119999999999891</v>
      </c>
      <c r="M165" s="174">
        <f t="shared" si="48"/>
        <v>-5.8747942090168301</v>
      </c>
      <c r="N165" s="175">
        <f t="shared" si="49"/>
        <v>-78.994794209016717</v>
      </c>
      <c r="O165" s="174">
        <v>0</v>
      </c>
      <c r="P165" s="174">
        <v>0</v>
      </c>
      <c r="Q165" s="174">
        <v>0</v>
      </c>
      <c r="R165" s="175">
        <f t="shared" si="50"/>
        <v>-78.994794209016717</v>
      </c>
    </row>
    <row r="166" spans="1:19" x14ac:dyDescent="0.25">
      <c r="A166" s="132">
        <v>3</v>
      </c>
      <c r="B166" s="167">
        <f t="shared" si="45"/>
        <v>45352</v>
      </c>
      <c r="C166" s="188">
        <f t="shared" si="51"/>
        <v>45385</v>
      </c>
      <c r="D166" s="188">
        <f t="shared" si="51"/>
        <v>45406</v>
      </c>
      <c r="E166" s="196" t="s">
        <v>55</v>
      </c>
      <c r="F166" s="132">
        <v>9</v>
      </c>
      <c r="G166" s="169">
        <v>10</v>
      </c>
      <c r="H166" s="170">
        <f t="shared" si="46"/>
        <v>1030</v>
      </c>
      <c r="I166" s="170">
        <f t="shared" si="44"/>
        <v>1020.86</v>
      </c>
      <c r="J166" s="171">
        <f t="shared" si="47"/>
        <v>10208.6</v>
      </c>
      <c r="K166" s="172">
        <f t="shared" si="41"/>
        <v>10300</v>
      </c>
      <c r="L166" s="173">
        <f>+J166-K166</f>
        <v>-91.399999999999636</v>
      </c>
      <c r="M166" s="174">
        <f t="shared" si="48"/>
        <v>-7.3434927612710377</v>
      </c>
      <c r="N166" s="175">
        <f t="shared" si="49"/>
        <v>-98.743492761270673</v>
      </c>
      <c r="O166" s="174">
        <v>0</v>
      </c>
      <c r="P166" s="174">
        <v>0</v>
      </c>
      <c r="Q166" s="174">
        <v>0</v>
      </c>
      <c r="R166" s="175">
        <f t="shared" si="50"/>
        <v>-98.743492761270673</v>
      </c>
    </row>
    <row r="167" spans="1:19" x14ac:dyDescent="0.25">
      <c r="A167" s="95">
        <v>4</v>
      </c>
      <c r="B167" s="167">
        <f t="shared" si="45"/>
        <v>45383</v>
      </c>
      <c r="C167" s="188">
        <f t="shared" si="51"/>
        <v>45415</v>
      </c>
      <c r="D167" s="188">
        <f t="shared" si="51"/>
        <v>45436</v>
      </c>
      <c r="E167" s="196" t="s">
        <v>55</v>
      </c>
      <c r="F167" s="132">
        <v>9</v>
      </c>
      <c r="G167" s="169">
        <v>7</v>
      </c>
      <c r="H167" s="170">
        <f t="shared" si="46"/>
        <v>1030</v>
      </c>
      <c r="I167" s="170">
        <f t="shared" si="44"/>
        <v>1020.86</v>
      </c>
      <c r="J167" s="171">
        <f t="shared" si="47"/>
        <v>7146.02</v>
      </c>
      <c r="K167" s="172">
        <f t="shared" si="41"/>
        <v>7210</v>
      </c>
      <c r="L167" s="173">
        <f t="shared" ref="L167:L177" si="53">+J167-K167</f>
        <v>-63.979999999999563</v>
      </c>
      <c r="M167" s="174">
        <f t="shared" si="48"/>
        <v>-5.1404449328897259</v>
      </c>
      <c r="N167" s="175">
        <f t="shared" si="49"/>
        <v>-69.120444932889285</v>
      </c>
      <c r="O167" s="174">
        <v>0</v>
      </c>
      <c r="P167" s="174">
        <v>0</v>
      </c>
      <c r="Q167" s="174">
        <v>0</v>
      </c>
      <c r="R167" s="175">
        <f t="shared" si="50"/>
        <v>-69.120444932889285</v>
      </c>
    </row>
    <row r="168" spans="1:19" x14ac:dyDescent="0.25">
      <c r="A168" s="132">
        <v>5</v>
      </c>
      <c r="B168" s="167">
        <f t="shared" si="45"/>
        <v>45413</v>
      </c>
      <c r="C168" s="188">
        <f t="shared" si="51"/>
        <v>45448</v>
      </c>
      <c r="D168" s="188">
        <f t="shared" si="51"/>
        <v>45467</v>
      </c>
      <c r="E168" s="196" t="s">
        <v>55</v>
      </c>
      <c r="F168" s="132">
        <v>9</v>
      </c>
      <c r="G168" s="169">
        <v>10</v>
      </c>
      <c r="H168" s="170">
        <f t="shared" si="46"/>
        <v>1030</v>
      </c>
      <c r="I168" s="170">
        <f t="shared" si="44"/>
        <v>1020.86</v>
      </c>
      <c r="J168" s="171">
        <f t="shared" si="47"/>
        <v>10208.6</v>
      </c>
      <c r="K168" s="172">
        <f t="shared" si="41"/>
        <v>10300</v>
      </c>
      <c r="L168" s="173">
        <f t="shared" si="53"/>
        <v>-91.399999999999636</v>
      </c>
      <c r="M168" s="174">
        <f t="shared" si="48"/>
        <v>-7.3434927612710377</v>
      </c>
      <c r="N168" s="175">
        <f t="shared" si="49"/>
        <v>-98.743492761270673</v>
      </c>
      <c r="O168" s="174">
        <v>0</v>
      </c>
      <c r="P168" s="174">
        <v>0</v>
      </c>
      <c r="Q168" s="174">
        <v>0</v>
      </c>
      <c r="R168" s="175">
        <f t="shared" si="50"/>
        <v>-98.743492761270673</v>
      </c>
    </row>
    <row r="169" spans="1:19" x14ac:dyDescent="0.25">
      <c r="A169" s="132">
        <v>6</v>
      </c>
      <c r="B169" s="167">
        <f t="shared" si="45"/>
        <v>45444</v>
      </c>
      <c r="C169" s="188">
        <f t="shared" si="51"/>
        <v>45476</v>
      </c>
      <c r="D169" s="188">
        <f t="shared" si="51"/>
        <v>45497</v>
      </c>
      <c r="E169" s="196" t="s">
        <v>55</v>
      </c>
      <c r="F169" s="132">
        <v>9</v>
      </c>
      <c r="G169" s="169">
        <v>10</v>
      </c>
      <c r="H169" s="170">
        <f t="shared" si="46"/>
        <v>1030</v>
      </c>
      <c r="I169" s="170">
        <f t="shared" si="44"/>
        <v>1020.86</v>
      </c>
      <c r="J169" s="171">
        <f t="shared" si="47"/>
        <v>10208.6</v>
      </c>
      <c r="K169" s="172">
        <f t="shared" si="41"/>
        <v>10300</v>
      </c>
      <c r="L169" s="177">
        <f t="shared" si="53"/>
        <v>-91.399999999999636</v>
      </c>
      <c r="M169" s="174">
        <f t="shared" si="48"/>
        <v>-7.3434927612710377</v>
      </c>
      <c r="N169" s="175">
        <f t="shared" si="49"/>
        <v>-98.743492761270673</v>
      </c>
      <c r="O169" s="174">
        <v>0</v>
      </c>
      <c r="P169" s="174">
        <v>0</v>
      </c>
      <c r="Q169" s="174">
        <v>0</v>
      </c>
      <c r="R169" s="175">
        <f t="shared" si="50"/>
        <v>-98.743492761270673</v>
      </c>
    </row>
    <row r="170" spans="1:19" x14ac:dyDescent="0.25">
      <c r="A170" s="95">
        <v>7</v>
      </c>
      <c r="B170" s="167">
        <f t="shared" si="45"/>
        <v>45474</v>
      </c>
      <c r="C170" s="188">
        <f t="shared" si="51"/>
        <v>45509</v>
      </c>
      <c r="D170" s="188">
        <f t="shared" si="51"/>
        <v>45530</v>
      </c>
      <c r="E170" s="196" t="s">
        <v>55</v>
      </c>
      <c r="F170" s="132">
        <v>9</v>
      </c>
      <c r="G170" s="169">
        <v>12</v>
      </c>
      <c r="H170" s="170">
        <f t="shared" si="46"/>
        <v>1030</v>
      </c>
      <c r="I170" s="170">
        <f t="shared" si="44"/>
        <v>1020.86</v>
      </c>
      <c r="J170" s="171">
        <f t="shared" si="47"/>
        <v>12250.32</v>
      </c>
      <c r="K170" s="178">
        <f t="shared" si="41"/>
        <v>12360</v>
      </c>
      <c r="L170" s="177">
        <f t="shared" si="53"/>
        <v>-109.68000000000029</v>
      </c>
      <c r="M170" s="174">
        <f t="shared" si="48"/>
        <v>-8.8121913135252452</v>
      </c>
      <c r="N170" s="175">
        <f t="shared" si="49"/>
        <v>-118.49219131352554</v>
      </c>
      <c r="O170" s="174">
        <v>0</v>
      </c>
      <c r="P170" s="174">
        <v>0</v>
      </c>
      <c r="Q170" s="174">
        <v>0</v>
      </c>
      <c r="R170" s="175">
        <f t="shared" si="50"/>
        <v>-118.49219131352554</v>
      </c>
    </row>
    <row r="171" spans="1:19" x14ac:dyDescent="0.25">
      <c r="A171" s="132">
        <v>8</v>
      </c>
      <c r="B171" s="167">
        <f t="shared" si="45"/>
        <v>45505</v>
      </c>
      <c r="C171" s="188">
        <f t="shared" si="51"/>
        <v>45539</v>
      </c>
      <c r="D171" s="188">
        <f t="shared" si="51"/>
        <v>45559</v>
      </c>
      <c r="E171" s="196" t="s">
        <v>55</v>
      </c>
      <c r="F171" s="95">
        <v>9</v>
      </c>
      <c r="G171" s="169">
        <v>12</v>
      </c>
      <c r="H171" s="170">
        <f t="shared" si="46"/>
        <v>1030</v>
      </c>
      <c r="I171" s="170">
        <f t="shared" si="44"/>
        <v>1020.86</v>
      </c>
      <c r="J171" s="171">
        <f t="shared" si="47"/>
        <v>12250.32</v>
      </c>
      <c r="K171" s="178">
        <f t="shared" si="41"/>
        <v>12360</v>
      </c>
      <c r="L171" s="177">
        <f t="shared" si="53"/>
        <v>-109.68000000000029</v>
      </c>
      <c r="M171" s="174">
        <f t="shared" si="48"/>
        <v>-8.8121913135252452</v>
      </c>
      <c r="N171" s="175">
        <f t="shared" si="49"/>
        <v>-118.49219131352554</v>
      </c>
      <c r="O171" s="174">
        <v>0</v>
      </c>
      <c r="P171" s="174">
        <v>0</v>
      </c>
      <c r="Q171" s="174">
        <v>0</v>
      </c>
      <c r="R171" s="175">
        <f t="shared" si="50"/>
        <v>-118.49219131352554</v>
      </c>
      <c r="S171" s="50"/>
    </row>
    <row r="172" spans="1:19" x14ac:dyDescent="0.25">
      <c r="A172" s="132">
        <v>9</v>
      </c>
      <c r="B172" s="167">
        <f t="shared" si="45"/>
        <v>45536</v>
      </c>
      <c r="C172" s="188">
        <f t="shared" ref="C172:D175" si="54">+C160</f>
        <v>45568</v>
      </c>
      <c r="D172" s="188">
        <f t="shared" si="54"/>
        <v>45589</v>
      </c>
      <c r="E172" s="196" t="s">
        <v>55</v>
      </c>
      <c r="F172" s="95">
        <v>9</v>
      </c>
      <c r="G172" s="169">
        <v>11</v>
      </c>
      <c r="H172" s="170">
        <f t="shared" si="46"/>
        <v>1030</v>
      </c>
      <c r="I172" s="170">
        <f t="shared" si="44"/>
        <v>1020.86</v>
      </c>
      <c r="J172" s="171">
        <f t="shared" si="47"/>
        <v>11229.460000000001</v>
      </c>
      <c r="K172" s="178">
        <f t="shared" si="41"/>
        <v>11330</v>
      </c>
      <c r="L172" s="177">
        <f t="shared" si="53"/>
        <v>-100.53999999999905</v>
      </c>
      <c r="M172" s="174">
        <f t="shared" si="48"/>
        <v>-8.0778420373981401</v>
      </c>
      <c r="N172" s="175">
        <f t="shared" si="49"/>
        <v>-108.6178420373972</v>
      </c>
      <c r="O172" s="174">
        <v>0</v>
      </c>
      <c r="P172" s="174">
        <v>0</v>
      </c>
      <c r="Q172" s="174">
        <v>0</v>
      </c>
      <c r="R172" s="175">
        <f t="shared" si="50"/>
        <v>-108.6178420373972</v>
      </c>
    </row>
    <row r="173" spans="1:19" x14ac:dyDescent="0.25">
      <c r="A173" s="95">
        <v>10</v>
      </c>
      <c r="B173" s="167">
        <f t="shared" si="45"/>
        <v>45566</v>
      </c>
      <c r="C173" s="188">
        <f t="shared" si="54"/>
        <v>45601</v>
      </c>
      <c r="D173" s="188">
        <f t="shared" si="54"/>
        <v>45621</v>
      </c>
      <c r="E173" s="196" t="s">
        <v>55</v>
      </c>
      <c r="F173" s="95">
        <v>9</v>
      </c>
      <c r="G173" s="169">
        <v>10</v>
      </c>
      <c r="H173" s="170">
        <f t="shared" si="46"/>
        <v>1030</v>
      </c>
      <c r="I173" s="170">
        <f t="shared" si="44"/>
        <v>1020.86</v>
      </c>
      <c r="J173" s="171">
        <f t="shared" si="47"/>
        <v>10208.6</v>
      </c>
      <c r="K173" s="178">
        <f t="shared" si="41"/>
        <v>10300</v>
      </c>
      <c r="L173" s="177">
        <f t="shared" si="53"/>
        <v>-91.399999999999636</v>
      </c>
      <c r="M173" s="174">
        <f t="shared" si="48"/>
        <v>-7.3434927612710377</v>
      </c>
      <c r="N173" s="175">
        <f t="shared" si="49"/>
        <v>-98.743492761270673</v>
      </c>
      <c r="O173" s="174">
        <v>0</v>
      </c>
      <c r="P173" s="174">
        <v>0</v>
      </c>
      <c r="Q173" s="174">
        <v>0</v>
      </c>
      <c r="R173" s="175">
        <f t="shared" si="50"/>
        <v>-98.743492761270673</v>
      </c>
    </row>
    <row r="174" spans="1:19" x14ac:dyDescent="0.25">
      <c r="A174" s="132">
        <v>11</v>
      </c>
      <c r="B174" s="167">
        <f t="shared" si="45"/>
        <v>45597</v>
      </c>
      <c r="C174" s="188">
        <f t="shared" si="54"/>
        <v>45630</v>
      </c>
      <c r="D174" s="188">
        <f t="shared" si="54"/>
        <v>45650</v>
      </c>
      <c r="E174" s="196" t="s">
        <v>55</v>
      </c>
      <c r="F174" s="95">
        <v>9</v>
      </c>
      <c r="G174" s="169">
        <v>10</v>
      </c>
      <c r="H174" s="170">
        <f t="shared" si="46"/>
        <v>1030</v>
      </c>
      <c r="I174" s="170">
        <f t="shared" si="44"/>
        <v>1020.86</v>
      </c>
      <c r="J174" s="171">
        <f t="shared" si="47"/>
        <v>10208.6</v>
      </c>
      <c r="K174" s="178">
        <f t="shared" si="41"/>
        <v>10300</v>
      </c>
      <c r="L174" s="177">
        <f t="shared" si="53"/>
        <v>-91.399999999999636</v>
      </c>
      <c r="M174" s="174">
        <f t="shared" si="48"/>
        <v>-7.3434927612710377</v>
      </c>
      <c r="N174" s="175">
        <f t="shared" si="49"/>
        <v>-98.743492761270673</v>
      </c>
      <c r="O174" s="174">
        <v>0</v>
      </c>
      <c r="P174" s="174">
        <v>0</v>
      </c>
      <c r="Q174" s="174">
        <v>0</v>
      </c>
      <c r="R174" s="175">
        <f t="shared" si="50"/>
        <v>-98.743492761270673</v>
      </c>
    </row>
    <row r="175" spans="1:19" s="192" customFormat="1" x14ac:dyDescent="0.25">
      <c r="A175" s="132">
        <v>12</v>
      </c>
      <c r="B175" s="190">
        <f t="shared" si="45"/>
        <v>45627</v>
      </c>
      <c r="C175" s="188">
        <f t="shared" si="54"/>
        <v>45660</v>
      </c>
      <c r="D175" s="188">
        <f t="shared" si="54"/>
        <v>45681</v>
      </c>
      <c r="E175" s="197" t="s">
        <v>55</v>
      </c>
      <c r="F175" s="143">
        <v>9</v>
      </c>
      <c r="G175" s="169">
        <v>10</v>
      </c>
      <c r="H175" s="180">
        <f t="shared" si="46"/>
        <v>1030</v>
      </c>
      <c r="I175" s="180">
        <f t="shared" si="44"/>
        <v>1020.86</v>
      </c>
      <c r="J175" s="181">
        <f t="shared" si="47"/>
        <v>10208.6</v>
      </c>
      <c r="K175" s="182">
        <f t="shared" si="41"/>
        <v>10300</v>
      </c>
      <c r="L175" s="183">
        <f t="shared" si="53"/>
        <v>-91.399999999999636</v>
      </c>
      <c r="M175" s="181">
        <f t="shared" si="48"/>
        <v>-7.3434927612710377</v>
      </c>
      <c r="N175" s="204">
        <f t="shared" si="49"/>
        <v>-98.743492761270673</v>
      </c>
      <c r="O175" s="181">
        <v>0</v>
      </c>
      <c r="P175" s="181">
        <v>0</v>
      </c>
      <c r="Q175" s="181">
        <v>0</v>
      </c>
      <c r="R175" s="204">
        <f t="shared" si="50"/>
        <v>-98.743492761270673</v>
      </c>
    </row>
    <row r="176" spans="1:19" x14ac:dyDescent="0.25">
      <c r="A176" s="95">
        <v>1</v>
      </c>
      <c r="B176" s="167">
        <f t="shared" si="45"/>
        <v>45292</v>
      </c>
      <c r="C176" s="185">
        <f t="shared" ref="C176:D187" si="55">+C152</f>
        <v>45327</v>
      </c>
      <c r="D176" s="185">
        <f t="shared" si="55"/>
        <v>45348</v>
      </c>
      <c r="E176" s="195" t="s">
        <v>56</v>
      </c>
      <c r="F176" s="132">
        <v>9</v>
      </c>
      <c r="G176" s="169">
        <v>26</v>
      </c>
      <c r="H176" s="170">
        <f t="shared" si="46"/>
        <v>1030</v>
      </c>
      <c r="I176" s="170">
        <f t="shared" si="44"/>
        <v>1020.86</v>
      </c>
      <c r="J176" s="171">
        <f t="shared" si="47"/>
        <v>26542.36</v>
      </c>
      <c r="K176" s="172">
        <f t="shared" si="41"/>
        <v>26780</v>
      </c>
      <c r="L176" s="173">
        <f t="shared" si="53"/>
        <v>-237.63999999999942</v>
      </c>
      <c r="M176" s="174">
        <f t="shared" si="48"/>
        <v>-19.093081179304697</v>
      </c>
      <c r="N176" s="175">
        <f t="shared" si="49"/>
        <v>-256.73308117930412</v>
      </c>
      <c r="O176" s="174">
        <v>0</v>
      </c>
      <c r="P176" s="174">
        <v>0</v>
      </c>
      <c r="Q176" s="174">
        <v>0</v>
      </c>
      <c r="R176" s="175">
        <f t="shared" si="50"/>
        <v>-256.73308117930412</v>
      </c>
    </row>
    <row r="177" spans="1:18" x14ac:dyDescent="0.25">
      <c r="A177" s="132">
        <v>2</v>
      </c>
      <c r="B177" s="167">
        <f t="shared" si="45"/>
        <v>45323</v>
      </c>
      <c r="C177" s="188">
        <f t="shared" si="55"/>
        <v>45356</v>
      </c>
      <c r="D177" s="188">
        <f t="shared" si="55"/>
        <v>45376</v>
      </c>
      <c r="E177" s="52" t="s">
        <v>56</v>
      </c>
      <c r="F177" s="132">
        <v>9</v>
      </c>
      <c r="G177" s="169">
        <v>19</v>
      </c>
      <c r="H177" s="170">
        <f t="shared" si="46"/>
        <v>1030</v>
      </c>
      <c r="I177" s="170">
        <f t="shared" si="44"/>
        <v>1020.86</v>
      </c>
      <c r="J177" s="171">
        <f t="shared" si="47"/>
        <v>19396.34</v>
      </c>
      <c r="K177" s="172">
        <f t="shared" si="41"/>
        <v>19570</v>
      </c>
      <c r="L177" s="173">
        <f t="shared" si="53"/>
        <v>-173.65999999999985</v>
      </c>
      <c r="M177" s="174">
        <f t="shared" si="48"/>
        <v>-13.952636246414972</v>
      </c>
      <c r="N177" s="175">
        <f t="shared" si="49"/>
        <v>-187.61263624641484</v>
      </c>
      <c r="O177" s="174">
        <v>0</v>
      </c>
      <c r="P177" s="174">
        <v>0</v>
      </c>
      <c r="Q177" s="174">
        <v>0</v>
      </c>
      <c r="R177" s="175">
        <f t="shared" si="50"/>
        <v>-187.61263624641484</v>
      </c>
    </row>
    <row r="178" spans="1:18" x14ac:dyDescent="0.25">
      <c r="A178" s="132">
        <v>3</v>
      </c>
      <c r="B178" s="167">
        <f t="shared" si="45"/>
        <v>45352</v>
      </c>
      <c r="C178" s="188">
        <f t="shared" si="55"/>
        <v>45385</v>
      </c>
      <c r="D178" s="188">
        <f t="shared" si="55"/>
        <v>45406</v>
      </c>
      <c r="E178" s="52" t="s">
        <v>56</v>
      </c>
      <c r="F178" s="132">
        <v>9</v>
      </c>
      <c r="G178" s="169">
        <v>18</v>
      </c>
      <c r="H178" s="170">
        <f t="shared" si="46"/>
        <v>1030</v>
      </c>
      <c r="I178" s="170">
        <f t="shared" si="44"/>
        <v>1020.86</v>
      </c>
      <c r="J178" s="171">
        <f t="shared" si="47"/>
        <v>18375.48</v>
      </c>
      <c r="K178" s="172">
        <f t="shared" si="41"/>
        <v>18540</v>
      </c>
      <c r="L178" s="173">
        <f>+J178-K178</f>
        <v>-164.52000000000044</v>
      </c>
      <c r="M178" s="174">
        <f t="shared" si="48"/>
        <v>-13.218286970287867</v>
      </c>
      <c r="N178" s="175">
        <f t="shared" si="49"/>
        <v>-177.7382869702883</v>
      </c>
      <c r="O178" s="174">
        <v>0</v>
      </c>
      <c r="P178" s="174">
        <v>0</v>
      </c>
      <c r="Q178" s="174">
        <v>0</v>
      </c>
      <c r="R178" s="175">
        <f t="shared" si="50"/>
        <v>-177.7382869702883</v>
      </c>
    </row>
    <row r="179" spans="1:18" x14ac:dyDescent="0.25">
      <c r="A179" s="95">
        <v>4</v>
      </c>
      <c r="B179" s="167">
        <f t="shared" si="45"/>
        <v>45383</v>
      </c>
      <c r="C179" s="188">
        <f t="shared" si="55"/>
        <v>45415</v>
      </c>
      <c r="D179" s="188">
        <f t="shared" si="55"/>
        <v>45436</v>
      </c>
      <c r="E179" s="52" t="s">
        <v>56</v>
      </c>
      <c r="F179" s="132">
        <v>9</v>
      </c>
      <c r="G179" s="169">
        <v>22</v>
      </c>
      <c r="H179" s="170">
        <f t="shared" si="46"/>
        <v>1030</v>
      </c>
      <c r="I179" s="170">
        <f t="shared" si="44"/>
        <v>1020.86</v>
      </c>
      <c r="J179" s="171">
        <f t="shared" si="47"/>
        <v>22458.920000000002</v>
      </c>
      <c r="K179" s="172">
        <f t="shared" si="41"/>
        <v>22660</v>
      </c>
      <c r="L179" s="173">
        <f t="shared" ref="L179:L189" si="56">+J179-K179</f>
        <v>-201.07999999999811</v>
      </c>
      <c r="M179" s="174">
        <f t="shared" si="48"/>
        <v>-16.15568407479628</v>
      </c>
      <c r="N179" s="175">
        <f t="shared" si="49"/>
        <v>-217.23568407479439</v>
      </c>
      <c r="O179" s="174">
        <v>0</v>
      </c>
      <c r="P179" s="174">
        <v>0</v>
      </c>
      <c r="Q179" s="174">
        <v>0</v>
      </c>
      <c r="R179" s="175">
        <f t="shared" si="50"/>
        <v>-217.23568407479439</v>
      </c>
    </row>
    <row r="180" spans="1:18" x14ac:dyDescent="0.25">
      <c r="A180" s="132">
        <v>5</v>
      </c>
      <c r="B180" s="167">
        <f t="shared" si="45"/>
        <v>45413</v>
      </c>
      <c r="C180" s="188">
        <f t="shared" si="55"/>
        <v>45448</v>
      </c>
      <c r="D180" s="188">
        <f t="shared" si="55"/>
        <v>45467</v>
      </c>
      <c r="E180" s="52" t="s">
        <v>56</v>
      </c>
      <c r="F180" s="132">
        <v>9</v>
      </c>
      <c r="G180" s="169">
        <v>31</v>
      </c>
      <c r="H180" s="170">
        <f t="shared" si="46"/>
        <v>1030</v>
      </c>
      <c r="I180" s="170">
        <f t="shared" ref="I180:I211" si="57">$J$3</f>
        <v>1020.86</v>
      </c>
      <c r="J180" s="171">
        <f t="shared" si="47"/>
        <v>31646.66</v>
      </c>
      <c r="K180" s="172">
        <f t="shared" si="41"/>
        <v>31930</v>
      </c>
      <c r="L180" s="173">
        <f t="shared" si="56"/>
        <v>-283.34000000000015</v>
      </c>
      <c r="M180" s="174">
        <f t="shared" si="48"/>
        <v>-22.764827559940215</v>
      </c>
      <c r="N180" s="175">
        <f t="shared" si="49"/>
        <v>-306.10482755994036</v>
      </c>
      <c r="O180" s="174">
        <v>0</v>
      </c>
      <c r="P180" s="174">
        <v>0</v>
      </c>
      <c r="Q180" s="174">
        <v>0</v>
      </c>
      <c r="R180" s="175">
        <f t="shared" si="50"/>
        <v>-306.10482755994036</v>
      </c>
    </row>
    <row r="181" spans="1:18" x14ac:dyDescent="0.25">
      <c r="A181" s="132">
        <v>6</v>
      </c>
      <c r="B181" s="167">
        <f t="shared" si="45"/>
        <v>45444</v>
      </c>
      <c r="C181" s="188">
        <f t="shared" si="55"/>
        <v>45476</v>
      </c>
      <c r="D181" s="188">
        <f t="shared" si="55"/>
        <v>45497</v>
      </c>
      <c r="E181" s="52" t="s">
        <v>56</v>
      </c>
      <c r="F181" s="132">
        <v>9</v>
      </c>
      <c r="G181" s="169">
        <v>36</v>
      </c>
      <c r="H181" s="170">
        <f t="shared" si="46"/>
        <v>1030</v>
      </c>
      <c r="I181" s="170">
        <f t="shared" si="57"/>
        <v>1020.86</v>
      </c>
      <c r="J181" s="171">
        <f t="shared" si="47"/>
        <v>36750.959999999999</v>
      </c>
      <c r="K181" s="172">
        <f t="shared" si="41"/>
        <v>37080</v>
      </c>
      <c r="L181" s="177">
        <f t="shared" si="56"/>
        <v>-329.04000000000087</v>
      </c>
      <c r="M181" s="174">
        <f t="shared" si="48"/>
        <v>-26.436573940575734</v>
      </c>
      <c r="N181" s="175">
        <f t="shared" si="49"/>
        <v>-355.4765739405766</v>
      </c>
      <c r="O181" s="174">
        <v>0</v>
      </c>
      <c r="P181" s="174">
        <v>0</v>
      </c>
      <c r="Q181" s="174">
        <v>0</v>
      </c>
      <c r="R181" s="175">
        <f t="shared" si="50"/>
        <v>-355.4765739405766</v>
      </c>
    </row>
    <row r="182" spans="1:18" x14ac:dyDescent="0.25">
      <c r="A182" s="95">
        <v>7</v>
      </c>
      <c r="B182" s="167">
        <f t="shared" si="45"/>
        <v>45474</v>
      </c>
      <c r="C182" s="188">
        <f t="shared" si="55"/>
        <v>45509</v>
      </c>
      <c r="D182" s="188">
        <f t="shared" si="55"/>
        <v>45530</v>
      </c>
      <c r="E182" s="52" t="s">
        <v>56</v>
      </c>
      <c r="F182" s="132">
        <v>9</v>
      </c>
      <c r="G182" s="169">
        <v>38</v>
      </c>
      <c r="H182" s="170">
        <f t="shared" si="46"/>
        <v>1030</v>
      </c>
      <c r="I182" s="170">
        <f t="shared" si="57"/>
        <v>1020.86</v>
      </c>
      <c r="J182" s="171">
        <f t="shared" si="47"/>
        <v>38792.68</v>
      </c>
      <c r="K182" s="178">
        <f t="shared" si="41"/>
        <v>39140</v>
      </c>
      <c r="L182" s="177">
        <f t="shared" si="56"/>
        <v>-347.31999999999971</v>
      </c>
      <c r="M182" s="174">
        <f t="shared" si="48"/>
        <v>-27.905272492829944</v>
      </c>
      <c r="N182" s="175">
        <f t="shared" si="49"/>
        <v>-375.22527249282967</v>
      </c>
      <c r="O182" s="174">
        <v>0</v>
      </c>
      <c r="P182" s="174">
        <v>0</v>
      </c>
      <c r="Q182" s="174">
        <v>0</v>
      </c>
      <c r="R182" s="175">
        <f t="shared" si="50"/>
        <v>-375.22527249282967</v>
      </c>
    </row>
    <row r="183" spans="1:18" x14ac:dyDescent="0.25">
      <c r="A183" s="132">
        <v>8</v>
      </c>
      <c r="B183" s="167">
        <f t="shared" si="45"/>
        <v>45505</v>
      </c>
      <c r="C183" s="188">
        <f t="shared" si="55"/>
        <v>45539</v>
      </c>
      <c r="D183" s="188">
        <f t="shared" si="55"/>
        <v>45559</v>
      </c>
      <c r="E183" s="52" t="s">
        <v>56</v>
      </c>
      <c r="F183" s="132">
        <v>9</v>
      </c>
      <c r="G183" s="169">
        <v>41</v>
      </c>
      <c r="H183" s="170">
        <f t="shared" si="46"/>
        <v>1030</v>
      </c>
      <c r="I183" s="170">
        <f t="shared" si="57"/>
        <v>1020.86</v>
      </c>
      <c r="J183" s="171">
        <f t="shared" si="47"/>
        <v>41855.26</v>
      </c>
      <c r="K183" s="178">
        <f t="shared" si="41"/>
        <v>42230</v>
      </c>
      <c r="L183" s="177">
        <f t="shared" si="56"/>
        <v>-374.73999999999796</v>
      </c>
      <c r="M183" s="174">
        <f t="shared" si="48"/>
        <v>-30.108320321211252</v>
      </c>
      <c r="N183" s="175">
        <f t="shared" si="49"/>
        <v>-404.8483203212092</v>
      </c>
      <c r="O183" s="174">
        <v>0</v>
      </c>
      <c r="P183" s="174">
        <v>0</v>
      </c>
      <c r="Q183" s="174">
        <v>0</v>
      </c>
      <c r="R183" s="175">
        <f t="shared" si="50"/>
        <v>-404.8483203212092</v>
      </c>
    </row>
    <row r="184" spans="1:18" x14ac:dyDescent="0.25">
      <c r="A184" s="132">
        <v>9</v>
      </c>
      <c r="B184" s="167">
        <f t="shared" si="45"/>
        <v>45536</v>
      </c>
      <c r="C184" s="188">
        <f t="shared" si="55"/>
        <v>45568</v>
      </c>
      <c r="D184" s="188">
        <f t="shared" si="55"/>
        <v>45589</v>
      </c>
      <c r="E184" s="52" t="s">
        <v>56</v>
      </c>
      <c r="F184" s="132">
        <v>9</v>
      </c>
      <c r="G184" s="169">
        <v>29</v>
      </c>
      <c r="H184" s="170">
        <f t="shared" si="46"/>
        <v>1030</v>
      </c>
      <c r="I184" s="170">
        <f t="shared" si="57"/>
        <v>1020.86</v>
      </c>
      <c r="J184" s="171">
        <f t="shared" si="47"/>
        <v>29604.94</v>
      </c>
      <c r="K184" s="178">
        <f t="shared" si="41"/>
        <v>29870</v>
      </c>
      <c r="L184" s="177">
        <f t="shared" si="56"/>
        <v>-265.06000000000131</v>
      </c>
      <c r="M184" s="174">
        <f t="shared" si="48"/>
        <v>-21.296129007686005</v>
      </c>
      <c r="N184" s="175">
        <f t="shared" si="49"/>
        <v>-286.35612900768729</v>
      </c>
      <c r="O184" s="174">
        <v>0</v>
      </c>
      <c r="P184" s="174">
        <v>0</v>
      </c>
      <c r="Q184" s="174">
        <v>0</v>
      </c>
      <c r="R184" s="175">
        <f t="shared" si="50"/>
        <v>-286.35612900768729</v>
      </c>
    </row>
    <row r="185" spans="1:18" x14ac:dyDescent="0.25">
      <c r="A185" s="95">
        <v>10</v>
      </c>
      <c r="B185" s="167">
        <f t="shared" si="45"/>
        <v>45566</v>
      </c>
      <c r="C185" s="188">
        <f t="shared" si="55"/>
        <v>45601</v>
      </c>
      <c r="D185" s="188">
        <f t="shared" si="55"/>
        <v>45621</v>
      </c>
      <c r="E185" s="52" t="s">
        <v>56</v>
      </c>
      <c r="F185" s="132">
        <v>9</v>
      </c>
      <c r="G185" s="169">
        <v>26</v>
      </c>
      <c r="H185" s="170">
        <f t="shared" si="46"/>
        <v>1030</v>
      </c>
      <c r="I185" s="170">
        <f t="shared" si="57"/>
        <v>1020.86</v>
      </c>
      <c r="J185" s="171">
        <f t="shared" si="47"/>
        <v>26542.36</v>
      </c>
      <c r="K185" s="178">
        <f t="shared" si="41"/>
        <v>26780</v>
      </c>
      <c r="L185" s="177">
        <f t="shared" si="56"/>
        <v>-237.63999999999942</v>
      </c>
      <c r="M185" s="174">
        <f t="shared" si="48"/>
        <v>-19.093081179304697</v>
      </c>
      <c r="N185" s="175">
        <f t="shared" si="49"/>
        <v>-256.73308117930412</v>
      </c>
      <c r="O185" s="174">
        <v>0</v>
      </c>
      <c r="P185" s="174">
        <v>0</v>
      </c>
      <c r="Q185" s="174">
        <v>0</v>
      </c>
      <c r="R185" s="175">
        <f t="shared" si="50"/>
        <v>-256.73308117930412</v>
      </c>
    </row>
    <row r="186" spans="1:18" x14ac:dyDescent="0.25">
      <c r="A186" s="132">
        <v>11</v>
      </c>
      <c r="B186" s="167">
        <f t="shared" si="45"/>
        <v>45597</v>
      </c>
      <c r="C186" s="188">
        <f t="shared" si="55"/>
        <v>45630</v>
      </c>
      <c r="D186" s="188">
        <f t="shared" si="55"/>
        <v>45650</v>
      </c>
      <c r="E186" s="52" t="s">
        <v>56</v>
      </c>
      <c r="F186" s="132">
        <v>9</v>
      </c>
      <c r="G186" s="169">
        <v>22</v>
      </c>
      <c r="H186" s="170">
        <f t="shared" si="46"/>
        <v>1030</v>
      </c>
      <c r="I186" s="170">
        <f t="shared" si="57"/>
        <v>1020.86</v>
      </c>
      <c r="J186" s="171">
        <f t="shared" si="47"/>
        <v>22458.920000000002</v>
      </c>
      <c r="K186" s="178">
        <f t="shared" si="41"/>
        <v>22660</v>
      </c>
      <c r="L186" s="177">
        <f t="shared" si="56"/>
        <v>-201.07999999999811</v>
      </c>
      <c r="M186" s="174">
        <f t="shared" si="48"/>
        <v>-16.15568407479628</v>
      </c>
      <c r="N186" s="175">
        <f t="shared" si="49"/>
        <v>-217.23568407479439</v>
      </c>
      <c r="O186" s="174">
        <v>0</v>
      </c>
      <c r="P186" s="174">
        <v>0</v>
      </c>
      <c r="Q186" s="174">
        <v>0</v>
      </c>
      <c r="R186" s="175">
        <f t="shared" si="50"/>
        <v>-217.23568407479439</v>
      </c>
    </row>
    <row r="187" spans="1:18" s="192" customFormat="1" x14ac:dyDescent="0.25">
      <c r="A187" s="132">
        <v>12</v>
      </c>
      <c r="B187" s="190">
        <f t="shared" si="45"/>
        <v>45627</v>
      </c>
      <c r="C187" s="193">
        <f t="shared" si="55"/>
        <v>45660</v>
      </c>
      <c r="D187" s="193">
        <f t="shared" si="55"/>
        <v>45681</v>
      </c>
      <c r="E187" s="191" t="s">
        <v>56</v>
      </c>
      <c r="F187" s="143">
        <v>9</v>
      </c>
      <c r="G187" s="169">
        <v>18</v>
      </c>
      <c r="H187" s="180">
        <f t="shared" si="46"/>
        <v>1030</v>
      </c>
      <c r="I187" s="180">
        <f t="shared" si="57"/>
        <v>1020.86</v>
      </c>
      <c r="J187" s="181">
        <f t="shared" si="47"/>
        <v>18375.48</v>
      </c>
      <c r="K187" s="182">
        <f t="shared" si="41"/>
        <v>18540</v>
      </c>
      <c r="L187" s="183">
        <f t="shared" si="56"/>
        <v>-164.52000000000044</v>
      </c>
      <c r="M187" s="181">
        <f t="shared" si="48"/>
        <v>-13.218286970287867</v>
      </c>
      <c r="N187" s="204">
        <f t="shared" si="49"/>
        <v>-177.7382869702883</v>
      </c>
      <c r="O187" s="181">
        <v>0</v>
      </c>
      <c r="P187" s="181">
        <v>0</v>
      </c>
      <c r="Q187" s="181">
        <v>0</v>
      </c>
      <c r="R187" s="204">
        <f t="shared" si="50"/>
        <v>-177.7382869702883</v>
      </c>
    </row>
    <row r="188" spans="1:18" x14ac:dyDescent="0.25">
      <c r="A188" s="95">
        <v>1</v>
      </c>
      <c r="B188" s="167">
        <f t="shared" si="45"/>
        <v>45292</v>
      </c>
      <c r="C188" s="188">
        <f t="shared" ref="C188:D211" si="58">+C176</f>
        <v>45327</v>
      </c>
      <c r="D188" s="188">
        <f t="shared" si="58"/>
        <v>45348</v>
      </c>
      <c r="E188" s="168" t="s">
        <v>57</v>
      </c>
      <c r="F188" s="95">
        <v>9</v>
      </c>
      <c r="G188" s="169">
        <v>34</v>
      </c>
      <c r="H188" s="170">
        <f t="shared" si="46"/>
        <v>1030</v>
      </c>
      <c r="I188" s="170">
        <f t="shared" si="57"/>
        <v>1020.86</v>
      </c>
      <c r="J188" s="171">
        <f t="shared" si="47"/>
        <v>34709.24</v>
      </c>
      <c r="K188" s="172">
        <f t="shared" si="41"/>
        <v>35020</v>
      </c>
      <c r="L188" s="173">
        <f t="shared" si="56"/>
        <v>-310.76000000000204</v>
      </c>
      <c r="M188" s="174">
        <f t="shared" si="48"/>
        <v>-24.967875388321527</v>
      </c>
      <c r="N188" s="175">
        <f t="shared" si="49"/>
        <v>-335.72787538832358</v>
      </c>
      <c r="O188" s="174">
        <v>0</v>
      </c>
      <c r="P188" s="174">
        <v>0</v>
      </c>
      <c r="Q188" s="174">
        <v>0</v>
      </c>
      <c r="R188" s="175">
        <f t="shared" si="50"/>
        <v>-335.72787538832358</v>
      </c>
    </row>
    <row r="189" spans="1:18" x14ac:dyDescent="0.25">
      <c r="A189" s="132">
        <v>2</v>
      </c>
      <c r="B189" s="167">
        <f t="shared" si="45"/>
        <v>45323</v>
      </c>
      <c r="C189" s="188">
        <f t="shared" si="58"/>
        <v>45356</v>
      </c>
      <c r="D189" s="188">
        <f t="shared" si="58"/>
        <v>45376</v>
      </c>
      <c r="E189" s="176" t="s">
        <v>57</v>
      </c>
      <c r="F189" s="132">
        <v>9</v>
      </c>
      <c r="G189" s="169">
        <v>32</v>
      </c>
      <c r="H189" s="170">
        <f t="shared" si="46"/>
        <v>1030</v>
      </c>
      <c r="I189" s="170">
        <f t="shared" si="57"/>
        <v>1020.86</v>
      </c>
      <c r="J189" s="171">
        <f t="shared" si="47"/>
        <v>32667.52</v>
      </c>
      <c r="K189" s="172">
        <f t="shared" si="41"/>
        <v>32960</v>
      </c>
      <c r="L189" s="173">
        <f t="shared" si="56"/>
        <v>-292.47999999999956</v>
      </c>
      <c r="M189" s="174">
        <f t="shared" si="48"/>
        <v>-23.499176836067321</v>
      </c>
      <c r="N189" s="175">
        <f t="shared" si="49"/>
        <v>-315.97917683606687</v>
      </c>
      <c r="O189" s="174">
        <v>0</v>
      </c>
      <c r="P189" s="174">
        <v>0</v>
      </c>
      <c r="Q189" s="174">
        <v>0</v>
      </c>
      <c r="R189" s="175">
        <f t="shared" si="50"/>
        <v>-315.97917683606687</v>
      </c>
    </row>
    <row r="190" spans="1:18" x14ac:dyDescent="0.25">
      <c r="A190" s="132">
        <v>3</v>
      </c>
      <c r="B190" s="167">
        <f t="shared" si="45"/>
        <v>45352</v>
      </c>
      <c r="C190" s="188">
        <f t="shared" si="58"/>
        <v>45385</v>
      </c>
      <c r="D190" s="188">
        <f t="shared" si="58"/>
        <v>45406</v>
      </c>
      <c r="E190" s="176" t="s">
        <v>57</v>
      </c>
      <c r="F190" s="132">
        <v>9</v>
      </c>
      <c r="G190" s="169">
        <v>32</v>
      </c>
      <c r="H190" s="170">
        <f t="shared" si="46"/>
        <v>1030</v>
      </c>
      <c r="I190" s="170">
        <f t="shared" si="57"/>
        <v>1020.86</v>
      </c>
      <c r="J190" s="171">
        <f t="shared" si="47"/>
        <v>32667.52</v>
      </c>
      <c r="K190" s="172">
        <f t="shared" si="41"/>
        <v>32960</v>
      </c>
      <c r="L190" s="173">
        <f>+J190-K190</f>
        <v>-292.47999999999956</v>
      </c>
      <c r="M190" s="174">
        <f t="shared" si="48"/>
        <v>-23.499176836067321</v>
      </c>
      <c r="N190" s="175">
        <f t="shared" si="49"/>
        <v>-315.97917683606687</v>
      </c>
      <c r="O190" s="174">
        <v>0</v>
      </c>
      <c r="P190" s="174">
        <v>0</v>
      </c>
      <c r="Q190" s="174">
        <v>0</v>
      </c>
      <c r="R190" s="175">
        <f t="shared" si="50"/>
        <v>-315.97917683606687</v>
      </c>
    </row>
    <row r="191" spans="1:18" x14ac:dyDescent="0.25">
      <c r="A191" s="95">
        <v>4</v>
      </c>
      <c r="B191" s="167">
        <f t="shared" si="45"/>
        <v>45383</v>
      </c>
      <c r="C191" s="188">
        <f t="shared" si="58"/>
        <v>45415</v>
      </c>
      <c r="D191" s="188">
        <f t="shared" si="58"/>
        <v>45436</v>
      </c>
      <c r="E191" s="52" t="s">
        <v>57</v>
      </c>
      <c r="F191" s="132">
        <v>9</v>
      </c>
      <c r="G191" s="169">
        <v>33</v>
      </c>
      <c r="H191" s="170">
        <f t="shared" si="46"/>
        <v>1030</v>
      </c>
      <c r="I191" s="170">
        <f t="shared" si="57"/>
        <v>1020.86</v>
      </c>
      <c r="J191" s="171">
        <f t="shared" si="47"/>
        <v>33688.379999999997</v>
      </c>
      <c r="K191" s="172">
        <f t="shared" si="41"/>
        <v>33990</v>
      </c>
      <c r="L191" s="173">
        <f t="shared" ref="L191:L201" si="59">+J191-K191</f>
        <v>-301.62000000000262</v>
      </c>
      <c r="M191" s="174">
        <f t="shared" si="48"/>
        <v>-24.233526112194422</v>
      </c>
      <c r="N191" s="175">
        <f t="shared" si="49"/>
        <v>-325.85352611219702</v>
      </c>
      <c r="O191" s="174">
        <v>0</v>
      </c>
      <c r="P191" s="174">
        <v>0</v>
      </c>
      <c r="Q191" s="174">
        <v>0</v>
      </c>
      <c r="R191" s="175">
        <f t="shared" si="50"/>
        <v>-325.85352611219702</v>
      </c>
    </row>
    <row r="192" spans="1:18" x14ac:dyDescent="0.25">
      <c r="A192" s="132">
        <v>5</v>
      </c>
      <c r="B192" s="167">
        <f t="shared" si="45"/>
        <v>45413</v>
      </c>
      <c r="C192" s="188">
        <f t="shared" si="58"/>
        <v>45448</v>
      </c>
      <c r="D192" s="188">
        <f t="shared" si="58"/>
        <v>45467</v>
      </c>
      <c r="E192" s="52" t="s">
        <v>57</v>
      </c>
      <c r="F192" s="132">
        <v>9</v>
      </c>
      <c r="G192" s="169">
        <v>40</v>
      </c>
      <c r="H192" s="170">
        <f t="shared" si="46"/>
        <v>1030</v>
      </c>
      <c r="I192" s="170">
        <f t="shared" si="57"/>
        <v>1020.86</v>
      </c>
      <c r="J192" s="171">
        <f t="shared" si="47"/>
        <v>40834.400000000001</v>
      </c>
      <c r="K192" s="172">
        <f t="shared" si="41"/>
        <v>41200</v>
      </c>
      <c r="L192" s="173">
        <f t="shared" si="59"/>
        <v>-365.59999999999854</v>
      </c>
      <c r="M192" s="174">
        <f t="shared" si="48"/>
        <v>-29.373971045084151</v>
      </c>
      <c r="N192" s="175">
        <f t="shared" si="49"/>
        <v>-394.97397104508269</v>
      </c>
      <c r="O192" s="174">
        <v>0</v>
      </c>
      <c r="P192" s="174">
        <v>0</v>
      </c>
      <c r="Q192" s="174">
        <v>0</v>
      </c>
      <c r="R192" s="175">
        <f t="shared" si="50"/>
        <v>-394.97397104508269</v>
      </c>
    </row>
    <row r="193" spans="1:18" x14ac:dyDescent="0.25">
      <c r="A193" s="132">
        <v>6</v>
      </c>
      <c r="B193" s="167">
        <f t="shared" si="45"/>
        <v>45444</v>
      </c>
      <c r="C193" s="188">
        <f t="shared" si="58"/>
        <v>45476</v>
      </c>
      <c r="D193" s="188">
        <f t="shared" si="58"/>
        <v>45497</v>
      </c>
      <c r="E193" s="52" t="s">
        <v>57</v>
      </c>
      <c r="F193" s="132">
        <v>9</v>
      </c>
      <c r="G193" s="169">
        <v>47</v>
      </c>
      <c r="H193" s="170">
        <f t="shared" si="46"/>
        <v>1030</v>
      </c>
      <c r="I193" s="170">
        <f t="shared" si="57"/>
        <v>1020.86</v>
      </c>
      <c r="J193" s="171">
        <f t="shared" si="47"/>
        <v>47980.42</v>
      </c>
      <c r="K193" s="172">
        <f t="shared" si="41"/>
        <v>48410</v>
      </c>
      <c r="L193" s="177">
        <f t="shared" si="59"/>
        <v>-429.58000000000175</v>
      </c>
      <c r="M193" s="174">
        <f t="shared" si="48"/>
        <v>-34.514415977973876</v>
      </c>
      <c r="N193" s="175">
        <f t="shared" si="49"/>
        <v>-464.09441597797564</v>
      </c>
      <c r="O193" s="174">
        <v>0</v>
      </c>
      <c r="P193" s="174">
        <v>0</v>
      </c>
      <c r="Q193" s="174">
        <v>0</v>
      </c>
      <c r="R193" s="175">
        <f t="shared" si="50"/>
        <v>-464.09441597797564</v>
      </c>
    </row>
    <row r="194" spans="1:18" x14ac:dyDescent="0.25">
      <c r="A194" s="95">
        <v>7</v>
      </c>
      <c r="B194" s="167">
        <f t="shared" si="45"/>
        <v>45474</v>
      </c>
      <c r="C194" s="188">
        <f t="shared" si="58"/>
        <v>45509</v>
      </c>
      <c r="D194" s="188">
        <f t="shared" si="58"/>
        <v>45530</v>
      </c>
      <c r="E194" s="52" t="s">
        <v>57</v>
      </c>
      <c r="F194" s="132">
        <v>9</v>
      </c>
      <c r="G194" s="169">
        <v>47</v>
      </c>
      <c r="H194" s="170">
        <f t="shared" si="46"/>
        <v>1030</v>
      </c>
      <c r="I194" s="170">
        <f t="shared" si="57"/>
        <v>1020.86</v>
      </c>
      <c r="J194" s="171">
        <f t="shared" si="47"/>
        <v>47980.42</v>
      </c>
      <c r="K194" s="178">
        <f t="shared" si="41"/>
        <v>48410</v>
      </c>
      <c r="L194" s="177">
        <f t="shared" si="59"/>
        <v>-429.58000000000175</v>
      </c>
      <c r="M194" s="174">
        <f t="shared" si="48"/>
        <v>-34.514415977973876</v>
      </c>
      <c r="N194" s="175">
        <f t="shared" si="49"/>
        <v>-464.09441597797564</v>
      </c>
      <c r="O194" s="174">
        <v>0</v>
      </c>
      <c r="P194" s="174">
        <v>0</v>
      </c>
      <c r="Q194" s="174">
        <v>0</v>
      </c>
      <c r="R194" s="175">
        <f t="shared" si="50"/>
        <v>-464.09441597797564</v>
      </c>
    </row>
    <row r="195" spans="1:18" x14ac:dyDescent="0.25">
      <c r="A195" s="132">
        <v>8</v>
      </c>
      <c r="B195" s="167">
        <f t="shared" si="45"/>
        <v>45505</v>
      </c>
      <c r="C195" s="188">
        <f t="shared" si="58"/>
        <v>45539</v>
      </c>
      <c r="D195" s="188">
        <f t="shared" si="58"/>
        <v>45559</v>
      </c>
      <c r="E195" s="52" t="s">
        <v>57</v>
      </c>
      <c r="F195" s="132">
        <v>9</v>
      </c>
      <c r="G195" s="169">
        <v>51</v>
      </c>
      <c r="H195" s="170">
        <f t="shared" si="46"/>
        <v>1030</v>
      </c>
      <c r="I195" s="170">
        <f t="shared" si="57"/>
        <v>1020.86</v>
      </c>
      <c r="J195" s="171">
        <f t="shared" si="47"/>
        <v>52063.86</v>
      </c>
      <c r="K195" s="178">
        <f t="shared" si="41"/>
        <v>52530</v>
      </c>
      <c r="L195" s="177">
        <f t="shared" si="59"/>
        <v>-466.13999999999942</v>
      </c>
      <c r="M195" s="174">
        <f t="shared" si="48"/>
        <v>-37.451813082482289</v>
      </c>
      <c r="N195" s="175">
        <f t="shared" si="49"/>
        <v>-503.59181308248174</v>
      </c>
      <c r="O195" s="174">
        <v>0</v>
      </c>
      <c r="P195" s="174">
        <v>0</v>
      </c>
      <c r="Q195" s="174">
        <v>0</v>
      </c>
      <c r="R195" s="175">
        <f t="shared" si="50"/>
        <v>-503.59181308248174</v>
      </c>
    </row>
    <row r="196" spans="1:18" x14ac:dyDescent="0.25">
      <c r="A196" s="132">
        <v>9</v>
      </c>
      <c r="B196" s="167">
        <f t="shared" si="45"/>
        <v>45536</v>
      </c>
      <c r="C196" s="188">
        <f t="shared" si="58"/>
        <v>45568</v>
      </c>
      <c r="D196" s="188">
        <f t="shared" si="58"/>
        <v>45589</v>
      </c>
      <c r="E196" s="52" t="s">
        <v>57</v>
      </c>
      <c r="F196" s="132">
        <v>9</v>
      </c>
      <c r="G196" s="169">
        <v>43</v>
      </c>
      <c r="H196" s="170">
        <f t="shared" si="46"/>
        <v>1030</v>
      </c>
      <c r="I196" s="170">
        <f t="shared" si="57"/>
        <v>1020.86</v>
      </c>
      <c r="J196" s="171">
        <f t="shared" si="47"/>
        <v>43896.98</v>
      </c>
      <c r="K196" s="178">
        <f t="shared" si="41"/>
        <v>44290</v>
      </c>
      <c r="L196" s="177">
        <f t="shared" si="59"/>
        <v>-393.0199999999968</v>
      </c>
      <c r="M196" s="174">
        <f t="shared" si="48"/>
        <v>-31.577018873465459</v>
      </c>
      <c r="N196" s="175">
        <f t="shared" si="49"/>
        <v>-424.59701887346228</v>
      </c>
      <c r="O196" s="174">
        <v>0</v>
      </c>
      <c r="P196" s="174">
        <v>0</v>
      </c>
      <c r="Q196" s="174">
        <v>0</v>
      </c>
      <c r="R196" s="175">
        <f t="shared" si="50"/>
        <v>-424.59701887346228</v>
      </c>
    </row>
    <row r="197" spans="1:18" x14ac:dyDescent="0.25">
      <c r="A197" s="95">
        <v>10</v>
      </c>
      <c r="B197" s="167">
        <f t="shared" si="45"/>
        <v>45566</v>
      </c>
      <c r="C197" s="188">
        <f t="shared" si="58"/>
        <v>45601</v>
      </c>
      <c r="D197" s="188">
        <f t="shared" si="58"/>
        <v>45621</v>
      </c>
      <c r="E197" s="52" t="s">
        <v>57</v>
      </c>
      <c r="F197" s="132">
        <v>9</v>
      </c>
      <c r="G197" s="169">
        <v>37</v>
      </c>
      <c r="H197" s="170">
        <f t="shared" si="46"/>
        <v>1030</v>
      </c>
      <c r="I197" s="170">
        <f t="shared" si="57"/>
        <v>1020.86</v>
      </c>
      <c r="J197" s="171">
        <f t="shared" si="47"/>
        <v>37771.82</v>
      </c>
      <c r="K197" s="178">
        <f t="shared" si="41"/>
        <v>38110</v>
      </c>
      <c r="L197" s="177">
        <f t="shared" si="59"/>
        <v>-338.18000000000029</v>
      </c>
      <c r="M197" s="174">
        <f t="shared" si="48"/>
        <v>-27.170923216702835</v>
      </c>
      <c r="N197" s="175">
        <f t="shared" si="49"/>
        <v>-365.35092321670311</v>
      </c>
      <c r="O197" s="174">
        <v>0</v>
      </c>
      <c r="P197" s="174">
        <v>0</v>
      </c>
      <c r="Q197" s="174">
        <v>0</v>
      </c>
      <c r="R197" s="175">
        <f t="shared" si="50"/>
        <v>-365.35092321670311</v>
      </c>
    </row>
    <row r="198" spans="1:18" x14ac:dyDescent="0.25">
      <c r="A198" s="132">
        <v>11</v>
      </c>
      <c r="B198" s="167">
        <f t="shared" si="45"/>
        <v>45597</v>
      </c>
      <c r="C198" s="188">
        <f t="shared" si="58"/>
        <v>45630</v>
      </c>
      <c r="D198" s="188">
        <f t="shared" si="58"/>
        <v>45650</v>
      </c>
      <c r="E198" s="52" t="s">
        <v>57</v>
      </c>
      <c r="F198" s="132">
        <v>9</v>
      </c>
      <c r="G198" s="169">
        <v>34</v>
      </c>
      <c r="H198" s="170">
        <f t="shared" si="46"/>
        <v>1030</v>
      </c>
      <c r="I198" s="170">
        <f t="shared" si="57"/>
        <v>1020.86</v>
      </c>
      <c r="J198" s="171">
        <f t="shared" si="47"/>
        <v>34709.24</v>
      </c>
      <c r="K198" s="178">
        <f t="shared" ref="K198:K209" si="60">+$G198*H198</f>
        <v>35020</v>
      </c>
      <c r="L198" s="177">
        <f t="shared" si="59"/>
        <v>-310.76000000000204</v>
      </c>
      <c r="M198" s="174">
        <f t="shared" si="48"/>
        <v>-24.967875388321527</v>
      </c>
      <c r="N198" s="175">
        <f t="shared" si="49"/>
        <v>-335.72787538832358</v>
      </c>
      <c r="O198" s="174">
        <v>0</v>
      </c>
      <c r="P198" s="174">
        <v>0</v>
      </c>
      <c r="Q198" s="174">
        <v>0</v>
      </c>
      <c r="R198" s="175">
        <f t="shared" si="50"/>
        <v>-335.72787538832358</v>
      </c>
    </row>
    <row r="199" spans="1:18" s="192" customFormat="1" x14ac:dyDescent="0.25">
      <c r="A199" s="132">
        <v>12</v>
      </c>
      <c r="B199" s="190">
        <f t="shared" si="45"/>
        <v>45627</v>
      </c>
      <c r="C199" s="188">
        <f t="shared" si="58"/>
        <v>45660</v>
      </c>
      <c r="D199" s="188">
        <f t="shared" si="58"/>
        <v>45681</v>
      </c>
      <c r="E199" s="191" t="s">
        <v>57</v>
      </c>
      <c r="F199" s="143">
        <v>9</v>
      </c>
      <c r="G199" s="169">
        <v>32</v>
      </c>
      <c r="H199" s="180">
        <f t="shared" si="46"/>
        <v>1030</v>
      </c>
      <c r="I199" s="180">
        <f t="shared" si="57"/>
        <v>1020.86</v>
      </c>
      <c r="J199" s="181">
        <f t="shared" si="47"/>
        <v>32667.52</v>
      </c>
      <c r="K199" s="182">
        <f t="shared" si="60"/>
        <v>32960</v>
      </c>
      <c r="L199" s="183">
        <f t="shared" si="59"/>
        <v>-292.47999999999956</v>
      </c>
      <c r="M199" s="174">
        <f t="shared" si="48"/>
        <v>-23.499176836067321</v>
      </c>
      <c r="N199" s="175">
        <f t="shared" si="49"/>
        <v>-315.97917683606687</v>
      </c>
      <c r="O199" s="174">
        <v>0</v>
      </c>
      <c r="P199" s="174">
        <v>0</v>
      </c>
      <c r="Q199" s="174">
        <v>0</v>
      </c>
      <c r="R199" s="175">
        <f t="shared" si="50"/>
        <v>-315.97917683606687</v>
      </c>
    </row>
    <row r="200" spans="1:18" x14ac:dyDescent="0.25">
      <c r="A200" s="95">
        <v>1</v>
      </c>
      <c r="B200" s="167">
        <f t="shared" si="45"/>
        <v>45292</v>
      </c>
      <c r="C200" s="185">
        <f t="shared" si="58"/>
        <v>45327</v>
      </c>
      <c r="D200" s="185">
        <f t="shared" si="58"/>
        <v>45348</v>
      </c>
      <c r="E200" s="168" t="s">
        <v>17</v>
      </c>
      <c r="F200" s="95">
        <v>9</v>
      </c>
      <c r="G200" s="169">
        <v>104</v>
      </c>
      <c r="H200" s="170">
        <f t="shared" si="46"/>
        <v>1030</v>
      </c>
      <c r="I200" s="170">
        <f t="shared" si="57"/>
        <v>1020.86</v>
      </c>
      <c r="J200" s="171">
        <f t="shared" si="47"/>
        <v>106169.44</v>
      </c>
      <c r="K200" s="172">
        <f t="shared" si="60"/>
        <v>107120</v>
      </c>
      <c r="L200" s="173">
        <f t="shared" si="59"/>
        <v>-950.55999999999767</v>
      </c>
      <c r="M200" s="174">
        <f t="shared" si="48"/>
        <v>-76.372324717218788</v>
      </c>
      <c r="N200" s="175">
        <f t="shared" si="49"/>
        <v>-1026.9323247172165</v>
      </c>
      <c r="O200" s="174">
        <v>0</v>
      </c>
      <c r="P200" s="174">
        <v>0</v>
      </c>
      <c r="Q200" s="174">
        <v>0</v>
      </c>
      <c r="R200" s="175">
        <f t="shared" si="50"/>
        <v>-1026.9323247172165</v>
      </c>
    </row>
    <row r="201" spans="1:18" x14ac:dyDescent="0.25">
      <c r="A201" s="132">
        <v>2</v>
      </c>
      <c r="B201" s="167">
        <f t="shared" si="45"/>
        <v>45323</v>
      </c>
      <c r="C201" s="188">
        <f t="shared" si="58"/>
        <v>45356</v>
      </c>
      <c r="D201" s="188">
        <f t="shared" si="58"/>
        <v>45376</v>
      </c>
      <c r="E201" s="176" t="s">
        <v>17</v>
      </c>
      <c r="F201" s="132">
        <v>9</v>
      </c>
      <c r="G201" s="169">
        <v>99</v>
      </c>
      <c r="H201" s="170">
        <f t="shared" si="46"/>
        <v>1030</v>
      </c>
      <c r="I201" s="170">
        <f t="shared" si="57"/>
        <v>1020.86</v>
      </c>
      <c r="J201" s="171">
        <f t="shared" si="47"/>
        <v>101065.14</v>
      </c>
      <c r="K201" s="172">
        <f t="shared" si="60"/>
        <v>101970</v>
      </c>
      <c r="L201" s="173">
        <f t="shared" si="59"/>
        <v>-904.86000000000058</v>
      </c>
      <c r="M201" s="174">
        <f t="shared" si="48"/>
        <v>-72.700578336583263</v>
      </c>
      <c r="N201" s="175">
        <f t="shared" si="49"/>
        <v>-977.56057833658383</v>
      </c>
      <c r="O201" s="174">
        <v>0</v>
      </c>
      <c r="P201" s="174">
        <v>0</v>
      </c>
      <c r="Q201" s="174">
        <v>0</v>
      </c>
      <c r="R201" s="175">
        <f t="shared" si="50"/>
        <v>-977.56057833658383</v>
      </c>
    </row>
    <row r="202" spans="1:18" x14ac:dyDescent="0.25">
      <c r="A202" s="132">
        <v>3</v>
      </c>
      <c r="B202" s="167">
        <f t="shared" si="45"/>
        <v>45352</v>
      </c>
      <c r="C202" s="188">
        <f t="shared" si="58"/>
        <v>45385</v>
      </c>
      <c r="D202" s="188">
        <f t="shared" si="58"/>
        <v>45406</v>
      </c>
      <c r="E202" s="176" t="s">
        <v>17</v>
      </c>
      <c r="F202" s="132">
        <v>9</v>
      </c>
      <c r="G202" s="169">
        <v>99</v>
      </c>
      <c r="H202" s="170">
        <f t="shared" si="46"/>
        <v>1030</v>
      </c>
      <c r="I202" s="170">
        <f t="shared" si="57"/>
        <v>1020.86</v>
      </c>
      <c r="J202" s="171">
        <f t="shared" si="47"/>
        <v>101065.14</v>
      </c>
      <c r="K202" s="172">
        <f t="shared" si="60"/>
        <v>101970</v>
      </c>
      <c r="L202" s="173">
        <f>+J202-K202</f>
        <v>-904.86000000000058</v>
      </c>
      <c r="M202" s="174">
        <f t="shared" si="48"/>
        <v>-72.700578336583263</v>
      </c>
      <c r="N202" s="175">
        <f t="shared" si="49"/>
        <v>-977.56057833658383</v>
      </c>
      <c r="O202" s="174">
        <v>0</v>
      </c>
      <c r="P202" s="174">
        <v>0</v>
      </c>
      <c r="Q202" s="174">
        <v>0</v>
      </c>
      <c r="R202" s="175">
        <f t="shared" si="50"/>
        <v>-977.56057833658383</v>
      </c>
    </row>
    <row r="203" spans="1:18" x14ac:dyDescent="0.25">
      <c r="A203" s="95">
        <v>4</v>
      </c>
      <c r="B203" s="167">
        <f t="shared" si="45"/>
        <v>45383</v>
      </c>
      <c r="C203" s="188">
        <f t="shared" si="58"/>
        <v>45415</v>
      </c>
      <c r="D203" s="188">
        <f t="shared" si="58"/>
        <v>45436</v>
      </c>
      <c r="E203" s="176" t="s">
        <v>17</v>
      </c>
      <c r="F203" s="132">
        <v>9</v>
      </c>
      <c r="G203" s="169">
        <v>99</v>
      </c>
      <c r="H203" s="170">
        <f t="shared" si="46"/>
        <v>1030</v>
      </c>
      <c r="I203" s="170">
        <f t="shared" si="57"/>
        <v>1020.86</v>
      </c>
      <c r="J203" s="171">
        <f t="shared" si="47"/>
        <v>101065.14</v>
      </c>
      <c r="K203" s="172">
        <f t="shared" si="60"/>
        <v>101970</v>
      </c>
      <c r="L203" s="173">
        <f t="shared" ref="L203:L211" si="61">+J203-K203</f>
        <v>-904.86000000000058</v>
      </c>
      <c r="M203" s="174">
        <f t="shared" si="48"/>
        <v>-72.700578336583263</v>
      </c>
      <c r="N203" s="175">
        <f t="shared" si="49"/>
        <v>-977.56057833658383</v>
      </c>
      <c r="O203" s="174">
        <v>0</v>
      </c>
      <c r="P203" s="174">
        <v>0</v>
      </c>
      <c r="Q203" s="174">
        <v>0</v>
      </c>
      <c r="R203" s="175">
        <f t="shared" si="50"/>
        <v>-977.56057833658383</v>
      </c>
    </row>
    <row r="204" spans="1:18" x14ac:dyDescent="0.25">
      <c r="A204" s="132">
        <v>5</v>
      </c>
      <c r="B204" s="167">
        <f t="shared" si="45"/>
        <v>45413</v>
      </c>
      <c r="C204" s="188">
        <f t="shared" si="58"/>
        <v>45448</v>
      </c>
      <c r="D204" s="188">
        <f t="shared" si="58"/>
        <v>45467</v>
      </c>
      <c r="E204" s="52" t="s">
        <v>17</v>
      </c>
      <c r="F204" s="132">
        <v>9</v>
      </c>
      <c r="G204" s="169">
        <v>106</v>
      </c>
      <c r="H204" s="170">
        <f t="shared" si="46"/>
        <v>1030</v>
      </c>
      <c r="I204" s="170">
        <f t="shared" si="57"/>
        <v>1020.86</v>
      </c>
      <c r="J204" s="171">
        <f t="shared" si="47"/>
        <v>108211.16</v>
      </c>
      <c r="K204" s="172">
        <f t="shared" si="60"/>
        <v>109180</v>
      </c>
      <c r="L204" s="173">
        <f t="shared" si="61"/>
        <v>-968.83999999999651</v>
      </c>
      <c r="M204" s="174">
        <f t="shared" si="48"/>
        <v>-77.841023269472998</v>
      </c>
      <c r="N204" s="175">
        <f t="shared" si="49"/>
        <v>-1046.6810232694695</v>
      </c>
      <c r="O204" s="174">
        <v>0</v>
      </c>
      <c r="P204" s="174">
        <v>0</v>
      </c>
      <c r="Q204" s="174">
        <v>0</v>
      </c>
      <c r="R204" s="175">
        <f t="shared" si="50"/>
        <v>-1046.6810232694695</v>
      </c>
    </row>
    <row r="205" spans="1:18" x14ac:dyDescent="0.25">
      <c r="A205" s="132">
        <v>6</v>
      </c>
      <c r="B205" s="167">
        <f t="shared" si="45"/>
        <v>45444</v>
      </c>
      <c r="C205" s="188">
        <f t="shared" si="58"/>
        <v>45476</v>
      </c>
      <c r="D205" s="188">
        <f t="shared" si="58"/>
        <v>45497</v>
      </c>
      <c r="E205" s="52" t="s">
        <v>17</v>
      </c>
      <c r="F205" s="132">
        <v>9</v>
      </c>
      <c r="G205" s="169">
        <v>120</v>
      </c>
      <c r="H205" s="170">
        <f t="shared" si="46"/>
        <v>1030</v>
      </c>
      <c r="I205" s="170">
        <f t="shared" si="57"/>
        <v>1020.86</v>
      </c>
      <c r="J205" s="171">
        <f t="shared" si="47"/>
        <v>122503.2</v>
      </c>
      <c r="K205" s="172">
        <f t="shared" si="60"/>
        <v>123600</v>
      </c>
      <c r="L205" s="177">
        <f t="shared" si="61"/>
        <v>-1096.8000000000029</v>
      </c>
      <c r="M205" s="174">
        <f t="shared" si="48"/>
        <v>-88.121913135252441</v>
      </c>
      <c r="N205" s="175">
        <f t="shared" si="49"/>
        <v>-1184.9219131352554</v>
      </c>
      <c r="O205" s="174">
        <v>0</v>
      </c>
      <c r="P205" s="174">
        <v>0</v>
      </c>
      <c r="Q205" s="174">
        <v>0</v>
      </c>
      <c r="R205" s="175">
        <f t="shared" si="50"/>
        <v>-1184.9219131352554</v>
      </c>
    </row>
    <row r="206" spans="1:18" x14ac:dyDescent="0.25">
      <c r="A206" s="95">
        <v>7</v>
      </c>
      <c r="B206" s="167">
        <f t="shared" si="45"/>
        <v>45474</v>
      </c>
      <c r="C206" s="188">
        <f t="shared" si="58"/>
        <v>45509</v>
      </c>
      <c r="D206" s="188">
        <f t="shared" si="58"/>
        <v>45530</v>
      </c>
      <c r="E206" s="52" t="s">
        <v>17</v>
      </c>
      <c r="F206" s="132">
        <v>9</v>
      </c>
      <c r="G206" s="169">
        <v>117</v>
      </c>
      <c r="H206" s="170">
        <f t="shared" si="46"/>
        <v>1030</v>
      </c>
      <c r="I206" s="170">
        <f t="shared" si="57"/>
        <v>1020.86</v>
      </c>
      <c r="J206" s="171">
        <f t="shared" si="47"/>
        <v>119440.62</v>
      </c>
      <c r="K206" s="178">
        <f t="shared" si="60"/>
        <v>120510</v>
      </c>
      <c r="L206" s="177">
        <f t="shared" si="61"/>
        <v>-1069.3800000000047</v>
      </c>
      <c r="M206" s="174">
        <f t="shared" si="48"/>
        <v>-85.91886530687114</v>
      </c>
      <c r="N206" s="175">
        <f t="shared" si="49"/>
        <v>-1155.2988653068758</v>
      </c>
      <c r="O206" s="174">
        <v>0</v>
      </c>
      <c r="P206" s="174">
        <v>0</v>
      </c>
      <c r="Q206" s="174">
        <v>0</v>
      </c>
      <c r="R206" s="175">
        <f t="shared" si="50"/>
        <v>-1155.2988653068758</v>
      </c>
    </row>
    <row r="207" spans="1:18" x14ac:dyDescent="0.25">
      <c r="A207" s="132">
        <v>8</v>
      </c>
      <c r="B207" s="167">
        <f t="shared" si="45"/>
        <v>45505</v>
      </c>
      <c r="C207" s="188">
        <f t="shared" si="58"/>
        <v>45539</v>
      </c>
      <c r="D207" s="188">
        <f t="shared" si="58"/>
        <v>45559</v>
      </c>
      <c r="E207" s="52" t="s">
        <v>17</v>
      </c>
      <c r="F207" s="132">
        <v>9</v>
      </c>
      <c r="G207" s="169">
        <v>118</v>
      </c>
      <c r="H207" s="170">
        <f t="shared" si="46"/>
        <v>1030</v>
      </c>
      <c r="I207" s="170">
        <f t="shared" si="57"/>
        <v>1020.86</v>
      </c>
      <c r="J207" s="171">
        <f t="shared" si="47"/>
        <v>120461.48</v>
      </c>
      <c r="K207" s="178">
        <f t="shared" si="60"/>
        <v>121540</v>
      </c>
      <c r="L207" s="177">
        <f t="shared" si="61"/>
        <v>-1078.5200000000041</v>
      </c>
      <c r="M207" s="174">
        <f t="shared" si="48"/>
        <v>-86.653214582998231</v>
      </c>
      <c r="N207" s="175">
        <f t="shared" si="49"/>
        <v>-1165.1732145830024</v>
      </c>
      <c r="O207" s="174">
        <v>0</v>
      </c>
      <c r="P207" s="174">
        <v>0</v>
      </c>
      <c r="Q207" s="174">
        <v>0</v>
      </c>
      <c r="R207" s="175">
        <f t="shared" si="50"/>
        <v>-1165.1732145830024</v>
      </c>
    </row>
    <row r="208" spans="1:18" x14ac:dyDescent="0.25">
      <c r="A208" s="132">
        <v>9</v>
      </c>
      <c r="B208" s="167">
        <f t="shared" si="45"/>
        <v>45536</v>
      </c>
      <c r="C208" s="188">
        <f t="shared" si="58"/>
        <v>45568</v>
      </c>
      <c r="D208" s="188">
        <f t="shared" si="58"/>
        <v>45589</v>
      </c>
      <c r="E208" s="52" t="s">
        <v>17</v>
      </c>
      <c r="F208" s="132">
        <v>9</v>
      </c>
      <c r="G208" s="169">
        <v>117</v>
      </c>
      <c r="H208" s="170">
        <f t="shared" si="46"/>
        <v>1030</v>
      </c>
      <c r="I208" s="170">
        <f t="shared" si="57"/>
        <v>1020.86</v>
      </c>
      <c r="J208" s="171">
        <f t="shared" si="47"/>
        <v>119440.62</v>
      </c>
      <c r="K208" s="178">
        <f t="shared" si="60"/>
        <v>120510</v>
      </c>
      <c r="L208" s="177">
        <f t="shared" si="61"/>
        <v>-1069.3800000000047</v>
      </c>
      <c r="M208" s="174">
        <f t="shared" si="48"/>
        <v>-85.91886530687114</v>
      </c>
      <c r="N208" s="175">
        <f t="shared" si="49"/>
        <v>-1155.2988653068758</v>
      </c>
      <c r="O208" s="174">
        <v>0</v>
      </c>
      <c r="P208" s="174">
        <v>0</v>
      </c>
      <c r="Q208" s="174">
        <v>0</v>
      </c>
      <c r="R208" s="175">
        <f t="shared" si="50"/>
        <v>-1155.2988653068758</v>
      </c>
    </row>
    <row r="209" spans="1:18" x14ac:dyDescent="0.25">
      <c r="A209" s="95">
        <v>10</v>
      </c>
      <c r="B209" s="167">
        <f t="shared" si="45"/>
        <v>45566</v>
      </c>
      <c r="C209" s="188">
        <f t="shared" si="58"/>
        <v>45601</v>
      </c>
      <c r="D209" s="188">
        <f t="shared" si="58"/>
        <v>45621</v>
      </c>
      <c r="E209" s="52" t="s">
        <v>17</v>
      </c>
      <c r="F209" s="132">
        <v>9</v>
      </c>
      <c r="G209" s="169">
        <v>107</v>
      </c>
      <c r="H209" s="170">
        <f t="shared" si="46"/>
        <v>1030</v>
      </c>
      <c r="I209" s="170">
        <f t="shared" si="57"/>
        <v>1020.86</v>
      </c>
      <c r="J209" s="171">
        <f t="shared" si="47"/>
        <v>109232.02</v>
      </c>
      <c r="K209" s="178">
        <f t="shared" si="60"/>
        <v>110210</v>
      </c>
      <c r="L209" s="177">
        <f t="shared" si="61"/>
        <v>-977.97999999999593</v>
      </c>
      <c r="M209" s="174">
        <f t="shared" si="48"/>
        <v>-78.575372545600089</v>
      </c>
      <c r="N209" s="175">
        <f t="shared" si="49"/>
        <v>-1056.5553725455961</v>
      </c>
      <c r="O209" s="174">
        <v>0</v>
      </c>
      <c r="P209" s="174">
        <v>0</v>
      </c>
      <c r="Q209" s="174">
        <v>0</v>
      </c>
      <c r="R209" s="175">
        <f t="shared" si="50"/>
        <v>-1056.5553725455961</v>
      </c>
    </row>
    <row r="210" spans="1:18" x14ac:dyDescent="0.25">
      <c r="A210" s="132">
        <v>11</v>
      </c>
      <c r="B210" s="167">
        <f t="shared" si="45"/>
        <v>45597</v>
      </c>
      <c r="C210" s="188">
        <f t="shared" si="58"/>
        <v>45630</v>
      </c>
      <c r="D210" s="188">
        <f t="shared" si="58"/>
        <v>45650</v>
      </c>
      <c r="E210" s="52" t="s">
        <v>17</v>
      </c>
      <c r="F210" s="132">
        <v>9</v>
      </c>
      <c r="G210" s="169">
        <v>91</v>
      </c>
      <c r="H210" s="170">
        <f t="shared" si="46"/>
        <v>1030</v>
      </c>
      <c r="I210" s="170">
        <f t="shared" si="57"/>
        <v>1020.86</v>
      </c>
      <c r="J210" s="171">
        <f t="shared" si="47"/>
        <v>92898.26</v>
      </c>
      <c r="K210" s="178">
        <f>+$G210*H210</f>
        <v>93730</v>
      </c>
      <c r="L210" s="177">
        <f t="shared" si="61"/>
        <v>-831.74000000000524</v>
      </c>
      <c r="M210" s="174">
        <f t="shared" si="48"/>
        <v>-66.825784127566436</v>
      </c>
      <c r="N210" s="175">
        <f t="shared" si="49"/>
        <v>-898.56578412757165</v>
      </c>
      <c r="O210" s="174">
        <v>0</v>
      </c>
      <c r="P210" s="174">
        <v>0</v>
      </c>
      <c r="Q210" s="174">
        <v>0</v>
      </c>
      <c r="R210" s="175">
        <f t="shared" si="50"/>
        <v>-898.56578412757165</v>
      </c>
    </row>
    <row r="211" spans="1:18" s="192" customFormat="1" x14ac:dyDescent="0.25">
      <c r="A211" s="132">
        <v>12</v>
      </c>
      <c r="B211" s="190">
        <f t="shared" si="45"/>
        <v>45627</v>
      </c>
      <c r="C211" s="193">
        <f t="shared" si="58"/>
        <v>45660</v>
      </c>
      <c r="D211" s="193">
        <f t="shared" si="58"/>
        <v>45681</v>
      </c>
      <c r="E211" s="191" t="s">
        <v>17</v>
      </c>
      <c r="F211" s="143">
        <v>9</v>
      </c>
      <c r="G211" s="169">
        <v>102</v>
      </c>
      <c r="H211" s="180">
        <f t="shared" si="46"/>
        <v>1030</v>
      </c>
      <c r="I211" s="180">
        <f t="shared" si="57"/>
        <v>1020.86</v>
      </c>
      <c r="J211" s="181">
        <f t="shared" si="47"/>
        <v>104127.72</v>
      </c>
      <c r="K211" s="182">
        <f>+$G211*H211</f>
        <v>105060</v>
      </c>
      <c r="L211" s="183">
        <f t="shared" si="61"/>
        <v>-932.27999999999884</v>
      </c>
      <c r="M211" s="181">
        <f t="shared" si="48"/>
        <v>-74.903626164964578</v>
      </c>
      <c r="N211" s="175">
        <f t="shared" si="49"/>
        <v>-1007.1836261649635</v>
      </c>
      <c r="O211" s="174">
        <v>0</v>
      </c>
      <c r="P211" s="174">
        <v>0</v>
      </c>
      <c r="Q211" s="174">
        <v>0</v>
      </c>
      <c r="R211" s="175">
        <f t="shared" si="50"/>
        <v>-1007.1836261649635</v>
      </c>
    </row>
    <row r="212" spans="1:18" x14ac:dyDescent="0.25">
      <c r="G212" s="198">
        <f>SUM(G20:G211)</f>
        <v>101851</v>
      </c>
      <c r="H212" s="49"/>
      <c r="I212" s="49"/>
      <c r="J212" s="49">
        <f>SUM(J20:J211)</f>
        <v>103975611.85999995</v>
      </c>
      <c r="K212" s="49">
        <f>SUM(K20:K211)</f>
        <v>104906530</v>
      </c>
      <c r="L212" s="49">
        <f>SUM(L20:L211)</f>
        <v>-930918.13999999803</v>
      </c>
      <c r="M212" s="49">
        <f>SUM(M20:M211)</f>
        <v>-74794.208122821583</v>
      </c>
      <c r="N212" s="49"/>
      <c r="O212" s="49"/>
      <c r="P212" s="49">
        <f>SUM(P20:P211)</f>
        <v>0</v>
      </c>
      <c r="Q212" s="49"/>
      <c r="R212" s="199">
        <f>SUM(R20:R211)</f>
        <v>-1005712.3481228187</v>
      </c>
    </row>
    <row r="213" spans="1:18" x14ac:dyDescent="0.25">
      <c r="P213" s="49"/>
      <c r="Q213" s="49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46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MDozNS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NjoxMCBQTTwvRGF0ZVRpbWU+PExhYmVsU3RyaW5nPkFFUCBJbnRlcm5hbDwvTGFiZWxTdHJpbmc+PC9pdGVtPjwvbGFiZWxIaXN0b3J5Pg==</Value>
</WrappedLabelHistor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06342d-ce85-4729-8251-347f0ba4f840">
      <Terms xmlns="http://schemas.microsoft.com/office/infopath/2007/PartnerControls"/>
    </lcf76f155ced4ddcb4097134ff3c332f>
    <TaxCatchAll xmlns="b6888f76-1100-40b0-929b-1efe9044426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49C77599AAFD4B8FFD850D55630F3C" ma:contentTypeVersion="11" ma:contentTypeDescription="Create a new document." ma:contentTypeScope="" ma:versionID="ad751a9f435e1866f9f8a73a34278f13">
  <xsd:schema xmlns:xsd="http://www.w3.org/2001/XMLSchema" xmlns:xs="http://www.w3.org/2001/XMLSchema" xmlns:p="http://schemas.microsoft.com/office/2006/metadata/properties" xmlns:ns2="6a06342d-ce85-4729-8251-347f0ba4f840" xmlns:ns3="b6888f76-1100-40b0-929b-1efe9044426d" targetNamespace="http://schemas.microsoft.com/office/2006/metadata/properties" ma:root="true" ma:fieldsID="e425485e64401a05f4c6dac9240526dc" ns2:_="" ns3:_="">
    <xsd:import namespace="6a06342d-ce85-4729-8251-347f0ba4f840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6342d-ce85-4729-8251-347f0ba4f8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E3D43697-9F71-49FA-BC17-9790EE502BD4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FF7D562C-1E05-480C-8E51-32D9070C86BD}">
  <ds:schemaRefs>
    <ds:schemaRef ds:uri="http://schemas.microsoft.com/office/2006/metadata/properties"/>
    <ds:schemaRef ds:uri="http://schemas.microsoft.com/office/infopath/2007/PartnerControls"/>
    <ds:schemaRef ds:uri="6a06342d-ce85-4729-8251-347f0ba4f840"/>
    <ds:schemaRef ds:uri="b6888f76-1100-40b0-929b-1efe9044426d"/>
  </ds:schemaRefs>
</ds:datastoreItem>
</file>

<file path=customXml/itemProps3.xml><?xml version="1.0" encoding="utf-8"?>
<ds:datastoreItem xmlns:ds="http://schemas.openxmlformats.org/officeDocument/2006/customXml" ds:itemID="{53C5B8C8-E75B-49BC-AA47-359D9742457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966D9F7-FDD1-4016-94C1-35958D47A2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06342d-ce85-4729-8251-347f0ba4f840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EF1166F3-9BAA-431E-B570-3F5D987B493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Instructions</vt:lpstr>
      <vt:lpstr>20XX NOLC Refund Detail</vt:lpstr>
      <vt:lpstr>Summary</vt:lpstr>
      <vt:lpstr>Pivot</vt:lpstr>
      <vt:lpstr>Transactions</vt:lpstr>
      <vt:lpstr>Transactions!AS1_1999</vt:lpstr>
      <vt:lpstr>Instructions!Print_Area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Allyson L Keaton</cp:lastModifiedBy>
  <cp:lastPrinted>2025-05-27T12:49:17Z</cp:lastPrinted>
  <dcterms:created xsi:type="dcterms:W3CDTF">2009-09-04T18:19:13Z</dcterms:created>
  <dcterms:modified xsi:type="dcterms:W3CDTF">2025-05-27T12:50:02Z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c64706a3-0b08-42c8-8051-4cf64e4cd637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{E3D43697-9F71-49FA-BC17-9790EE502BD4}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  <property fmtid="{D5CDD505-2E9C-101B-9397-08002B2CF9AE}" pid="13" name="ContentTypeId">
    <vt:lpwstr>0x0101002649C77599AAFD4B8FFD850D55630F3C</vt:lpwstr>
  </property>
  <property fmtid="{D5CDD505-2E9C-101B-9397-08002B2CF9AE}" pid="14" name="MediaServiceImageTags">
    <vt:lpwstr/>
  </property>
</Properties>
</file>