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Formula Rates/Transmission Formula Rates/West OpCos - SPP OATT Attach H-4/Rate Year 2024/True Up (ATRR)/As Filed/"/>
    </mc:Choice>
  </mc:AlternateContent>
  <xr:revisionPtr revIDLastSave="9" documentId="8_{7E6EA1A4-6FE7-4AB2-8478-196145AAB4FA}" xr6:coauthVersionLast="47" xr6:coauthVersionMax="47" xr10:uidLastSave="{2166136F-9D92-4843-BE90-FCB2D578A141}"/>
  <bookViews>
    <workbookView xWindow="28680" yWindow="-120" windowWidth="24240" windowHeight="13020" activeTab="2" xr2:uid="{00000000-000D-0000-FFFF-FFFF00000000}"/>
  </bookViews>
  <sheets>
    <sheet name="Instructions" sheetId="33" r:id="rId1"/>
    <sheet name="20XX NOLC Refund Detail" sheetId="34" r:id="rId2"/>
    <sheet name="Summary" sheetId="29" r:id="rId3"/>
    <sheet name="Pivot" sheetId="31" r:id="rId4"/>
    <sheet name="Transactions" sheetId="18" r:id="rId5"/>
  </sheets>
  <definedNames>
    <definedName name="_xlnm._FilterDatabase" localSheetId="4" hidden="1">Transactions!$A$15:$R$211</definedName>
    <definedName name="AS1_1999" localSheetId="4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2">Summary!$C$1:$I$40</definedName>
    <definedName name="_xlnm.Print_Area" localSheetId="4">Transactions!$A$1:$R$211</definedName>
    <definedName name="_xlnm.Print_Titles" localSheetId="3">Pivot!$3:$4</definedName>
    <definedName name="_xlnm.Print_Titles" localSheetId="4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4" l="1"/>
  <c r="H31" i="29" s="1"/>
  <c r="C16" i="34"/>
  <c r="B13" i="34"/>
  <c r="B4" i="34"/>
  <c r="G24" i="29"/>
  <c r="G28" i="29"/>
  <c r="G36" i="29"/>
  <c r="G25" i="29"/>
  <c r="G35" i="29"/>
  <c r="G23" i="29"/>
  <c r="G31" i="29"/>
  <c r="G32" i="29"/>
  <c r="G21" i="29"/>
  <c r="G27" i="29"/>
  <c r="G29" i="29"/>
  <c r="G22" i="29"/>
  <c r="G26" i="29"/>
  <c r="G37" i="29"/>
  <c r="G30" i="29"/>
  <c r="G33" i="29"/>
  <c r="C7" i="34" l="1"/>
  <c r="C6" i="34"/>
  <c r="C10" i="34"/>
  <c r="C12" i="34"/>
  <c r="C14" i="34"/>
  <c r="E14" i="34" s="1"/>
  <c r="C19" i="34"/>
  <c r="C20" i="34"/>
  <c r="C11" i="34"/>
  <c r="C15" i="34"/>
  <c r="C4" i="34"/>
  <c r="D7" i="34"/>
  <c r="H24" i="29" s="1"/>
  <c r="D20" i="34"/>
  <c r="H37" i="29" s="1"/>
  <c r="C5" i="34"/>
  <c r="D10" i="34"/>
  <c r="H27" i="29" s="1"/>
  <c r="D15" i="34"/>
  <c r="H32" i="29" s="1"/>
  <c r="C18" i="34"/>
  <c r="D4" i="34"/>
  <c r="H21" i="29" s="1"/>
  <c r="D12" i="34"/>
  <c r="H29" i="29" s="1"/>
  <c r="D5" i="34"/>
  <c r="H22" i="29" s="1"/>
  <c r="C8" i="34"/>
  <c r="C13" i="34"/>
  <c r="D18" i="34"/>
  <c r="H35" i="29" s="1"/>
  <c r="D8" i="34"/>
  <c r="H25" i="29" s="1"/>
  <c r="E2" i="34"/>
  <c r="D11" i="34"/>
  <c r="H28" i="29" s="1"/>
  <c r="D16" i="34"/>
  <c r="H33" i="29" s="1"/>
  <c r="D13" i="34"/>
  <c r="H30" i="29" s="1"/>
  <c r="D6" i="34"/>
  <c r="H23" i="29" s="1"/>
  <c r="C9" i="34"/>
  <c r="D19" i="34"/>
  <c r="H36" i="29" s="1"/>
  <c r="D9" i="34"/>
  <c r="H26" i="29" s="1"/>
  <c r="C5" i="29"/>
  <c r="E4" i="34" l="1"/>
  <c r="C17" i="34"/>
  <c r="E15" i="34"/>
  <c r="E20" i="34"/>
  <c r="E10" i="34"/>
  <c r="E6" i="34"/>
  <c r="E16" i="34"/>
  <c r="E7" i="34"/>
  <c r="E11" i="34"/>
  <c r="E12" i="34"/>
  <c r="E19" i="34"/>
  <c r="D17" i="34"/>
  <c r="E13" i="34"/>
  <c r="E18" i="34"/>
  <c r="C21" i="34"/>
  <c r="D21" i="34"/>
  <c r="E9" i="34"/>
  <c r="E8" i="34"/>
  <c r="E5" i="34"/>
  <c r="L3" i="18"/>
  <c r="C22" i="34" l="1"/>
  <c r="E17" i="34"/>
  <c r="E21" i="34"/>
  <c r="D22" i="34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3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63" i="18" s="1"/>
  <c r="C87" i="18" s="1"/>
  <c r="C99" i="18" s="1"/>
  <c r="C111" i="18" s="1"/>
  <c r="C123" i="18" s="1"/>
  <c r="C135" i="18" s="1"/>
  <c r="C147" i="18" s="1"/>
  <c r="C159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C49" i="18" s="1"/>
  <c r="B169" i="18"/>
  <c r="B168" i="18"/>
  <c r="B167" i="18"/>
  <c r="B166" i="18"/>
  <c r="C33" i="18"/>
  <c r="C45" i="18" s="1"/>
  <c r="B165" i="18"/>
  <c r="C32" i="18"/>
  <c r="C56" i="18" s="1"/>
  <c r="C80" i="18" s="1"/>
  <c r="C92" i="18" s="1"/>
  <c r="C104" i="18" s="1"/>
  <c r="C116" i="18" s="1"/>
  <c r="C128" i="18" s="1"/>
  <c r="C140" i="18" s="1"/>
  <c r="C152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E27" i="29"/>
  <c r="E30" i="29"/>
  <c r="E32" i="29"/>
  <c r="E24" i="29"/>
  <c r="D27" i="29"/>
  <c r="E28" i="29"/>
  <c r="E36" i="29"/>
  <c r="D22" i="29"/>
  <c r="D30" i="29"/>
  <c r="E31" i="29"/>
  <c r="E21" i="29"/>
  <c r="E33" i="29"/>
  <c r="E23" i="29"/>
  <c r="E22" i="29"/>
  <c r="E35" i="29"/>
  <c r="E29" i="29"/>
  <c r="E25" i="29"/>
  <c r="E37" i="29"/>
  <c r="D31" i="29"/>
  <c r="E26" i="29"/>
  <c r="E22" i="34" l="1"/>
  <c r="C61" i="18"/>
  <c r="C85" i="18" s="1"/>
  <c r="C97" i="18" s="1"/>
  <c r="C109" i="18" s="1"/>
  <c r="C121" i="18" s="1"/>
  <c r="C133" i="18" s="1"/>
  <c r="C145" i="18" s="1"/>
  <c r="C157" i="18" s="1"/>
  <c r="C181" i="18" s="1"/>
  <c r="C193" i="18" s="1"/>
  <c r="C205" i="18" s="1"/>
  <c r="C44" i="18"/>
  <c r="C64" i="18"/>
  <c r="C76" i="18" s="1"/>
  <c r="D66" i="18"/>
  <c r="D78" i="18" s="1"/>
  <c r="C57" i="18"/>
  <c r="C81" i="18" s="1"/>
  <c r="C93" i="18" s="1"/>
  <c r="C105" i="18" s="1"/>
  <c r="C117" i="18" s="1"/>
  <c r="C129" i="18" s="1"/>
  <c r="C141" i="18" s="1"/>
  <c r="C153" i="18" s="1"/>
  <c r="C177" i="18" s="1"/>
  <c r="C189" i="18" s="1"/>
  <c r="C201" i="18" s="1"/>
  <c r="D55" i="18"/>
  <c r="C51" i="18"/>
  <c r="D63" i="18"/>
  <c r="D87" i="18" s="1"/>
  <c r="D99" i="18" s="1"/>
  <c r="D111" i="18" s="1"/>
  <c r="D123" i="18" s="1"/>
  <c r="D135" i="18" s="1"/>
  <c r="D147" i="18" s="1"/>
  <c r="D159" i="18" s="1"/>
  <c r="D171" i="18" s="1"/>
  <c r="D53" i="18"/>
  <c r="C54" i="18"/>
  <c r="C75" i="18"/>
  <c r="C53" i="18"/>
  <c r="D46" i="18"/>
  <c r="D50" i="18"/>
  <c r="F10" i="29"/>
  <c r="E20" i="29"/>
  <c r="D20" i="29"/>
  <c r="C78" i="18"/>
  <c r="C90" i="18"/>
  <c r="C102" i="18" s="1"/>
  <c r="C114" i="18" s="1"/>
  <c r="C126" i="18" s="1"/>
  <c r="C138" i="18" s="1"/>
  <c r="C150" i="18" s="1"/>
  <c r="C162" i="18" s="1"/>
  <c r="C174" i="18" s="1"/>
  <c r="D57" i="18"/>
  <c r="D81" i="18" s="1"/>
  <c r="D93" i="18" s="1"/>
  <c r="D105" i="18" s="1"/>
  <c r="D117" i="18" s="1"/>
  <c r="D129" i="18" s="1"/>
  <c r="D141" i="18" s="1"/>
  <c r="D153" i="18" s="1"/>
  <c r="C72" i="18"/>
  <c r="D79" i="18"/>
  <c r="C68" i="18"/>
  <c r="E10" i="29"/>
  <c r="O13" i="18"/>
  <c r="C67" i="18"/>
  <c r="C79" i="18" s="1"/>
  <c r="D77" i="18"/>
  <c r="D89" i="18"/>
  <c r="D101" i="18" s="1"/>
  <c r="D113" i="18" s="1"/>
  <c r="D125" i="18" s="1"/>
  <c r="D137" i="18" s="1"/>
  <c r="D149" i="18" s="1"/>
  <c r="D161" i="18" s="1"/>
  <c r="D173" i="18" s="1"/>
  <c r="D74" i="18"/>
  <c r="D86" i="18"/>
  <c r="D98" i="18" s="1"/>
  <c r="D110" i="18" s="1"/>
  <c r="D122" i="18" s="1"/>
  <c r="D134" i="18" s="1"/>
  <c r="D146" i="18" s="1"/>
  <c r="D158" i="18" s="1"/>
  <c r="D182" i="18" s="1"/>
  <c r="D194" i="18" s="1"/>
  <c r="D206" i="18" s="1"/>
  <c r="C62" i="18"/>
  <c r="D49" i="18"/>
  <c r="D60" i="18"/>
  <c r="D72" i="18" s="1"/>
  <c r="C48" i="18"/>
  <c r="D71" i="18"/>
  <c r="C58" i="18"/>
  <c r="D56" i="18"/>
  <c r="D80" i="18" s="1"/>
  <c r="D92" i="18" s="1"/>
  <c r="D104" i="18" s="1"/>
  <c r="D116" i="18" s="1"/>
  <c r="D128" i="18" s="1"/>
  <c r="D140" i="18" s="1"/>
  <c r="D152" i="18" s="1"/>
  <c r="F30" i="29"/>
  <c r="I30" i="29" s="1"/>
  <c r="H34" i="29"/>
  <c r="G34" i="29"/>
  <c r="F27" i="29"/>
  <c r="I27" i="29" s="1"/>
  <c r="E34" i="29"/>
  <c r="F22" i="29"/>
  <c r="I22" i="29" s="1"/>
  <c r="H38" i="29"/>
  <c r="E38" i="29"/>
  <c r="F31" i="29"/>
  <c r="I31" i="29" s="1"/>
  <c r="G38" i="29"/>
  <c r="C164" i="18"/>
  <c r="C176" i="18"/>
  <c r="C188" i="18" s="1"/>
  <c r="C200" i="18" s="1"/>
  <c r="C180" i="18"/>
  <c r="C192" i="18" s="1"/>
  <c r="C204" i="18" s="1"/>
  <c r="C168" i="18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64" i="18"/>
  <c r="D52" i="18"/>
  <c r="D32" i="29"/>
  <c r="D26" i="29"/>
  <c r="D24" i="29"/>
  <c r="D36" i="29"/>
  <c r="D21" i="29"/>
  <c r="D23" i="29"/>
  <c r="D25" i="29"/>
  <c r="D35" i="29"/>
  <c r="D37" i="29"/>
  <c r="D33" i="29"/>
  <c r="D29" i="29"/>
  <c r="D28" i="29"/>
  <c r="D34" i="29" l="1"/>
  <c r="F21" i="29"/>
  <c r="I21" i="29" s="1"/>
  <c r="F37" i="29"/>
  <c r="I37" i="29" s="1"/>
  <c r="F32" i="29"/>
  <c r="I32" i="29" s="1"/>
  <c r="F28" i="29"/>
  <c r="I28" i="29" s="1"/>
  <c r="F26" i="29"/>
  <c r="I26" i="29" s="1"/>
  <c r="F23" i="29"/>
  <c r="I23" i="29" s="1"/>
  <c r="F35" i="29"/>
  <c r="I35" i="29" s="1"/>
  <c r="D38" i="29"/>
  <c r="F33" i="29"/>
  <c r="I33" i="29" s="1"/>
  <c r="F25" i="29"/>
  <c r="I25" i="29" s="1"/>
  <c r="F29" i="29"/>
  <c r="I29" i="29" s="1"/>
  <c r="F24" i="29"/>
  <c r="I24" i="29" s="1"/>
  <c r="F36" i="29"/>
  <c r="I36" i="29" s="1"/>
  <c r="C73" i="18"/>
  <c r="C169" i="18"/>
  <c r="D90" i="18"/>
  <c r="D102" i="18" s="1"/>
  <c r="D114" i="18" s="1"/>
  <c r="D126" i="18" s="1"/>
  <c r="D138" i="18" s="1"/>
  <c r="D150" i="18" s="1"/>
  <c r="D162" i="18" s="1"/>
  <c r="D174" i="18" s="1"/>
  <c r="C88" i="18"/>
  <c r="C100" i="18" s="1"/>
  <c r="C112" i="18" s="1"/>
  <c r="C124" i="18" s="1"/>
  <c r="C136" i="18" s="1"/>
  <c r="C148" i="18" s="1"/>
  <c r="C160" i="18" s="1"/>
  <c r="C165" i="18"/>
  <c r="C69" i="18"/>
  <c r="C91" i="18"/>
  <c r="C103" i="18" s="1"/>
  <c r="C115" i="18" s="1"/>
  <c r="C127" i="18" s="1"/>
  <c r="C139" i="18" s="1"/>
  <c r="C151" i="18" s="1"/>
  <c r="C163" i="18" s="1"/>
  <c r="C187" i="18" s="1"/>
  <c r="C199" i="18" s="1"/>
  <c r="C211" i="18" s="1"/>
  <c r="D170" i="18"/>
  <c r="D69" i="18"/>
  <c r="D75" i="18"/>
  <c r="D68" i="18"/>
  <c r="D183" i="18"/>
  <c r="D195" i="18" s="1"/>
  <c r="D207" i="18" s="1"/>
  <c r="D185" i="18"/>
  <c r="D197" i="18" s="1"/>
  <c r="D209" i="18" s="1"/>
  <c r="C186" i="18"/>
  <c r="C198" i="18" s="1"/>
  <c r="C210" i="18" s="1"/>
  <c r="D84" i="18"/>
  <c r="D96" i="18" s="1"/>
  <c r="D108" i="18" s="1"/>
  <c r="D120" i="18" s="1"/>
  <c r="D132" i="18" s="1"/>
  <c r="D144" i="18" s="1"/>
  <c r="D156" i="18" s="1"/>
  <c r="D168" i="18" s="1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E39" i="29"/>
  <c r="D88" i="18"/>
  <c r="D100" i="18" s="1"/>
  <c r="D112" i="18" s="1"/>
  <c r="D124" i="18" s="1"/>
  <c r="D136" i="18" s="1"/>
  <c r="D148" i="18" s="1"/>
  <c r="D160" i="18" s="1"/>
  <c r="D76" i="18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H39" i="29"/>
  <c r="F34" i="29" l="1"/>
  <c r="D39" i="29"/>
  <c r="F38" i="29"/>
  <c r="C175" i="18"/>
  <c r="D186" i="18"/>
  <c r="D198" i="18" s="1"/>
  <c r="D210" i="18" s="1"/>
  <c r="C172" i="18"/>
  <c r="C184" i="18"/>
  <c r="C196" i="18" s="1"/>
  <c r="C208" i="18" s="1"/>
  <c r="D180" i="18"/>
  <c r="D192" i="18" s="1"/>
  <c r="D204" i="18" s="1"/>
  <c r="Q13" i="18"/>
  <c r="Q14" i="18"/>
  <c r="C170" i="18"/>
  <c r="C182" i="18"/>
  <c r="C194" i="18" s="1"/>
  <c r="C206" i="18" s="1"/>
  <c r="C178" i="18"/>
  <c r="C190" i="18" s="1"/>
  <c r="C202" i="18" s="1"/>
  <c r="C166" i="18"/>
  <c r="I34" i="29"/>
  <c r="I38" i="29"/>
  <c r="C167" i="18"/>
  <c r="C179" i="18"/>
  <c r="C191" i="18" s="1"/>
  <c r="C203" i="18" s="1"/>
  <c r="D184" i="18"/>
  <c r="D196" i="18" s="1"/>
  <c r="D208" i="18" s="1"/>
  <c r="D172" i="18"/>
  <c r="F39" i="29" l="1"/>
  <c r="I39" i="29"/>
  <c r="E11" i="29" l="1"/>
  <c r="H211" i="18" l="1"/>
  <c r="H85" i="18"/>
  <c r="H150" i="18"/>
  <c r="H183" i="18"/>
  <c r="H203" i="18"/>
  <c r="H93" i="18"/>
  <c r="H154" i="18"/>
  <c r="H187" i="18"/>
  <c r="H35" i="18"/>
  <c r="H167" i="18"/>
  <c r="H196" i="18"/>
  <c r="H30" i="18"/>
  <c r="H159" i="18"/>
  <c r="H163" i="18"/>
  <c r="H39" i="18"/>
  <c r="H64" i="18"/>
  <c r="H28" i="18"/>
  <c r="H42" i="18"/>
  <c r="H152" i="18"/>
  <c r="H110" i="18"/>
  <c r="H143" i="18"/>
  <c r="H160" i="18"/>
  <c r="H114" i="18"/>
  <c r="H147" i="18"/>
  <c r="E13" i="29"/>
  <c r="H197" i="18"/>
  <c r="H195" i="18"/>
  <c r="H94" i="18"/>
  <c r="H140" i="18"/>
  <c r="H102" i="18"/>
  <c r="H141" i="18"/>
  <c r="H149" i="18"/>
  <c r="H103" i="18"/>
  <c r="H137" i="18"/>
  <c r="H23" i="18"/>
  <c r="H199" i="18"/>
  <c r="H145" i="18"/>
  <c r="H27" i="18"/>
  <c r="H172" i="18"/>
  <c r="H188" i="18"/>
  <c r="H161" i="18"/>
  <c r="H61" i="18"/>
  <c r="H166" i="18"/>
  <c r="H57" i="18"/>
  <c r="H108" i="18"/>
  <c r="H210" i="18"/>
  <c r="H29" i="18"/>
  <c r="H165" i="18"/>
  <c r="H182" i="18"/>
  <c r="H125" i="18"/>
  <c r="H76" i="18"/>
  <c r="H173" i="18"/>
  <c r="H186" i="18"/>
  <c r="H189" i="18"/>
  <c r="H131" i="18"/>
  <c r="H200" i="18"/>
  <c r="H56" i="18"/>
  <c r="H62" i="18"/>
  <c r="H180" i="18"/>
  <c r="H84" i="18"/>
  <c r="H135" i="18"/>
  <c r="H128" i="18"/>
  <c r="H41" i="18"/>
  <c r="H202" i="18"/>
  <c r="H69" i="18"/>
  <c r="H142" i="18"/>
  <c r="H175" i="18"/>
  <c r="H77" i="18"/>
  <c r="H146" i="18"/>
  <c r="H179" i="18"/>
  <c r="H164" i="18"/>
  <c r="H73" i="18"/>
  <c r="H181" i="18"/>
  <c r="H20" i="18"/>
  <c r="H81" i="18"/>
  <c r="H185" i="18"/>
  <c r="H63" i="18"/>
  <c r="H177" i="18"/>
  <c r="H120" i="18"/>
  <c r="H117" i="18"/>
  <c r="H184" i="18"/>
  <c r="H204" i="18"/>
  <c r="H139" i="18"/>
  <c r="H174" i="18"/>
  <c r="H207" i="18"/>
  <c r="H178" i="18"/>
  <c r="H92" i="18"/>
  <c r="H116" i="18"/>
  <c r="H127" i="18"/>
  <c r="H170" i="18"/>
  <c r="H126" i="18"/>
  <c r="H72" i="18"/>
  <c r="H33" i="18"/>
  <c r="H45" i="18"/>
  <c r="H206" i="18"/>
  <c r="H65" i="18"/>
  <c r="H21" i="18"/>
  <c r="H124" i="18"/>
  <c r="H22" i="18"/>
  <c r="H55" i="18"/>
  <c r="H80" i="18"/>
  <c r="H156" i="18"/>
  <c r="H26" i="18"/>
  <c r="H59" i="18"/>
  <c r="H191" i="18"/>
  <c r="H136" i="18"/>
  <c r="H107" i="18"/>
  <c r="H101" i="18"/>
  <c r="H158" i="18"/>
  <c r="H98" i="18"/>
  <c r="H53" i="18"/>
  <c r="H74" i="18"/>
  <c r="H97" i="18"/>
  <c r="H71" i="18"/>
  <c r="H37" i="18"/>
  <c r="H121" i="18"/>
  <c r="H205" i="18"/>
  <c r="H60" i="18"/>
  <c r="H129" i="18"/>
  <c r="H209" i="18"/>
  <c r="H133" i="18"/>
  <c r="H44" i="18"/>
  <c r="H192" i="18"/>
  <c r="H100" i="18"/>
  <c r="H51" i="18"/>
  <c r="H104" i="18"/>
  <c r="H119" i="18"/>
  <c r="H112" i="18"/>
  <c r="H123" i="18"/>
  <c r="H70" i="18"/>
  <c r="H89" i="18"/>
  <c r="H193" i="18"/>
  <c r="H36" i="18"/>
  <c r="H144" i="18"/>
  <c r="H46" i="18"/>
  <c r="H32" i="18"/>
  <c r="H83" i="18"/>
  <c r="H118" i="18"/>
  <c r="H151" i="18"/>
  <c r="H176" i="18"/>
  <c r="H155" i="18"/>
  <c r="H198" i="18"/>
  <c r="H153" i="18"/>
  <c r="H99" i="18"/>
  <c r="H157" i="18"/>
  <c r="H67" i="18"/>
  <c r="H88" i="18"/>
  <c r="H111" i="18"/>
  <c r="H82" i="18"/>
  <c r="H171" i="18"/>
  <c r="H40" i="18"/>
  <c r="H54" i="18"/>
  <c r="H87" i="18"/>
  <c r="H113" i="18"/>
  <c r="H48" i="18"/>
  <c r="H58" i="18"/>
  <c r="H91" i="18"/>
  <c r="H109" i="18"/>
  <c r="H169" i="18"/>
  <c r="H132" i="18"/>
  <c r="H25" i="18"/>
  <c r="H190" i="18"/>
  <c r="H194" i="18"/>
  <c r="H105" i="18"/>
  <c r="H201" i="18"/>
  <c r="H66" i="18"/>
  <c r="H68" i="18"/>
  <c r="H47" i="18"/>
  <c r="H208" i="18"/>
  <c r="H138" i="18"/>
  <c r="H86" i="18"/>
  <c r="H106" i="18"/>
  <c r="H90" i="18"/>
  <c r="H34" i="18"/>
  <c r="H52" i="18"/>
  <c r="H31" i="18"/>
  <c r="H38" i="18"/>
  <c r="H130" i="18"/>
  <c r="H24" i="18"/>
  <c r="H79" i="18"/>
  <c r="H50" i="18"/>
  <c r="H75" i="18"/>
  <c r="H168" i="18"/>
  <c r="H43" i="18"/>
  <c r="H122" i="18"/>
  <c r="H162" i="18"/>
  <c r="H148" i="18"/>
  <c r="H95" i="18"/>
  <c r="H134" i="18"/>
  <c r="H49" i="18"/>
  <c r="H78" i="18"/>
  <c r="H96" i="18"/>
  <c r="H115" i="18"/>
  <c r="K135" i="18" l="1"/>
  <c r="K39" i="18"/>
  <c r="K206" i="18"/>
  <c r="K110" i="18"/>
  <c r="K58" i="18"/>
  <c r="K136" i="18"/>
  <c r="K109" i="18"/>
  <c r="K45" i="18"/>
  <c r="K204" i="18"/>
  <c r="K140" i="18"/>
  <c r="K44" i="18"/>
  <c r="K81" i="18"/>
  <c r="K24" i="18"/>
  <c r="K123" i="18"/>
  <c r="K91" i="18"/>
  <c r="K207" i="18"/>
  <c r="K175" i="18"/>
  <c r="K143" i="18"/>
  <c r="K111" i="18"/>
  <c r="K79" i="18"/>
  <c r="K47" i="18"/>
  <c r="K186" i="18"/>
  <c r="K74" i="18"/>
  <c r="K153" i="18"/>
  <c r="K33" i="18"/>
  <c r="K56" i="18"/>
  <c r="K182" i="18"/>
  <c r="K150" i="18"/>
  <c r="K118" i="18"/>
  <c r="K86" i="18"/>
  <c r="K54" i="18"/>
  <c r="K22" i="18"/>
  <c r="K114" i="18"/>
  <c r="K137" i="18"/>
  <c r="K176" i="18"/>
  <c r="K48" i="18"/>
  <c r="K181" i="18"/>
  <c r="K149" i="18"/>
  <c r="K117" i="18"/>
  <c r="K85" i="18"/>
  <c r="K53" i="18"/>
  <c r="K21" i="18"/>
  <c r="K82" i="18"/>
  <c r="K184" i="18"/>
  <c r="K32" i="18"/>
  <c r="K180" i="18"/>
  <c r="K148" i="18"/>
  <c r="K116" i="18"/>
  <c r="K84" i="18"/>
  <c r="K52" i="18"/>
  <c r="K20" i="18"/>
  <c r="G212" i="18"/>
  <c r="K106" i="18"/>
  <c r="K121" i="18"/>
  <c r="K200" i="18"/>
  <c r="K64" i="18"/>
  <c r="K195" i="18"/>
  <c r="K163" i="18"/>
  <c r="K131" i="18"/>
  <c r="K99" i="18"/>
  <c r="K67" i="18"/>
  <c r="K35" i="18"/>
  <c r="K169" i="18"/>
  <c r="K41" i="18"/>
  <c r="K174" i="18"/>
  <c r="K155" i="18"/>
  <c r="K167" i="18"/>
  <c r="K71" i="18"/>
  <c r="K129" i="18"/>
  <c r="K142" i="18"/>
  <c r="K97" i="18"/>
  <c r="K205" i="18"/>
  <c r="K77" i="18"/>
  <c r="K66" i="18"/>
  <c r="K172" i="18"/>
  <c r="K76" i="18"/>
  <c r="K42" i="18"/>
  <c r="K160" i="18"/>
  <c r="K187" i="18"/>
  <c r="K27" i="18"/>
  <c r="K191" i="18"/>
  <c r="K159" i="18"/>
  <c r="K127" i="18"/>
  <c r="K95" i="18"/>
  <c r="K63" i="18"/>
  <c r="K31" i="18"/>
  <c r="K130" i="18"/>
  <c r="K26" i="18"/>
  <c r="K89" i="18"/>
  <c r="K144" i="18"/>
  <c r="K198" i="18"/>
  <c r="K166" i="18"/>
  <c r="K134" i="18"/>
  <c r="K102" i="18"/>
  <c r="K70" i="18"/>
  <c r="K38" i="18"/>
  <c r="K178" i="18"/>
  <c r="K209" i="18"/>
  <c r="K57" i="18"/>
  <c r="K112" i="18"/>
  <c r="K197" i="18"/>
  <c r="K165" i="18"/>
  <c r="K133" i="18"/>
  <c r="K101" i="18"/>
  <c r="K69" i="18"/>
  <c r="K37" i="18"/>
  <c r="K154" i="18"/>
  <c r="K34" i="18"/>
  <c r="K120" i="18"/>
  <c r="K196" i="18"/>
  <c r="K164" i="18"/>
  <c r="K132" i="18"/>
  <c r="K100" i="18"/>
  <c r="K68" i="18"/>
  <c r="K36" i="18"/>
  <c r="K170" i="18"/>
  <c r="K193" i="18"/>
  <c r="K49" i="18"/>
  <c r="K128" i="18"/>
  <c r="K211" i="18"/>
  <c r="K179" i="18"/>
  <c r="K147" i="18"/>
  <c r="K115" i="18"/>
  <c r="K83" i="18"/>
  <c r="K51" i="18"/>
  <c r="K98" i="18"/>
  <c r="K113" i="18"/>
  <c r="K96" i="18"/>
  <c r="K199" i="18"/>
  <c r="K50" i="18"/>
  <c r="K210" i="18"/>
  <c r="K202" i="18"/>
  <c r="K59" i="18"/>
  <c r="K162" i="18"/>
  <c r="K78" i="18"/>
  <c r="K141" i="18"/>
  <c r="K168" i="18"/>
  <c r="K194" i="18"/>
  <c r="K145" i="18"/>
  <c r="K183" i="18"/>
  <c r="K151" i="18"/>
  <c r="K119" i="18"/>
  <c r="K87" i="18"/>
  <c r="K55" i="18"/>
  <c r="K23" i="18"/>
  <c r="K90" i="18"/>
  <c r="K185" i="18"/>
  <c r="K65" i="18"/>
  <c r="K104" i="18"/>
  <c r="K190" i="18"/>
  <c r="K158" i="18"/>
  <c r="K126" i="18"/>
  <c r="K94" i="18"/>
  <c r="K62" i="18"/>
  <c r="K30" i="18"/>
  <c r="K138" i="18"/>
  <c r="K161" i="18"/>
  <c r="K208" i="18"/>
  <c r="K80" i="18"/>
  <c r="K189" i="18"/>
  <c r="K157" i="18"/>
  <c r="K125" i="18"/>
  <c r="K93" i="18"/>
  <c r="K61" i="18"/>
  <c r="K29" i="18"/>
  <c r="K122" i="18"/>
  <c r="K105" i="18"/>
  <c r="K72" i="18"/>
  <c r="K188" i="18"/>
  <c r="K156" i="18"/>
  <c r="K124" i="18"/>
  <c r="K92" i="18"/>
  <c r="K60" i="18"/>
  <c r="K28" i="18"/>
  <c r="K146" i="18"/>
  <c r="K177" i="18"/>
  <c r="K25" i="18"/>
  <c r="K88" i="18"/>
  <c r="K203" i="18"/>
  <c r="K171" i="18"/>
  <c r="K139" i="18"/>
  <c r="K107" i="18"/>
  <c r="K75" i="18"/>
  <c r="K43" i="18"/>
  <c r="K201" i="18"/>
  <c r="K73" i="18"/>
  <c r="K40" i="18"/>
  <c r="K103" i="18"/>
  <c r="K192" i="18"/>
  <c r="K46" i="18"/>
  <c r="K173" i="18"/>
  <c r="K108" i="18"/>
  <c r="K152" i="18"/>
  <c r="K212" i="18" l="1"/>
  <c r="K14" i="18"/>
  <c r="K13" i="18"/>
  <c r="F12" i="29" l="1"/>
  <c r="I39" i="18" l="1"/>
  <c r="J39" i="18" s="1"/>
  <c r="L39" i="18" s="1"/>
  <c r="I36" i="18"/>
  <c r="J36" i="18" s="1"/>
  <c r="L36" i="18" s="1"/>
  <c r="I122" i="18"/>
  <c r="J122" i="18" s="1"/>
  <c r="L122" i="18" s="1"/>
  <c r="I163" i="18"/>
  <c r="J163" i="18" s="1"/>
  <c r="L163" i="18" s="1"/>
  <c r="I190" i="18"/>
  <c r="J190" i="18" s="1"/>
  <c r="L190" i="18" s="1"/>
  <c r="I100" i="18"/>
  <c r="J100" i="18" s="1"/>
  <c r="L100" i="18" s="1"/>
  <c r="I211" i="18"/>
  <c r="J211" i="18" s="1"/>
  <c r="L211" i="18" s="1"/>
  <c r="I142" i="18"/>
  <c r="J142" i="18" s="1"/>
  <c r="L142" i="18" s="1"/>
  <c r="I193" i="18"/>
  <c r="J193" i="18" s="1"/>
  <c r="L193" i="18" s="1"/>
  <c r="I197" i="18"/>
  <c r="J197" i="18" s="1"/>
  <c r="L197" i="18" s="1"/>
  <c r="I99" i="18"/>
  <c r="J99" i="18" s="1"/>
  <c r="L99" i="18" s="1"/>
  <c r="I102" i="18"/>
  <c r="J102" i="18" s="1"/>
  <c r="L102" i="18" s="1"/>
  <c r="I179" i="18"/>
  <c r="J179" i="18" s="1"/>
  <c r="L179" i="18" s="1"/>
  <c r="I119" i="18"/>
  <c r="J119" i="18" s="1"/>
  <c r="L119" i="18" s="1"/>
  <c r="I27" i="18"/>
  <c r="J27" i="18" s="1"/>
  <c r="L27" i="18" s="1"/>
  <c r="I140" i="18"/>
  <c r="J140" i="18" s="1"/>
  <c r="L140" i="18" s="1"/>
  <c r="I112" i="18"/>
  <c r="J112" i="18" s="1"/>
  <c r="L112" i="18" s="1"/>
  <c r="I181" i="18"/>
  <c r="J181" i="18" s="1"/>
  <c r="L181" i="18" s="1"/>
  <c r="I156" i="18"/>
  <c r="J156" i="18" s="1"/>
  <c r="L156" i="18" s="1"/>
  <c r="I120" i="18"/>
  <c r="J120" i="18" s="1"/>
  <c r="L120" i="18" s="1"/>
  <c r="I77" i="18"/>
  <c r="J77" i="18" s="1"/>
  <c r="L77" i="18" s="1"/>
  <c r="I21" i="18"/>
  <c r="J21" i="18" s="1"/>
  <c r="L21" i="18" s="1"/>
  <c r="I160" i="18"/>
  <c r="J160" i="18" s="1"/>
  <c r="L160" i="18" s="1"/>
  <c r="I207" i="18"/>
  <c r="J207" i="18" s="1"/>
  <c r="L207" i="18" s="1"/>
  <c r="I48" i="18"/>
  <c r="J48" i="18" s="1"/>
  <c r="L48" i="18" s="1"/>
  <c r="I44" i="18"/>
  <c r="J44" i="18" s="1"/>
  <c r="L44" i="18" s="1"/>
  <c r="I148" i="18"/>
  <c r="J148" i="18" s="1"/>
  <c r="L148" i="18" s="1"/>
  <c r="I59" i="18"/>
  <c r="J59" i="18" s="1"/>
  <c r="L59" i="18" s="1"/>
  <c r="I111" i="18"/>
  <c r="J111" i="18" s="1"/>
  <c r="L111" i="18" s="1"/>
  <c r="I129" i="18"/>
  <c r="J129" i="18" s="1"/>
  <c r="L129" i="18" s="1"/>
  <c r="I24" i="18"/>
  <c r="J24" i="18" s="1"/>
  <c r="L24" i="18" s="1"/>
  <c r="I69" i="18"/>
  <c r="J69" i="18" s="1"/>
  <c r="L69" i="18" s="1"/>
  <c r="I199" i="18"/>
  <c r="J199" i="18" s="1"/>
  <c r="L199" i="18" s="1"/>
  <c r="I192" i="18"/>
  <c r="J192" i="18" s="1"/>
  <c r="L192" i="18" s="1"/>
  <c r="I93" i="18"/>
  <c r="J93" i="18" s="1"/>
  <c r="L93" i="18" s="1"/>
  <c r="I180" i="18"/>
  <c r="J180" i="18" s="1"/>
  <c r="L180" i="18" s="1"/>
  <c r="I136" i="18"/>
  <c r="J136" i="18" s="1"/>
  <c r="L136" i="18" s="1"/>
  <c r="I61" i="18"/>
  <c r="J61" i="18" s="1"/>
  <c r="L61" i="18" s="1"/>
  <c r="I22" i="18"/>
  <c r="J22" i="18" s="1"/>
  <c r="L22" i="18" s="1"/>
  <c r="I33" i="18"/>
  <c r="J33" i="18" s="1"/>
  <c r="L33" i="18" s="1"/>
  <c r="I153" i="18"/>
  <c r="J153" i="18" s="1"/>
  <c r="L153" i="18" s="1"/>
  <c r="I83" i="18"/>
  <c r="J83" i="18" s="1"/>
  <c r="L83" i="18" s="1"/>
  <c r="I182" i="18"/>
  <c r="J182" i="18" s="1"/>
  <c r="L182" i="18" s="1"/>
  <c r="I50" i="18"/>
  <c r="J50" i="18" s="1"/>
  <c r="L50" i="18" s="1"/>
  <c r="I202" i="18"/>
  <c r="J202" i="18" s="1"/>
  <c r="L202" i="18" s="1"/>
  <c r="I162" i="18"/>
  <c r="J162" i="18" s="1"/>
  <c r="L162" i="18" s="1"/>
  <c r="I185" i="18"/>
  <c r="J185" i="18" s="1"/>
  <c r="L185" i="18" s="1"/>
  <c r="I57" i="18"/>
  <c r="J57" i="18" s="1"/>
  <c r="L57" i="18" s="1"/>
  <c r="I29" i="18"/>
  <c r="J29" i="18" s="1"/>
  <c r="L29" i="18" s="1"/>
  <c r="I60" i="18"/>
  <c r="J60" i="18" s="1"/>
  <c r="L60" i="18" s="1"/>
  <c r="I75" i="18"/>
  <c r="J75" i="18" s="1"/>
  <c r="L75" i="18" s="1"/>
  <c r="I58" i="18"/>
  <c r="J58" i="18" s="1"/>
  <c r="L58" i="18" s="1"/>
  <c r="I41" i="18"/>
  <c r="J41" i="18" s="1"/>
  <c r="L41" i="18" s="1"/>
  <c r="I113" i="18"/>
  <c r="J113" i="18" s="1"/>
  <c r="L113" i="18" s="1"/>
  <c r="I85" i="18"/>
  <c r="J85" i="18" s="1"/>
  <c r="L85" i="18" s="1"/>
  <c r="I127" i="18"/>
  <c r="J127" i="18" s="1"/>
  <c r="L127" i="18" s="1"/>
  <c r="I184" i="18"/>
  <c r="J184" i="18" s="1"/>
  <c r="L184" i="18" s="1"/>
  <c r="I38" i="18"/>
  <c r="J38" i="18" s="1"/>
  <c r="L38" i="18" s="1"/>
  <c r="I52" i="18"/>
  <c r="J52" i="18" s="1"/>
  <c r="L52" i="18" s="1"/>
  <c r="I143" i="18"/>
  <c r="J143" i="18" s="1"/>
  <c r="L143" i="18" s="1"/>
  <c r="I165" i="18"/>
  <c r="J165" i="18" s="1"/>
  <c r="L165" i="18" s="1"/>
  <c r="I105" i="18"/>
  <c r="J105" i="18" s="1"/>
  <c r="L105" i="18" s="1"/>
  <c r="I35" i="18"/>
  <c r="J35" i="18" s="1"/>
  <c r="L35" i="18" s="1"/>
  <c r="I203" i="18"/>
  <c r="J203" i="18" s="1"/>
  <c r="L203" i="18" s="1"/>
  <c r="I159" i="18"/>
  <c r="J159" i="18" s="1"/>
  <c r="L159" i="18" s="1"/>
  <c r="I176" i="18"/>
  <c r="J176" i="18" s="1"/>
  <c r="L176" i="18" s="1"/>
  <c r="I49" i="18"/>
  <c r="J49" i="18" s="1"/>
  <c r="L49" i="18" s="1"/>
  <c r="I169" i="18"/>
  <c r="J169" i="18" s="1"/>
  <c r="L169" i="18" s="1"/>
  <c r="I183" i="18"/>
  <c r="J183" i="18" s="1"/>
  <c r="L183" i="18" s="1"/>
  <c r="I158" i="18"/>
  <c r="J158" i="18" s="1"/>
  <c r="L158" i="18" s="1"/>
  <c r="I126" i="18"/>
  <c r="J126" i="18" s="1"/>
  <c r="L126" i="18" s="1"/>
  <c r="I109" i="18"/>
  <c r="J109" i="18" s="1"/>
  <c r="L109" i="18" s="1"/>
  <c r="I72" i="18"/>
  <c r="J72" i="18" s="1"/>
  <c r="L72" i="18" s="1"/>
  <c r="I84" i="18"/>
  <c r="J84" i="18" s="1"/>
  <c r="L84" i="18" s="1"/>
  <c r="I23" i="18"/>
  <c r="J23" i="18" s="1"/>
  <c r="L23" i="18" s="1"/>
  <c r="I147" i="18"/>
  <c r="J147" i="18" s="1"/>
  <c r="L147" i="18" s="1"/>
  <c r="I32" i="18"/>
  <c r="J32" i="18" s="1"/>
  <c r="L32" i="18" s="1"/>
  <c r="I54" i="18"/>
  <c r="J54" i="18" s="1"/>
  <c r="L54" i="18" s="1"/>
  <c r="I191" i="18"/>
  <c r="J191" i="18" s="1"/>
  <c r="L191" i="18" s="1"/>
  <c r="I45" i="18"/>
  <c r="J45" i="18" s="1"/>
  <c r="L45" i="18" s="1"/>
  <c r="I200" i="18"/>
  <c r="J200" i="18" s="1"/>
  <c r="L200" i="18" s="1"/>
  <c r="I154" i="18"/>
  <c r="J154" i="18" s="1"/>
  <c r="L154" i="18" s="1"/>
  <c r="I31" i="18"/>
  <c r="J31" i="18" s="1"/>
  <c r="L31" i="18" s="1"/>
  <c r="I189" i="18"/>
  <c r="J189" i="18" s="1"/>
  <c r="L189" i="18" s="1"/>
  <c r="I74" i="18"/>
  <c r="J74" i="18" s="1"/>
  <c r="L74" i="18" s="1"/>
  <c r="I157" i="18"/>
  <c r="J157" i="18" s="1"/>
  <c r="L157" i="18" s="1"/>
  <c r="I196" i="18"/>
  <c r="J196" i="18" s="1"/>
  <c r="L196" i="18" s="1"/>
  <c r="I164" i="18"/>
  <c r="J164" i="18" s="1"/>
  <c r="L164" i="18" s="1"/>
  <c r="I26" i="18"/>
  <c r="J26" i="18" s="1"/>
  <c r="L26" i="18" s="1"/>
  <c r="I161" i="18"/>
  <c r="J161" i="18" s="1"/>
  <c r="L161" i="18" s="1"/>
  <c r="I20" i="18"/>
  <c r="J20" i="18" s="1"/>
  <c r="I56" i="18"/>
  <c r="J56" i="18" s="1"/>
  <c r="I90" i="18"/>
  <c r="J90" i="18" s="1"/>
  <c r="L90" i="18" s="1"/>
  <c r="I79" i="18"/>
  <c r="J79" i="18" s="1"/>
  <c r="L79" i="18" s="1"/>
  <c r="I63" i="18"/>
  <c r="J63" i="18" s="1"/>
  <c r="L63" i="18" s="1"/>
  <c r="I55" i="18"/>
  <c r="J55" i="18" s="1"/>
  <c r="L55" i="18" s="1"/>
  <c r="I95" i="18"/>
  <c r="J95" i="18" s="1"/>
  <c r="L95" i="18" s="1"/>
  <c r="I168" i="18"/>
  <c r="J168" i="18" s="1"/>
  <c r="L168" i="18" s="1"/>
  <c r="I194" i="18"/>
  <c r="J194" i="18" s="1"/>
  <c r="L194" i="18" s="1"/>
  <c r="I81" i="18"/>
  <c r="J81" i="18" s="1"/>
  <c r="L81" i="18" s="1"/>
  <c r="I40" i="18"/>
  <c r="J40" i="18" s="1"/>
  <c r="L40" i="18" s="1"/>
  <c r="I30" i="18"/>
  <c r="J30" i="18" s="1"/>
  <c r="L30" i="18" s="1"/>
  <c r="I73" i="18"/>
  <c r="J73" i="18" s="1"/>
  <c r="L73" i="18" s="1"/>
  <c r="I80" i="18"/>
  <c r="J80" i="18" s="1"/>
  <c r="L80" i="18" s="1"/>
  <c r="I173" i="18"/>
  <c r="J173" i="18" s="1"/>
  <c r="L173" i="18" s="1"/>
  <c r="I92" i="18"/>
  <c r="J92" i="18" s="1"/>
  <c r="L92" i="18" s="1"/>
  <c r="I125" i="18"/>
  <c r="J125" i="18" s="1"/>
  <c r="L125" i="18" s="1"/>
  <c r="I141" i="18"/>
  <c r="J141" i="18" s="1"/>
  <c r="L141" i="18" s="1"/>
  <c r="I98" i="18"/>
  <c r="J98" i="18" s="1"/>
  <c r="L98" i="18" s="1"/>
  <c r="I66" i="18"/>
  <c r="J66" i="18" s="1"/>
  <c r="L66" i="18" s="1"/>
  <c r="I89" i="18"/>
  <c r="J89" i="18" s="1"/>
  <c r="L89" i="18" s="1"/>
  <c r="I53" i="18"/>
  <c r="J53" i="18" s="1"/>
  <c r="L53" i="18" s="1"/>
  <c r="I155" i="18"/>
  <c r="J155" i="18" s="1"/>
  <c r="L155" i="18" s="1"/>
  <c r="I195" i="18"/>
  <c r="J195" i="18" s="1"/>
  <c r="L195" i="18" s="1"/>
  <c r="I210" i="18"/>
  <c r="J210" i="18" s="1"/>
  <c r="L210" i="18" s="1"/>
  <c r="I42" i="18"/>
  <c r="J42" i="18" s="1"/>
  <c r="L42" i="18" s="1"/>
  <c r="I34" i="18"/>
  <c r="J34" i="18" s="1"/>
  <c r="L34" i="18" s="1"/>
  <c r="I171" i="18"/>
  <c r="J171" i="18" s="1"/>
  <c r="L171" i="18" s="1"/>
  <c r="I96" i="18"/>
  <c r="J96" i="18" s="1"/>
  <c r="L96" i="18" s="1"/>
  <c r="I151" i="18"/>
  <c r="J151" i="18" s="1"/>
  <c r="L151" i="18" s="1"/>
  <c r="I146" i="18"/>
  <c r="J146" i="18" s="1"/>
  <c r="L146" i="18" s="1"/>
  <c r="I175" i="18"/>
  <c r="J175" i="18" s="1"/>
  <c r="L175" i="18" s="1"/>
  <c r="I133" i="18"/>
  <c r="J133" i="18" s="1"/>
  <c r="L133" i="18" s="1"/>
  <c r="I172" i="18"/>
  <c r="J172" i="18" s="1"/>
  <c r="L172" i="18" s="1"/>
  <c r="I43" i="18"/>
  <c r="J43" i="18" s="1"/>
  <c r="L43" i="18" s="1"/>
  <c r="I104" i="18"/>
  <c r="J104" i="18" s="1"/>
  <c r="L104" i="18" s="1"/>
  <c r="I205" i="18"/>
  <c r="J205" i="18" s="1"/>
  <c r="L205" i="18" s="1"/>
  <c r="I87" i="18"/>
  <c r="J87" i="18" s="1"/>
  <c r="L87" i="18" s="1"/>
  <c r="I128" i="18"/>
  <c r="J128" i="18" s="1"/>
  <c r="L128" i="18" s="1"/>
  <c r="I103" i="18"/>
  <c r="J103" i="18" s="1"/>
  <c r="L103" i="18" s="1"/>
  <c r="I118" i="18"/>
  <c r="J118" i="18" s="1"/>
  <c r="L118" i="18" s="1"/>
  <c r="I174" i="18"/>
  <c r="J174" i="18" s="1"/>
  <c r="L174" i="18" s="1"/>
  <c r="I76" i="18"/>
  <c r="J76" i="18" s="1"/>
  <c r="L76" i="18" s="1"/>
  <c r="I116" i="18"/>
  <c r="J116" i="18" s="1"/>
  <c r="L116" i="18" s="1"/>
  <c r="I106" i="18"/>
  <c r="J106" i="18" s="1"/>
  <c r="L106" i="18" s="1"/>
  <c r="I62" i="18"/>
  <c r="J62" i="18" s="1"/>
  <c r="L62" i="18" s="1"/>
  <c r="I208" i="18"/>
  <c r="J208" i="18" s="1"/>
  <c r="L208" i="18" s="1"/>
  <c r="I70" i="18"/>
  <c r="J70" i="18" s="1"/>
  <c r="L70" i="18" s="1"/>
  <c r="I51" i="18"/>
  <c r="J51" i="18" s="1"/>
  <c r="L51" i="18" s="1"/>
  <c r="I131" i="18"/>
  <c r="J131" i="18" s="1"/>
  <c r="L131" i="18" s="1"/>
  <c r="I135" i="18"/>
  <c r="J135" i="18" s="1"/>
  <c r="L135" i="18" s="1"/>
  <c r="I138" i="18"/>
  <c r="J138" i="18" s="1"/>
  <c r="L138" i="18" s="1"/>
  <c r="I201" i="18"/>
  <c r="J201" i="18" s="1"/>
  <c r="L201" i="18" s="1"/>
  <c r="F14" i="29"/>
  <c r="I115" i="18"/>
  <c r="J115" i="18" s="1"/>
  <c r="L115" i="18" s="1"/>
  <c r="I149" i="18"/>
  <c r="J149" i="18" s="1"/>
  <c r="L149" i="18" s="1"/>
  <c r="I170" i="18"/>
  <c r="J170" i="18" s="1"/>
  <c r="L170" i="18" s="1"/>
  <c r="I71" i="18"/>
  <c r="J71" i="18" s="1"/>
  <c r="L71" i="18" s="1"/>
  <c r="I68" i="18"/>
  <c r="J68" i="18" s="1"/>
  <c r="L68" i="18" s="1"/>
  <c r="I82" i="18"/>
  <c r="J82" i="18" s="1"/>
  <c r="L82" i="18" s="1"/>
  <c r="I123" i="18"/>
  <c r="J123" i="18" s="1"/>
  <c r="L123" i="18" s="1"/>
  <c r="I187" i="18"/>
  <c r="J187" i="18" s="1"/>
  <c r="L187" i="18" s="1"/>
  <c r="I124" i="18"/>
  <c r="J124" i="18" s="1"/>
  <c r="L124" i="18" s="1"/>
  <c r="I94" i="18"/>
  <c r="J94" i="18" s="1"/>
  <c r="L94" i="18" s="1"/>
  <c r="I130" i="18"/>
  <c r="J130" i="18" s="1"/>
  <c r="L130" i="18" s="1"/>
  <c r="I204" i="18"/>
  <c r="J204" i="18" s="1"/>
  <c r="L204" i="18" s="1"/>
  <c r="I97" i="18"/>
  <c r="J97" i="18" s="1"/>
  <c r="L97" i="18" s="1"/>
  <c r="I78" i="18"/>
  <c r="J78" i="18" s="1"/>
  <c r="L78" i="18" s="1"/>
  <c r="I25" i="18"/>
  <c r="J25" i="18" s="1"/>
  <c r="L25" i="18" s="1"/>
  <c r="I110" i="18"/>
  <c r="J110" i="18" s="1"/>
  <c r="L110" i="18" s="1"/>
  <c r="I206" i="18"/>
  <c r="J206" i="18" s="1"/>
  <c r="L206" i="18" s="1"/>
  <c r="I186" i="18"/>
  <c r="J186" i="18" s="1"/>
  <c r="L186" i="18" s="1"/>
  <c r="I108" i="18"/>
  <c r="J108" i="18" s="1"/>
  <c r="L108" i="18" s="1"/>
  <c r="I150" i="18"/>
  <c r="J150" i="18" s="1"/>
  <c r="L150" i="18" s="1"/>
  <c r="I64" i="18"/>
  <c r="J64" i="18" s="1"/>
  <c r="L64" i="18" s="1"/>
  <c r="I91" i="18"/>
  <c r="J91" i="18" s="1"/>
  <c r="L91" i="18" s="1"/>
  <c r="I152" i="18"/>
  <c r="J152" i="18" s="1"/>
  <c r="L152" i="18" s="1"/>
  <c r="I144" i="18"/>
  <c r="J144" i="18" s="1"/>
  <c r="L144" i="18" s="1"/>
  <c r="I177" i="18"/>
  <c r="J177" i="18" s="1"/>
  <c r="L177" i="18" s="1"/>
  <c r="I65" i="18"/>
  <c r="J65" i="18" s="1"/>
  <c r="L65" i="18" s="1"/>
  <c r="I121" i="18"/>
  <c r="J121" i="18" s="1"/>
  <c r="L121" i="18" s="1"/>
  <c r="I86" i="18"/>
  <c r="J86" i="18" s="1"/>
  <c r="L86" i="18" s="1"/>
  <c r="I132" i="18"/>
  <c r="J132" i="18" s="1"/>
  <c r="L132" i="18" s="1"/>
  <c r="I47" i="18"/>
  <c r="J47" i="18" s="1"/>
  <c r="L47" i="18" s="1"/>
  <c r="I139" i="18"/>
  <c r="J139" i="18" s="1"/>
  <c r="L139" i="18" s="1"/>
  <c r="I107" i="18"/>
  <c r="J107" i="18" s="1"/>
  <c r="L107" i="18" s="1"/>
  <c r="I37" i="18"/>
  <c r="J37" i="18" s="1"/>
  <c r="L37" i="18" s="1"/>
  <c r="I137" i="18"/>
  <c r="J137" i="18" s="1"/>
  <c r="L137" i="18" s="1"/>
  <c r="I166" i="18"/>
  <c r="J166" i="18" s="1"/>
  <c r="L166" i="18" s="1"/>
  <c r="I46" i="18"/>
  <c r="J46" i="18" s="1"/>
  <c r="L46" i="18" s="1"/>
  <c r="I114" i="18"/>
  <c r="J114" i="18" s="1"/>
  <c r="L114" i="18" s="1"/>
  <c r="I178" i="18"/>
  <c r="J178" i="18" s="1"/>
  <c r="L178" i="18" s="1"/>
  <c r="I28" i="18"/>
  <c r="J28" i="18" s="1"/>
  <c r="L28" i="18" s="1"/>
  <c r="I188" i="18"/>
  <c r="J188" i="18" s="1"/>
  <c r="L188" i="18" s="1"/>
  <c r="I101" i="18"/>
  <c r="J101" i="18" s="1"/>
  <c r="L101" i="18" s="1"/>
  <c r="I117" i="18"/>
  <c r="J117" i="18" s="1"/>
  <c r="L117" i="18" s="1"/>
  <c r="I67" i="18"/>
  <c r="J67" i="18" s="1"/>
  <c r="L67" i="18" s="1"/>
  <c r="I145" i="18"/>
  <c r="J145" i="18" s="1"/>
  <c r="L145" i="18" s="1"/>
  <c r="I209" i="18"/>
  <c r="J209" i="18" s="1"/>
  <c r="L209" i="18" s="1"/>
  <c r="I198" i="18"/>
  <c r="J198" i="18" s="1"/>
  <c r="L198" i="18" s="1"/>
  <c r="I88" i="18"/>
  <c r="J88" i="18" s="1"/>
  <c r="L88" i="18" s="1"/>
  <c r="I134" i="18"/>
  <c r="J134" i="18" s="1"/>
  <c r="L134" i="18" s="1"/>
  <c r="I167" i="18"/>
  <c r="J167" i="18" s="1"/>
  <c r="L167" i="18" s="1"/>
  <c r="J13" i="18" l="1"/>
  <c r="L56" i="18"/>
  <c r="J212" i="18"/>
  <c r="L20" i="18"/>
  <c r="J14" i="18"/>
  <c r="L212" i="18" l="1"/>
  <c r="L14" i="18"/>
  <c r="L13" i="18"/>
  <c r="M113" i="18" l="1"/>
  <c r="N113" i="18" s="1"/>
  <c r="R113" i="18" s="1"/>
  <c r="M141" i="18"/>
  <c r="N141" i="18" s="1"/>
  <c r="R141" i="18" s="1"/>
  <c r="M36" i="18"/>
  <c r="N36" i="18" s="1"/>
  <c r="R36" i="18" s="1"/>
  <c r="M203" i="18"/>
  <c r="N203" i="18" s="1"/>
  <c r="R203" i="18" s="1"/>
  <c r="M64" i="18"/>
  <c r="N64" i="18" s="1"/>
  <c r="R64" i="18" s="1"/>
  <c r="M89" i="18"/>
  <c r="N89" i="18" s="1"/>
  <c r="R89" i="18" s="1"/>
  <c r="M200" i="18"/>
  <c r="N200" i="18" s="1"/>
  <c r="R200" i="18" s="1"/>
  <c r="M201" i="18"/>
  <c r="N201" i="18" s="1"/>
  <c r="R201" i="18" s="1"/>
  <c r="M157" i="18"/>
  <c r="N157" i="18" s="1"/>
  <c r="R157" i="18" s="1"/>
  <c r="M75" i="18"/>
  <c r="N75" i="18" s="1"/>
  <c r="R75" i="18" s="1"/>
  <c r="M198" i="18"/>
  <c r="N198" i="18" s="1"/>
  <c r="R198" i="18" s="1"/>
  <c r="M91" i="18"/>
  <c r="N91" i="18" s="1"/>
  <c r="R91" i="18" s="1"/>
  <c r="M67" i="18"/>
  <c r="N67" i="18" s="1"/>
  <c r="R67" i="18" s="1"/>
  <c r="M196" i="18"/>
  <c r="N196" i="18" s="1"/>
  <c r="R196" i="18" s="1"/>
  <c r="M34" i="18"/>
  <c r="N34" i="18" s="1"/>
  <c r="R34" i="18" s="1"/>
  <c r="M27" i="18"/>
  <c r="N27" i="18" s="1"/>
  <c r="R27" i="18" s="1"/>
  <c r="M182" i="18"/>
  <c r="N182" i="18" s="1"/>
  <c r="R182" i="18" s="1"/>
  <c r="M66" i="18"/>
  <c r="N66" i="18" s="1"/>
  <c r="R66" i="18" s="1"/>
  <c r="M178" i="18"/>
  <c r="N178" i="18" s="1"/>
  <c r="R178" i="18" s="1"/>
  <c r="M22" i="18"/>
  <c r="N22" i="18" s="1"/>
  <c r="R22" i="18" s="1"/>
  <c r="M95" i="18"/>
  <c r="N95" i="18" s="1"/>
  <c r="R95" i="18" s="1"/>
  <c r="M23" i="18"/>
  <c r="N23" i="18" s="1"/>
  <c r="R23" i="18" s="1"/>
  <c r="M136" i="18"/>
  <c r="N136" i="18" s="1"/>
  <c r="R136" i="18" s="1"/>
  <c r="M138" i="18"/>
  <c r="N138" i="18" s="1"/>
  <c r="R138" i="18" s="1"/>
  <c r="M197" i="18"/>
  <c r="N197" i="18" s="1"/>
  <c r="R197" i="18" s="1"/>
  <c r="M46" i="18"/>
  <c r="N46" i="18" s="1"/>
  <c r="R46" i="18" s="1"/>
  <c r="M47" i="18"/>
  <c r="N47" i="18" s="1"/>
  <c r="R47" i="18" s="1"/>
  <c r="M101" i="18"/>
  <c r="N101" i="18" s="1"/>
  <c r="R101" i="18" s="1"/>
  <c r="M166" i="18"/>
  <c r="N166" i="18" s="1"/>
  <c r="R166" i="18" s="1"/>
  <c r="M108" i="18"/>
  <c r="N108" i="18" s="1"/>
  <c r="R108" i="18" s="1"/>
  <c r="M48" i="18"/>
  <c r="N48" i="18" s="1"/>
  <c r="R48" i="18" s="1"/>
  <c r="M24" i="18"/>
  <c r="N24" i="18" s="1"/>
  <c r="R24" i="18" s="1"/>
  <c r="M207" i="18"/>
  <c r="N207" i="18" s="1"/>
  <c r="R207" i="18" s="1"/>
  <c r="M159" i="18"/>
  <c r="N159" i="18" s="1"/>
  <c r="R159" i="18" s="1"/>
  <c r="M63" i="18"/>
  <c r="N63" i="18" s="1"/>
  <c r="R63" i="18" s="1"/>
  <c r="M171" i="18"/>
  <c r="N171" i="18" s="1"/>
  <c r="R171" i="18" s="1"/>
  <c r="M186" i="18"/>
  <c r="N186" i="18" s="1"/>
  <c r="R186" i="18" s="1"/>
  <c r="M57" i="18"/>
  <c r="N57" i="18" s="1"/>
  <c r="R57" i="18" s="1"/>
  <c r="M107" i="18"/>
  <c r="N107" i="18" s="1"/>
  <c r="R107" i="18" s="1"/>
  <c r="M21" i="18"/>
  <c r="N21" i="18" s="1"/>
  <c r="R21" i="18" s="1"/>
  <c r="M165" i="18"/>
  <c r="N165" i="18" s="1"/>
  <c r="R165" i="18" s="1"/>
  <c r="M76" i="18"/>
  <c r="N76" i="18" s="1"/>
  <c r="R76" i="18" s="1"/>
  <c r="M162" i="18"/>
  <c r="N162" i="18" s="1"/>
  <c r="R162" i="18" s="1"/>
  <c r="M32" i="18"/>
  <c r="N32" i="18" s="1"/>
  <c r="R32" i="18" s="1"/>
  <c r="M168" i="18"/>
  <c r="N168" i="18" s="1"/>
  <c r="R168" i="18" s="1"/>
  <c r="M135" i="18"/>
  <c r="N135" i="18" s="1"/>
  <c r="R135" i="18" s="1"/>
  <c r="M71" i="18"/>
  <c r="N71" i="18" s="1"/>
  <c r="R71" i="18" s="1"/>
  <c r="M100" i="18"/>
  <c r="N100" i="18" s="1"/>
  <c r="R100" i="18" s="1"/>
  <c r="M206" i="18"/>
  <c r="N206" i="18" s="1"/>
  <c r="R206" i="18" s="1"/>
  <c r="M112" i="18"/>
  <c r="N112" i="18" s="1"/>
  <c r="R112" i="18" s="1"/>
  <c r="M93" i="18"/>
  <c r="N93" i="18" s="1"/>
  <c r="R93" i="18" s="1"/>
  <c r="M142" i="18"/>
  <c r="N142" i="18" s="1"/>
  <c r="R142" i="18" s="1"/>
  <c r="M29" i="18"/>
  <c r="N29" i="18" s="1"/>
  <c r="R29" i="18" s="1"/>
  <c r="M146" i="18"/>
  <c r="N146" i="18" s="1"/>
  <c r="R146" i="18" s="1"/>
  <c r="M155" i="18"/>
  <c r="N155" i="18" s="1"/>
  <c r="R155" i="18" s="1"/>
  <c r="M106" i="18"/>
  <c r="N106" i="18" s="1"/>
  <c r="R106" i="18" s="1"/>
  <c r="M72" i="18"/>
  <c r="N72" i="18" s="1"/>
  <c r="R72" i="18" s="1"/>
  <c r="M117" i="18"/>
  <c r="N117" i="18" s="1"/>
  <c r="R117" i="18" s="1"/>
  <c r="M130" i="18"/>
  <c r="N130" i="18" s="1"/>
  <c r="R130" i="18" s="1"/>
  <c r="M129" i="18"/>
  <c r="N129" i="18" s="1"/>
  <c r="R129" i="18" s="1"/>
  <c r="M161" i="18"/>
  <c r="N161" i="18" s="1"/>
  <c r="R161" i="18" s="1"/>
  <c r="M177" i="18"/>
  <c r="N177" i="18" s="1"/>
  <c r="R177" i="18" s="1"/>
  <c r="M41" i="18"/>
  <c r="N41" i="18" s="1"/>
  <c r="R41" i="18" s="1"/>
  <c r="M204" i="18"/>
  <c r="N204" i="18" s="1"/>
  <c r="R204" i="18" s="1"/>
  <c r="M40" i="18"/>
  <c r="N40" i="18" s="1"/>
  <c r="R40" i="18" s="1"/>
  <c r="M147" i="18"/>
  <c r="N147" i="18" s="1"/>
  <c r="R147" i="18" s="1"/>
  <c r="M152" i="18"/>
  <c r="N152" i="18" s="1"/>
  <c r="R152" i="18" s="1"/>
  <c r="M115" i="18"/>
  <c r="N115" i="18" s="1"/>
  <c r="R115" i="18" s="1"/>
  <c r="M50" i="18"/>
  <c r="N50" i="18" s="1"/>
  <c r="R50" i="18" s="1"/>
  <c r="M98" i="18"/>
  <c r="N98" i="18" s="1"/>
  <c r="R98" i="18" s="1"/>
  <c r="M183" i="18"/>
  <c r="N183" i="18" s="1"/>
  <c r="R183" i="18" s="1"/>
  <c r="M156" i="18"/>
  <c r="N156" i="18" s="1"/>
  <c r="R156" i="18" s="1"/>
  <c r="M45" i="18"/>
  <c r="N45" i="18" s="1"/>
  <c r="R45" i="18" s="1"/>
  <c r="M103" i="18"/>
  <c r="N103" i="18" s="1"/>
  <c r="R103" i="18" s="1"/>
  <c r="M194" i="18"/>
  <c r="N194" i="18" s="1"/>
  <c r="R194" i="18" s="1"/>
  <c r="M43" i="18"/>
  <c r="N43" i="18" s="1"/>
  <c r="R43" i="18" s="1"/>
  <c r="M170" i="18"/>
  <c r="N170" i="18" s="1"/>
  <c r="R170" i="18" s="1"/>
  <c r="M52" i="18"/>
  <c r="N52" i="18" s="1"/>
  <c r="R52" i="18" s="1"/>
  <c r="M123" i="18"/>
  <c r="N123" i="18" s="1"/>
  <c r="R123" i="18" s="1"/>
  <c r="M144" i="18"/>
  <c r="N144" i="18" s="1"/>
  <c r="R144" i="18" s="1"/>
  <c r="M127" i="18"/>
  <c r="N127" i="18" s="1"/>
  <c r="R127" i="18" s="1"/>
  <c r="M55" i="18"/>
  <c r="N55" i="18" s="1"/>
  <c r="R55" i="18" s="1"/>
  <c r="M26" i="18"/>
  <c r="N26" i="18" s="1"/>
  <c r="R26" i="18" s="1"/>
  <c r="M160" i="18"/>
  <c r="N160" i="18" s="1"/>
  <c r="R160" i="18" s="1"/>
  <c r="M35" i="18"/>
  <c r="N35" i="18" s="1"/>
  <c r="R35" i="18" s="1"/>
  <c r="M173" i="18"/>
  <c r="N173" i="18" s="1"/>
  <c r="R173" i="18" s="1"/>
  <c r="M154" i="18"/>
  <c r="N154" i="18" s="1"/>
  <c r="R154" i="18" s="1"/>
  <c r="M150" i="18"/>
  <c r="N150" i="18" s="1"/>
  <c r="R150" i="18" s="1"/>
  <c r="M158" i="18"/>
  <c r="N158" i="18" s="1"/>
  <c r="R158" i="18" s="1"/>
  <c r="M148" i="18"/>
  <c r="N148" i="18" s="1"/>
  <c r="R148" i="18" s="1"/>
  <c r="M188" i="18"/>
  <c r="N188" i="18" s="1"/>
  <c r="R188" i="18" s="1"/>
  <c r="M38" i="18"/>
  <c r="N38" i="18" s="1"/>
  <c r="R38" i="18" s="1"/>
  <c r="M118" i="18"/>
  <c r="N118" i="18" s="1"/>
  <c r="R118" i="18" s="1"/>
  <c r="M80" i="18"/>
  <c r="N80" i="18" s="1"/>
  <c r="R80" i="18" s="1"/>
  <c r="M111" i="18"/>
  <c r="N111" i="18" s="1"/>
  <c r="R111" i="18" s="1"/>
  <c r="M202" i="18"/>
  <c r="N202" i="18" s="1"/>
  <c r="R202" i="18" s="1"/>
  <c r="M192" i="18"/>
  <c r="N192" i="18" s="1"/>
  <c r="R192" i="18" s="1"/>
  <c r="M92" i="18"/>
  <c r="N92" i="18" s="1"/>
  <c r="R92" i="18" s="1"/>
  <c r="M74" i="18"/>
  <c r="N74" i="18" s="1"/>
  <c r="R74" i="18" s="1"/>
  <c r="M185" i="18"/>
  <c r="N185" i="18" s="1"/>
  <c r="R185" i="18" s="1"/>
  <c r="M145" i="18"/>
  <c r="N145" i="18" s="1"/>
  <c r="R145" i="18" s="1"/>
  <c r="M39" i="18"/>
  <c r="N39" i="18" s="1"/>
  <c r="R39" i="18" s="1"/>
  <c r="M132" i="18"/>
  <c r="N132" i="18" s="1"/>
  <c r="R132" i="18" s="1"/>
  <c r="M37" i="18"/>
  <c r="N37" i="18" s="1"/>
  <c r="R37" i="18" s="1"/>
  <c r="M140" i="18"/>
  <c r="N140" i="18" s="1"/>
  <c r="R140" i="18" s="1"/>
  <c r="M172" i="18"/>
  <c r="N172" i="18" s="1"/>
  <c r="R172" i="18" s="1"/>
  <c r="M180" i="18"/>
  <c r="N180" i="18" s="1"/>
  <c r="R180" i="18" s="1"/>
  <c r="M181" i="18"/>
  <c r="N181" i="18" s="1"/>
  <c r="R181" i="18" s="1"/>
  <c r="M137" i="18"/>
  <c r="N137" i="18" s="1"/>
  <c r="R137" i="18" s="1"/>
  <c r="M94" i="18"/>
  <c r="N94" i="18" s="1"/>
  <c r="R94" i="18" s="1"/>
  <c r="M211" i="18"/>
  <c r="N211" i="18" s="1"/>
  <c r="R211" i="18" s="1"/>
  <c r="M126" i="18"/>
  <c r="N126" i="18" s="1"/>
  <c r="R126" i="18" s="1"/>
  <c r="M208" i="18"/>
  <c r="N208" i="18" s="1"/>
  <c r="R208" i="18" s="1"/>
  <c r="M86" i="18"/>
  <c r="N86" i="18" s="1"/>
  <c r="R86" i="18" s="1"/>
  <c r="M163" i="18"/>
  <c r="N163" i="18" s="1"/>
  <c r="R163" i="18" s="1"/>
  <c r="M164" i="18"/>
  <c r="N164" i="18" s="1"/>
  <c r="R164" i="18" s="1"/>
  <c r="M61" i="18"/>
  <c r="N61" i="18" s="1"/>
  <c r="R61" i="18" s="1"/>
  <c r="M139" i="18"/>
  <c r="N139" i="18" s="1"/>
  <c r="R139" i="18" s="1"/>
  <c r="M151" i="18"/>
  <c r="N151" i="18" s="1"/>
  <c r="R151" i="18" s="1"/>
  <c r="M79" i="18"/>
  <c r="N79" i="18" s="1"/>
  <c r="R79" i="18" s="1"/>
  <c r="M88" i="18"/>
  <c r="N88" i="18" s="1"/>
  <c r="R88" i="18" s="1"/>
  <c r="M54" i="18"/>
  <c r="N54" i="18" s="1"/>
  <c r="R54" i="18" s="1"/>
  <c r="M104" i="18"/>
  <c r="N104" i="18" s="1"/>
  <c r="R104" i="18" s="1"/>
  <c r="M110" i="18"/>
  <c r="N110" i="18" s="1"/>
  <c r="R110" i="18" s="1"/>
  <c r="M153" i="18"/>
  <c r="N153" i="18" s="1"/>
  <c r="R153" i="18" s="1"/>
  <c r="M193" i="18"/>
  <c r="N193" i="18" s="1"/>
  <c r="R193" i="18" s="1"/>
  <c r="M78" i="18"/>
  <c r="N78" i="18" s="1"/>
  <c r="R78" i="18" s="1"/>
  <c r="M90" i="18"/>
  <c r="N90" i="18" s="1"/>
  <c r="R90" i="18" s="1"/>
  <c r="M62" i="18"/>
  <c r="N62" i="18" s="1"/>
  <c r="R62" i="18" s="1"/>
  <c r="M85" i="18"/>
  <c r="N85" i="18" s="1"/>
  <c r="R85" i="18" s="1"/>
  <c r="M149" i="18"/>
  <c r="N149" i="18" s="1"/>
  <c r="R149" i="18" s="1"/>
  <c r="M189" i="18"/>
  <c r="N189" i="18" s="1"/>
  <c r="R189" i="18" s="1"/>
  <c r="M116" i="18"/>
  <c r="N116" i="18" s="1"/>
  <c r="R116" i="18" s="1"/>
  <c r="M175" i="18"/>
  <c r="N175" i="18" s="1"/>
  <c r="R175" i="18" s="1"/>
  <c r="M77" i="18"/>
  <c r="N77" i="18" s="1"/>
  <c r="R77" i="18" s="1"/>
  <c r="M42" i="18"/>
  <c r="N42" i="18" s="1"/>
  <c r="R42" i="18" s="1"/>
  <c r="M134" i="18"/>
  <c r="N134" i="18" s="1"/>
  <c r="R134" i="18" s="1"/>
  <c r="M190" i="18"/>
  <c r="N190" i="18" s="1"/>
  <c r="R190" i="18" s="1"/>
  <c r="M83" i="18"/>
  <c r="N83" i="18" s="1"/>
  <c r="R83" i="18" s="1"/>
  <c r="M124" i="18"/>
  <c r="N124" i="18" s="1"/>
  <c r="R124" i="18" s="1"/>
  <c r="M58" i="18"/>
  <c r="N58" i="18" s="1"/>
  <c r="R58" i="18" s="1"/>
  <c r="M169" i="18"/>
  <c r="N169" i="18" s="1"/>
  <c r="R169" i="18" s="1"/>
  <c r="M87" i="18"/>
  <c r="N87" i="18" s="1"/>
  <c r="R87" i="18" s="1"/>
  <c r="M184" i="18"/>
  <c r="N184" i="18" s="1"/>
  <c r="R184" i="18" s="1"/>
  <c r="M179" i="18"/>
  <c r="N179" i="18" s="1"/>
  <c r="R179" i="18" s="1"/>
  <c r="M191" i="18"/>
  <c r="N191" i="18" s="1"/>
  <c r="R191" i="18" s="1"/>
  <c r="M69" i="18"/>
  <c r="N69" i="18" s="1"/>
  <c r="R69" i="18" s="1"/>
  <c r="M102" i="18"/>
  <c r="N102" i="18" s="1"/>
  <c r="R102" i="18" s="1"/>
  <c r="M31" i="18"/>
  <c r="N31" i="18" s="1"/>
  <c r="R31" i="18" s="1"/>
  <c r="M125" i="18"/>
  <c r="N125" i="18" s="1"/>
  <c r="R125" i="18" s="1"/>
  <c r="M25" i="18"/>
  <c r="N25" i="18" s="1"/>
  <c r="R25" i="18" s="1"/>
  <c r="M59" i="18"/>
  <c r="N59" i="18" s="1"/>
  <c r="R59" i="18" s="1"/>
  <c r="M114" i="18"/>
  <c r="N114" i="18" s="1"/>
  <c r="R114" i="18" s="1"/>
  <c r="M195" i="18"/>
  <c r="N195" i="18" s="1"/>
  <c r="R195" i="18" s="1"/>
  <c r="M167" i="18"/>
  <c r="N167" i="18" s="1"/>
  <c r="R167" i="18" s="1"/>
  <c r="M28" i="18"/>
  <c r="N28" i="18" s="1"/>
  <c r="R28" i="18" s="1"/>
  <c r="M121" i="18"/>
  <c r="N121" i="18" s="1"/>
  <c r="R121" i="18" s="1"/>
  <c r="M122" i="18"/>
  <c r="N122" i="18" s="1"/>
  <c r="R122" i="18" s="1"/>
  <c r="M82" i="18"/>
  <c r="N82" i="18" s="1"/>
  <c r="R82" i="18" s="1"/>
  <c r="M49" i="18"/>
  <c r="N49" i="18" s="1"/>
  <c r="R49" i="18" s="1"/>
  <c r="M109" i="18"/>
  <c r="N109" i="18" s="1"/>
  <c r="R109" i="18" s="1"/>
  <c r="M205" i="18"/>
  <c r="N205" i="18" s="1"/>
  <c r="R205" i="18" s="1"/>
  <c r="M53" i="18"/>
  <c r="N53" i="18" s="1"/>
  <c r="R53" i="18" s="1"/>
  <c r="M199" i="18"/>
  <c r="N199" i="18" s="1"/>
  <c r="R199" i="18" s="1"/>
  <c r="M128" i="18"/>
  <c r="N128" i="18" s="1"/>
  <c r="R128" i="18" s="1"/>
  <c r="M70" i="18"/>
  <c r="N70" i="18" s="1"/>
  <c r="R70" i="18" s="1"/>
  <c r="M187" i="18"/>
  <c r="N187" i="18" s="1"/>
  <c r="R187" i="18" s="1"/>
  <c r="M30" i="18"/>
  <c r="N30" i="18" s="1"/>
  <c r="R30" i="18" s="1"/>
  <c r="M20" i="18"/>
  <c r="M120" i="18"/>
  <c r="N120" i="18" s="1"/>
  <c r="R120" i="18" s="1"/>
  <c r="M96" i="18"/>
  <c r="N96" i="18" s="1"/>
  <c r="R96" i="18" s="1"/>
  <c r="M68" i="18"/>
  <c r="N68" i="18" s="1"/>
  <c r="R68" i="18" s="1"/>
  <c r="M209" i="18"/>
  <c r="N209" i="18" s="1"/>
  <c r="R209" i="18" s="1"/>
  <c r="M210" i="18"/>
  <c r="N210" i="18" s="1"/>
  <c r="R210" i="18" s="1"/>
  <c r="M99" i="18"/>
  <c r="N99" i="18" s="1"/>
  <c r="R99" i="18" s="1"/>
  <c r="M73" i="18"/>
  <c r="N73" i="18" s="1"/>
  <c r="R73" i="18" s="1"/>
  <c r="M81" i="18"/>
  <c r="N81" i="18" s="1"/>
  <c r="R81" i="18" s="1"/>
  <c r="M119" i="18"/>
  <c r="N119" i="18" s="1"/>
  <c r="R119" i="18" s="1"/>
  <c r="M60" i="18"/>
  <c r="N60" i="18" s="1"/>
  <c r="R60" i="18" s="1"/>
  <c r="M33" i="18"/>
  <c r="N33" i="18" s="1"/>
  <c r="R33" i="18" s="1"/>
  <c r="M65" i="18"/>
  <c r="N65" i="18" s="1"/>
  <c r="R65" i="18" s="1"/>
  <c r="M176" i="18"/>
  <c r="N176" i="18" s="1"/>
  <c r="R176" i="18" s="1"/>
  <c r="M97" i="18"/>
  <c r="N97" i="18" s="1"/>
  <c r="R97" i="18" s="1"/>
  <c r="M133" i="18"/>
  <c r="N133" i="18" s="1"/>
  <c r="R133" i="18" s="1"/>
  <c r="M51" i="18"/>
  <c r="N51" i="18" s="1"/>
  <c r="R51" i="18" s="1"/>
  <c r="M44" i="18"/>
  <c r="N44" i="18" s="1"/>
  <c r="R44" i="18" s="1"/>
  <c r="M56" i="18"/>
  <c r="M174" i="18"/>
  <c r="N174" i="18" s="1"/>
  <c r="R174" i="18" s="1"/>
  <c r="M143" i="18"/>
  <c r="N143" i="18" s="1"/>
  <c r="R143" i="18" s="1"/>
  <c r="M131" i="18" l="1"/>
  <c r="N131" i="18" s="1"/>
  <c r="R131" i="18" s="1"/>
  <c r="M105" i="18"/>
  <c r="N105" i="18" s="1"/>
  <c r="R105" i="18" s="1"/>
  <c r="M84" i="18"/>
  <c r="N84" i="18" s="1"/>
  <c r="R84" i="18" s="1"/>
  <c r="M212" i="18"/>
  <c r="N20" i="18"/>
  <c r="M13" i="18"/>
  <c r="N56" i="18"/>
  <c r="N13" i="18" l="1"/>
  <c r="R56" i="18"/>
  <c r="R13" i="18" s="1"/>
  <c r="N14" i="18"/>
  <c r="R20" i="18"/>
  <c r="R14" i="18" l="1"/>
  <c r="R2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<sst xmlns="http://schemas.openxmlformats.org/spreadsheetml/2006/main" count="441" uniqueCount="104">
  <si>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</si>
  <si>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</si>
  <si>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</si>
  <si>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</si>
  <si>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</si>
  <si>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</si>
  <si>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</si>
  <si>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</si>
  <si>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</si>
  <si>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</si>
  <si>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</si>
  <si>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</si>
  <si>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</si>
  <si>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</si>
  <si>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</si>
  <si>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</si>
  <si>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</si>
  <si>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</si>
  <si>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</si>
  <si>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</si>
  <si>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</si>
  <si>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</si>
  <si>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</si>
  <si>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</si>
  <si>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</si>
  <si>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</si>
  <si>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</si>
  <si>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</si>
  <si>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</si>
  <si>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</si>
  <si>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</si>
  <si>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</si>
  <si>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</si>
  <si>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</si>
  <si>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</si>
  <si>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</si>
  <si>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</si>
  <si>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</si>
  <si>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</si>
  <si>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</si>
  <si>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</si>
  <si>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</si>
  <si>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</si>
  <si>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</si>
  <si>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</si>
  <si>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</si>
  <si>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</si>
  <si>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</si>
  <si>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</si>
  <si>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</si>
  <si>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</si>
  <si>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</si>
  <si>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</si>
  <si>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</si>
  <si>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</si>
  <si>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</si>
  <si>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</si>
  <si>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</si>
  <si>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</si>
  <si>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</si>
  <si>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</si>
  <si>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</si>
  <si>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</si>
  <si>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</si>
  <si>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</si>
  <si>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</si>
  <si>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</si>
  <si>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</si>
  <si>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</si>
  <si>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</si>
  <si>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</si>
  <si>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</si>
  <si>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</si>
  <si>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</si>
  <si>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</si>
  <si>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</si>
  <si>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</si>
  <si>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</si>
  <si>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</si>
  <si>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</si>
  <si>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</si>
  <si>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</si>
  <si>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</si>
  <si>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</si>
  <si>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</si>
  <si>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</si>
  <si>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</si>
  <si>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</si>
  <si>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</si>
  <si>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</si>
  <si>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</si>
  <si>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</si>
  <si>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</si>
  <si>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</si>
  <si>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</si>
  <si>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AEPTCo Formula Rate -- FERC Docket ER18-195</t>
  </si>
  <si>
    <t>Total</t>
  </si>
  <si>
    <t>2021 NOLC Refund Amount with Interest (NITS)</t>
  </si>
  <si>
    <t>2021 Load Share</t>
  </si>
  <si>
    <t>2021 Formal Challenge Refund with Interest</t>
  </si>
  <si>
    <t>2023 True Up Including Interest</t>
  </si>
  <si>
    <r>
      <t>2024 True-Up
(</t>
    </r>
    <r>
      <rPr>
        <sz val="10"/>
        <rFont val="Arial"/>
        <family val="2"/>
      </rPr>
      <t>w/o Interest)</t>
    </r>
  </si>
  <si>
    <t>2024 Interest</t>
  </si>
  <si>
    <t>Total 2024
True-Up Surcharge / (Refund)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</si>
</sst>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6" xfId="2" applyNumberFormat="1" applyFont="1" applyBorder="1" applyProtection="1"/>
    <xf numFmtId="165" fontId="0" fillId="0" borderId="17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19" xfId="0" applyBorder="1" applyProtection="1"/>
    <xf numFmtId="0" fontId="9" fillId="3" borderId="20" xfId="0" quotePrefix="1" applyFont="1" applyFill="1" applyBorder="1" applyAlignment="1" applyProtection="1">
      <alignment horizontal="left" vertical="center" wrapText="1"/>
    </xf>
    <xf numFmtId="165" fontId="0" fillId="3" borderId="21" xfId="2" applyNumberFormat="1" applyFont="1" applyFill="1" applyBorder="1" applyAlignment="1" applyProtection="1">
      <alignment vertical="center"/>
    </xf>
    <xf numFmtId="165" fontId="0" fillId="3" borderId="22" xfId="2" applyNumberFormat="1" applyFont="1" applyFill="1" applyBorder="1" applyAlignment="1" applyProtection="1">
      <alignment vertical="center"/>
    </xf>
    <xf numFmtId="165" fontId="3" fillId="3" borderId="23" xfId="2" applyNumberFormat="1" applyFont="1" applyFill="1" applyBorder="1" applyAlignment="1" applyProtection="1">
      <alignment vertical="center"/>
    </xf>
    <xf numFmtId="0" fontId="0" fillId="0" borderId="25" xfId="0" quotePrefix="1" applyBorder="1" applyAlignment="1" applyProtection="1">
      <alignment horizontal="left"/>
    </xf>
    <xf numFmtId="0" fontId="0" fillId="0" borderId="18" xfId="0" applyBorder="1" applyProtection="1"/>
    <xf numFmtId="0" fontId="0" fillId="0" borderId="26" xfId="0" applyBorder="1" applyProtection="1"/>
    <xf numFmtId="0" fontId="9" fillId="0" borderId="20" xfId="0" quotePrefix="1" applyFont="1" applyFill="1" applyBorder="1" applyAlignment="1" applyProtection="1">
      <alignment horizontal="left" vertical="center" wrapText="1"/>
    </xf>
    <xf numFmtId="165" fontId="0" fillId="0" borderId="21" xfId="2" applyNumberFormat="1" applyFont="1" applyFill="1" applyBorder="1" applyAlignment="1" applyProtection="1">
      <alignment vertical="center"/>
    </xf>
    <xf numFmtId="165" fontId="0" fillId="0" borderId="22" xfId="2" applyNumberFormat="1" applyFont="1" applyFill="1" applyBorder="1" applyAlignment="1" applyProtection="1">
      <alignment vertical="center"/>
    </xf>
    <xf numFmtId="165" fontId="3" fillId="0" borderId="23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7" xfId="2" applyNumberFormat="1" applyFont="1" applyBorder="1" applyAlignment="1" applyProtection="1">
      <alignment vertical="center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5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0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0" xfId="0" quotePrefix="1" applyBorder="1" applyAlignment="1" applyProtection="1">
      <alignment horizontal="right"/>
    </xf>
    <xf numFmtId="0" fontId="0" fillId="0" borderId="22" xfId="0" applyBorder="1" applyAlignment="1" applyProtection="1">
      <alignment horizontal="center"/>
    </xf>
    <xf numFmtId="0" fontId="1" fillId="0" borderId="22" xfId="0" applyFont="1" applyFill="1" applyBorder="1" applyAlignment="1" applyProtection="1">
      <alignment horizontal="center"/>
    </xf>
    <xf numFmtId="164" fontId="3" fillId="0" borderId="24" xfId="0" applyNumberFormat="1" applyFont="1" applyBorder="1" applyAlignment="1" applyProtection="1">
      <alignment horizontal="right"/>
    </xf>
    <xf numFmtId="167" fontId="0" fillId="0" borderId="22" xfId="0" applyNumberFormat="1" applyBorder="1" applyAlignment="1" applyProtection="1">
      <alignment horizontal="center"/>
    </xf>
    <xf numFmtId="167" fontId="0" fillId="4" borderId="24" xfId="0" applyNumberFormat="1" applyFill="1" applyBorder="1" applyAlignment="1" applyProtection="1">
      <alignment horizontal="center"/>
    </xf>
    <xf numFmtId="167" fontId="0" fillId="0" borderId="31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4" fontId="1" fillId="0" borderId="16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0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0" xfId="0" applyNumberFormat="1" applyFont="1" applyBorder="1" applyAlignment="1" applyProtection="1">
      <alignment horizontal="center"/>
    </xf>
    <xf numFmtId="14" fontId="0" fillId="0" borderId="16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0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2" xfId="0" quotePrefix="1" applyFont="1" applyBorder="1" applyAlignment="1" applyProtection="1">
      <alignment horizontal="center"/>
    </xf>
    <xf numFmtId="164" fontId="4" fillId="0" borderId="21" xfId="0" quotePrefix="1" applyNumberFormat="1" applyFont="1" applyBorder="1" applyAlignment="1" applyProtection="1">
      <alignment horizontal="center" vertical="center" wrapText="1"/>
    </xf>
    <xf numFmtId="0" fontId="4" fillId="0" borderId="22" xfId="0" quotePrefix="1" applyFont="1" applyBorder="1" applyAlignment="1" applyProtection="1">
      <alignment horizontal="center" vertical="center" wrapText="1"/>
    </xf>
    <xf numFmtId="164" fontId="4" fillId="5" borderId="22" xfId="0" quotePrefix="1" applyNumberFormat="1" applyFont="1" applyFill="1" applyBorder="1" applyAlignment="1" applyProtection="1">
      <alignment horizontal="center" vertical="center" wrapText="1"/>
    </xf>
    <xf numFmtId="164" fontId="4" fillId="0" borderId="22" xfId="0" applyNumberFormat="1" applyFont="1" applyBorder="1" applyAlignment="1" applyProtection="1">
      <alignment horizontal="center" vertical="center" wrapText="1"/>
    </xf>
    <xf numFmtId="164" fontId="4" fillId="0" borderId="31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26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3" xfId="0" applyNumberFormat="1" applyBorder="1" applyAlignment="1" applyProtection="1">
      <alignment horizontal="center"/>
    </xf>
    <xf numFmtId="14" fontId="1" fillId="0" borderId="33" xfId="0" applyNumberFormat="1" applyFont="1" applyFill="1" applyBorder="1" applyProtection="1"/>
    <xf numFmtId="14" fontId="7" fillId="2" borderId="33" xfId="0" applyNumberFormat="1" applyFont="1" applyFill="1" applyBorder="1" applyAlignment="1" applyProtection="1">
      <alignment horizontal="left"/>
    </xf>
    <xf numFmtId="0" fontId="0" fillId="0" borderId="33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3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8" xfId="0" applyNumberFormat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4" xfId="0" applyNumberFormat="1" applyFont="1" applyFill="1" applyBorder="1" applyAlignment="1" applyProtection="1">
      <alignment horizont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0" fontId="0" fillId="0" borderId="0" xfId="0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10" fontId="24" fillId="0" borderId="0" xfId="4" quotePrefix="1" applyNumberFormat="1" applyFont="1" applyFill="1" applyBorder="1" applyAlignment="1" applyProtection="1">
      <alignment horizontal="left"/>
    </xf>
    <xf numFmtId="164" fontId="4" fillId="0" borderId="22" xfId="0" quotePrefix="1" applyNumberFormat="1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2" xfId="0" quotePrefix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1" fillId="0" borderId="0" xfId="5"/>
    <xf numFmtId="37" fontId="0" fillId="0" borderId="0" xfId="6" applyNumberFormat="1" applyFont="1"/>
    <xf numFmtId="37" fontId="1" fillId="0" borderId="0" xfId="5" applyNumberFormat="1"/>
    <xf numFmtId="0" fontId="1" fillId="0" borderId="34" xfId="5" applyBorder="1"/>
    <xf numFmtId="168" fontId="0" fillId="0" borderId="0" xfId="7" applyNumberFormat="1" applyFont="1" applyBorder="1" applyAlignment="1" applyProtection="1">
      <alignment horizontal="left"/>
    </xf>
    <xf numFmtId="0" fontId="1" fillId="0" borderId="35" xfId="5" quotePrefix="1" applyBorder="1" applyAlignment="1">
      <alignment horizontal="left"/>
    </xf>
    <xf numFmtId="168" fontId="0" fillId="0" borderId="0" xfId="7" quotePrefix="1" applyNumberFormat="1" applyFont="1" applyBorder="1" applyAlignment="1" applyProtection="1">
      <alignment horizontal="left"/>
    </xf>
    <xf numFmtId="0" fontId="1" fillId="0" borderId="35" xfId="5" applyBorder="1"/>
    <xf numFmtId="0" fontId="1" fillId="0" borderId="36" xfId="5" applyBorder="1"/>
    <xf numFmtId="0" fontId="9" fillId="3" borderId="37" xfId="5" quotePrefix="1" applyFont="1" applyFill="1" applyBorder="1" applyAlignment="1">
      <alignment horizontal="left" vertical="center" wrapText="1"/>
    </xf>
    <xf numFmtId="168" fontId="9" fillId="3" borderId="0" xfId="7" quotePrefix="1" applyNumberFormat="1" applyFont="1" applyFill="1" applyBorder="1" applyAlignment="1" applyProtection="1">
      <alignment horizontal="left" vertical="center" wrapText="1"/>
    </xf>
    <xf numFmtId="37" fontId="9" fillId="3" borderId="0" xfId="7" quotePrefix="1" applyNumberFormat="1" applyFont="1" applyFill="1" applyBorder="1" applyAlignment="1" applyProtection="1">
      <alignment vertical="center" wrapText="1"/>
    </xf>
    <xf numFmtId="0" fontId="1" fillId="0" borderId="38" xfId="5" quotePrefix="1" applyBorder="1" applyAlignment="1">
      <alignment horizontal="left"/>
    </xf>
    <xf numFmtId="0" fontId="9" fillId="3" borderId="22" xfId="5" quotePrefix="1" applyFont="1" applyFill="1" applyBorder="1" applyAlignment="1">
      <alignment horizontal="left" vertical="center" wrapText="1"/>
    </xf>
    <xf numFmtId="37" fontId="9" fillId="3" borderId="22" xfId="5" quotePrefix="1" applyNumberFormat="1" applyFont="1" applyFill="1" applyBorder="1" applyAlignment="1">
      <alignment vertical="center" wrapText="1"/>
    </xf>
    <xf numFmtId="0" fontId="9" fillId="0" borderId="39" xfId="5" quotePrefix="1" applyFont="1" applyBorder="1" applyAlignment="1">
      <alignment horizontal="center" vertical="center" wrapText="1"/>
    </xf>
    <xf numFmtId="0" fontId="9" fillId="0" borderId="0" xfId="5" quotePrefix="1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3" fontId="0" fillId="0" borderId="0" xfId="1" applyFont="1" applyProtection="1"/>
    <xf numFmtId="0" fontId="0" fillId="0" borderId="40" xfId="0" applyBorder="1" applyProtection="1"/>
    <xf numFmtId="0" fontId="0" fillId="0" borderId="41" xfId="0" applyBorder="1" applyProtection="1"/>
    <xf numFmtId="0" fontId="0" fillId="0" borderId="40" xfId="0" pivotButton="1" applyBorder="1" applyProtection="1"/>
    <xf numFmtId="0" fontId="0" fillId="0" borderId="42" xfId="0" applyBorder="1" applyProtection="1"/>
    <xf numFmtId="17" fontId="0" fillId="0" borderId="40" xfId="0" applyNumberFormat="1" applyBorder="1" applyProtection="1"/>
    <xf numFmtId="17" fontId="0" fillId="0" borderId="43" xfId="0" applyNumberFormat="1" applyBorder="1" applyProtection="1"/>
    <xf numFmtId="17" fontId="0" fillId="0" borderId="44" xfId="0" applyNumberFormat="1" applyBorder="1" applyProtection="1"/>
    <xf numFmtId="166" fontId="0" fillId="0" borderId="40" xfId="0" applyNumberFormat="1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0" fontId="0" fillId="0" borderId="46" xfId="0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0" fillId="0" borderId="48" xfId="0" applyBorder="1" applyProtection="1"/>
    <xf numFmtId="0" fontId="0" fillId="0" borderId="49" xfId="0" applyBorder="1" applyProtection="1"/>
    <xf numFmtId="166" fontId="0" fillId="0" borderId="48" xfId="0" applyNumberFormat="1" applyBorder="1" applyProtection="1"/>
    <xf numFmtId="166" fontId="0" fillId="0" borderId="50" xfId="0" applyNumberFormat="1" applyBorder="1" applyProtection="1"/>
    <xf numFmtId="166" fontId="0" fillId="0" borderId="51" xfId="0" applyNumberFormat="1" applyBorder="1" applyProtection="1"/>
    <xf numFmtId="166" fontId="25" fillId="0" borderId="46" xfId="0" applyNumberFormat="1" applyFont="1" applyBorder="1" applyProtection="1"/>
    <xf numFmtId="166" fontId="25" fillId="0" borderId="0" xfId="0" applyNumberFormat="1" applyFont="1" applyProtection="1"/>
    <xf numFmtId="166" fontId="25" fillId="0" borderId="47" xfId="0" applyNumberFormat="1" applyFont="1" applyBorder="1" applyProtection="1"/>
    <xf numFmtId="166" fontId="25" fillId="0" borderId="40" xfId="0" applyNumberFormat="1" applyFont="1" applyBorder="1" applyProtection="1"/>
    <xf numFmtId="166" fontId="25" fillId="0" borderId="43" xfId="0" applyNumberFormat="1" applyFont="1" applyBorder="1" applyProtection="1"/>
    <xf numFmtId="166" fontId="25" fillId="0" borderId="44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</cellXfs>
  <cellStyles count="8">
    <cellStyle name="Comma" xfId="1" builtinId="3"/>
    <cellStyle name="Comma 2" xfId="6" xr:uid="{214FD057-BB75-4F60-83BB-25628F9B6C31}"/>
    <cellStyle name="Currency" xfId="2" builtinId="4"/>
    <cellStyle name="Normal" xfId="0" builtinId="0"/>
    <cellStyle name="Normal 2" xfId="3" xr:uid="{00000000-0005-0000-0000-000003000000}"/>
    <cellStyle name="Normal 3" xfId="5" xr:uid="{EA691A26-BC7D-4F46-B3F6-C0A54C70E9E2}"/>
    <cellStyle name="Percent" xfId="4" builtinId="5"/>
    <cellStyle name="Percent 2" xfId="7" xr:uid="{46770C55-AE41-4D20-A7A2-C27E92E5FF46}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800.471218055558" createdVersion="6" refreshedVersion="8" recordCount="192" xr:uid="{00000000-000A-0000-FFFF-FFFFE2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4-12-02T00:00:00" count="180"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3-01-01T00:00:00" u="1"/>
        <d v="2023-02-01T00:00:00" u="1"/>
        <d v="2023-03-01T00:00:00" u="1"/>
        <d v="2023-04-01T00:00:00" u="1"/>
        <d v="2023-05-01T00:00:00" u="1"/>
        <d v="2023-06-01T00:00:00" u="1"/>
        <d v="2023-07-01T00:00:00" u="1"/>
        <d v="2023-08-01T00:00:00" u="1"/>
        <d v="2023-09-01T00:00:00" u="1"/>
        <d v="2023-10-01T00:00:00" u="1"/>
        <d v="2023-11-01T00:00:00" u="1"/>
        <d v="2023-12-01T00:00:00" u="1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4-02-05T00:00:00" maxDate="2025-01-04T00:00:00"/>
    </cacheField>
    <cacheField name="Payment Received*" numFmtId="14">
      <sharedItems containsSemiMixedTypes="0" containsNonDate="0" containsDate="1" containsString="0" minDate="2024-02-26T00:00:00" maxDate="2025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151"/>
    </cacheField>
    <cacheField name="Projected Rate (as Invoiced)" numFmtId="164">
      <sharedItems containsSemiMixedTypes="0" containsString="0" containsNumber="1" minValue="2063.08" maxValue="2063.08"/>
    </cacheField>
    <cacheField name="Actual True-Up Rate" numFmtId="164">
      <sharedItems containsSemiMixedTypes="0" containsString="0" containsNumber="1" minValue="1999.9" maxValue="1999.9"/>
    </cacheField>
    <cacheField name="True-Up Charge" numFmtId="164">
      <sharedItems containsSemiMixedTypes="0" containsString="0" containsNumber="1" minValue="1999.9" maxValue="8301584.9000000004"/>
    </cacheField>
    <cacheField name="Invoiced*** Charge (proj.)" numFmtId="164">
      <sharedItems containsSemiMixedTypes="0" containsString="0" containsNumber="1" minValue="2063.08" maxValue="8563845.0800000001"/>
    </cacheField>
    <cacheField name="True-Up w/o Interest" numFmtId="164">
      <sharedItems containsSemiMixedTypes="0" containsString="0" containsNumber="1" minValue="-262260.1799999997" maxValue="-63.179999999999836"/>
    </cacheField>
    <cacheField name="Interest" numFmtId="164">
      <sharedItems containsSemiMixedTypes="0" containsString="0" containsNumber="1" minValue="-21071.904689648651" maxValue="-5.0763441796310893"/>
    </cacheField>
    <cacheField name="2023 True Up Including Interest" numFmtId="164">
      <sharedItems containsSemiMixedTypes="0" containsString="0" containsNumber="1" minValue="-283332.08468964836" maxValue="-68.256344179630929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283332.08468964836" maxValue="-68.2563441796309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4-02-05T00:00:00"/>
    <d v="2024-02-26T00:00:00"/>
    <x v="0"/>
    <n v="9"/>
    <n v="3252"/>
    <n v="2063.08"/>
    <n v="1999.9"/>
    <n v="6503674.8000000007"/>
    <n v="6709136.1600000001"/>
    <n v="-205461.3599999994"/>
    <n v="-16508.271272160302"/>
    <n v="-221969.63127215969"/>
    <n v="0"/>
    <n v="0"/>
    <n v="0"/>
    <n v="-221969.63127215969"/>
  </r>
  <r>
    <x v="1"/>
    <d v="2024-03-05T00:00:00"/>
    <d v="2024-03-25T00:00:00"/>
    <x v="0"/>
    <n v="9"/>
    <n v="2338"/>
    <n v="2063.08"/>
    <n v="1999.9"/>
    <n v="4675766.2"/>
    <n v="4823481.04"/>
    <n v="-147714.83999999985"/>
    <n v="-11868.492691977486"/>
    <n v="-159583.33269197732"/>
    <n v="0"/>
    <n v="0"/>
    <n v="0"/>
    <n v="-159583.33269197732"/>
  </r>
  <r>
    <x v="2"/>
    <d v="2024-04-03T00:00:00"/>
    <d v="2024-04-24T00:00:00"/>
    <x v="0"/>
    <n v="9"/>
    <n v="2216"/>
    <n v="2063.08"/>
    <n v="1999.9"/>
    <n v="4431778.4000000004"/>
    <n v="4571785.28"/>
    <n v="-140006.87999999989"/>
    <n v="-11249.178702062492"/>
    <n v="-151256.05870206238"/>
    <n v="0"/>
    <n v="0"/>
    <n v="0"/>
    <n v="-151256.05870206238"/>
  </r>
  <r>
    <x v="3"/>
    <d v="2024-05-03T00:00:00"/>
    <d v="2024-05-24T00:00:00"/>
    <x v="0"/>
    <n v="9"/>
    <n v="2777"/>
    <n v="2063.08"/>
    <n v="1999.9"/>
    <n v="5553722.2999999998"/>
    <n v="5729173.1600000001"/>
    <n v="-175450.86000000034"/>
    <n v="-14097.007786835533"/>
    <n v="-189547.86778683588"/>
    <n v="0"/>
    <n v="0"/>
    <n v="0"/>
    <n v="-189547.86778683588"/>
  </r>
  <r>
    <x v="4"/>
    <d v="2024-06-05T00:00:00"/>
    <d v="2024-06-24T00:00:00"/>
    <x v="0"/>
    <n v="9"/>
    <n v="3245"/>
    <n v="2063.08"/>
    <n v="1999.9"/>
    <n v="6489675.5"/>
    <n v="6694694.5999999996"/>
    <n v="-205019.09999999963"/>
    <n v="-16472.736862902882"/>
    <n v="-221491.83686290251"/>
    <n v="0"/>
    <n v="0"/>
    <n v="0"/>
    <n v="-221491.83686290251"/>
  </r>
  <r>
    <x v="5"/>
    <d v="2024-07-03T00:00:00"/>
    <d v="2024-07-24T00:00:00"/>
    <x v="0"/>
    <n v="9"/>
    <n v="4080"/>
    <n v="2063.08"/>
    <n v="1999.9"/>
    <n v="8159592"/>
    <n v="8417366.4000000004"/>
    <n v="-257774.40000000037"/>
    <n v="-20711.484252894843"/>
    <n v="-278485.88425289519"/>
    <n v="0"/>
    <n v="0"/>
    <n v="0"/>
    <n v="-278485.88425289519"/>
  </r>
  <r>
    <x v="6"/>
    <d v="2024-08-05T00:00:00"/>
    <d v="2024-08-26T00:00:00"/>
    <x v="0"/>
    <n v="9"/>
    <n v="4149"/>
    <n v="2063.08"/>
    <n v="1999.9"/>
    <n v="8297585.1000000006"/>
    <n v="8559718.9199999999"/>
    <n v="-262133.81999999937"/>
    <n v="-21061.752001289387"/>
    <n v="-283195.57200128876"/>
    <n v="0"/>
    <n v="0"/>
    <n v="0"/>
    <n v="-283195.57200128876"/>
  </r>
  <r>
    <x v="7"/>
    <d v="2024-09-04T00:00:00"/>
    <d v="2024-09-24T00:00:00"/>
    <x v="0"/>
    <n v="9"/>
    <n v="4151"/>
    <n v="2063.08"/>
    <n v="1999.9"/>
    <n v="8301584.9000000004"/>
    <n v="8563845.0800000001"/>
    <n v="-262260.1799999997"/>
    <n v="-21071.904689648651"/>
    <n v="-283332.08468964836"/>
    <n v="0"/>
    <n v="0"/>
    <n v="0"/>
    <n v="-283332.08468964836"/>
  </r>
  <r>
    <x v="8"/>
    <d v="2024-10-03T00:00:00"/>
    <d v="2024-10-24T00:00:00"/>
    <x v="0"/>
    <n v="9"/>
    <n v="3859"/>
    <n v="2063.08"/>
    <n v="1999.9"/>
    <n v="7717614.1000000006"/>
    <n v="7961425.7199999997"/>
    <n v="-243811.61999999918"/>
    <n v="-19589.612189196374"/>
    <n v="-263401.23218919558"/>
    <n v="0"/>
    <n v="0"/>
    <n v="0"/>
    <n v="-263401.23218919558"/>
  </r>
  <r>
    <x v="9"/>
    <d v="2024-11-05T00:00:00"/>
    <d v="2024-11-25T00:00:00"/>
    <x v="0"/>
    <n v="9"/>
    <n v="3429"/>
    <n v="2063.08"/>
    <n v="1999.9"/>
    <n v="6857657.1000000006"/>
    <n v="7074301.3199999994"/>
    <n v="-216644.21999999881"/>
    <n v="-17406.784191955005"/>
    <n v="-234051.00419195381"/>
    <n v="0"/>
    <n v="0"/>
    <n v="0"/>
    <n v="-234051.00419195381"/>
  </r>
  <r>
    <x v="10"/>
    <d v="2024-12-04T00:00:00"/>
    <d v="2024-12-24T00:00:00"/>
    <x v="0"/>
    <n v="9"/>
    <n v="2220"/>
    <n v="2063.08"/>
    <n v="1999.9"/>
    <n v="4439778"/>
    <n v="4580037.5999999996"/>
    <n v="-140259.59999999963"/>
    <n v="-11269.484078781017"/>
    <n v="-151529.08407878064"/>
    <n v="0"/>
    <n v="0"/>
    <n v="0"/>
    <n v="-151529.08407878064"/>
  </r>
  <r>
    <x v="11"/>
    <d v="2025-01-03T00:00:00"/>
    <d v="2025-01-24T00:00:00"/>
    <x v="0"/>
    <n v="9"/>
    <n v="2569"/>
    <n v="2063.08"/>
    <n v="1999.9"/>
    <n v="5137743.1000000006"/>
    <n v="5300052.5199999996"/>
    <n v="-162309.41999999899"/>
    <n v="-13041.128197472266"/>
    <n v="-175350.54819747125"/>
    <n v="0"/>
    <n v="0"/>
    <n v="0"/>
    <n v="-175350.54819747125"/>
  </r>
  <r>
    <x v="0"/>
    <d v="2024-02-05T00:00:00"/>
    <d v="2024-02-26T00:00:00"/>
    <x v="1"/>
    <n v="9"/>
    <n v="3306"/>
    <n v="2063.08"/>
    <n v="1999.9"/>
    <n v="6611669.4000000004"/>
    <n v="6820542.4799999995"/>
    <n v="-208873.07999999914"/>
    <n v="-16782.393857860381"/>
    <n v="-225655.47385785953"/>
    <n v="0"/>
    <n v="0"/>
    <n v="0"/>
    <n v="-225655.47385785953"/>
  </r>
  <r>
    <x v="1"/>
    <d v="2024-03-05T00:00:00"/>
    <d v="2024-03-25T00:00:00"/>
    <x v="1"/>
    <n v="9"/>
    <n v="2611"/>
    <n v="2063.08"/>
    <n v="1999.9"/>
    <n v="5221738.9000000004"/>
    <n v="5386701.8799999999"/>
    <n v="-164962.97999999952"/>
    <n v="-13254.334653016773"/>
    <n v="-178217.31465301628"/>
    <n v="0"/>
    <n v="0"/>
    <n v="0"/>
    <n v="-178217.31465301628"/>
  </r>
  <r>
    <x v="2"/>
    <d v="2024-04-03T00:00:00"/>
    <d v="2024-04-24T00:00:00"/>
    <x v="1"/>
    <n v="9"/>
    <n v="2302"/>
    <n v="2063.08"/>
    <n v="1999.9"/>
    <n v="4603769.8"/>
    <n v="4749210.16"/>
    <n v="-145440.36000000034"/>
    <n v="-11685.744301510766"/>
    <n v="-157126.10430151111"/>
    <n v="0"/>
    <n v="0"/>
    <n v="0"/>
    <n v="-157126.10430151111"/>
  </r>
  <r>
    <x v="3"/>
    <d v="2024-05-03T00:00:00"/>
    <d v="2024-05-24T00:00:00"/>
    <x v="1"/>
    <n v="9"/>
    <n v="2486"/>
    <n v="2063.08"/>
    <n v="1999.9"/>
    <n v="4971751.4000000004"/>
    <n v="5128816.88"/>
    <n v="-157065.47999999952"/>
    <n v="-12619.791630562888"/>
    <n v="-169685.27163056241"/>
    <n v="0"/>
    <n v="0"/>
    <n v="0"/>
    <n v="-169685.27163056241"/>
  </r>
  <r>
    <x v="4"/>
    <d v="2024-06-05T00:00:00"/>
    <d v="2024-06-24T00:00:00"/>
    <x v="1"/>
    <n v="9"/>
    <n v="2970"/>
    <n v="2063.08"/>
    <n v="1999.9"/>
    <n v="5939703"/>
    <n v="6127347.5999999996"/>
    <n v="-187644.59999999963"/>
    <n v="-15076.742213504334"/>
    <n v="-202721.34221350396"/>
    <n v="0"/>
    <n v="0"/>
    <n v="0"/>
    <n v="-202721.34221350396"/>
  </r>
  <r>
    <x v="5"/>
    <d v="2024-07-03T00:00:00"/>
    <d v="2024-07-24T00:00:00"/>
    <x v="1"/>
    <n v="9"/>
    <n v="3483"/>
    <n v="2063.08"/>
    <n v="1999.9"/>
    <n v="6965651.7000000002"/>
    <n v="7185707.6399999997"/>
    <n v="-220055.93999999948"/>
    <n v="-17680.90677765508"/>
    <n v="-237736.84677765454"/>
    <n v="0"/>
    <n v="0"/>
    <n v="0"/>
    <n v="-237736.84677765454"/>
  </r>
  <r>
    <x v="6"/>
    <d v="2024-08-05T00:00:00"/>
    <d v="2024-08-26T00:00:00"/>
    <x v="1"/>
    <n v="9"/>
    <n v="3510"/>
    <n v="2063.08"/>
    <n v="1999.9"/>
    <n v="7019649"/>
    <n v="7241410.7999999998"/>
    <n v="-221761.79999999981"/>
    <n v="-17817.968070505121"/>
    <n v="-239579.76807050494"/>
    <n v="0"/>
    <n v="0"/>
    <n v="0"/>
    <n v="-239579.76807050494"/>
  </r>
  <r>
    <x v="7"/>
    <d v="2024-09-04T00:00:00"/>
    <d v="2024-09-24T00:00:00"/>
    <x v="1"/>
    <n v="9"/>
    <n v="3574"/>
    <n v="2063.08"/>
    <n v="1999.9"/>
    <n v="7147642.6000000006"/>
    <n v="7373447.9199999999"/>
    <n v="-225805.31999999937"/>
    <n v="-18142.854098001513"/>
    <n v="-243948.17409800089"/>
    <n v="0"/>
    <n v="0"/>
    <n v="0"/>
    <n v="-243948.17409800089"/>
  </r>
  <r>
    <x v="8"/>
    <d v="2024-10-03T00:00:00"/>
    <d v="2024-10-24T00:00:00"/>
    <x v="1"/>
    <n v="9"/>
    <n v="3188"/>
    <n v="2063.08"/>
    <n v="1999.9"/>
    <n v="6375681.2000000002"/>
    <n v="6577099.04"/>
    <n v="-201417.83999999985"/>
    <n v="-16183.38524466391"/>
    <n v="-217601.22524466377"/>
    <n v="0"/>
    <n v="0"/>
    <n v="0"/>
    <n v="-217601.22524466377"/>
  </r>
  <r>
    <x v="9"/>
    <d v="2024-11-05T00:00:00"/>
    <d v="2024-11-25T00:00:00"/>
    <x v="1"/>
    <n v="9"/>
    <n v="2793"/>
    <n v="2063.08"/>
    <n v="1999.9"/>
    <n v="5585720.7000000002"/>
    <n v="5762182.4399999995"/>
    <n v="-176461.73999999929"/>
    <n v="-14178.229293709632"/>
    <n v="-190639.96929370891"/>
    <n v="0"/>
    <n v="0"/>
    <n v="0"/>
    <n v="-190639.96929370891"/>
  </r>
  <r>
    <x v="10"/>
    <d v="2024-12-04T00:00:00"/>
    <d v="2024-12-24T00:00:00"/>
    <x v="1"/>
    <n v="9"/>
    <n v="2339"/>
    <n v="2063.08"/>
    <n v="1999.9"/>
    <n v="4677766.1000000006"/>
    <n v="4825544.12"/>
    <n v="-147778.01999999955"/>
    <n v="-11873.569036157116"/>
    <n v="-159651.58903615666"/>
    <n v="0"/>
    <n v="0"/>
    <n v="0"/>
    <n v="-159651.58903615666"/>
  </r>
  <r>
    <x v="11"/>
    <d v="2025-01-03T00:00:00"/>
    <d v="2025-01-24T00:00:00"/>
    <x v="1"/>
    <n v="9"/>
    <n v="2520"/>
    <n v="2063.08"/>
    <n v="1999.9"/>
    <n v="5039748"/>
    <n v="5198961.5999999996"/>
    <n v="-159213.59999999963"/>
    <n v="-12792.387332670343"/>
    <n v="-172005.98733266996"/>
    <n v="0"/>
    <n v="0"/>
    <n v="0"/>
    <n v="-172005.98733266996"/>
  </r>
  <r>
    <x v="0"/>
    <d v="2024-02-05T00:00:00"/>
    <d v="2024-02-26T00:00:00"/>
    <x v="2"/>
    <n v="9"/>
    <n v="216"/>
    <n v="2063.08"/>
    <n v="1999.9"/>
    <n v="431978.4"/>
    <n v="445625.27999999997"/>
    <n v="-13646.879999999946"/>
    <n v="-1096.4903428003154"/>
    <n v="-14743.370342800263"/>
    <n v="0"/>
    <n v="0"/>
    <n v="0"/>
    <n v="-14743.370342800263"/>
  </r>
  <r>
    <x v="1"/>
    <d v="2024-03-05T00:00:00"/>
    <d v="2024-03-25T00:00:00"/>
    <x v="2"/>
    <n v="9"/>
    <n v="146"/>
    <n v="2063.08"/>
    <n v="1999.9"/>
    <n v="291985.40000000002"/>
    <n v="301209.68"/>
    <n v="-9224.2799999999697"/>
    <n v="-741.14625022613893"/>
    <n v="-9965.4262502261081"/>
    <n v="0"/>
    <n v="0"/>
    <n v="0"/>
    <n v="-9965.4262502261081"/>
  </r>
  <r>
    <x v="2"/>
    <d v="2024-04-03T00:00:00"/>
    <d v="2024-04-24T00:00:00"/>
    <x v="2"/>
    <n v="9"/>
    <n v="113"/>
    <n v="2063.08"/>
    <n v="1999.9"/>
    <n v="225988.7"/>
    <n v="233128.03999999998"/>
    <n v="-7139.3399999999674"/>
    <n v="-573.62689229831301"/>
    <n v="-7712.9668922982801"/>
    <n v="0"/>
    <n v="0"/>
    <n v="0"/>
    <n v="-7712.9668922982801"/>
  </r>
  <r>
    <x v="3"/>
    <d v="2024-05-03T00:00:00"/>
    <d v="2024-05-24T00:00:00"/>
    <x v="2"/>
    <n v="9"/>
    <n v="76"/>
    <n v="2063.08"/>
    <n v="1999.9"/>
    <n v="151992.4"/>
    <n v="156794.07999999999"/>
    <n v="-4801.679999999993"/>
    <n v="-385.80215765196277"/>
    <n v="-5187.4821576519562"/>
    <n v="0"/>
    <n v="0"/>
    <n v="0"/>
    <n v="-5187.4821576519562"/>
  </r>
  <r>
    <x v="4"/>
    <d v="2024-06-05T00:00:00"/>
    <d v="2024-06-24T00:00:00"/>
    <x v="2"/>
    <n v="9"/>
    <n v="120"/>
    <n v="2063.08"/>
    <n v="1999.9"/>
    <n v="239988"/>
    <n v="247569.59999999998"/>
    <n v="-7581.5999999999767"/>
    <n v="-609.16130155573069"/>
    <n v="-8190.7613015557072"/>
    <n v="0"/>
    <n v="0"/>
    <n v="0"/>
    <n v="-8190.7613015557072"/>
  </r>
  <r>
    <x v="5"/>
    <d v="2024-07-03T00:00:00"/>
    <d v="2024-07-24T00:00:00"/>
    <x v="2"/>
    <n v="9"/>
    <n v="147"/>
    <n v="2063.08"/>
    <n v="1999.9"/>
    <n v="293985.3"/>
    <n v="303272.76"/>
    <n v="-9287.460000000021"/>
    <n v="-746.22259440577011"/>
    <n v="-10033.682594405791"/>
    <n v="0"/>
    <n v="0"/>
    <n v="0"/>
    <n v="-10033.682594405791"/>
  </r>
  <r>
    <x v="6"/>
    <d v="2024-08-05T00:00:00"/>
    <d v="2024-08-26T00:00:00"/>
    <x v="2"/>
    <n v="9"/>
    <n v="155"/>
    <n v="2063.08"/>
    <n v="1999.9"/>
    <n v="309984.5"/>
    <n v="319777.39999999997"/>
    <n v="-9792.8999999999651"/>
    <n v="-786.83334784281885"/>
    <n v="-10579.733347842784"/>
    <n v="0"/>
    <n v="0"/>
    <n v="0"/>
    <n v="-10579.733347842784"/>
  </r>
  <r>
    <x v="7"/>
    <d v="2024-09-04T00:00:00"/>
    <d v="2024-09-24T00:00:00"/>
    <x v="2"/>
    <n v="9"/>
    <n v="157"/>
    <n v="2063.08"/>
    <n v="1999.9"/>
    <n v="313984.3"/>
    <n v="323903.56"/>
    <n v="-9919.2600000000093"/>
    <n v="-796.98603620208087"/>
    <n v="-10716.24603620209"/>
    <n v="0"/>
    <n v="0"/>
    <n v="0"/>
    <n v="-10716.24603620209"/>
  </r>
  <r>
    <x v="8"/>
    <d v="2024-10-03T00:00:00"/>
    <d v="2024-10-24T00:00:00"/>
    <x v="2"/>
    <n v="9"/>
    <n v="126"/>
    <n v="2063.08"/>
    <n v="1999.9"/>
    <n v="251987.40000000002"/>
    <n v="259948.08"/>
    <n v="-7960.6799999999639"/>
    <n v="-639.61936663351719"/>
    <n v="-8600.2993666334805"/>
    <n v="0"/>
    <n v="0"/>
    <n v="0"/>
    <n v="-8600.2993666334805"/>
  </r>
  <r>
    <x v="9"/>
    <d v="2024-11-05T00:00:00"/>
    <d v="2024-11-25T00:00:00"/>
    <x v="2"/>
    <n v="9"/>
    <n v="112"/>
    <n v="2063.08"/>
    <n v="1999.9"/>
    <n v="223988.80000000002"/>
    <n v="231064.95999999999"/>
    <n v="-7076.1599999999744"/>
    <n v="-568.55054811868195"/>
    <n v="-7644.7105481186563"/>
    <n v="0"/>
    <n v="0"/>
    <n v="0"/>
    <n v="-7644.7105481186563"/>
  </r>
  <r>
    <x v="10"/>
    <d v="2024-12-04T00:00:00"/>
    <d v="2024-12-24T00:00:00"/>
    <x v="2"/>
    <n v="9"/>
    <n v="93"/>
    <n v="2063.08"/>
    <n v="1999.9"/>
    <n v="185990.7"/>
    <n v="191866.44"/>
    <n v="-5875.7399999999907"/>
    <n v="-472.10000870569127"/>
    <n v="-6347.8400087056816"/>
    <n v="0"/>
    <n v="0"/>
    <n v="0"/>
    <n v="-6347.8400087056816"/>
  </r>
  <r>
    <x v="11"/>
    <d v="2025-01-03T00:00:00"/>
    <d v="2025-01-24T00:00:00"/>
    <x v="2"/>
    <n v="9"/>
    <n v="128"/>
    <n v="2063.08"/>
    <n v="1999.9"/>
    <n v="255987.20000000001"/>
    <n v="264074.23999999999"/>
    <n v="-8087.039999999979"/>
    <n v="-649.77205499277943"/>
    <n v="-8736.8120549927589"/>
    <n v="0"/>
    <n v="0"/>
    <n v="0"/>
    <n v="-8736.8120549927589"/>
  </r>
  <r>
    <x v="0"/>
    <d v="2024-02-05T00:00:00"/>
    <d v="2024-02-26T00:00:00"/>
    <x v="3"/>
    <n v="9"/>
    <n v="1129"/>
    <n v="2063.08"/>
    <n v="1999.9"/>
    <n v="2257887.1"/>
    <n v="2329217.3199999998"/>
    <n v="-71330.219999999739"/>
    <n v="-5731.1925788034996"/>
    <n v="-77061.41257880324"/>
    <n v="0"/>
    <n v="0"/>
    <n v="0"/>
    <n v="-77061.41257880324"/>
  </r>
  <r>
    <x v="1"/>
    <d v="2024-03-05T00:00:00"/>
    <d v="2024-03-25T00:00:00"/>
    <x v="3"/>
    <n v="9"/>
    <n v="739"/>
    <n v="2063.08"/>
    <n v="1999.9"/>
    <n v="1477926.1"/>
    <n v="1524616.1199999999"/>
    <n v="-46690.019999999786"/>
    <n v="-3751.4183487473747"/>
    <n v="-50441.438348747164"/>
    <n v="0"/>
    <n v="0"/>
    <n v="0"/>
    <n v="-50441.438348747164"/>
  </r>
  <r>
    <x v="2"/>
    <d v="2024-04-03T00:00:00"/>
    <d v="2024-04-24T00:00:00"/>
    <x v="3"/>
    <n v="9"/>
    <n v="642"/>
    <n v="2063.08"/>
    <n v="1999.9"/>
    <n v="1283935.8"/>
    <n v="1324497.3599999999"/>
    <n v="-40561.559999999823"/>
    <n v="-3259.0129633231591"/>
    <n v="-43820.572963322978"/>
    <n v="0"/>
    <n v="0"/>
    <n v="0"/>
    <n v="-43820.572963322978"/>
  </r>
  <r>
    <x v="3"/>
    <d v="2024-05-03T00:00:00"/>
    <d v="2024-05-24T00:00:00"/>
    <x v="3"/>
    <n v="9"/>
    <n v="581"/>
    <n v="2063.08"/>
    <n v="1999.9"/>
    <n v="1161941.9000000001"/>
    <n v="1198649.48"/>
    <n v="-36707.579999999842"/>
    <n v="-2949.3559683656626"/>
    <n v="-39656.935968365506"/>
    <n v="0"/>
    <n v="0"/>
    <n v="0"/>
    <n v="-39656.935968365506"/>
  </r>
  <r>
    <x v="4"/>
    <d v="2024-06-05T00:00:00"/>
    <d v="2024-06-24T00:00:00"/>
    <x v="3"/>
    <n v="9"/>
    <n v="753"/>
    <n v="2063.08"/>
    <n v="1999.9"/>
    <n v="1505924.7"/>
    <n v="1553499.24"/>
    <n v="-47574.540000000037"/>
    <n v="-3822.4871672622103"/>
    <n v="-51397.027167262248"/>
    <n v="0"/>
    <n v="0"/>
    <n v="0"/>
    <n v="-51397.027167262248"/>
  </r>
  <r>
    <x v="5"/>
    <d v="2024-07-03T00:00:00"/>
    <d v="2024-07-24T00:00:00"/>
    <x v="3"/>
    <n v="9"/>
    <n v="1001"/>
    <n v="2063.08"/>
    <n v="1999.9"/>
    <n v="2001899.9000000001"/>
    <n v="2065143.0799999998"/>
    <n v="-63243.179999999702"/>
    <n v="-5081.4205238107197"/>
    <n v="-68324.600523810426"/>
    <n v="0"/>
    <n v="0"/>
    <n v="0"/>
    <n v="-68324.600523810426"/>
  </r>
  <r>
    <x v="6"/>
    <d v="2024-08-05T00:00:00"/>
    <d v="2024-08-26T00:00:00"/>
    <x v="3"/>
    <n v="9"/>
    <n v="961"/>
    <n v="2063.08"/>
    <n v="1999.9"/>
    <n v="1921903.9000000001"/>
    <n v="1982619.88"/>
    <n v="-60715.979999999749"/>
    <n v="-4878.3667566254762"/>
    <n v="-65594.346756625222"/>
    <n v="0"/>
    <n v="0"/>
    <n v="0"/>
    <n v="-65594.346756625222"/>
  </r>
  <r>
    <x v="7"/>
    <d v="2024-09-04T00:00:00"/>
    <d v="2024-09-24T00:00:00"/>
    <x v="3"/>
    <n v="9"/>
    <n v="1017"/>
    <n v="2063.08"/>
    <n v="1999.9"/>
    <n v="2033898.3"/>
    <n v="2098152.36"/>
    <n v="-64254.059999999823"/>
    <n v="-5162.6420306848177"/>
    <n v="-69416.702030684639"/>
    <n v="0"/>
    <n v="0"/>
    <n v="0"/>
    <n v="-69416.702030684639"/>
  </r>
  <r>
    <x v="8"/>
    <d v="2024-10-03T00:00:00"/>
    <d v="2024-10-24T00:00:00"/>
    <x v="3"/>
    <n v="9"/>
    <n v="856"/>
    <n v="2063.08"/>
    <n v="1999.9"/>
    <n v="1711914.4000000001"/>
    <n v="1765996.48"/>
    <n v="-54082.079999999842"/>
    <n v="-4345.3506177642121"/>
    <n v="-58427.430617764054"/>
    <n v="0"/>
    <n v="0"/>
    <n v="0"/>
    <n v="-58427.430617764054"/>
  </r>
  <r>
    <x v="9"/>
    <d v="2024-11-05T00:00:00"/>
    <d v="2024-11-25T00:00:00"/>
    <x v="3"/>
    <n v="9"/>
    <n v="786"/>
    <n v="2063.08"/>
    <n v="1999.9"/>
    <n v="1571921.4000000001"/>
    <n v="1621580.88"/>
    <n v="-49659.479999999749"/>
    <n v="-3990.0065251900355"/>
    <n v="-53649.486525189786"/>
    <n v="0"/>
    <n v="0"/>
    <n v="0"/>
    <n v="-53649.486525189786"/>
  </r>
  <r>
    <x v="10"/>
    <d v="2024-12-04T00:00:00"/>
    <d v="2024-12-24T00:00:00"/>
    <x v="3"/>
    <n v="9"/>
    <n v="463"/>
    <n v="2063.08"/>
    <n v="1999.9"/>
    <n v="925953.70000000007"/>
    <n v="955206.03999999992"/>
    <n v="-29252.339999999851"/>
    <n v="-2350.3473551691945"/>
    <n v="-31602.687355169044"/>
    <n v="0"/>
    <n v="0"/>
    <n v="0"/>
    <n v="-31602.687355169044"/>
  </r>
  <r>
    <x v="11"/>
    <d v="2025-01-03T00:00:00"/>
    <d v="2025-01-24T00:00:00"/>
    <x v="3"/>
    <n v="9"/>
    <n v="725"/>
    <n v="2063.08"/>
    <n v="1999.9"/>
    <n v="1449927.5"/>
    <n v="1495733"/>
    <n v="-45805.5"/>
    <n v="-3680.3495302325396"/>
    <n v="-49485.849530232539"/>
    <n v="0"/>
    <n v="0"/>
    <n v="0"/>
    <n v="-49485.849530232539"/>
  </r>
  <r>
    <x v="0"/>
    <d v="2024-02-05T00:00:00"/>
    <d v="2024-02-26T00:00:00"/>
    <x v="4"/>
    <n v="9"/>
    <n v="58"/>
    <n v="2063.08"/>
    <n v="1999.9"/>
    <n v="115994.20000000001"/>
    <n v="119658.64"/>
    <n v="-3664.4399999999878"/>
    <n v="-294.42796241860316"/>
    <n v="-3958.8679624185911"/>
    <n v="0"/>
    <n v="0"/>
    <n v="0"/>
    <n v="-3958.8679624185911"/>
  </r>
  <r>
    <x v="1"/>
    <d v="2024-03-05T00:00:00"/>
    <d v="2024-03-25T00:00:00"/>
    <x v="4"/>
    <n v="9"/>
    <n v="36"/>
    <n v="2063.08"/>
    <n v="1999.9"/>
    <n v="71996.400000000009"/>
    <n v="74270.880000000005"/>
    <n v="-2274.4799999999959"/>
    <n v="-182.7483904667192"/>
    <n v="-2457.2283904667152"/>
    <n v="0"/>
    <n v="0"/>
    <n v="0"/>
    <n v="-2457.2283904667152"/>
  </r>
  <r>
    <x v="2"/>
    <d v="2024-04-03T00:00:00"/>
    <d v="2024-04-24T00:00:00"/>
    <x v="4"/>
    <n v="9"/>
    <n v="29"/>
    <n v="2063.08"/>
    <n v="1999.9"/>
    <n v="57997.100000000006"/>
    <n v="59829.32"/>
    <n v="-1832.2199999999939"/>
    <n v="-147.21398120930158"/>
    <n v="-1979.4339812092956"/>
    <n v="0"/>
    <n v="0"/>
    <n v="0"/>
    <n v="-1979.4339812092956"/>
  </r>
  <r>
    <x v="3"/>
    <d v="2024-05-03T00:00:00"/>
    <d v="2024-05-24T00:00:00"/>
    <x v="4"/>
    <n v="9"/>
    <n v="27"/>
    <n v="2063.08"/>
    <n v="1999.9"/>
    <n v="53997.3"/>
    <n v="55703.159999999996"/>
    <n v="-1705.8599999999933"/>
    <n v="-137.06129285003942"/>
    <n v="-1842.9212928500328"/>
    <n v="0"/>
    <n v="0"/>
    <n v="0"/>
    <n v="-1842.9212928500328"/>
  </r>
  <r>
    <x v="4"/>
    <d v="2024-06-05T00:00:00"/>
    <d v="2024-06-24T00:00:00"/>
    <x v="4"/>
    <n v="9"/>
    <n v="36"/>
    <n v="2063.08"/>
    <n v="1999.9"/>
    <n v="71996.400000000009"/>
    <n v="74270.880000000005"/>
    <n v="-2274.4799999999959"/>
    <n v="-182.7483904667192"/>
    <n v="-2457.2283904667152"/>
    <n v="0"/>
    <n v="0"/>
    <n v="0"/>
    <n v="-2457.2283904667152"/>
  </r>
  <r>
    <x v="5"/>
    <d v="2024-07-03T00:00:00"/>
    <d v="2024-07-24T00:00:00"/>
    <x v="4"/>
    <n v="9"/>
    <n v="53"/>
    <n v="2063.08"/>
    <n v="1999.9"/>
    <n v="105994.70000000001"/>
    <n v="109343.23999999999"/>
    <n v="-3348.539999999979"/>
    <n v="-269.04624152044772"/>
    <n v="-3617.5862415204269"/>
    <n v="0"/>
    <n v="0"/>
    <n v="0"/>
    <n v="-3617.5862415204269"/>
  </r>
  <r>
    <x v="6"/>
    <d v="2024-08-05T00:00:00"/>
    <d v="2024-08-26T00:00:00"/>
    <x v="4"/>
    <n v="9"/>
    <n v="53"/>
    <n v="2063.08"/>
    <n v="1999.9"/>
    <n v="105994.70000000001"/>
    <n v="109343.23999999999"/>
    <n v="-3348.539999999979"/>
    <n v="-269.04624152044772"/>
    <n v="-3617.5862415204269"/>
    <n v="0"/>
    <n v="0"/>
    <n v="0"/>
    <n v="-3617.5862415204269"/>
  </r>
  <r>
    <x v="7"/>
    <d v="2024-09-04T00:00:00"/>
    <d v="2024-09-24T00:00:00"/>
    <x v="4"/>
    <n v="9"/>
    <n v="54"/>
    <n v="2063.08"/>
    <n v="1999.9"/>
    <n v="107994.6"/>
    <n v="111406.31999999999"/>
    <n v="-3411.7199999999866"/>
    <n v="-274.12258570007884"/>
    <n v="-3685.8425857000657"/>
    <n v="0"/>
    <n v="0"/>
    <n v="0"/>
    <n v="-3685.8425857000657"/>
  </r>
  <r>
    <x v="8"/>
    <d v="2024-10-03T00:00:00"/>
    <d v="2024-10-24T00:00:00"/>
    <x v="4"/>
    <n v="9"/>
    <n v="48"/>
    <n v="2063.08"/>
    <n v="1999.9"/>
    <n v="95995.200000000012"/>
    <n v="99027.839999999997"/>
    <n v="-3032.6399999999849"/>
    <n v="-243.66452062229226"/>
    <n v="-3276.3045206222773"/>
    <n v="0"/>
    <n v="0"/>
    <n v="0"/>
    <n v="-3276.3045206222773"/>
  </r>
  <r>
    <x v="9"/>
    <d v="2024-11-05T00:00:00"/>
    <d v="2024-11-25T00:00:00"/>
    <x v="4"/>
    <n v="9"/>
    <n v="41"/>
    <n v="2063.08"/>
    <n v="1999.9"/>
    <n v="81995.900000000009"/>
    <n v="84586.28"/>
    <n v="-2590.3799999999901"/>
    <n v="-208.13011136487464"/>
    <n v="-2798.5101113648648"/>
    <n v="0"/>
    <n v="0"/>
    <n v="0"/>
    <n v="-2798.5101113648648"/>
  </r>
  <r>
    <x v="10"/>
    <d v="2024-12-04T00:00:00"/>
    <d v="2024-12-24T00:00:00"/>
    <x v="4"/>
    <n v="9"/>
    <n v="22"/>
    <n v="2063.08"/>
    <n v="1999.9"/>
    <n v="43997.8"/>
    <n v="45387.759999999995"/>
    <n v="-1389.9599999999919"/>
    <n v="-111.67957195188394"/>
    <n v="-1501.6395719518757"/>
    <n v="0"/>
    <n v="0"/>
    <n v="0"/>
    <n v="-1501.6395719518757"/>
  </r>
  <r>
    <x v="11"/>
    <d v="2025-01-03T00:00:00"/>
    <d v="2025-01-24T00:00:00"/>
    <x v="4"/>
    <n v="9"/>
    <n v="37"/>
    <n v="2063.08"/>
    <n v="1999.9"/>
    <n v="73996.3"/>
    <n v="76333.959999999992"/>
    <n v="-2337.6599999999889"/>
    <n v="-187.82473464635029"/>
    <n v="-2525.4847346463393"/>
    <n v="0"/>
    <n v="0"/>
    <n v="0"/>
    <n v="-2525.4847346463393"/>
  </r>
  <r>
    <x v="0"/>
    <d v="2024-02-05T00:00:00"/>
    <d v="2024-02-26T00:00:00"/>
    <x v="5"/>
    <n v="9"/>
    <n v="75"/>
    <n v="2063.08"/>
    <n v="1999.9"/>
    <n v="149992.5"/>
    <n v="154731"/>
    <n v="-4738.5"/>
    <n v="-380.72581347233165"/>
    <n v="-5119.2258134723315"/>
    <n v="0"/>
    <n v="0"/>
    <n v="0"/>
    <n v="-5119.2258134723315"/>
  </r>
  <r>
    <x v="1"/>
    <d v="2024-03-05T00:00:00"/>
    <d v="2024-03-25T00:00:00"/>
    <x v="5"/>
    <n v="9"/>
    <n v="54"/>
    <n v="2063.08"/>
    <n v="1999.9"/>
    <n v="107994.6"/>
    <n v="111406.31999999999"/>
    <n v="-3411.7199999999866"/>
    <n v="-274.12258570007884"/>
    <n v="-3685.8425857000657"/>
    <n v="0"/>
    <n v="0"/>
    <n v="0"/>
    <n v="-3685.8425857000657"/>
  </r>
  <r>
    <x v="2"/>
    <d v="2024-04-03T00:00:00"/>
    <d v="2024-04-24T00:00:00"/>
    <x v="5"/>
    <n v="9"/>
    <n v="49"/>
    <n v="2063.08"/>
    <n v="1999.9"/>
    <n v="97995.1"/>
    <n v="101090.92"/>
    <n v="-3095.8199999999924"/>
    <n v="-248.74086480192335"/>
    <n v="-3344.5608648019156"/>
    <n v="0"/>
    <n v="0"/>
    <n v="0"/>
    <n v="-3344.5608648019156"/>
  </r>
  <r>
    <x v="3"/>
    <d v="2024-05-03T00:00:00"/>
    <d v="2024-05-24T00:00:00"/>
    <x v="5"/>
    <n v="9"/>
    <n v="43"/>
    <n v="2063.08"/>
    <n v="1999.9"/>
    <n v="85995.7"/>
    <n v="88712.44"/>
    <n v="-2716.7400000000052"/>
    <n v="-218.28279972413682"/>
    <n v="-2935.0227997241423"/>
    <n v="0"/>
    <n v="0"/>
    <n v="0"/>
    <n v="-2935.0227997241423"/>
  </r>
  <r>
    <x v="4"/>
    <d v="2024-06-05T00:00:00"/>
    <d v="2024-06-24T00:00:00"/>
    <x v="5"/>
    <n v="9"/>
    <n v="50"/>
    <n v="2063.08"/>
    <n v="1999.9"/>
    <n v="99995"/>
    <n v="103154"/>
    <n v="-3159"/>
    <n v="-253.81720898155447"/>
    <n v="-3412.8172089815544"/>
    <n v="0"/>
    <n v="0"/>
    <n v="0"/>
    <n v="-3412.8172089815544"/>
  </r>
  <r>
    <x v="5"/>
    <d v="2024-07-03T00:00:00"/>
    <d v="2024-07-24T00:00:00"/>
    <x v="5"/>
    <n v="9"/>
    <n v="59"/>
    <n v="2063.08"/>
    <n v="1999.9"/>
    <n v="117994.1"/>
    <n v="121721.72"/>
    <n v="-3727.6199999999953"/>
    <n v="-299.50430659823422"/>
    <n v="-4027.1243065982294"/>
    <n v="0"/>
    <n v="0"/>
    <n v="0"/>
    <n v="-4027.1243065982294"/>
  </r>
  <r>
    <x v="6"/>
    <d v="2024-08-05T00:00:00"/>
    <d v="2024-08-26T00:00:00"/>
    <x v="5"/>
    <n v="9"/>
    <n v="60"/>
    <n v="2063.08"/>
    <n v="1999.9"/>
    <n v="119994"/>
    <n v="123784.79999999999"/>
    <n v="-3790.7999999999884"/>
    <n v="-304.58065077786534"/>
    <n v="-4095.3806507778536"/>
    <n v="0"/>
    <n v="0"/>
    <n v="0"/>
    <n v="-4095.3806507778536"/>
  </r>
  <r>
    <x v="7"/>
    <d v="2024-09-04T00:00:00"/>
    <d v="2024-09-24T00:00:00"/>
    <x v="5"/>
    <n v="9"/>
    <n v="56"/>
    <n v="2063.08"/>
    <n v="1999.9"/>
    <n v="111994.40000000001"/>
    <n v="115532.48"/>
    <n v="-3538.0799999999872"/>
    <n v="-284.27527405934097"/>
    <n v="-3822.3552740593282"/>
    <n v="0"/>
    <n v="0"/>
    <n v="0"/>
    <n v="-3822.3552740593282"/>
  </r>
  <r>
    <x v="8"/>
    <d v="2024-10-03T00:00:00"/>
    <d v="2024-10-24T00:00:00"/>
    <x v="5"/>
    <n v="9"/>
    <n v="55"/>
    <n v="2063.08"/>
    <n v="1999.9"/>
    <n v="109994.5"/>
    <n v="113469.4"/>
    <n v="-3474.8999999999942"/>
    <n v="-279.19892987970985"/>
    <n v="-3754.098929879704"/>
    <n v="0"/>
    <n v="0"/>
    <n v="0"/>
    <n v="-3754.098929879704"/>
  </r>
  <r>
    <x v="9"/>
    <d v="2024-11-05T00:00:00"/>
    <d v="2024-11-25T00:00:00"/>
    <x v="5"/>
    <n v="9"/>
    <n v="51"/>
    <n v="2063.08"/>
    <n v="1999.9"/>
    <n v="101994.90000000001"/>
    <n v="105217.08"/>
    <n v="-3222.179999999993"/>
    <n v="-258.89355316118554"/>
    <n v="-3481.0735531611786"/>
    <n v="0"/>
    <n v="0"/>
    <n v="0"/>
    <n v="-3481.0735531611786"/>
  </r>
  <r>
    <x v="10"/>
    <d v="2024-12-04T00:00:00"/>
    <d v="2024-12-24T00:00:00"/>
    <x v="5"/>
    <n v="9"/>
    <n v="40"/>
    <n v="2063.08"/>
    <n v="1999.9"/>
    <n v="79996"/>
    <n v="82523.199999999997"/>
    <n v="-2527.1999999999971"/>
    <n v="-203.05376718524357"/>
    <n v="-2730.2537671852406"/>
    <n v="0"/>
    <n v="0"/>
    <n v="0"/>
    <n v="-2730.2537671852406"/>
  </r>
  <r>
    <x v="11"/>
    <d v="2025-01-03T00:00:00"/>
    <d v="2025-01-24T00:00:00"/>
    <x v="5"/>
    <n v="9"/>
    <n v="51"/>
    <n v="2063.08"/>
    <n v="1999.9"/>
    <n v="101994.90000000001"/>
    <n v="105217.08"/>
    <n v="-3222.179999999993"/>
    <n v="-258.89355316118554"/>
    <n v="-3481.0735531611786"/>
    <n v="0"/>
    <n v="0"/>
    <n v="0"/>
    <n v="-3481.0735531611786"/>
  </r>
  <r>
    <x v="0"/>
    <d v="2024-02-05T00:00:00"/>
    <d v="2024-02-26T00:00:00"/>
    <x v="6"/>
    <n v="9"/>
    <n v="94"/>
    <n v="2063.08"/>
    <n v="1999.9"/>
    <n v="187990.6"/>
    <n v="193929.52"/>
    <n v="-5938.9199999999837"/>
    <n v="-477.17635288532239"/>
    <n v="-6416.0963528853063"/>
    <n v="0"/>
    <n v="0"/>
    <n v="0"/>
    <n v="-6416.0963528853063"/>
  </r>
  <r>
    <x v="1"/>
    <d v="2024-03-05T00:00:00"/>
    <d v="2024-03-25T00:00:00"/>
    <x v="6"/>
    <n v="9"/>
    <n v="62"/>
    <n v="2063.08"/>
    <n v="1999.9"/>
    <n v="123993.8"/>
    <n v="127910.95999999999"/>
    <n v="-3917.1599999999889"/>
    <n v="-314.73333913712747"/>
    <n v="-4231.8933391371165"/>
    <n v="0"/>
    <n v="0"/>
    <n v="0"/>
    <n v="-4231.8933391371165"/>
  </r>
  <r>
    <x v="2"/>
    <d v="2024-04-03T00:00:00"/>
    <d v="2024-04-24T00:00:00"/>
    <x v="6"/>
    <n v="9"/>
    <n v="60"/>
    <n v="2063.08"/>
    <n v="1999.9"/>
    <n v="119994"/>
    <n v="123784.79999999999"/>
    <n v="-3790.7999999999884"/>
    <n v="-304.58065077786534"/>
    <n v="-4095.3806507778536"/>
    <n v="0"/>
    <n v="0"/>
    <n v="0"/>
    <n v="-4095.3806507778536"/>
  </r>
  <r>
    <x v="3"/>
    <d v="2024-05-03T00:00:00"/>
    <d v="2024-05-24T00:00:00"/>
    <x v="6"/>
    <n v="9"/>
    <n v="92"/>
    <n v="2063.08"/>
    <n v="1999.9"/>
    <n v="183990.80000000002"/>
    <n v="189803.36"/>
    <n v="-5812.5599999999686"/>
    <n v="-467.02366452606014"/>
    <n v="-6279.5836645260288"/>
    <n v="0"/>
    <n v="0"/>
    <n v="0"/>
    <n v="-6279.5836645260288"/>
  </r>
  <r>
    <x v="4"/>
    <d v="2024-06-05T00:00:00"/>
    <d v="2024-06-24T00:00:00"/>
    <x v="6"/>
    <n v="9"/>
    <n v="118"/>
    <n v="2063.08"/>
    <n v="1999.9"/>
    <n v="235988.2"/>
    <n v="243443.44"/>
    <n v="-7455.2399999999907"/>
    <n v="-599.00861319646845"/>
    <n v="-8054.2486131964588"/>
    <n v="0"/>
    <n v="0"/>
    <n v="0"/>
    <n v="-8054.2486131964588"/>
  </r>
  <r>
    <x v="5"/>
    <d v="2024-07-03T00:00:00"/>
    <d v="2024-07-24T00:00:00"/>
    <x v="6"/>
    <n v="9"/>
    <n v="143"/>
    <n v="2063.08"/>
    <n v="1999.9"/>
    <n v="285985.7"/>
    <n v="295020.44"/>
    <n v="-9034.7399999999907"/>
    <n v="-725.91721768724562"/>
    <n v="-9760.657217687236"/>
    <n v="0"/>
    <n v="0"/>
    <n v="0"/>
    <n v="-9760.657217687236"/>
  </r>
  <r>
    <x v="6"/>
    <d v="2024-08-05T00:00:00"/>
    <d v="2024-08-26T00:00:00"/>
    <x v="6"/>
    <n v="9"/>
    <n v="151"/>
    <n v="2063.08"/>
    <n v="1999.9"/>
    <n v="301984.90000000002"/>
    <n v="311525.08"/>
    <n v="-9540.179999999993"/>
    <n v="-766.52797112429437"/>
    <n v="-10306.707971124288"/>
    <n v="0"/>
    <n v="0"/>
    <n v="0"/>
    <n v="-10306.707971124288"/>
  </r>
  <r>
    <x v="7"/>
    <d v="2024-09-04T00:00:00"/>
    <d v="2024-09-24T00:00:00"/>
    <x v="6"/>
    <n v="9"/>
    <n v="157"/>
    <n v="2063.08"/>
    <n v="1999.9"/>
    <n v="313984.3"/>
    <n v="323903.56"/>
    <n v="-9919.2600000000093"/>
    <n v="-796.98603620208087"/>
    <n v="-10716.24603620209"/>
    <n v="0"/>
    <n v="0"/>
    <n v="0"/>
    <n v="-10716.24603620209"/>
  </r>
  <r>
    <x v="8"/>
    <d v="2024-10-03T00:00:00"/>
    <d v="2024-10-24T00:00:00"/>
    <x v="6"/>
    <n v="9"/>
    <n v="146"/>
    <n v="2063.08"/>
    <n v="1999.9"/>
    <n v="291985.40000000002"/>
    <n v="301209.68"/>
    <n v="-9224.2799999999697"/>
    <n v="-741.14625022613893"/>
    <n v="-9965.4262502261081"/>
    <n v="0"/>
    <n v="0"/>
    <n v="0"/>
    <n v="-9965.4262502261081"/>
  </r>
  <r>
    <x v="9"/>
    <d v="2024-11-05T00:00:00"/>
    <d v="2024-11-25T00:00:00"/>
    <x v="6"/>
    <n v="9"/>
    <n v="116"/>
    <n v="2063.08"/>
    <n v="1999.9"/>
    <n v="231988.40000000002"/>
    <n v="239317.28"/>
    <n v="-7328.8799999999756"/>
    <n v="-588.85592483720632"/>
    <n v="-7917.7359248371822"/>
    <n v="0"/>
    <n v="0"/>
    <n v="0"/>
    <n v="-7917.7359248371822"/>
  </r>
  <r>
    <x v="10"/>
    <d v="2024-12-04T00:00:00"/>
    <d v="2024-12-24T00:00:00"/>
    <x v="6"/>
    <n v="9"/>
    <n v="62"/>
    <n v="2063.08"/>
    <n v="1999.9"/>
    <n v="123993.8"/>
    <n v="127910.95999999999"/>
    <n v="-3917.1599999999889"/>
    <n v="-314.73333913712747"/>
    <n v="-4231.8933391371165"/>
    <n v="0"/>
    <n v="0"/>
    <n v="0"/>
    <n v="-4231.8933391371165"/>
  </r>
  <r>
    <x v="11"/>
    <d v="2025-01-03T00:00:00"/>
    <d v="2025-01-24T00:00:00"/>
    <x v="6"/>
    <n v="9"/>
    <n v="77"/>
    <n v="2063.08"/>
    <n v="1999.9"/>
    <n v="153992.30000000002"/>
    <n v="158857.16"/>
    <n v="-4864.859999999986"/>
    <n v="-390.87850183159384"/>
    <n v="-5255.7385018315799"/>
    <n v="0"/>
    <n v="0"/>
    <n v="0"/>
    <n v="-5255.7385018315799"/>
  </r>
  <r>
    <x v="0"/>
    <d v="2024-02-05T00:00:00"/>
    <d v="2024-02-26T00:00:00"/>
    <x v="7"/>
    <n v="9"/>
    <n v="65"/>
    <n v="2063.08"/>
    <n v="1999.9"/>
    <n v="129993.5"/>
    <n v="134100.19999999998"/>
    <n v="-4106.6999999999825"/>
    <n v="-329.96237167602078"/>
    <n v="-4436.6623716760032"/>
    <n v="0"/>
    <n v="0"/>
    <n v="0"/>
    <n v="-4436.6623716760032"/>
  </r>
  <r>
    <x v="1"/>
    <d v="2024-03-05T00:00:00"/>
    <d v="2024-03-25T00:00:00"/>
    <x v="7"/>
    <n v="9"/>
    <n v="65"/>
    <n v="2063.08"/>
    <n v="1999.9"/>
    <n v="129993.5"/>
    <n v="134100.19999999998"/>
    <n v="-4106.6999999999825"/>
    <n v="-329.96237167602078"/>
    <n v="-4436.6623716760032"/>
    <n v="0"/>
    <n v="0"/>
    <n v="0"/>
    <n v="-4436.6623716760032"/>
  </r>
  <r>
    <x v="2"/>
    <d v="2024-04-03T00:00:00"/>
    <d v="2024-04-24T00:00:00"/>
    <x v="7"/>
    <n v="9"/>
    <n v="64"/>
    <n v="2063.08"/>
    <n v="1999.9"/>
    <n v="127993.60000000001"/>
    <n v="132037.12"/>
    <n v="-4043.5199999999895"/>
    <n v="-324.88602749638972"/>
    <n v="-4368.4060274963795"/>
    <n v="0"/>
    <n v="0"/>
    <n v="0"/>
    <n v="-4368.4060274963795"/>
  </r>
  <r>
    <x v="3"/>
    <d v="2024-05-03T00:00:00"/>
    <d v="2024-05-24T00:00:00"/>
    <x v="7"/>
    <n v="9"/>
    <n v="65"/>
    <n v="2063.08"/>
    <n v="1999.9"/>
    <n v="129993.5"/>
    <n v="134100.19999999998"/>
    <n v="-4106.6999999999825"/>
    <n v="-329.96237167602078"/>
    <n v="-4436.6623716760032"/>
    <n v="0"/>
    <n v="0"/>
    <n v="0"/>
    <n v="-4436.6623716760032"/>
  </r>
  <r>
    <x v="4"/>
    <d v="2024-06-05T00:00:00"/>
    <d v="2024-06-24T00:00:00"/>
    <x v="7"/>
    <n v="9"/>
    <n v="51"/>
    <n v="2063.08"/>
    <n v="1999.9"/>
    <n v="101994.90000000001"/>
    <n v="105217.08"/>
    <n v="-3222.179999999993"/>
    <n v="-258.89355316118554"/>
    <n v="-3481.0735531611786"/>
    <n v="0"/>
    <n v="0"/>
    <n v="0"/>
    <n v="-3481.0735531611786"/>
  </r>
  <r>
    <x v="5"/>
    <d v="2024-07-03T00:00:00"/>
    <d v="2024-07-24T00:00:00"/>
    <x v="7"/>
    <n v="9"/>
    <n v="59"/>
    <n v="2063.08"/>
    <n v="1999.9"/>
    <n v="117994.1"/>
    <n v="121721.72"/>
    <n v="-3727.6199999999953"/>
    <n v="-299.50430659823422"/>
    <n v="-4027.1243065982294"/>
    <n v="0"/>
    <n v="0"/>
    <n v="0"/>
    <n v="-4027.1243065982294"/>
  </r>
  <r>
    <x v="6"/>
    <d v="2024-08-05T00:00:00"/>
    <d v="2024-08-26T00:00:00"/>
    <x v="7"/>
    <n v="9"/>
    <n v="67"/>
    <n v="2063.08"/>
    <n v="1999.9"/>
    <n v="133993.30000000002"/>
    <n v="138226.35999999999"/>
    <n v="-4233.0599999999686"/>
    <n v="-340.11506003528297"/>
    <n v="-4573.1750600352516"/>
    <n v="0"/>
    <n v="0"/>
    <n v="0"/>
    <n v="-4573.1750600352516"/>
  </r>
  <r>
    <x v="7"/>
    <d v="2024-09-04T00:00:00"/>
    <d v="2024-09-24T00:00:00"/>
    <x v="7"/>
    <n v="9"/>
    <n v="70"/>
    <n v="2063.08"/>
    <n v="1999.9"/>
    <n v="139993"/>
    <n v="144415.6"/>
    <n v="-4422.6000000000058"/>
    <n v="-355.34409257417622"/>
    <n v="-4777.9440925741819"/>
    <n v="0"/>
    <n v="0"/>
    <n v="0"/>
    <n v="-4777.9440925741819"/>
  </r>
  <r>
    <x v="8"/>
    <d v="2024-10-03T00:00:00"/>
    <d v="2024-10-24T00:00:00"/>
    <x v="7"/>
    <n v="9"/>
    <n v="72"/>
    <n v="2063.08"/>
    <n v="1999.9"/>
    <n v="143992.80000000002"/>
    <n v="148541.76000000001"/>
    <n v="-4548.9599999999919"/>
    <n v="-365.4967809334384"/>
    <n v="-4914.4567809334303"/>
    <n v="0"/>
    <n v="0"/>
    <n v="0"/>
    <n v="-4914.4567809334303"/>
  </r>
  <r>
    <x v="9"/>
    <d v="2024-11-05T00:00:00"/>
    <d v="2024-11-25T00:00:00"/>
    <x v="7"/>
    <n v="9"/>
    <n v="73"/>
    <n v="2063.08"/>
    <n v="1999.9"/>
    <n v="145992.70000000001"/>
    <n v="150604.84"/>
    <n v="-4612.1399999999849"/>
    <n v="-370.57312511306947"/>
    <n v="-4982.713125113054"/>
    <n v="0"/>
    <n v="0"/>
    <n v="0"/>
    <n v="-4982.713125113054"/>
  </r>
  <r>
    <x v="10"/>
    <d v="2024-12-04T00:00:00"/>
    <d v="2024-12-24T00:00:00"/>
    <x v="7"/>
    <n v="9"/>
    <n v="72"/>
    <n v="2063.08"/>
    <n v="1999.9"/>
    <n v="143992.80000000002"/>
    <n v="148541.76000000001"/>
    <n v="-4548.9599999999919"/>
    <n v="-365.4967809334384"/>
    <n v="-4914.4567809334303"/>
    <n v="0"/>
    <n v="0"/>
    <n v="0"/>
    <n v="-4914.4567809334303"/>
  </r>
  <r>
    <x v="11"/>
    <d v="2025-01-03T00:00:00"/>
    <d v="2025-01-24T00:00:00"/>
    <x v="7"/>
    <n v="9"/>
    <n v="65"/>
    <n v="2063.08"/>
    <n v="1999.9"/>
    <n v="129993.5"/>
    <n v="134100.19999999998"/>
    <n v="-4106.6999999999825"/>
    <n v="-329.96237167602078"/>
    <n v="-4436.6623716760032"/>
    <n v="0"/>
    <n v="0"/>
    <n v="0"/>
    <n v="-4436.6623716760032"/>
  </r>
  <r>
    <x v="0"/>
    <d v="2024-02-05T00:00:00"/>
    <d v="2024-02-26T00:00:00"/>
    <x v="8"/>
    <n v="9"/>
    <n v="1452"/>
    <n v="2063.08"/>
    <n v="1999.9"/>
    <n v="2903854.8000000003"/>
    <n v="2995592.1599999997"/>
    <n v="-91737.359999999404"/>
    <n v="-7370.8517488243415"/>
    <n v="-99108.211748823742"/>
    <n v="0"/>
    <n v="0"/>
    <n v="0"/>
    <n v="-99108.211748823742"/>
  </r>
  <r>
    <x v="1"/>
    <d v="2024-03-05T00:00:00"/>
    <d v="2024-03-25T00:00:00"/>
    <x v="8"/>
    <n v="9"/>
    <n v="966"/>
    <n v="2063.08"/>
    <n v="1999.9"/>
    <n v="1931903.4000000001"/>
    <n v="1992935.28"/>
    <n v="-61031.879999999888"/>
    <n v="-4903.7484775236317"/>
    <n v="-65935.628477523525"/>
    <n v="0"/>
    <n v="0"/>
    <n v="0"/>
    <n v="-65935.628477523525"/>
  </r>
  <r>
    <x v="2"/>
    <d v="2024-04-03T00:00:00"/>
    <d v="2024-04-24T00:00:00"/>
    <x v="8"/>
    <n v="9"/>
    <n v="732"/>
    <n v="2063.08"/>
    <n v="1999.9"/>
    <n v="1463926.8"/>
    <n v="1510174.56"/>
    <n v="-46247.760000000009"/>
    <n v="-3715.8839394899569"/>
    <n v="-49963.643939489964"/>
    <n v="0"/>
    <n v="0"/>
    <n v="0"/>
    <n v="-49963.643939489964"/>
  </r>
  <r>
    <x v="3"/>
    <d v="2024-05-03T00:00:00"/>
    <d v="2024-05-24T00:00:00"/>
    <x v="8"/>
    <n v="9"/>
    <n v="547"/>
    <n v="2063.08"/>
    <n v="1999.9"/>
    <n v="1093945.3"/>
    <n v="1128504.76"/>
    <n v="-34559.459999999963"/>
    <n v="-2776.7602662582053"/>
    <n v="-37336.220266258169"/>
    <n v="0"/>
    <n v="0"/>
    <n v="0"/>
    <n v="-37336.220266258169"/>
  </r>
  <r>
    <x v="4"/>
    <d v="2024-06-05T00:00:00"/>
    <d v="2024-06-24T00:00:00"/>
    <x v="8"/>
    <n v="9"/>
    <n v="747"/>
    <n v="2063.08"/>
    <n v="1999.9"/>
    <n v="1493925.3"/>
    <n v="1541120.76"/>
    <n v="-47195.459999999963"/>
    <n v="-3792.0291021844237"/>
    <n v="-50987.489102184387"/>
    <n v="0"/>
    <n v="0"/>
    <n v="0"/>
    <n v="-50987.489102184387"/>
  </r>
  <r>
    <x v="5"/>
    <d v="2024-07-03T00:00:00"/>
    <d v="2024-07-24T00:00:00"/>
    <x v="8"/>
    <n v="9"/>
    <n v="917"/>
    <n v="2063.08"/>
    <n v="1999.9"/>
    <n v="1833908.3"/>
    <n v="1891844.3599999999"/>
    <n v="-57936.059999999823"/>
    <n v="-4655.0076127217089"/>
    <n v="-62591.067612721534"/>
    <n v="0"/>
    <n v="0"/>
    <n v="0"/>
    <n v="-62591.067612721534"/>
  </r>
  <r>
    <x v="6"/>
    <d v="2024-08-05T00:00:00"/>
    <d v="2024-08-26T00:00:00"/>
    <x v="8"/>
    <n v="9"/>
    <n v="950"/>
    <n v="2063.08"/>
    <n v="1999.9"/>
    <n v="1899905"/>
    <n v="1959926"/>
    <n v="-60021"/>
    <n v="-4822.5269706495346"/>
    <n v="-64843.526970649531"/>
    <n v="0"/>
    <n v="0"/>
    <n v="0"/>
    <n v="-64843.526970649531"/>
  </r>
  <r>
    <x v="7"/>
    <d v="2024-09-04T00:00:00"/>
    <d v="2024-09-24T00:00:00"/>
    <x v="8"/>
    <n v="9"/>
    <n v="940"/>
    <n v="2063.08"/>
    <n v="1999.9"/>
    <n v="1879906"/>
    <n v="1939295.2"/>
    <n v="-59389.199999999953"/>
    <n v="-4771.7635288532229"/>
    <n v="-64160.963528853179"/>
    <n v="0"/>
    <n v="0"/>
    <n v="0"/>
    <n v="-64160.963528853179"/>
  </r>
  <r>
    <x v="8"/>
    <d v="2024-10-03T00:00:00"/>
    <d v="2024-10-24T00:00:00"/>
    <x v="8"/>
    <n v="9"/>
    <n v="816"/>
    <n v="2063.08"/>
    <n v="1999.9"/>
    <n v="1631918.4000000001"/>
    <n v="1683473.28"/>
    <n v="-51554.879999999888"/>
    <n v="-4142.2968505789686"/>
    <n v="-55697.176850578857"/>
    <n v="0"/>
    <n v="0"/>
    <n v="0"/>
    <n v="-55697.176850578857"/>
  </r>
  <r>
    <x v="9"/>
    <d v="2024-11-05T00:00:00"/>
    <d v="2024-11-25T00:00:00"/>
    <x v="8"/>
    <n v="9"/>
    <n v="683"/>
    <n v="2063.08"/>
    <n v="1999.9"/>
    <n v="1365931.7"/>
    <n v="1409083.64"/>
    <n v="-43151.939999999944"/>
    <n v="-3467.1430746880337"/>
    <n v="-46619.08307468798"/>
    <n v="0"/>
    <n v="0"/>
    <n v="0"/>
    <n v="-46619.08307468798"/>
  </r>
  <r>
    <x v="10"/>
    <d v="2024-12-04T00:00:00"/>
    <d v="2024-12-24T00:00:00"/>
    <x v="8"/>
    <n v="9"/>
    <n v="525"/>
    <n v="2063.08"/>
    <n v="1999.9"/>
    <n v="1049947.5"/>
    <n v="1083117"/>
    <n v="-33169.5"/>
    <n v="-2665.0806943063217"/>
    <n v="-35834.580694306322"/>
    <n v="0"/>
    <n v="0"/>
    <n v="0"/>
    <n v="-35834.580694306322"/>
  </r>
  <r>
    <x v="11"/>
    <d v="2025-01-03T00:00:00"/>
    <d v="2025-01-24T00:00:00"/>
    <x v="8"/>
    <n v="9"/>
    <n v="863"/>
    <n v="2063.08"/>
    <n v="1999.9"/>
    <n v="1725913.7000000002"/>
    <n v="1780438.04"/>
    <n v="-54524.339999999851"/>
    <n v="-4380.8850270216299"/>
    <n v="-58905.225027021479"/>
    <n v="0"/>
    <n v="0"/>
    <n v="0"/>
    <n v="-58905.225027021479"/>
  </r>
  <r>
    <x v="0"/>
    <d v="2024-02-05T00:00:00"/>
    <d v="2024-02-26T00:00:00"/>
    <x v="9"/>
    <n v="9"/>
    <n v="8"/>
    <n v="2063.08"/>
    <n v="1999.9"/>
    <n v="15999.2"/>
    <n v="16504.64"/>
    <n v="-505.43999999999869"/>
    <n v="-40.610753437048714"/>
    <n v="-546.05075343704743"/>
    <n v="0"/>
    <n v="0"/>
    <n v="0"/>
    <n v="-546.05075343704743"/>
  </r>
  <r>
    <x v="1"/>
    <d v="2024-03-05T00:00:00"/>
    <d v="2024-03-25T00:00:00"/>
    <x v="9"/>
    <n v="9"/>
    <n v="5"/>
    <n v="2063.08"/>
    <n v="1999.9"/>
    <n v="9999.5"/>
    <n v="10315.4"/>
    <n v="-315.89999999999964"/>
    <n v="-25.381720898155447"/>
    <n v="-341.28172089815507"/>
    <n v="0"/>
    <n v="0"/>
    <n v="0"/>
    <n v="-341.28172089815507"/>
  </r>
  <r>
    <x v="2"/>
    <d v="2024-04-03T00:00:00"/>
    <d v="2024-04-24T00:00:00"/>
    <x v="9"/>
    <n v="9"/>
    <n v="5"/>
    <n v="2063.08"/>
    <n v="1999.9"/>
    <n v="9999.5"/>
    <n v="10315.4"/>
    <n v="-315.89999999999964"/>
    <n v="-25.381720898155447"/>
    <n v="-341.28172089815507"/>
    <n v="0"/>
    <n v="0"/>
    <n v="0"/>
    <n v="-341.28172089815507"/>
  </r>
  <r>
    <x v="3"/>
    <d v="2024-05-03T00:00:00"/>
    <d v="2024-05-24T00:00:00"/>
    <x v="9"/>
    <n v="9"/>
    <n v="6"/>
    <n v="2063.08"/>
    <n v="1999.9"/>
    <n v="11999.400000000001"/>
    <n v="12378.48"/>
    <n v="-379.07999999999811"/>
    <n v="-30.458065077786532"/>
    <n v="-409.53806507778467"/>
    <n v="0"/>
    <n v="0"/>
    <n v="0"/>
    <n v="-409.53806507778467"/>
  </r>
  <r>
    <x v="4"/>
    <d v="2024-06-05T00:00:00"/>
    <d v="2024-06-24T00:00:00"/>
    <x v="9"/>
    <n v="9"/>
    <n v="9"/>
    <n v="2063.08"/>
    <n v="1999.9"/>
    <n v="17999.100000000002"/>
    <n v="18567.72"/>
    <n v="-568.61999999999898"/>
    <n v="-45.6870976166798"/>
    <n v="-614.30709761667879"/>
    <n v="0"/>
    <n v="0"/>
    <n v="0"/>
    <n v="-614.30709761667879"/>
  </r>
  <r>
    <x v="5"/>
    <d v="2024-07-03T00:00:00"/>
    <d v="2024-07-24T00:00:00"/>
    <x v="9"/>
    <n v="9"/>
    <n v="14"/>
    <n v="2063.08"/>
    <n v="1999.9"/>
    <n v="27998.600000000002"/>
    <n v="28883.119999999999"/>
    <n v="-884.5199999999968"/>
    <n v="-71.068818514835243"/>
    <n v="-955.58881851483204"/>
    <n v="0"/>
    <n v="0"/>
    <n v="0"/>
    <n v="-955.58881851483204"/>
  </r>
  <r>
    <x v="6"/>
    <d v="2024-08-05T00:00:00"/>
    <d v="2024-08-26T00:00:00"/>
    <x v="9"/>
    <n v="9"/>
    <n v="17"/>
    <n v="2063.08"/>
    <n v="1999.9"/>
    <n v="33998.300000000003"/>
    <n v="35072.36"/>
    <n v="-1074.0599999999977"/>
    <n v="-86.297851053728508"/>
    <n v="-1160.3578510537261"/>
    <n v="0"/>
    <n v="0"/>
    <n v="0"/>
    <n v="-1160.3578510537261"/>
  </r>
  <r>
    <x v="7"/>
    <d v="2024-09-04T00:00:00"/>
    <d v="2024-09-24T00:00:00"/>
    <x v="9"/>
    <n v="9"/>
    <n v="19"/>
    <n v="2063.08"/>
    <n v="1999.9"/>
    <n v="37998.1"/>
    <n v="39198.519999999997"/>
    <n v="-1200.4199999999983"/>
    <n v="-96.450539412990693"/>
    <n v="-1296.870539412989"/>
    <n v="0"/>
    <n v="0"/>
    <n v="0"/>
    <n v="-1296.870539412989"/>
  </r>
  <r>
    <x v="8"/>
    <d v="2024-10-03T00:00:00"/>
    <d v="2024-10-24T00:00:00"/>
    <x v="9"/>
    <n v="9"/>
    <n v="11"/>
    <n v="2063.08"/>
    <n v="1999.9"/>
    <n v="21998.9"/>
    <n v="22693.879999999997"/>
    <n v="-694.97999999999593"/>
    <n v="-55.839785975941972"/>
    <n v="-750.81978597593786"/>
    <n v="0"/>
    <n v="0"/>
    <n v="0"/>
    <n v="-750.81978597593786"/>
  </r>
  <r>
    <x v="9"/>
    <d v="2024-11-05T00:00:00"/>
    <d v="2024-11-25T00:00:00"/>
    <x v="9"/>
    <n v="9"/>
    <n v="6"/>
    <n v="2063.08"/>
    <n v="1999.9"/>
    <n v="11999.400000000001"/>
    <n v="12378.48"/>
    <n v="-379.07999999999811"/>
    <n v="-30.458065077786532"/>
    <n v="-409.53806507778467"/>
    <n v="0"/>
    <n v="0"/>
    <n v="0"/>
    <n v="-409.53806507778467"/>
  </r>
  <r>
    <x v="10"/>
    <d v="2024-12-04T00:00:00"/>
    <d v="2024-12-24T00:00:00"/>
    <x v="9"/>
    <n v="9"/>
    <n v="6"/>
    <n v="2063.08"/>
    <n v="1999.9"/>
    <n v="11999.400000000001"/>
    <n v="12378.48"/>
    <n v="-379.07999999999811"/>
    <n v="-30.458065077786532"/>
    <n v="-409.53806507778467"/>
    <n v="0"/>
    <n v="0"/>
    <n v="0"/>
    <n v="-409.53806507778467"/>
  </r>
  <r>
    <x v="11"/>
    <d v="2025-01-03T00:00:00"/>
    <d v="2025-01-24T00:00:00"/>
    <x v="9"/>
    <n v="9"/>
    <n v="6"/>
    <n v="2063.08"/>
    <n v="1999.9"/>
    <n v="11999.400000000001"/>
    <n v="12378.48"/>
    <n v="-379.07999999999811"/>
    <n v="-30.458065077786532"/>
    <n v="-409.53806507778467"/>
    <n v="0"/>
    <n v="0"/>
    <n v="0"/>
    <n v="-409.53806507778467"/>
  </r>
  <r>
    <x v="0"/>
    <d v="2024-02-05T00:00:00"/>
    <d v="2024-02-26T00:00:00"/>
    <x v="10"/>
    <n v="9"/>
    <n v="4"/>
    <n v="2063.08"/>
    <n v="1999.9"/>
    <n v="7999.6"/>
    <n v="8252.32"/>
    <n v="-252.71999999999935"/>
    <n v="-20.305376718524357"/>
    <n v="-273.02537671852372"/>
    <n v="0"/>
    <n v="0"/>
    <n v="0"/>
    <n v="-273.02537671852372"/>
  </r>
  <r>
    <x v="1"/>
    <d v="2024-03-05T00:00:00"/>
    <d v="2024-03-25T00:00:00"/>
    <x v="10"/>
    <n v="9"/>
    <n v="3"/>
    <n v="2063.08"/>
    <n v="1999.9"/>
    <n v="5999.7000000000007"/>
    <n v="6189.24"/>
    <n v="-189.53999999999905"/>
    <n v="-15.229032538893266"/>
    <n v="-204.76903253889233"/>
    <n v="0"/>
    <n v="0"/>
    <n v="0"/>
    <n v="-204.76903253889233"/>
  </r>
  <r>
    <x v="2"/>
    <d v="2024-04-03T00:00:00"/>
    <d v="2024-04-24T00:00:00"/>
    <x v="10"/>
    <n v="9"/>
    <n v="3"/>
    <n v="2063.08"/>
    <n v="1999.9"/>
    <n v="5999.7000000000007"/>
    <n v="6189.24"/>
    <n v="-189.53999999999905"/>
    <n v="-15.229032538893266"/>
    <n v="-204.76903253889233"/>
    <n v="0"/>
    <n v="0"/>
    <n v="0"/>
    <n v="-204.76903253889233"/>
  </r>
  <r>
    <x v="3"/>
    <d v="2024-05-03T00:00:00"/>
    <d v="2024-05-24T00:00:00"/>
    <x v="10"/>
    <n v="9"/>
    <n v="2"/>
    <n v="2063.08"/>
    <n v="1999.9"/>
    <n v="3999.8"/>
    <n v="4126.16"/>
    <n v="-126.35999999999967"/>
    <n v="-10.152688359262179"/>
    <n v="-136.51268835926186"/>
    <n v="0"/>
    <n v="0"/>
    <n v="0"/>
    <n v="-136.51268835926186"/>
  </r>
  <r>
    <x v="4"/>
    <d v="2024-06-05T00:00:00"/>
    <d v="2024-06-24T00:00:00"/>
    <x v="10"/>
    <n v="9"/>
    <n v="4"/>
    <n v="2063.08"/>
    <n v="1999.9"/>
    <n v="7999.6"/>
    <n v="8252.32"/>
    <n v="-252.71999999999935"/>
    <n v="-20.305376718524357"/>
    <n v="-273.02537671852372"/>
    <n v="0"/>
    <n v="0"/>
    <n v="0"/>
    <n v="-273.02537671852372"/>
  </r>
  <r>
    <x v="5"/>
    <d v="2024-07-03T00:00:00"/>
    <d v="2024-07-24T00:00:00"/>
    <x v="10"/>
    <n v="9"/>
    <n v="4"/>
    <n v="2063.08"/>
    <n v="1999.9"/>
    <n v="7999.6"/>
    <n v="8252.32"/>
    <n v="-252.71999999999935"/>
    <n v="-20.305376718524357"/>
    <n v="-273.02537671852372"/>
    <n v="0"/>
    <n v="0"/>
    <n v="0"/>
    <n v="-273.02537671852372"/>
  </r>
  <r>
    <x v="6"/>
    <d v="2024-08-05T00:00:00"/>
    <d v="2024-08-26T00:00:00"/>
    <x v="10"/>
    <n v="9"/>
    <n v="6"/>
    <n v="2063.08"/>
    <n v="1999.9"/>
    <n v="11999.400000000001"/>
    <n v="12378.48"/>
    <n v="-379.07999999999811"/>
    <n v="-30.458065077786532"/>
    <n v="-409.53806507778467"/>
    <n v="0"/>
    <n v="0"/>
    <n v="0"/>
    <n v="-409.53806507778467"/>
  </r>
  <r>
    <x v="7"/>
    <d v="2024-09-04T00:00:00"/>
    <d v="2024-09-24T00:00:00"/>
    <x v="10"/>
    <n v="9"/>
    <n v="6"/>
    <n v="2063.08"/>
    <n v="1999.9"/>
    <n v="11999.400000000001"/>
    <n v="12378.48"/>
    <n v="-379.07999999999811"/>
    <n v="-30.458065077786532"/>
    <n v="-409.53806507778467"/>
    <n v="0"/>
    <n v="0"/>
    <n v="0"/>
    <n v="-409.53806507778467"/>
  </r>
  <r>
    <x v="8"/>
    <d v="2024-10-03T00:00:00"/>
    <d v="2024-10-24T00:00:00"/>
    <x v="10"/>
    <n v="9"/>
    <n v="3"/>
    <n v="2063.08"/>
    <n v="1999.9"/>
    <n v="5999.7000000000007"/>
    <n v="6189.24"/>
    <n v="-189.53999999999905"/>
    <n v="-15.229032538893266"/>
    <n v="-204.76903253889233"/>
    <n v="0"/>
    <n v="0"/>
    <n v="0"/>
    <n v="-204.76903253889233"/>
  </r>
  <r>
    <x v="9"/>
    <d v="2024-11-05T00:00:00"/>
    <d v="2024-11-25T00:00:00"/>
    <x v="10"/>
    <n v="9"/>
    <n v="6"/>
    <n v="2063.08"/>
    <n v="1999.9"/>
    <n v="11999.400000000001"/>
    <n v="12378.48"/>
    <n v="-379.07999999999811"/>
    <n v="-30.458065077786532"/>
    <n v="-409.53806507778467"/>
    <n v="0"/>
    <n v="0"/>
    <n v="0"/>
    <n v="-409.53806507778467"/>
  </r>
  <r>
    <x v="10"/>
    <d v="2024-12-04T00:00:00"/>
    <d v="2024-12-24T00:00:00"/>
    <x v="10"/>
    <n v="9"/>
    <n v="1"/>
    <n v="2063.08"/>
    <n v="1999.9"/>
    <n v="1999.9"/>
    <n v="2063.08"/>
    <n v="-63.179999999999836"/>
    <n v="-5.0763441796310893"/>
    <n v="-68.256344179630929"/>
    <n v="0"/>
    <n v="0"/>
    <n v="0"/>
    <n v="-68.256344179630929"/>
  </r>
  <r>
    <x v="11"/>
    <d v="2025-01-03T00:00:00"/>
    <d v="2025-01-24T00:00:00"/>
    <x v="10"/>
    <n v="9"/>
    <n v="3"/>
    <n v="2063.08"/>
    <n v="1999.9"/>
    <n v="5999.7000000000007"/>
    <n v="6189.24"/>
    <n v="-189.53999999999905"/>
    <n v="-15.229032538893266"/>
    <n v="-204.76903253889233"/>
    <n v="0"/>
    <n v="0"/>
    <n v="0"/>
    <n v="-204.76903253889233"/>
  </r>
  <r>
    <x v="0"/>
    <d v="2024-02-05T00:00:00"/>
    <d v="2024-02-26T00:00:00"/>
    <x v="11"/>
    <n v="9"/>
    <n v="145"/>
    <n v="2063.08"/>
    <n v="1999.9"/>
    <n v="289985.5"/>
    <n v="299146.59999999998"/>
    <n v="-9161.0999999999767"/>
    <n v="-736.06990604650787"/>
    <n v="-9897.1699060464853"/>
    <n v="0"/>
    <n v="0"/>
    <n v="0"/>
    <n v="-9897.1699060464853"/>
  </r>
  <r>
    <x v="1"/>
    <d v="2024-03-05T00:00:00"/>
    <d v="2024-03-25T00:00:00"/>
    <x v="11"/>
    <n v="9"/>
    <n v="100"/>
    <n v="2063.08"/>
    <n v="1999.9"/>
    <n v="199990"/>
    <n v="206308"/>
    <n v="-6318"/>
    <n v="-507.63441796310894"/>
    <n v="-6825.6344179631087"/>
    <n v="0"/>
    <n v="0"/>
    <n v="0"/>
    <n v="-6825.6344179631087"/>
  </r>
  <r>
    <x v="2"/>
    <d v="2024-04-03T00:00:00"/>
    <d v="2024-04-24T00:00:00"/>
    <x v="11"/>
    <n v="9"/>
    <n v="92"/>
    <n v="2063.08"/>
    <n v="1999.9"/>
    <n v="183990.80000000002"/>
    <n v="189803.36"/>
    <n v="-5812.5599999999686"/>
    <n v="-467.02366452606014"/>
    <n v="-6279.5836645260288"/>
    <n v="0"/>
    <n v="0"/>
    <n v="0"/>
    <n v="-6279.5836645260288"/>
  </r>
  <r>
    <x v="3"/>
    <d v="2024-05-03T00:00:00"/>
    <d v="2024-05-24T00:00:00"/>
    <x v="11"/>
    <n v="9"/>
    <n v="101"/>
    <n v="2063.08"/>
    <n v="1999.9"/>
    <n v="201989.90000000002"/>
    <n v="208371.08"/>
    <n v="-6381.1799999999639"/>
    <n v="-512.71076214274001"/>
    <n v="-6893.8907621427043"/>
    <n v="0"/>
    <n v="0"/>
    <n v="0"/>
    <n v="-6893.8907621427043"/>
  </r>
  <r>
    <x v="4"/>
    <d v="2024-06-05T00:00:00"/>
    <d v="2024-06-24T00:00:00"/>
    <x v="11"/>
    <n v="9"/>
    <n v="118"/>
    <n v="2063.08"/>
    <n v="1999.9"/>
    <n v="235988.2"/>
    <n v="243443.44"/>
    <n v="-7455.2399999999907"/>
    <n v="-599.00861319646845"/>
    <n v="-8054.2486131964588"/>
    <n v="0"/>
    <n v="0"/>
    <n v="0"/>
    <n v="-8054.2486131964588"/>
  </r>
  <r>
    <x v="5"/>
    <d v="2024-07-03T00:00:00"/>
    <d v="2024-07-24T00:00:00"/>
    <x v="11"/>
    <n v="9"/>
    <n v="173"/>
    <n v="2063.08"/>
    <n v="1999.9"/>
    <n v="345982.7"/>
    <n v="356912.83999999997"/>
    <n v="-10930.139999999956"/>
    <n v="-878.20754307617835"/>
    <n v="-11808.347543076134"/>
    <n v="0"/>
    <n v="0"/>
    <n v="0"/>
    <n v="-11808.347543076134"/>
  </r>
  <r>
    <x v="6"/>
    <d v="2024-08-05T00:00:00"/>
    <d v="2024-08-26T00:00:00"/>
    <x v="11"/>
    <n v="9"/>
    <n v="164"/>
    <n v="2063.08"/>
    <n v="1999.9"/>
    <n v="327983.60000000003"/>
    <n v="338345.12"/>
    <n v="-10361.51999999996"/>
    <n v="-832.52044545949855"/>
    <n v="-11194.040445459459"/>
    <n v="0"/>
    <n v="0"/>
    <n v="0"/>
    <n v="-11194.040445459459"/>
  </r>
  <r>
    <x v="7"/>
    <d v="2024-09-04T00:00:00"/>
    <d v="2024-09-24T00:00:00"/>
    <x v="11"/>
    <n v="9"/>
    <n v="170"/>
    <n v="2063.08"/>
    <n v="1999.9"/>
    <n v="339983"/>
    <n v="350723.6"/>
    <n v="-10740.599999999977"/>
    <n v="-862.97851053728505"/>
    <n v="-11603.578510537262"/>
    <n v="0"/>
    <n v="0"/>
    <n v="0"/>
    <n v="-11603.578510537262"/>
  </r>
  <r>
    <x v="8"/>
    <d v="2024-10-03T00:00:00"/>
    <d v="2024-10-24T00:00:00"/>
    <x v="11"/>
    <n v="9"/>
    <n v="156"/>
    <n v="2063.08"/>
    <n v="1999.9"/>
    <n v="311984.40000000002"/>
    <n v="321840.48"/>
    <n v="-9856.0799999999581"/>
    <n v="-791.9096920224498"/>
    <n v="-10647.989692022407"/>
    <n v="0"/>
    <n v="0"/>
    <n v="0"/>
    <n v="-10647.989692022407"/>
  </r>
  <r>
    <x v="9"/>
    <d v="2024-11-05T00:00:00"/>
    <d v="2024-11-25T00:00:00"/>
    <x v="11"/>
    <n v="9"/>
    <n v="139"/>
    <n v="2063.08"/>
    <n v="1999.9"/>
    <n v="277986.10000000003"/>
    <n v="286768.12"/>
    <n v="-8782.0199999999604"/>
    <n v="-705.61184096872137"/>
    <n v="-9487.631840968681"/>
    <n v="0"/>
    <n v="0"/>
    <n v="0"/>
    <n v="-9487.631840968681"/>
  </r>
  <r>
    <x v="10"/>
    <d v="2024-12-04T00:00:00"/>
    <d v="2024-12-24T00:00:00"/>
    <x v="11"/>
    <n v="9"/>
    <n v="90"/>
    <n v="2063.08"/>
    <n v="1999.9"/>
    <n v="179991"/>
    <n v="185677.19999999998"/>
    <n v="-5686.1999999999825"/>
    <n v="-456.87097616679802"/>
    <n v="-6143.0709761667804"/>
    <n v="0"/>
    <n v="0"/>
    <n v="0"/>
    <n v="-6143.0709761667804"/>
  </r>
  <r>
    <x v="11"/>
    <d v="2025-01-03T00:00:00"/>
    <d v="2025-01-24T00:00:00"/>
    <x v="11"/>
    <n v="9"/>
    <n v="110"/>
    <n v="2063.08"/>
    <n v="1999.9"/>
    <n v="219989"/>
    <n v="226938.8"/>
    <n v="-6949.7999999999884"/>
    <n v="-558.3978597594197"/>
    <n v="-7508.1978597594079"/>
    <n v="0"/>
    <n v="0"/>
    <n v="0"/>
    <n v="-7508.1978597594079"/>
  </r>
  <r>
    <x v="0"/>
    <d v="2024-02-05T00:00:00"/>
    <d v="2024-02-26T00:00:00"/>
    <x v="12"/>
    <n v="9"/>
    <n v="9"/>
    <n v="2063.08"/>
    <n v="1999.9"/>
    <n v="17999.100000000002"/>
    <n v="18567.72"/>
    <n v="-568.61999999999898"/>
    <n v="-45.6870976166798"/>
    <n v="-614.30709761667879"/>
    <n v="0"/>
    <n v="0"/>
    <n v="0"/>
    <n v="-614.30709761667879"/>
  </r>
  <r>
    <x v="1"/>
    <d v="2024-03-05T00:00:00"/>
    <d v="2024-03-25T00:00:00"/>
    <x v="12"/>
    <n v="9"/>
    <n v="8"/>
    <n v="2063.08"/>
    <n v="1999.9"/>
    <n v="15999.2"/>
    <n v="16504.64"/>
    <n v="-505.43999999999869"/>
    <n v="-40.610753437048714"/>
    <n v="-546.05075343704743"/>
    <n v="0"/>
    <n v="0"/>
    <n v="0"/>
    <n v="-546.05075343704743"/>
  </r>
  <r>
    <x v="2"/>
    <d v="2024-04-03T00:00:00"/>
    <d v="2024-04-24T00:00:00"/>
    <x v="12"/>
    <n v="9"/>
    <n v="10"/>
    <n v="2063.08"/>
    <n v="1999.9"/>
    <n v="19999"/>
    <n v="20630.8"/>
    <n v="-631.79999999999927"/>
    <n v="-50.763441796310893"/>
    <n v="-682.56344179631014"/>
    <n v="0"/>
    <n v="0"/>
    <n v="0"/>
    <n v="-682.56344179631014"/>
  </r>
  <r>
    <x v="3"/>
    <d v="2024-05-03T00:00:00"/>
    <d v="2024-05-24T00:00:00"/>
    <x v="12"/>
    <n v="9"/>
    <n v="7"/>
    <n v="2063.08"/>
    <n v="1999.9"/>
    <n v="13999.300000000001"/>
    <n v="14441.56"/>
    <n v="-442.2599999999984"/>
    <n v="-35.534409257417622"/>
    <n v="-477.79440925741602"/>
    <n v="0"/>
    <n v="0"/>
    <n v="0"/>
    <n v="-477.79440925741602"/>
  </r>
  <r>
    <x v="4"/>
    <d v="2024-06-05T00:00:00"/>
    <d v="2024-06-24T00:00:00"/>
    <x v="12"/>
    <n v="9"/>
    <n v="10"/>
    <n v="2063.08"/>
    <n v="1999.9"/>
    <n v="19999"/>
    <n v="20630.8"/>
    <n v="-631.79999999999927"/>
    <n v="-50.763441796310893"/>
    <n v="-682.56344179631014"/>
    <n v="0"/>
    <n v="0"/>
    <n v="0"/>
    <n v="-682.56344179631014"/>
  </r>
  <r>
    <x v="5"/>
    <d v="2024-07-03T00:00:00"/>
    <d v="2024-07-24T00:00:00"/>
    <x v="12"/>
    <n v="9"/>
    <n v="10"/>
    <n v="2063.08"/>
    <n v="1999.9"/>
    <n v="19999"/>
    <n v="20630.8"/>
    <n v="-631.79999999999927"/>
    <n v="-50.763441796310893"/>
    <n v="-682.56344179631014"/>
    <n v="0"/>
    <n v="0"/>
    <n v="0"/>
    <n v="-682.56344179631014"/>
  </r>
  <r>
    <x v="6"/>
    <d v="2024-08-05T00:00:00"/>
    <d v="2024-08-26T00:00:00"/>
    <x v="12"/>
    <n v="9"/>
    <n v="12"/>
    <n v="2063.08"/>
    <n v="1999.9"/>
    <n v="23998.800000000003"/>
    <n v="24756.959999999999"/>
    <n v="-758.15999999999622"/>
    <n v="-60.916130155573065"/>
    <n v="-819.07613015556933"/>
    <n v="0"/>
    <n v="0"/>
    <n v="0"/>
    <n v="-819.07613015556933"/>
  </r>
  <r>
    <x v="7"/>
    <d v="2024-09-04T00:00:00"/>
    <d v="2024-09-24T00:00:00"/>
    <x v="12"/>
    <n v="9"/>
    <n v="12"/>
    <n v="2063.08"/>
    <n v="1999.9"/>
    <n v="23998.800000000003"/>
    <n v="24756.959999999999"/>
    <n v="-758.15999999999622"/>
    <n v="-60.916130155573065"/>
    <n v="-819.07613015556933"/>
    <n v="0"/>
    <n v="0"/>
    <n v="0"/>
    <n v="-819.07613015556933"/>
  </r>
  <r>
    <x v="8"/>
    <d v="2024-10-03T00:00:00"/>
    <d v="2024-10-24T00:00:00"/>
    <x v="12"/>
    <n v="9"/>
    <n v="11"/>
    <n v="2063.08"/>
    <n v="1999.9"/>
    <n v="21998.9"/>
    <n v="22693.879999999997"/>
    <n v="-694.97999999999593"/>
    <n v="-55.839785975941972"/>
    <n v="-750.81978597593786"/>
    <n v="0"/>
    <n v="0"/>
    <n v="0"/>
    <n v="-750.81978597593786"/>
  </r>
  <r>
    <x v="9"/>
    <d v="2024-11-05T00:00:00"/>
    <d v="2024-11-25T00:00:00"/>
    <x v="12"/>
    <n v="9"/>
    <n v="10"/>
    <n v="2063.08"/>
    <n v="1999.9"/>
    <n v="19999"/>
    <n v="20630.8"/>
    <n v="-631.79999999999927"/>
    <n v="-50.763441796310893"/>
    <n v="-682.56344179631014"/>
    <n v="0"/>
    <n v="0"/>
    <n v="0"/>
    <n v="-682.56344179631014"/>
  </r>
  <r>
    <x v="10"/>
    <d v="2024-12-04T00:00:00"/>
    <d v="2024-12-24T00:00:00"/>
    <x v="12"/>
    <n v="9"/>
    <n v="10"/>
    <n v="2063.08"/>
    <n v="1999.9"/>
    <n v="19999"/>
    <n v="20630.8"/>
    <n v="-631.79999999999927"/>
    <n v="-50.763441796310893"/>
    <n v="-682.56344179631014"/>
    <n v="0"/>
    <n v="0"/>
    <n v="0"/>
    <n v="-682.56344179631014"/>
  </r>
  <r>
    <x v="11"/>
    <d v="2025-01-03T00:00:00"/>
    <d v="2025-01-24T00:00:00"/>
    <x v="12"/>
    <n v="9"/>
    <n v="10"/>
    <n v="2063.08"/>
    <n v="1999.9"/>
    <n v="19999"/>
    <n v="20630.8"/>
    <n v="-631.79999999999927"/>
    <n v="-50.763441796310893"/>
    <n v="-682.56344179631014"/>
    <n v="0"/>
    <n v="0"/>
    <n v="0"/>
    <n v="-682.56344179631014"/>
  </r>
  <r>
    <x v="0"/>
    <d v="2024-02-05T00:00:00"/>
    <d v="2024-02-26T00:00:00"/>
    <x v="13"/>
    <n v="9"/>
    <n v="26"/>
    <n v="2063.08"/>
    <n v="1999.9"/>
    <n v="51997.4"/>
    <n v="53640.08"/>
    <n v="-1642.6800000000003"/>
    <n v="-131.9849486704083"/>
    <n v="-1774.6649486704086"/>
    <n v="0"/>
    <n v="0"/>
    <n v="0"/>
    <n v="-1774.6649486704086"/>
  </r>
  <r>
    <x v="1"/>
    <d v="2024-03-05T00:00:00"/>
    <d v="2024-03-25T00:00:00"/>
    <x v="13"/>
    <n v="9"/>
    <n v="19"/>
    <n v="2063.08"/>
    <n v="1999.9"/>
    <n v="37998.1"/>
    <n v="39198.519999999997"/>
    <n v="-1200.4199999999983"/>
    <n v="-96.450539412990693"/>
    <n v="-1296.870539412989"/>
    <n v="0"/>
    <n v="0"/>
    <n v="0"/>
    <n v="-1296.870539412989"/>
  </r>
  <r>
    <x v="2"/>
    <d v="2024-04-03T00:00:00"/>
    <d v="2024-04-24T00:00:00"/>
    <x v="13"/>
    <n v="9"/>
    <n v="18"/>
    <n v="2063.08"/>
    <n v="1999.9"/>
    <n v="35998.200000000004"/>
    <n v="37135.440000000002"/>
    <n v="-1137.239999999998"/>
    <n v="-91.3741952333596"/>
    <n v="-1228.6141952333576"/>
    <n v="0"/>
    <n v="0"/>
    <n v="0"/>
    <n v="-1228.6141952333576"/>
  </r>
  <r>
    <x v="3"/>
    <d v="2024-05-03T00:00:00"/>
    <d v="2024-05-24T00:00:00"/>
    <x v="13"/>
    <n v="9"/>
    <n v="22"/>
    <n v="2063.08"/>
    <n v="1999.9"/>
    <n v="43997.8"/>
    <n v="45387.759999999995"/>
    <n v="-1389.9599999999919"/>
    <n v="-111.67957195188394"/>
    <n v="-1501.6395719518757"/>
    <n v="0"/>
    <n v="0"/>
    <n v="0"/>
    <n v="-1501.6395719518757"/>
  </r>
  <r>
    <x v="4"/>
    <d v="2024-06-05T00:00:00"/>
    <d v="2024-06-24T00:00:00"/>
    <x v="13"/>
    <n v="9"/>
    <n v="31"/>
    <n v="2063.08"/>
    <n v="1999.9"/>
    <n v="61996.9"/>
    <n v="63955.479999999996"/>
    <n v="-1958.5799999999945"/>
    <n v="-157.36666956856374"/>
    <n v="-2115.9466695685583"/>
    <n v="0"/>
    <n v="0"/>
    <n v="0"/>
    <n v="-2115.9466695685583"/>
  </r>
  <r>
    <x v="5"/>
    <d v="2024-07-03T00:00:00"/>
    <d v="2024-07-24T00:00:00"/>
    <x v="13"/>
    <n v="9"/>
    <n v="36"/>
    <n v="2063.08"/>
    <n v="1999.9"/>
    <n v="71996.400000000009"/>
    <n v="74270.880000000005"/>
    <n v="-2274.4799999999959"/>
    <n v="-182.7483904667192"/>
    <n v="-2457.2283904667152"/>
    <n v="0"/>
    <n v="0"/>
    <n v="0"/>
    <n v="-2457.2283904667152"/>
  </r>
  <r>
    <x v="6"/>
    <d v="2024-08-05T00:00:00"/>
    <d v="2024-08-26T00:00:00"/>
    <x v="13"/>
    <n v="9"/>
    <n v="38"/>
    <n v="2063.08"/>
    <n v="1999.9"/>
    <n v="75996.2"/>
    <n v="78397.039999999994"/>
    <n v="-2400.8399999999965"/>
    <n v="-192.90107882598139"/>
    <n v="-2593.7410788259781"/>
    <n v="0"/>
    <n v="0"/>
    <n v="0"/>
    <n v="-2593.7410788259781"/>
  </r>
  <r>
    <x v="7"/>
    <d v="2024-09-04T00:00:00"/>
    <d v="2024-09-24T00:00:00"/>
    <x v="13"/>
    <n v="9"/>
    <n v="41"/>
    <n v="2063.08"/>
    <n v="1999.9"/>
    <n v="81995.900000000009"/>
    <n v="84586.28"/>
    <n v="-2590.3799999999901"/>
    <n v="-208.13011136487464"/>
    <n v="-2798.5101113648648"/>
    <n v="0"/>
    <n v="0"/>
    <n v="0"/>
    <n v="-2798.5101113648648"/>
  </r>
  <r>
    <x v="8"/>
    <d v="2024-10-03T00:00:00"/>
    <d v="2024-10-24T00:00:00"/>
    <x v="13"/>
    <n v="9"/>
    <n v="29"/>
    <n v="2063.08"/>
    <n v="1999.9"/>
    <n v="57997.100000000006"/>
    <n v="59829.32"/>
    <n v="-1832.2199999999939"/>
    <n v="-147.21398120930158"/>
    <n v="-1979.4339812092956"/>
    <n v="0"/>
    <n v="0"/>
    <n v="0"/>
    <n v="-1979.4339812092956"/>
  </r>
  <r>
    <x v="9"/>
    <d v="2024-11-05T00:00:00"/>
    <d v="2024-11-25T00:00:00"/>
    <x v="13"/>
    <n v="9"/>
    <n v="26"/>
    <n v="2063.08"/>
    <n v="1999.9"/>
    <n v="51997.4"/>
    <n v="53640.08"/>
    <n v="-1642.6800000000003"/>
    <n v="-131.9849486704083"/>
    <n v="-1774.6649486704086"/>
    <n v="0"/>
    <n v="0"/>
    <n v="0"/>
    <n v="-1774.6649486704086"/>
  </r>
  <r>
    <x v="10"/>
    <d v="2024-12-04T00:00:00"/>
    <d v="2024-12-24T00:00:00"/>
    <x v="13"/>
    <n v="9"/>
    <n v="22"/>
    <n v="2063.08"/>
    <n v="1999.9"/>
    <n v="43997.8"/>
    <n v="45387.759999999995"/>
    <n v="-1389.9599999999919"/>
    <n v="-111.67957195188394"/>
    <n v="-1501.6395719518757"/>
    <n v="0"/>
    <n v="0"/>
    <n v="0"/>
    <n v="-1501.6395719518757"/>
  </r>
  <r>
    <x v="11"/>
    <d v="2025-01-03T00:00:00"/>
    <d v="2025-01-24T00:00:00"/>
    <x v="13"/>
    <n v="9"/>
    <n v="18"/>
    <n v="2063.08"/>
    <n v="1999.9"/>
    <n v="35998.200000000004"/>
    <n v="37135.440000000002"/>
    <n v="-1137.239999999998"/>
    <n v="-91.3741952333596"/>
    <n v="-1228.6141952333576"/>
    <n v="0"/>
    <n v="0"/>
    <n v="0"/>
    <n v="-1228.6141952333576"/>
  </r>
  <r>
    <x v="0"/>
    <d v="2024-02-05T00:00:00"/>
    <d v="2024-02-26T00:00:00"/>
    <x v="14"/>
    <n v="9"/>
    <n v="34"/>
    <n v="2063.08"/>
    <n v="1999.9"/>
    <n v="67996.600000000006"/>
    <n v="70144.72"/>
    <n v="-2148.1199999999953"/>
    <n v="-172.59570210745702"/>
    <n v="-2320.7157021074522"/>
    <n v="0"/>
    <n v="0"/>
    <n v="0"/>
    <n v="-2320.7157021074522"/>
  </r>
  <r>
    <x v="1"/>
    <d v="2024-03-05T00:00:00"/>
    <d v="2024-03-25T00:00:00"/>
    <x v="14"/>
    <n v="9"/>
    <n v="32"/>
    <n v="2063.08"/>
    <n v="1999.9"/>
    <n v="63996.800000000003"/>
    <n v="66018.559999999998"/>
    <n v="-2021.7599999999948"/>
    <n v="-162.44301374819486"/>
    <n v="-2184.2030137481897"/>
    <n v="0"/>
    <n v="0"/>
    <n v="0"/>
    <n v="-2184.2030137481897"/>
  </r>
  <r>
    <x v="2"/>
    <d v="2024-04-03T00:00:00"/>
    <d v="2024-04-24T00:00:00"/>
    <x v="14"/>
    <n v="9"/>
    <n v="32"/>
    <n v="2063.08"/>
    <n v="1999.9"/>
    <n v="63996.800000000003"/>
    <n v="66018.559999999998"/>
    <n v="-2021.7599999999948"/>
    <n v="-162.44301374819486"/>
    <n v="-2184.2030137481897"/>
    <n v="0"/>
    <n v="0"/>
    <n v="0"/>
    <n v="-2184.2030137481897"/>
  </r>
  <r>
    <x v="3"/>
    <d v="2024-05-03T00:00:00"/>
    <d v="2024-05-24T00:00:00"/>
    <x v="14"/>
    <n v="9"/>
    <n v="33"/>
    <n v="2063.08"/>
    <n v="1999.9"/>
    <n v="65996.7"/>
    <n v="68081.64"/>
    <n v="-2084.9400000000023"/>
    <n v="-167.51935792782592"/>
    <n v="-2252.459357927828"/>
    <n v="0"/>
    <n v="0"/>
    <n v="0"/>
    <n v="-2252.459357927828"/>
  </r>
  <r>
    <x v="4"/>
    <d v="2024-06-05T00:00:00"/>
    <d v="2024-06-24T00:00:00"/>
    <x v="14"/>
    <n v="9"/>
    <n v="40"/>
    <n v="2063.08"/>
    <n v="1999.9"/>
    <n v="79996"/>
    <n v="82523.199999999997"/>
    <n v="-2527.1999999999971"/>
    <n v="-203.05376718524357"/>
    <n v="-2730.2537671852406"/>
    <n v="0"/>
    <n v="0"/>
    <n v="0"/>
    <n v="-2730.2537671852406"/>
  </r>
  <r>
    <x v="5"/>
    <d v="2024-07-03T00:00:00"/>
    <d v="2024-07-24T00:00:00"/>
    <x v="14"/>
    <n v="9"/>
    <n v="47"/>
    <n v="2063.08"/>
    <n v="1999.9"/>
    <n v="93995.3"/>
    <n v="96964.76"/>
    <n v="-2969.4599999999919"/>
    <n v="-238.58817644266119"/>
    <n v="-3208.0481764426531"/>
    <n v="0"/>
    <n v="0"/>
    <n v="0"/>
    <n v="-3208.0481764426531"/>
  </r>
  <r>
    <x v="6"/>
    <d v="2024-08-05T00:00:00"/>
    <d v="2024-08-26T00:00:00"/>
    <x v="14"/>
    <n v="9"/>
    <n v="47"/>
    <n v="2063.08"/>
    <n v="1999.9"/>
    <n v="93995.3"/>
    <n v="96964.76"/>
    <n v="-2969.4599999999919"/>
    <n v="-238.58817644266119"/>
    <n v="-3208.0481764426531"/>
    <n v="0"/>
    <n v="0"/>
    <n v="0"/>
    <n v="-3208.0481764426531"/>
  </r>
  <r>
    <x v="7"/>
    <d v="2024-09-04T00:00:00"/>
    <d v="2024-09-24T00:00:00"/>
    <x v="14"/>
    <n v="9"/>
    <n v="51"/>
    <n v="2063.08"/>
    <n v="1999.9"/>
    <n v="101994.90000000001"/>
    <n v="105217.08"/>
    <n v="-3222.179999999993"/>
    <n v="-258.89355316118554"/>
    <n v="-3481.0735531611786"/>
    <n v="0"/>
    <n v="0"/>
    <n v="0"/>
    <n v="-3481.0735531611786"/>
  </r>
  <r>
    <x v="8"/>
    <d v="2024-10-03T00:00:00"/>
    <d v="2024-10-24T00:00:00"/>
    <x v="14"/>
    <n v="9"/>
    <n v="43"/>
    <n v="2063.08"/>
    <n v="1999.9"/>
    <n v="85995.7"/>
    <n v="88712.44"/>
    <n v="-2716.7400000000052"/>
    <n v="-218.28279972413682"/>
    <n v="-2935.0227997241423"/>
    <n v="0"/>
    <n v="0"/>
    <n v="0"/>
    <n v="-2935.0227997241423"/>
  </r>
  <r>
    <x v="9"/>
    <d v="2024-11-05T00:00:00"/>
    <d v="2024-11-25T00:00:00"/>
    <x v="14"/>
    <n v="9"/>
    <n v="37"/>
    <n v="2063.08"/>
    <n v="1999.9"/>
    <n v="73996.3"/>
    <n v="76333.959999999992"/>
    <n v="-2337.6599999999889"/>
    <n v="-187.82473464635029"/>
    <n v="-2525.4847346463393"/>
    <n v="0"/>
    <n v="0"/>
    <n v="0"/>
    <n v="-2525.4847346463393"/>
  </r>
  <r>
    <x v="10"/>
    <d v="2024-12-04T00:00:00"/>
    <d v="2024-12-24T00:00:00"/>
    <x v="14"/>
    <n v="9"/>
    <n v="34"/>
    <n v="2063.08"/>
    <n v="1999.9"/>
    <n v="67996.600000000006"/>
    <n v="70144.72"/>
    <n v="-2148.1199999999953"/>
    <n v="-172.59570210745702"/>
    <n v="-2320.7157021074522"/>
    <n v="0"/>
    <n v="0"/>
    <n v="0"/>
    <n v="-2320.7157021074522"/>
  </r>
  <r>
    <x v="11"/>
    <d v="2025-01-03T00:00:00"/>
    <d v="2025-01-24T00:00:00"/>
    <x v="14"/>
    <n v="9"/>
    <n v="32"/>
    <n v="2063.08"/>
    <n v="1999.9"/>
    <n v="63996.800000000003"/>
    <n v="66018.559999999998"/>
    <n v="-2021.7599999999948"/>
    <n v="-162.44301374819486"/>
    <n v="-2184.2030137481897"/>
    <n v="0"/>
    <n v="0"/>
    <n v="0"/>
    <n v="-2184.2030137481897"/>
  </r>
  <r>
    <x v="0"/>
    <d v="2024-02-05T00:00:00"/>
    <d v="2024-02-26T00:00:00"/>
    <x v="15"/>
    <n v="9"/>
    <n v="104"/>
    <n v="2063.08"/>
    <n v="1999.9"/>
    <n v="207989.6"/>
    <n v="214560.32"/>
    <n v="-6570.7200000000012"/>
    <n v="-527.9397946816332"/>
    <n v="-7098.6597946816346"/>
    <n v="0"/>
    <n v="0"/>
    <n v="0"/>
    <n v="-7098.6597946816346"/>
  </r>
  <r>
    <x v="1"/>
    <d v="2024-03-05T00:00:00"/>
    <d v="2024-03-25T00:00:00"/>
    <x v="15"/>
    <n v="9"/>
    <n v="99"/>
    <n v="2063.08"/>
    <n v="1999.9"/>
    <n v="197990.1"/>
    <n v="204244.91999999998"/>
    <n v="-6254.8199999999779"/>
    <n v="-502.55807378347777"/>
    <n v="-6757.3780737834559"/>
    <n v="0"/>
    <n v="0"/>
    <n v="0"/>
    <n v="-6757.3780737834559"/>
  </r>
  <r>
    <x v="2"/>
    <d v="2024-04-03T00:00:00"/>
    <d v="2024-04-24T00:00:00"/>
    <x v="15"/>
    <n v="9"/>
    <n v="99"/>
    <n v="2063.08"/>
    <n v="1999.9"/>
    <n v="197990.1"/>
    <n v="204244.91999999998"/>
    <n v="-6254.8199999999779"/>
    <n v="-502.55807378347777"/>
    <n v="-6757.3780737834559"/>
    <n v="0"/>
    <n v="0"/>
    <n v="0"/>
    <n v="-6757.3780737834559"/>
  </r>
  <r>
    <x v="3"/>
    <d v="2024-05-03T00:00:00"/>
    <d v="2024-05-24T00:00:00"/>
    <x v="15"/>
    <n v="9"/>
    <n v="99"/>
    <n v="2063.08"/>
    <n v="1999.9"/>
    <n v="197990.1"/>
    <n v="204244.91999999998"/>
    <n v="-6254.8199999999779"/>
    <n v="-502.55807378347777"/>
    <n v="-6757.3780737834559"/>
    <n v="0"/>
    <n v="0"/>
    <n v="0"/>
    <n v="-6757.3780737834559"/>
  </r>
  <r>
    <x v="4"/>
    <d v="2024-06-05T00:00:00"/>
    <d v="2024-06-24T00:00:00"/>
    <x v="15"/>
    <n v="9"/>
    <n v="106"/>
    <n v="2063.08"/>
    <n v="1999.9"/>
    <n v="211989.40000000002"/>
    <n v="218686.47999999998"/>
    <n v="-6697.0799999999581"/>
    <n v="-538.09248304089544"/>
    <n v="-7235.1724830408539"/>
    <n v="0"/>
    <n v="0"/>
    <n v="0"/>
    <n v="-7235.1724830408539"/>
  </r>
  <r>
    <x v="5"/>
    <d v="2024-07-03T00:00:00"/>
    <d v="2024-07-24T00:00:00"/>
    <x v="15"/>
    <n v="9"/>
    <n v="120"/>
    <n v="2063.08"/>
    <n v="1999.9"/>
    <n v="239988"/>
    <n v="247569.59999999998"/>
    <n v="-7581.5999999999767"/>
    <n v="-609.16130155573069"/>
    <n v="-8190.7613015557072"/>
    <n v="0"/>
    <n v="0"/>
    <n v="0"/>
    <n v="-8190.7613015557072"/>
  </r>
  <r>
    <x v="6"/>
    <d v="2024-08-05T00:00:00"/>
    <d v="2024-08-26T00:00:00"/>
    <x v="15"/>
    <n v="9"/>
    <n v="117"/>
    <n v="2063.08"/>
    <n v="1999.9"/>
    <n v="233988.30000000002"/>
    <n v="241380.36"/>
    <n v="-7392.0599999999686"/>
    <n v="-593.93226901683738"/>
    <n v="-7985.9922690168059"/>
    <n v="0"/>
    <n v="0"/>
    <n v="0"/>
    <n v="-7985.9922690168059"/>
  </r>
  <r>
    <x v="7"/>
    <d v="2024-09-04T00:00:00"/>
    <d v="2024-09-24T00:00:00"/>
    <x v="15"/>
    <n v="9"/>
    <n v="118"/>
    <n v="2063.08"/>
    <n v="1999.9"/>
    <n v="235988.2"/>
    <n v="243443.44"/>
    <n v="-7455.2399999999907"/>
    <n v="-599.00861319646845"/>
    <n v="-8054.2486131964588"/>
    <n v="0"/>
    <n v="0"/>
    <n v="0"/>
    <n v="-8054.2486131964588"/>
  </r>
  <r>
    <x v="8"/>
    <d v="2024-10-03T00:00:00"/>
    <d v="2024-10-24T00:00:00"/>
    <x v="15"/>
    <n v="9"/>
    <n v="117"/>
    <n v="2063.08"/>
    <n v="1999.9"/>
    <n v="233988.30000000002"/>
    <n v="241380.36"/>
    <n v="-7392.0599999999686"/>
    <n v="-593.93226901683738"/>
    <n v="-7985.9922690168059"/>
    <n v="0"/>
    <n v="0"/>
    <n v="0"/>
    <n v="-7985.9922690168059"/>
  </r>
  <r>
    <x v="9"/>
    <d v="2024-11-05T00:00:00"/>
    <d v="2024-11-25T00:00:00"/>
    <x v="15"/>
    <n v="9"/>
    <n v="107"/>
    <n v="2063.08"/>
    <n v="1999.9"/>
    <n v="213989.30000000002"/>
    <n v="220749.56"/>
    <n v="-6760.2599999999802"/>
    <n v="-543.16882722052651"/>
    <n v="-7303.4288272205067"/>
    <n v="0"/>
    <n v="0"/>
    <n v="0"/>
    <n v="-7303.4288272205067"/>
  </r>
  <r>
    <x v="10"/>
    <d v="2024-12-04T00:00:00"/>
    <d v="2024-12-24T00:00:00"/>
    <x v="15"/>
    <n v="9"/>
    <n v="91"/>
    <n v="2063.08"/>
    <n v="1999.9"/>
    <n v="181990.9"/>
    <n v="187740.28"/>
    <n v="-5749.3800000000047"/>
    <n v="-461.94732034642914"/>
    <n v="-6211.3273203464341"/>
    <n v="0"/>
    <n v="0"/>
    <n v="0"/>
    <n v="-6211.3273203464341"/>
  </r>
  <r>
    <x v="11"/>
    <d v="2025-01-03T00:00:00"/>
    <d v="2025-01-24T00:00:00"/>
    <x v="15"/>
    <n v="9"/>
    <n v="102"/>
    <n v="2063.08"/>
    <n v="1999.9"/>
    <n v="203989.80000000002"/>
    <n v="210434.16"/>
    <n v="-6444.359999999986"/>
    <n v="-517.78710632237107"/>
    <n v="-6962.1471063223571"/>
    <n v="0"/>
    <n v="0"/>
    <n v="0"/>
    <n v="-6962.14710632235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5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81">
        <item m="1" x="81"/>
        <item m="1" x="105"/>
        <item m="1" x="129"/>
        <item m="1" x="153"/>
        <item m="1" x="177"/>
        <item m="1" x="57"/>
        <item m="1" x="92"/>
        <item m="1" x="116"/>
        <item m="1" x="140"/>
        <item m="1" x="164"/>
        <item m="1" x="44"/>
        <item m="1" x="68"/>
        <item m="1" x="82"/>
        <item m="1" x="106"/>
        <item m="1" x="130"/>
        <item m="1" x="154"/>
        <item m="1" x="178"/>
        <item m="1" x="58"/>
        <item m="1" x="94"/>
        <item m="1" x="118"/>
        <item m="1" x="142"/>
        <item m="1" x="166"/>
        <item m="1" x="46"/>
        <item m="1" x="70"/>
        <item m="1" x="83"/>
        <item m="1" x="107"/>
        <item m="1" x="131"/>
        <item m="1" x="155"/>
        <item m="1" x="179"/>
        <item m="1" x="59"/>
        <item m="1" x="95"/>
        <item m="1" x="119"/>
        <item m="1" x="143"/>
        <item m="1" x="167"/>
        <item m="1" x="47"/>
        <item m="1" x="71"/>
        <item m="1" x="84"/>
        <item m="1" x="108"/>
        <item m="1" x="132"/>
        <item m="1" x="156"/>
        <item m="1" x="36"/>
        <item m="1" x="60"/>
        <item m="1" x="96"/>
        <item m="1" x="120"/>
        <item m="1" x="144"/>
        <item m="1" x="168"/>
        <item m="1" x="48"/>
        <item m="1" x="72"/>
        <item m="1" x="85"/>
        <item m="1" x="109"/>
        <item m="1" x="133"/>
        <item m="1" x="157"/>
        <item m="1" x="37"/>
        <item m="1" x="61"/>
        <item m="1" x="97"/>
        <item m="1" x="121"/>
        <item m="1" x="145"/>
        <item m="1" x="169"/>
        <item m="1" x="49"/>
        <item m="1" x="73"/>
        <item m="1" x="86"/>
        <item m="1" x="110"/>
        <item m="1" x="134"/>
        <item m="1" x="158"/>
        <item m="1" x="38"/>
        <item m="1" x="62"/>
        <item m="1" x="98"/>
        <item m="1" x="122"/>
        <item m="1" x="146"/>
        <item m="1" x="170"/>
        <item m="1" x="50"/>
        <item m="1" x="74"/>
        <item m="1" x="87"/>
        <item m="1" x="111"/>
        <item m="1" x="135"/>
        <item m="1" x="159"/>
        <item m="1" x="39"/>
        <item m="1" x="63"/>
        <item m="1" x="99"/>
        <item m="1" x="123"/>
        <item m="1" x="147"/>
        <item m="1" x="171"/>
        <item m="1" x="51"/>
        <item m="1" x="75"/>
        <item m="1" x="88"/>
        <item m="1" x="112"/>
        <item m="1" x="136"/>
        <item m="1" x="160"/>
        <item m="1" x="40"/>
        <item m="1" x="64"/>
        <item m="1" x="100"/>
        <item m="1" x="124"/>
        <item m="1" x="148"/>
        <item m="1" x="172"/>
        <item m="1" x="52"/>
        <item m="1" x="76"/>
        <item m="1" x="89"/>
        <item m="1" x="113"/>
        <item m="1" x="137"/>
        <item m="1" x="161"/>
        <item m="1" x="41"/>
        <item m="1" x="65"/>
        <item m="1" x="101"/>
        <item m="1" x="125"/>
        <item m="1" x="149"/>
        <item m="1" x="173"/>
        <item m="1" x="53"/>
        <item m="1" x="77"/>
        <item m="1" x="90"/>
        <item m="1" x="114"/>
        <item m="1" x="138"/>
        <item m="1" x="162"/>
        <item m="1" x="42"/>
        <item m="1" x="66"/>
        <item m="1" x="102"/>
        <item m="1" x="126"/>
        <item m="1" x="150"/>
        <item m="1" x="174"/>
        <item m="1" x="54"/>
        <item m="1" x="78"/>
        <item m="1" x="91"/>
        <item m="1" x="115"/>
        <item m="1" x="139"/>
        <item m="1" x="163"/>
        <item m="1" x="43"/>
        <item m="1" x="67"/>
        <item m="1" x="103"/>
        <item m="1" x="127"/>
        <item m="1" x="151"/>
        <item m="1" x="175"/>
        <item m="1" x="55"/>
        <item m="1" x="79"/>
        <item m="1" x="93"/>
        <item m="1" x="117"/>
        <item m="1" x="141"/>
        <item m="1" x="165"/>
        <item m="1" x="45"/>
        <item m="1" x="69"/>
        <item m="1" x="104"/>
        <item m="1" x="128"/>
        <item m="1" x="152"/>
        <item m="1" x="176"/>
        <item m="1" x="56"/>
        <item m="1" x="80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B3" sqref="B3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63</v>
      </c>
    </row>
    <row r="3" spans="1:2" x14ac:dyDescent="0.25">
      <c r="A3" s="2">
        <v>1</v>
      </c>
      <c r="B3" s="3" t="s">
        <v>65</v>
      </c>
    </row>
    <row r="4" spans="1:2" ht="13" x14ac:dyDescent="0.3">
      <c r="A4" s="2">
        <v>2</v>
      </c>
      <c r="B4" s="3" t="s">
        <v>64</v>
      </c>
    </row>
    <row r="5" spans="1:2" ht="13" x14ac:dyDescent="0.3">
      <c r="A5" s="2">
        <v>3</v>
      </c>
      <c r="B5" s="3" t="s">
        <v>66</v>
      </c>
    </row>
    <row r="6" spans="1:2" ht="13" x14ac:dyDescent="0.3">
      <c r="A6" s="2">
        <v>4</v>
      </c>
      <c r="B6" s="4" t="s">
        <v>80</v>
      </c>
    </row>
    <row r="7" spans="1:2" x14ac:dyDescent="0.25">
      <c r="A7" s="2">
        <v>5</v>
      </c>
      <c r="B7" s="3" t="s">
        <v>67</v>
      </c>
    </row>
    <row r="8" spans="1:2" x14ac:dyDescent="0.25">
      <c r="A8" s="2">
        <v>6</v>
      </c>
      <c r="B8" s="3" t="s">
        <v>68</v>
      </c>
    </row>
    <row r="9" spans="1:2" x14ac:dyDescent="0.25">
      <c r="A9" s="2">
        <v>7</v>
      </c>
      <c r="B9" s="5" t="s">
        <v>69</v>
      </c>
    </row>
    <row r="10" spans="1:2" ht="13" x14ac:dyDescent="0.3">
      <c r="A10" s="2">
        <v>8</v>
      </c>
      <c r="B10" s="3" t="s">
        <v>72</v>
      </c>
    </row>
    <row r="11" spans="1:2" x14ac:dyDescent="0.25">
      <c r="A11" s="2"/>
      <c r="B11" s="3" t="s">
        <v>73</v>
      </c>
    </row>
    <row r="12" spans="1:2" x14ac:dyDescent="0.25">
      <c r="A12" s="2"/>
      <c r="B12" s="5" t="s">
        <v>74</v>
      </c>
    </row>
    <row r="13" spans="1:2" x14ac:dyDescent="0.25">
      <c r="A13" s="2"/>
      <c r="B13" s="5" t="s">
        <v>75</v>
      </c>
    </row>
    <row r="14" spans="1:2" x14ac:dyDescent="0.25">
      <c r="A14" s="2">
        <v>9</v>
      </c>
      <c r="B14" s="3" t="s">
        <v>76</v>
      </c>
    </row>
    <row r="15" spans="1:2" x14ac:dyDescent="0.25">
      <c r="A15" s="2">
        <v>10</v>
      </c>
      <c r="B15" s="3" t="s">
        <v>78</v>
      </c>
    </row>
    <row r="16" spans="1:2" x14ac:dyDescent="0.25">
      <c r="A16" s="2">
        <v>11</v>
      </c>
      <c r="B16" s="3" t="s">
        <v>79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EE493-280F-49E1-85C2-A7EDDF8394C1}">
  <dimension ref="A1:E22"/>
  <sheetViews>
    <sheetView workbookViewId="0">
      <selection activeCell="D3" sqref="D3"/>
    </sheetView>
  </sheetViews>
  <sheetFormatPr defaultColWidth="8.7265625" defaultRowHeight="12.5" x14ac:dyDescent="0.25"/>
  <cols>
    <col min="1" max="1" width="51.54296875" style="211" bestFit="1" customWidth="1"/>
    <col min="2" max="2" width="13.1796875" style="211" customWidth="1"/>
    <col min="3" max="3" width="14.1796875" style="211" bestFit="1" customWidth="1"/>
    <col min="4" max="4" width="12.7265625" style="211" bestFit="1" customWidth="1"/>
    <col min="5" max="5" width="10.54296875" style="211" bestFit="1" customWidth="1"/>
    <col min="6" max="16384" width="8.7265625" style="211"/>
  </cols>
  <sheetData>
    <row r="1" spans="1:5" x14ac:dyDescent="0.25">
      <c r="C1" s="211" t="s">
        <v>21</v>
      </c>
      <c r="D1" s="211" t="s">
        <v>22</v>
      </c>
      <c r="E1" s="211" t="s">
        <v>96</v>
      </c>
    </row>
    <row r="2" spans="1:5" ht="25" x14ac:dyDescent="0.25">
      <c r="A2" s="211" t="s">
        <v>97</v>
      </c>
      <c r="B2" s="229" t="s">
        <v>98</v>
      </c>
      <c r="C2" s="212">
        <v>0</v>
      </c>
      <c r="D2" s="212">
        <v>0</v>
      </c>
      <c r="E2" s="213">
        <f>C2+D2</f>
        <v>0</v>
      </c>
    </row>
    <row r="3" spans="1:5" ht="13" thickBot="1" x14ac:dyDescent="0.3"/>
    <row r="4" spans="1:5" x14ac:dyDescent="0.25">
      <c r="A4" s="214" t="s">
        <v>14</v>
      </c>
      <c r="B4" s="215">
        <f>0.074+0.018</f>
        <v>9.1999999999999998E-2</v>
      </c>
      <c r="C4" s="213">
        <f>$C$2*B4</f>
        <v>0</v>
      </c>
      <c r="D4" s="213">
        <f>$D$2*B4</f>
        <v>0</v>
      </c>
      <c r="E4" s="213">
        <f t="shared" ref="E4:E20" si="0">C4+D4</f>
        <v>0</v>
      </c>
    </row>
    <row r="5" spans="1:5" x14ac:dyDescent="0.25">
      <c r="A5" s="216" t="s">
        <v>83</v>
      </c>
      <c r="B5" s="217">
        <v>5.0000000000000001E-3</v>
      </c>
      <c r="C5" s="213">
        <f t="shared" ref="C5:C16" si="1">$C$2*B5</f>
        <v>0</v>
      </c>
      <c r="D5" s="213">
        <f t="shared" ref="D5:D16" si="2">$D$2*B5</f>
        <v>0</v>
      </c>
      <c r="E5" s="213">
        <f t="shared" si="0"/>
        <v>0</v>
      </c>
    </row>
    <row r="6" spans="1:5" x14ac:dyDescent="0.25">
      <c r="A6" s="216" t="s">
        <v>54</v>
      </c>
      <c r="B6" s="217">
        <v>1.4999999999999999E-2</v>
      </c>
      <c r="C6" s="213">
        <f t="shared" si="1"/>
        <v>0</v>
      </c>
      <c r="D6" s="213">
        <f t="shared" si="2"/>
        <v>0</v>
      </c>
      <c r="E6" s="213">
        <f t="shared" si="0"/>
        <v>0</v>
      </c>
    </row>
    <row r="7" spans="1:5" x14ac:dyDescent="0.25">
      <c r="A7" s="218" t="s">
        <v>17</v>
      </c>
      <c r="B7" s="215">
        <v>1.2999999999999999E-2</v>
      </c>
      <c r="C7" s="213">
        <f t="shared" si="1"/>
        <v>0</v>
      </c>
      <c r="D7" s="213">
        <f t="shared" si="2"/>
        <v>0</v>
      </c>
      <c r="E7" s="213">
        <f t="shared" si="0"/>
        <v>0</v>
      </c>
    </row>
    <row r="8" spans="1:5" x14ac:dyDescent="0.25">
      <c r="A8" s="216" t="s">
        <v>13</v>
      </c>
      <c r="B8" s="217">
        <v>0.10199999999999999</v>
      </c>
      <c r="C8" s="213">
        <f t="shared" si="1"/>
        <v>0</v>
      </c>
      <c r="D8" s="213">
        <f t="shared" si="2"/>
        <v>0</v>
      </c>
      <c r="E8" s="213">
        <f t="shared" si="0"/>
        <v>0</v>
      </c>
    </row>
    <row r="9" spans="1:5" x14ac:dyDescent="0.25">
      <c r="A9" s="218" t="s">
        <v>15</v>
      </c>
      <c r="B9" s="215">
        <v>1E-3</v>
      </c>
      <c r="C9" s="213">
        <f t="shared" si="1"/>
        <v>0</v>
      </c>
      <c r="D9" s="213">
        <f t="shared" si="2"/>
        <v>0</v>
      </c>
      <c r="E9" s="213">
        <f t="shared" si="0"/>
        <v>0</v>
      </c>
    </row>
    <row r="10" spans="1:5" x14ac:dyDescent="0.25">
      <c r="A10" s="218" t="s">
        <v>57</v>
      </c>
      <c r="B10" s="215">
        <v>5.0000000000000001E-3</v>
      </c>
      <c r="C10" s="213">
        <f t="shared" si="1"/>
        <v>0</v>
      </c>
      <c r="D10" s="213">
        <f t="shared" si="2"/>
        <v>0</v>
      </c>
      <c r="E10" s="213">
        <f t="shared" si="0"/>
        <v>0</v>
      </c>
    </row>
    <row r="11" spans="1:5" x14ac:dyDescent="0.25">
      <c r="A11" s="218" t="s">
        <v>16</v>
      </c>
      <c r="B11" s="215">
        <v>0</v>
      </c>
      <c r="C11" s="213">
        <f t="shared" si="1"/>
        <v>0</v>
      </c>
      <c r="D11" s="213">
        <f t="shared" si="2"/>
        <v>0</v>
      </c>
      <c r="E11" s="213">
        <f t="shared" si="0"/>
        <v>0</v>
      </c>
    </row>
    <row r="12" spans="1:5" x14ac:dyDescent="0.25">
      <c r="A12" s="216" t="s">
        <v>56</v>
      </c>
      <c r="B12" s="217">
        <v>3.0000000000000001E-3</v>
      </c>
      <c r="C12" s="213">
        <f t="shared" si="1"/>
        <v>0</v>
      </c>
      <c r="D12" s="213">
        <f t="shared" si="2"/>
        <v>0</v>
      </c>
      <c r="E12" s="213">
        <f t="shared" si="0"/>
        <v>0</v>
      </c>
    </row>
    <row r="13" spans="1:5" x14ac:dyDescent="0.25">
      <c r="A13" s="216" t="s">
        <v>19</v>
      </c>
      <c r="B13" s="217">
        <f>0.003+0.002</f>
        <v>5.0000000000000001E-3</v>
      </c>
      <c r="C13" s="213">
        <f t="shared" si="1"/>
        <v>0</v>
      </c>
      <c r="D13" s="213">
        <f t="shared" si="2"/>
        <v>0</v>
      </c>
      <c r="E13" s="213">
        <f t="shared" si="0"/>
        <v>0</v>
      </c>
    </row>
    <row r="14" spans="1:5" x14ac:dyDescent="0.25">
      <c r="A14" s="218" t="s">
        <v>8</v>
      </c>
      <c r="B14" s="215">
        <v>1.2999999999999999E-2</v>
      </c>
      <c r="C14" s="213">
        <f t="shared" si="1"/>
        <v>0</v>
      </c>
      <c r="D14" s="213">
        <f t="shared" si="2"/>
        <v>0</v>
      </c>
      <c r="E14" s="213">
        <f t="shared" si="0"/>
        <v>0</v>
      </c>
    </row>
    <row r="15" spans="1:5" x14ac:dyDescent="0.25">
      <c r="A15" s="218" t="s">
        <v>55</v>
      </c>
      <c r="B15" s="215">
        <v>1E-3</v>
      </c>
      <c r="C15" s="213">
        <f t="shared" si="1"/>
        <v>0</v>
      </c>
      <c r="D15" s="213">
        <f t="shared" si="2"/>
        <v>0</v>
      </c>
      <c r="E15" s="213">
        <f t="shared" si="0"/>
        <v>0</v>
      </c>
    </row>
    <row r="16" spans="1:5" x14ac:dyDescent="0.25">
      <c r="A16" s="219" t="s">
        <v>9</v>
      </c>
      <c r="B16" s="215">
        <v>5.0000000000000001E-3</v>
      </c>
      <c r="C16" s="213">
        <f t="shared" si="1"/>
        <v>0</v>
      </c>
      <c r="D16" s="213">
        <f t="shared" si="2"/>
        <v>0</v>
      </c>
      <c r="E16" s="213">
        <f t="shared" si="0"/>
        <v>0</v>
      </c>
    </row>
    <row r="17" spans="1:5" ht="23" x14ac:dyDescent="0.25">
      <c r="A17" s="220" t="s">
        <v>43</v>
      </c>
      <c r="B17" s="221"/>
      <c r="C17" s="222">
        <f>SUM(C4:C16)</f>
        <v>0</v>
      </c>
      <c r="D17" s="222">
        <f>SUM(D4:D16)</f>
        <v>0</v>
      </c>
      <c r="E17" s="222">
        <f>SUM(E4:E16)</f>
        <v>0</v>
      </c>
    </row>
    <row r="18" spans="1:5" x14ac:dyDescent="0.25">
      <c r="A18" s="223" t="s">
        <v>21</v>
      </c>
      <c r="B18" s="217">
        <v>0.37</v>
      </c>
      <c r="C18" s="213">
        <f>$C$2*B18</f>
        <v>0</v>
      </c>
      <c r="D18" s="213">
        <f>$D$2*B18</f>
        <v>0</v>
      </c>
      <c r="E18" s="213">
        <f t="shared" si="0"/>
        <v>0</v>
      </c>
    </row>
    <row r="19" spans="1:5" x14ac:dyDescent="0.25">
      <c r="A19" s="218" t="s">
        <v>22</v>
      </c>
      <c r="B19" s="215">
        <v>0.35399999999999998</v>
      </c>
      <c r="C19" s="213">
        <f t="shared" ref="C19:C20" si="3">$C$2*B19</f>
        <v>0</v>
      </c>
      <c r="D19" s="213">
        <f t="shared" ref="D19:D20" si="4">$D$2*B19</f>
        <v>0</v>
      </c>
      <c r="E19" s="213">
        <f t="shared" si="0"/>
        <v>0</v>
      </c>
    </row>
    <row r="20" spans="1:5" x14ac:dyDescent="0.25">
      <c r="A20" s="219" t="s">
        <v>81</v>
      </c>
      <c r="B20" s="215">
        <v>1.6E-2</v>
      </c>
      <c r="C20" s="213">
        <f t="shared" si="3"/>
        <v>0</v>
      </c>
      <c r="D20" s="213">
        <f t="shared" si="4"/>
        <v>0</v>
      </c>
      <c r="E20" s="213">
        <f t="shared" si="0"/>
        <v>0</v>
      </c>
    </row>
    <row r="21" spans="1:5" ht="23" x14ac:dyDescent="0.25">
      <c r="A21" s="220" t="s">
        <v>51</v>
      </c>
      <c r="B21" s="224"/>
      <c r="C21" s="225">
        <f>SUM(C18:C20)</f>
        <v>0</v>
      </c>
      <c r="D21" s="225">
        <f>SUM(D18:D20)</f>
        <v>0</v>
      </c>
      <c r="E21" s="225">
        <f>SUM(E18:E20)</f>
        <v>0</v>
      </c>
    </row>
    <row r="22" spans="1:5" ht="13" thickBot="1" x14ac:dyDescent="0.3">
      <c r="A22" s="226" t="s">
        <v>44</v>
      </c>
      <c r="B22" s="227"/>
      <c r="C22" s="213">
        <f>C17+C21</f>
        <v>0</v>
      </c>
      <c r="D22" s="213">
        <f>D17+D21</f>
        <v>0</v>
      </c>
      <c r="E22" s="213">
        <f>E17+E21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2"/>
  <sheetViews>
    <sheetView tabSelected="1" zoomScale="85" zoomScaleNormal="85" zoomScaleSheetLayoutView="100" workbookViewId="0">
      <selection activeCell="H14" sqref="H14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56" t="str">
        <f>+Transactions!B1</f>
        <v>AEPTCo Formula Rate -- FERC Docket ER18-195</v>
      </c>
      <c r="D1" s="256"/>
      <c r="E1" s="256"/>
      <c r="F1" s="256"/>
      <c r="G1" s="256"/>
      <c r="H1" s="256"/>
      <c r="I1" s="256"/>
      <c r="J1" s="6">
        <v>2024</v>
      </c>
    </row>
    <row r="2" spans="2:17" ht="13" x14ac:dyDescent="0.3">
      <c r="C2" s="256" t="s">
        <v>36</v>
      </c>
      <c r="D2" s="256"/>
      <c r="E2" s="256"/>
      <c r="F2" s="256"/>
      <c r="G2" s="256"/>
      <c r="H2" s="256"/>
      <c r="I2" s="256"/>
    </row>
    <row r="3" spans="2:17" ht="13" x14ac:dyDescent="0.3">
      <c r="C3" s="256" t="str">
        <f>"for period 01/01/"&amp;F8&amp;" - 12/31/"&amp;F8</f>
        <v>for period 01/01/2024 - 12/31/2024</v>
      </c>
      <c r="D3" s="256"/>
      <c r="E3" s="256"/>
      <c r="F3" s="256"/>
      <c r="G3" s="256"/>
      <c r="H3" s="256"/>
      <c r="I3" s="256"/>
    </row>
    <row r="4" spans="2:17" ht="13" x14ac:dyDescent="0.3">
      <c r="C4" s="256" t="s">
        <v>94</v>
      </c>
      <c r="D4" s="256"/>
      <c r="E4" s="256"/>
      <c r="F4" s="256"/>
      <c r="G4" s="256"/>
      <c r="H4" s="256"/>
      <c r="I4" s="256"/>
    </row>
    <row r="5" spans="2:17" x14ac:dyDescent="0.25">
      <c r="C5" s="7" t="str">
        <f>"Prepared:  May 24_, "&amp;J1+1&amp;""</f>
        <v>Prepared:  May 24_, 2025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2024</v>
      </c>
    </row>
    <row r="9" spans="2:17" ht="20.25" customHeight="1" x14ac:dyDescent="0.3">
      <c r="E9" s="12" t="s">
        <v>93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2024 Projections 2024)</v>
      </c>
      <c r="F10" s="18" t="str">
        <f>"(per "&amp;F8&amp;" Update of May "&amp;F8+1&amp;")"</f>
        <v>(per 2024 Update of May 2025)</v>
      </c>
      <c r="G10" s="19"/>
      <c r="H10" s="20"/>
    </row>
    <row r="11" spans="2:17" ht="21.75" customHeight="1" x14ac:dyDescent="0.25">
      <c r="B11" s="21"/>
      <c r="C11" s="22" t="s">
        <v>39</v>
      </c>
      <c r="D11" s="23" t="s">
        <v>37</v>
      </c>
      <c r="E11" s="24">
        <f>Transactions!K2</f>
        <v>209429794.06779259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42</v>
      </c>
      <c r="E12" s="30"/>
      <c r="F12" s="31">
        <f>+Transactions!J2</f>
        <v>203691666.17075253</v>
      </c>
      <c r="G12" s="32"/>
      <c r="H12" s="33"/>
    </row>
    <row r="13" spans="2:17" ht="21.75" customHeight="1" x14ac:dyDescent="0.25">
      <c r="B13" s="34"/>
      <c r="C13" s="35" t="s">
        <v>40</v>
      </c>
      <c r="D13" s="36" t="s">
        <v>38</v>
      </c>
      <c r="E13" s="37">
        <f>Transactions!K3</f>
        <v>2063.08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41</v>
      </c>
      <c r="E14" s="42"/>
      <c r="F14" s="43">
        <f>+Transactions!J3</f>
        <v>1999.9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92</v>
      </c>
      <c r="I19" s="54" t="s">
        <v>91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50</v>
      </c>
      <c r="D20" s="56" t="str">
        <f>"Actual Charge
("&amp;F8&amp;" True-Up)"</f>
        <v>Actual Charge
(2024 True-Up)</v>
      </c>
      <c r="E20" s="57" t="str">
        <f>"Invoiced for
CY"&amp;F8&amp;" Transmission Service"</f>
        <v>Invoiced for
CY2024 Transmission Service</v>
      </c>
      <c r="F20" s="56" t="s">
        <v>101</v>
      </c>
      <c r="G20" s="58" t="s">
        <v>102</v>
      </c>
      <c r="H20" s="228" t="s">
        <v>99</v>
      </c>
      <c r="I20" s="56" t="s">
        <v>103</v>
      </c>
      <c r="L20" s="50"/>
      <c r="M20" s="51"/>
      <c r="N20" s="51"/>
      <c r="O20" s="51"/>
      <c r="P20" s="51"/>
      <c r="Q20" s="51"/>
    </row>
    <row r="21" spans="2:17" x14ac:dyDescent="0.25">
      <c r="B21" s="59"/>
      <c r="C21" s="60" t="s">
        <v>14</v>
      </c>
      <c r="D21" s="61">
        <f>GETPIVOTDATA("Sum of "&amp;T(Transactions!$J$19),Pivot!$A$3,"Customer",C21)</f>
        <v>19305034.699999999</v>
      </c>
      <c r="E21" s="61">
        <f>GETPIVOTDATA("Sum of "&amp;T(Transactions!$K$19),Pivot!$A$3,"Customer",C21)</f>
        <v>19914911.239999998</v>
      </c>
      <c r="F21" s="61">
        <f>D21-E21</f>
        <v>-609876.53999999911</v>
      </c>
      <c r="G21" s="51">
        <f>(+GETPIVOTDATA("Sum of "&amp;T(Transactions!$M$19),Pivot!$A$3,"Customer","AECC"))</f>
        <v>-49001.950365978904</v>
      </c>
      <c r="H21" s="51">
        <f>-'20XX NOLC Refund Detail'!D4</f>
        <v>0</v>
      </c>
      <c r="I21" s="62">
        <f>F21+G21+H21</f>
        <v>-658878.49036597798</v>
      </c>
      <c r="J21" s="59"/>
      <c r="L21" s="50"/>
      <c r="M21" s="51"/>
      <c r="N21" s="51"/>
      <c r="O21" s="51"/>
      <c r="P21" s="51"/>
      <c r="Q21" s="51"/>
    </row>
    <row r="22" spans="2:17" x14ac:dyDescent="0.25">
      <c r="B22" s="59"/>
      <c r="C22" s="63" t="s">
        <v>83</v>
      </c>
      <c r="D22" s="61">
        <f>GETPIVOTDATA("Sum of "&amp;T(Transactions!$J$19),Pivot!$A$3,"Customer",C22)</f>
        <v>987950.60000000021</v>
      </c>
      <c r="E22" s="61">
        <f>GETPIVOTDATA("Sum of "&amp;T(Transactions!$K$19),Pivot!$A$3,"Customer",C22)</f>
        <v>1019161.5199999999</v>
      </c>
      <c r="F22" s="61">
        <f>D22-E22</f>
        <v>-31210.919999999693</v>
      </c>
      <c r="G22" s="51">
        <f>(+GETPIVOTDATA("Sum of "&amp;T(Transactions!$M$19),Pivot!$A$3,"Customer","AECI"))</f>
        <v>-2507.7140247377579</v>
      </c>
      <c r="H22" s="51">
        <f>-'20XX NOLC Refund Detail'!D5</f>
        <v>0</v>
      </c>
      <c r="I22" s="62">
        <f t="shared" ref="I22:I33" si="0">F22+G22+H22</f>
        <v>-33718.634024737454</v>
      </c>
      <c r="J22" s="59"/>
      <c r="L22" s="50"/>
      <c r="M22" s="51"/>
      <c r="N22" s="51"/>
      <c r="O22" s="51"/>
      <c r="P22" s="51"/>
      <c r="Q22" s="51"/>
    </row>
    <row r="23" spans="2:17" x14ac:dyDescent="0.25">
      <c r="B23" s="59"/>
      <c r="C23" s="63" t="s">
        <v>54</v>
      </c>
      <c r="D23" s="61">
        <f>GETPIVOTDATA("Sum of "&amp;T(Transactions!$J$19),Pivot!$A$3,"Customer",C23)</f>
        <v>3115844.2</v>
      </c>
      <c r="E23" s="61">
        <f>GETPIVOTDATA("Sum of "&amp;T(Transactions!$K$19),Pivot!$A$3,"Customer",C23)</f>
        <v>3214278.64</v>
      </c>
      <c r="F23" s="61">
        <f t="shared" ref="F23:F35" si="1">D23-E23</f>
        <v>-98434.439999999944</v>
      </c>
      <c r="G23" s="51">
        <f>(+GETPIVOTDATA("Sum of "&amp;T(Transactions!$M$19),Pivot!$A$3,"Customer","Bentonville, AR"))</f>
        <v>-7908.9442318652364</v>
      </c>
      <c r="H23" s="51">
        <f>-'20XX NOLC Refund Detail'!D6</f>
        <v>0</v>
      </c>
      <c r="I23" s="62">
        <f t="shared" si="0"/>
        <v>-106343.38423186517</v>
      </c>
      <c r="J23" s="59"/>
      <c r="L23" s="50"/>
      <c r="M23" s="51"/>
      <c r="N23" s="51"/>
      <c r="O23" s="51"/>
      <c r="P23" s="51"/>
      <c r="Q23" s="51"/>
    </row>
    <row r="24" spans="2:17" x14ac:dyDescent="0.25">
      <c r="B24" s="59"/>
      <c r="C24" s="60" t="s">
        <v>17</v>
      </c>
      <c r="D24" s="61">
        <f>GETPIVOTDATA("Sum of "&amp;T(Transactions!$J$19),Pivot!$A$3,"Customer",C24)</f>
        <v>2557872.0999999996</v>
      </c>
      <c r="E24" s="61">
        <f>GETPIVOTDATA("Sum of "&amp;T(Transactions!$K$19),Pivot!$A$3,"Customer",C24)</f>
        <v>2638679.3199999994</v>
      </c>
      <c r="F24" s="61">
        <f t="shared" si="1"/>
        <v>-80807.219999999739</v>
      </c>
      <c r="G24" s="51">
        <f>(+GETPIVOTDATA("Sum of "&amp;T(Transactions!$M$19),Pivot!$A$3,"Customer","Coffeyville, KS"))</f>
        <v>-6492.6442057481627</v>
      </c>
      <c r="H24" s="51">
        <f>-'20XX NOLC Refund Detail'!D7</f>
        <v>0</v>
      </c>
      <c r="I24" s="62">
        <f t="shared" si="0"/>
        <v>-87299.864205747901</v>
      </c>
      <c r="J24" s="59"/>
      <c r="L24" s="50"/>
      <c r="M24" s="51"/>
      <c r="N24" s="51"/>
      <c r="O24" s="51"/>
      <c r="P24" s="51"/>
      <c r="Q24" s="51"/>
    </row>
    <row r="25" spans="2:17" x14ac:dyDescent="0.25">
      <c r="B25" s="59"/>
      <c r="C25" s="63" t="s">
        <v>13</v>
      </c>
      <c r="D25" s="61">
        <f>GETPIVOTDATA("Sum of "&amp;T(Transactions!$J$19),Pivot!$A$3,"Customer",C25)</f>
        <v>20274986.199999999</v>
      </c>
      <c r="E25" s="61">
        <f>GETPIVOTDATA("Sum of "&amp;T(Transactions!$K$19),Pivot!$A$3,"Customer",C25)</f>
        <v>20915505.039999995</v>
      </c>
      <c r="F25" s="61">
        <f t="shared" si="1"/>
        <v>-640518.83999999613</v>
      </c>
      <c r="G25" s="51">
        <f>(+GETPIVOTDATA("Sum of "&amp;T(Transactions!$M$19),Pivot!$A$3,"Customer","ETEC"))</f>
        <v>-51463.977293099982</v>
      </c>
      <c r="H25" s="51">
        <f>-'20XX NOLC Refund Detail'!D8</f>
        <v>0</v>
      </c>
      <c r="I25" s="62">
        <f t="shared" si="0"/>
        <v>-691982.8172930961</v>
      </c>
      <c r="J25" s="59"/>
      <c r="L25" s="52"/>
      <c r="M25" s="51"/>
      <c r="N25" s="51"/>
      <c r="O25" s="51"/>
      <c r="P25" s="51"/>
      <c r="Q25" s="51"/>
    </row>
    <row r="26" spans="2:17" x14ac:dyDescent="0.25">
      <c r="B26" s="59"/>
      <c r="C26" s="60" t="s">
        <v>15</v>
      </c>
      <c r="D26" s="61">
        <f>GETPIVOTDATA("Sum of "&amp;T(Transactions!$J$19),Pivot!$A$3,"Customer",C26)</f>
        <v>223988.8</v>
      </c>
      <c r="E26" s="61">
        <f>GETPIVOTDATA("Sum of "&amp;T(Transactions!$K$19),Pivot!$A$3,"Customer",C26)</f>
        <v>231064.96000000002</v>
      </c>
      <c r="F26" s="61">
        <f t="shared" si="1"/>
        <v>-7076.1600000000326</v>
      </c>
      <c r="G26" s="51">
        <f>(+GETPIVOTDATA("Sum of "&amp;T(Transactions!$M$19),Pivot!$A$3,"Customer","Greenbelt"))</f>
        <v>-568.55054811868195</v>
      </c>
      <c r="H26" s="51">
        <f>-'20XX NOLC Refund Detail'!D9</f>
        <v>0</v>
      </c>
      <c r="I26" s="62">
        <f t="shared" si="0"/>
        <v>-7644.7105481187145</v>
      </c>
      <c r="J26" s="59"/>
      <c r="K26" s="64"/>
      <c r="L26" s="64"/>
      <c r="M26" s="64"/>
      <c r="N26" s="64"/>
      <c r="O26" s="51"/>
      <c r="P26" s="51"/>
      <c r="Q26" s="51"/>
    </row>
    <row r="27" spans="2:17" x14ac:dyDescent="0.25">
      <c r="B27" s="59"/>
      <c r="C27" s="60" t="s">
        <v>57</v>
      </c>
      <c r="D27" s="61">
        <f>GETPIVOTDATA("Sum of "&amp;T(Transactions!$J$19),Pivot!$A$3,"Customer",C27)</f>
        <v>923953.8</v>
      </c>
      <c r="E27" s="61">
        <f>GETPIVOTDATA("Sum of "&amp;T(Transactions!$K$19),Pivot!$A$3,"Customer",C27)</f>
        <v>953142.96</v>
      </c>
      <c r="F27" s="61">
        <f t="shared" si="1"/>
        <v>-29189.159999999916</v>
      </c>
      <c r="G27" s="51">
        <f>(+GETPIVOTDATA("Sum of "&amp;T(Transactions!$M$19),Pivot!$A$3,"Customer","Hope, AR"))</f>
        <v>-2345.2710109895634</v>
      </c>
      <c r="H27" s="51">
        <f>-'20XX NOLC Refund Detail'!D10</f>
        <v>0</v>
      </c>
      <c r="I27" s="62">
        <f t="shared" si="0"/>
        <v>-31534.43101098948</v>
      </c>
      <c r="J27" s="59"/>
      <c r="K27" s="64"/>
      <c r="L27" s="64"/>
      <c r="M27" s="64"/>
      <c r="N27" s="64"/>
      <c r="O27" s="51"/>
      <c r="P27" s="51"/>
      <c r="Q27" s="51"/>
    </row>
    <row r="28" spans="2:17" x14ac:dyDescent="0.25">
      <c r="B28" s="59"/>
      <c r="C28" s="60" t="s">
        <v>16</v>
      </c>
      <c r="D28" s="61">
        <f>GETPIVOTDATA("Sum of "&amp;T(Transactions!$J$19),Pivot!$A$3,"Customer",C28)</f>
        <v>89995.499999999985</v>
      </c>
      <c r="E28" s="61">
        <f>GETPIVOTDATA("Sum of "&amp;T(Transactions!$K$19),Pivot!$A$3,"Customer",C28)</f>
        <v>92838.6</v>
      </c>
      <c r="F28" s="61">
        <f t="shared" si="1"/>
        <v>-2843.1000000000204</v>
      </c>
      <c r="G28" s="51">
        <f>(+GETPIVOTDATA("Sum of "&amp;T(Transactions!$M$19),Pivot!$A$3,"Customer","Lighthouse"))</f>
        <v>-228.43548808339904</v>
      </c>
      <c r="H28" s="51">
        <f>-'20XX NOLC Refund Detail'!D11</f>
        <v>0</v>
      </c>
      <c r="I28" s="62">
        <f t="shared" si="0"/>
        <v>-3071.5354880834193</v>
      </c>
      <c r="J28" s="59"/>
      <c r="L28" s="50"/>
      <c r="M28" s="51"/>
      <c r="N28" s="51"/>
      <c r="O28" s="51"/>
      <c r="P28" s="51"/>
      <c r="Q28" s="51"/>
    </row>
    <row r="29" spans="2:17" x14ac:dyDescent="0.25">
      <c r="B29" s="59"/>
      <c r="C29" s="63" t="s">
        <v>56</v>
      </c>
      <c r="D29" s="61">
        <f>GETPIVOTDATA("Sum of "&amp;T(Transactions!$J$19),Pivot!$A$3,"Customer",C29)</f>
        <v>651967.4</v>
      </c>
      <c r="E29" s="61">
        <f>GETPIVOTDATA("Sum of "&amp;T(Transactions!$K$19),Pivot!$A$3,"Customer",C29)</f>
        <v>672564.07999999984</v>
      </c>
      <c r="F29" s="61">
        <f t="shared" si="1"/>
        <v>-20596.679999999818</v>
      </c>
      <c r="G29" s="51">
        <f>(+GETPIVOTDATA("Sum of "&amp;T(Transactions!$M$19),Pivot!$A$3,"Customer","Minden, LA"))</f>
        <v>-1654.888202559735</v>
      </c>
      <c r="H29" s="51">
        <f>-'20XX NOLC Refund Detail'!D12</f>
        <v>0</v>
      </c>
      <c r="I29" s="62">
        <f t="shared" si="0"/>
        <v>-22251.568202559552</v>
      </c>
      <c r="J29" s="59"/>
      <c r="L29" s="50"/>
      <c r="M29" s="51"/>
      <c r="N29" s="51"/>
      <c r="O29" s="51"/>
      <c r="P29" s="51"/>
      <c r="Q29" s="51"/>
    </row>
    <row r="30" spans="2:17" x14ac:dyDescent="0.25">
      <c r="B30" s="59"/>
      <c r="C30" s="63" t="s">
        <v>19</v>
      </c>
      <c r="D30" s="61">
        <f>GETPIVOTDATA("Sum of "&amp;T(Transactions!$J$19),Pivot!$A$3,"Customer",C30)</f>
        <v>1575921.2</v>
      </c>
      <c r="E30" s="61">
        <f>GETPIVOTDATA("Sum of "&amp;T(Transactions!$K$19),Pivot!$A$3,"Customer",C30)</f>
        <v>1625707.0399999998</v>
      </c>
      <c r="F30" s="61">
        <f t="shared" si="1"/>
        <v>-49785.839999999851</v>
      </c>
      <c r="G30" s="51">
        <f>(+GETPIVOTDATA("Sum of "&amp;T(Transactions!$M$19),Pivot!$A$3,"Customer","OG&amp;E"))</f>
        <v>-4000.1592135492979</v>
      </c>
      <c r="H30" s="51">
        <f>-'20XX NOLC Refund Detail'!D13</f>
        <v>0</v>
      </c>
      <c r="I30" s="62">
        <f t="shared" si="0"/>
        <v>-53785.999213549148</v>
      </c>
      <c r="J30" s="59"/>
    </row>
    <row r="31" spans="2:17" x14ac:dyDescent="0.25">
      <c r="B31" s="59"/>
      <c r="C31" s="60" t="s">
        <v>8</v>
      </c>
      <c r="D31" s="61">
        <f>GETPIVOTDATA("Sum of "&amp;T(Transactions!$J$19),Pivot!$A$3,"Customer",C31)</f>
        <v>2555872.1999999997</v>
      </c>
      <c r="E31" s="61">
        <f>GETPIVOTDATA("Sum of "&amp;T(Transactions!$K$19),Pivot!$A$3,"Customer",C31)</f>
        <v>2636616.2399999998</v>
      </c>
      <c r="F31" s="61">
        <f t="shared" si="1"/>
        <v>-80744.040000000037</v>
      </c>
      <c r="G31" s="51">
        <f>(+GETPIVOTDATA("Sum of "&amp;T(Transactions!$M$19),Pivot!$A$3,"Customer","OMPA"))</f>
        <v>-6487.5678615685329</v>
      </c>
      <c r="H31" s="51">
        <f>-'20XX NOLC Refund Detail'!D14</f>
        <v>0</v>
      </c>
      <c r="I31" s="62">
        <f t="shared" si="0"/>
        <v>-87231.607861568569</v>
      </c>
      <c r="J31" s="59"/>
    </row>
    <row r="32" spans="2:17" x14ac:dyDescent="0.25">
      <c r="B32" s="59"/>
      <c r="C32" s="60" t="s">
        <v>55</v>
      </c>
      <c r="D32" s="61">
        <f>GETPIVOTDATA("Sum of "&amp;T(Transactions!$J$19),Pivot!$A$3,"Customer",C32)</f>
        <v>237988.1</v>
      </c>
      <c r="E32" s="61">
        <f>GETPIVOTDATA("Sum of "&amp;T(Transactions!$K$19),Pivot!$A$3,"Customer",C32)</f>
        <v>245506.51999999996</v>
      </c>
      <c r="F32" s="61">
        <f t="shared" si="1"/>
        <v>-7518.4199999999546</v>
      </c>
      <c r="G32" s="51">
        <f>(+GETPIVOTDATA("Sum of "&amp;T(Transactions!$M$19),Pivot!$A$3,"Customer","Prescott, AR"))</f>
        <v>-604.08495737609962</v>
      </c>
      <c r="H32" s="51">
        <f>-'20XX NOLC Refund Detail'!D15</f>
        <v>0</v>
      </c>
      <c r="I32" s="62">
        <f t="shared" si="0"/>
        <v>-8122.5049573760543</v>
      </c>
      <c r="J32" s="59"/>
    </row>
    <row r="33" spans="2:11" x14ac:dyDescent="0.25">
      <c r="B33" s="59"/>
      <c r="C33" s="65" t="s">
        <v>9</v>
      </c>
      <c r="D33" s="61">
        <f>GETPIVOTDATA("Sum of "&amp;T(Transactions!$J$19),Pivot!$A$3,"Customer",C33)</f>
        <v>1285935.7</v>
      </c>
      <c r="E33" s="61">
        <f>GETPIVOTDATA("Sum of "&amp;T(Transactions!$K$19),Pivot!$A$3,"Customer",C33)</f>
        <v>1326560.44</v>
      </c>
      <c r="F33" s="61">
        <f t="shared" si="1"/>
        <v>-40624.739999999991</v>
      </c>
      <c r="G33" s="51">
        <f>(+GETPIVOTDATA("Sum of "&amp;T(Transactions!$M$19),Pivot!$A$3,"Customer","WFEC"))</f>
        <v>-3264.0893075027902</v>
      </c>
      <c r="H33" s="51">
        <f>-'20XX NOLC Refund Detail'!D16</f>
        <v>0</v>
      </c>
      <c r="I33" s="62">
        <f t="shared" si="0"/>
        <v>-43888.829307502783</v>
      </c>
      <c r="J33" s="59"/>
    </row>
    <row r="34" spans="2:11" ht="23" x14ac:dyDescent="0.25">
      <c r="C34" s="66" t="s">
        <v>43</v>
      </c>
      <c r="D34" s="67">
        <f t="shared" ref="D34:I34" si="2">SUM(D21:D33)</f>
        <v>53787310.5</v>
      </c>
      <c r="E34" s="67">
        <f t="shared" si="2"/>
        <v>55486536.599999994</v>
      </c>
      <c r="F34" s="67">
        <f t="shared" si="2"/>
        <v>-1699226.0999999943</v>
      </c>
      <c r="G34" s="68">
        <f t="shared" si="2"/>
        <v>-136528.27671117813</v>
      </c>
      <c r="H34" s="68">
        <f t="shared" si="2"/>
        <v>0</v>
      </c>
      <c r="I34" s="69">
        <f t="shared" si="2"/>
        <v>-1835754.3767111723</v>
      </c>
    </row>
    <row r="35" spans="2:11" x14ac:dyDescent="0.25">
      <c r="C35" s="70" t="s">
        <v>21</v>
      </c>
      <c r="D35" s="61">
        <f>GETPIVOTDATA("Sum of "&amp;T(Transactions!$J$19),Pivot!$A$3,"Customer",C35)</f>
        <v>76566171.5</v>
      </c>
      <c r="E35" s="61">
        <f>GETPIVOTDATA("Sum of "&amp;T(Transactions!$K$19),Pivot!$A$3,"Customer",C35)</f>
        <v>78985017.799999982</v>
      </c>
      <c r="F35" s="61">
        <f t="shared" si="1"/>
        <v>-2418846.2999999821</v>
      </c>
      <c r="G35" s="51">
        <f>(+GETPIVOTDATA("Sum of "&amp;T(Transactions!$M$19),Pivot!$A$3,"Customer","PSO"))</f>
        <v>-194347.8369171762</v>
      </c>
      <c r="H35" s="51">
        <f>-'20XX NOLC Refund Detail'!D18</f>
        <v>0</v>
      </c>
      <c r="I35" s="62">
        <f>F35+G35+H35</f>
        <v>-2613194.1369171585</v>
      </c>
    </row>
    <row r="36" spans="2:11" x14ac:dyDescent="0.25">
      <c r="C36" s="71" t="s">
        <v>22</v>
      </c>
      <c r="D36" s="61">
        <f>GETPIVOTDATA("Sum of "&amp;T(Transactions!$J$19),Pivot!$A$3,"Customer",C36)</f>
        <v>70160491.800000012</v>
      </c>
      <c r="E36" s="61">
        <f>GETPIVOTDATA("Sum of "&amp;T(Transactions!$K$19),Pivot!$A$3,"Customer",C36)</f>
        <v>72376972.559999987</v>
      </c>
      <c r="F36" s="61">
        <f>D36-E36</f>
        <v>-2216480.7599999756</v>
      </c>
      <c r="G36" s="51">
        <f>(+GETPIVOTDATA("Sum of "&amp;T(Transactions!$M$19),Pivot!$A$3,"Customer","SWEPCO"))</f>
        <v>-178088.3065098178</v>
      </c>
      <c r="H36" s="51">
        <f>-'20XX NOLC Refund Detail'!D19</f>
        <v>0</v>
      </c>
      <c r="I36" s="62">
        <f>F36+G36+H36</f>
        <v>-2394569.0665097935</v>
      </c>
    </row>
    <row r="37" spans="2:11" x14ac:dyDescent="0.25">
      <c r="C37" s="72" t="s">
        <v>81</v>
      </c>
      <c r="D37" s="61">
        <f>GETPIVOTDATA("Sum of "&amp;T(Transactions!$J$19),Pivot!$A$3,"Customer",C37)</f>
        <v>3177841.1</v>
      </c>
      <c r="E37" s="61">
        <f>GETPIVOTDATA("Sum of "&amp;T(Transactions!$K$19),Pivot!$A$3,"Customer",C37)</f>
        <v>3278234.12</v>
      </c>
      <c r="F37" s="61">
        <f>D37-E37</f>
        <v>-100393.02000000002</v>
      </c>
      <c r="G37" s="51">
        <f>(+GETPIVOTDATA("Sum of "&amp;T(Transactions!$M$19),Pivot!$A$3,"Customer","SWEPCO-Valley"))</f>
        <v>-8066.3109014338006</v>
      </c>
      <c r="H37" s="51">
        <f>-'20XX NOLC Refund Detail'!D20</f>
        <v>0</v>
      </c>
      <c r="I37" s="62">
        <f>F37+G37+H37</f>
        <v>-108459.33090143382</v>
      </c>
    </row>
    <row r="38" spans="2:11" ht="23" x14ac:dyDescent="0.25">
      <c r="C38" s="73" t="s">
        <v>51</v>
      </c>
      <c r="D38" s="74">
        <f t="shared" ref="D38:I38" si="3">SUM(D35:D37)</f>
        <v>149904504.40000001</v>
      </c>
      <c r="E38" s="74">
        <f t="shared" si="3"/>
        <v>154640224.47999996</v>
      </c>
      <c r="F38" s="74">
        <f t="shared" si="3"/>
        <v>-4735720.0799999572</v>
      </c>
      <c r="G38" s="75">
        <f t="shared" si="3"/>
        <v>-380502.45432842779</v>
      </c>
      <c r="H38" s="75">
        <f t="shared" si="3"/>
        <v>0</v>
      </c>
      <c r="I38" s="76">
        <f t="shared" si="3"/>
        <v>-5116222.5343283853</v>
      </c>
      <c r="K38" s="77"/>
    </row>
    <row r="39" spans="2:11" ht="23.25" customHeight="1" thickBot="1" x14ac:dyDescent="0.3">
      <c r="C39" s="78" t="s">
        <v>44</v>
      </c>
      <c r="D39" s="79">
        <f t="shared" ref="D39:I39" si="4">SUM(D34,D38)</f>
        <v>203691814.90000001</v>
      </c>
      <c r="E39" s="80">
        <f t="shared" si="4"/>
        <v>210126761.07999995</v>
      </c>
      <c r="F39" s="79">
        <f t="shared" si="4"/>
        <v>-6434946.1799999513</v>
      </c>
      <c r="G39" s="80">
        <f t="shared" si="4"/>
        <v>-517030.73103960592</v>
      </c>
      <c r="H39" s="80">
        <f t="shared" si="4"/>
        <v>0</v>
      </c>
      <c r="I39" s="81">
        <f t="shared" si="4"/>
        <v>-6951976.9110395573</v>
      </c>
      <c r="K39" s="77"/>
    </row>
    <row r="40" spans="2:11" x14ac:dyDescent="0.25">
      <c r="E40" s="50"/>
      <c r="F40" s="50"/>
      <c r="G40" s="50"/>
      <c r="H40" s="50"/>
    </row>
    <row r="41" spans="2:11" x14ac:dyDescent="0.25">
      <c r="I41" s="230"/>
    </row>
    <row r="42" spans="2:11" x14ac:dyDescent="0.25">
      <c r="D42" s="59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I5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ColWidth="8.7265625" defaultRowHeight="12.5" x14ac:dyDescent="0.25"/>
  <cols>
    <col min="1" max="1" width="19.1796875" style="1" customWidth="1"/>
    <col min="2" max="2" width="28.54296875" style="1" bestFit="1" customWidth="1"/>
    <col min="3" max="14" width="15.453125" style="1" bestFit="1" customWidth="1"/>
    <col min="15" max="15" width="12.54296875" style="1" bestFit="1" customWidth="1"/>
    <col min="16" max="16384" width="8.7265625" style="1"/>
  </cols>
  <sheetData>
    <row r="3" spans="1:15" x14ac:dyDescent="0.25">
      <c r="A3" s="231"/>
      <c r="B3" s="232"/>
      <c r="C3" s="233" t="s">
        <v>53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4"/>
    </row>
    <row r="4" spans="1:15" x14ac:dyDescent="0.25">
      <c r="A4" s="233" t="s">
        <v>0</v>
      </c>
      <c r="B4" s="233" t="s">
        <v>24</v>
      </c>
      <c r="C4" s="235">
        <v>45292</v>
      </c>
      <c r="D4" s="236">
        <v>45323</v>
      </c>
      <c r="E4" s="236">
        <v>45352</v>
      </c>
      <c r="F4" s="236">
        <v>45383</v>
      </c>
      <c r="G4" s="236">
        <v>45413</v>
      </c>
      <c r="H4" s="236">
        <v>45444</v>
      </c>
      <c r="I4" s="236">
        <v>45474</v>
      </c>
      <c r="J4" s="236">
        <v>45505</v>
      </c>
      <c r="K4" s="236">
        <v>45536</v>
      </c>
      <c r="L4" s="236">
        <v>45566</v>
      </c>
      <c r="M4" s="236">
        <v>45597</v>
      </c>
      <c r="N4" s="236">
        <v>45627</v>
      </c>
      <c r="O4" s="237" t="s">
        <v>18</v>
      </c>
    </row>
    <row r="5" spans="1:15" x14ac:dyDescent="0.25">
      <c r="A5" s="231" t="s">
        <v>14</v>
      </c>
      <c r="B5" s="231" t="s">
        <v>70</v>
      </c>
      <c r="C5" s="238">
        <v>2257887.1</v>
      </c>
      <c r="D5" s="239">
        <v>1477926.1</v>
      </c>
      <c r="E5" s="239">
        <v>1283935.8</v>
      </c>
      <c r="F5" s="239">
        <v>1161941.9000000001</v>
      </c>
      <c r="G5" s="239">
        <v>1505924.7</v>
      </c>
      <c r="H5" s="239">
        <v>2001899.9000000001</v>
      </c>
      <c r="I5" s="239">
        <v>1921903.9000000001</v>
      </c>
      <c r="J5" s="239">
        <v>2033898.3</v>
      </c>
      <c r="K5" s="239">
        <v>1711914.4000000001</v>
      </c>
      <c r="L5" s="239">
        <v>1571921.4000000001</v>
      </c>
      <c r="M5" s="239">
        <v>925953.70000000007</v>
      </c>
      <c r="N5" s="239">
        <v>1449927.5</v>
      </c>
      <c r="O5" s="240">
        <v>19305034.699999999</v>
      </c>
    </row>
    <row r="6" spans="1:15" ht="13" x14ac:dyDescent="0.3">
      <c r="A6" s="241"/>
      <c r="B6" s="242" t="s">
        <v>25</v>
      </c>
      <c r="C6" s="250">
        <v>-71330.219999999739</v>
      </c>
      <c r="D6" s="251">
        <v>-46690.019999999786</v>
      </c>
      <c r="E6" s="251">
        <v>-40561.559999999823</v>
      </c>
      <c r="F6" s="251">
        <v>-36707.579999999842</v>
      </c>
      <c r="G6" s="251">
        <v>-47574.540000000037</v>
      </c>
      <c r="H6" s="251">
        <v>-63243.179999999702</v>
      </c>
      <c r="I6" s="251">
        <v>-60715.979999999749</v>
      </c>
      <c r="J6" s="251">
        <v>-64254.059999999823</v>
      </c>
      <c r="K6" s="251">
        <v>-54082.079999999842</v>
      </c>
      <c r="L6" s="251">
        <v>-49659.479999999749</v>
      </c>
      <c r="M6" s="251">
        <v>-29252.339999999851</v>
      </c>
      <c r="N6" s="251">
        <v>-45805.5</v>
      </c>
      <c r="O6" s="252">
        <v>-609876.53999999794</v>
      </c>
    </row>
    <row r="7" spans="1:15" ht="13" x14ac:dyDescent="0.3">
      <c r="A7" s="241"/>
      <c r="B7" s="242" t="s">
        <v>26</v>
      </c>
      <c r="C7" s="250">
        <v>-5731.1925788034996</v>
      </c>
      <c r="D7" s="251">
        <v>-3751.4183487473747</v>
      </c>
      <c r="E7" s="251">
        <v>-3259.0129633231591</v>
      </c>
      <c r="F7" s="251">
        <v>-2949.3559683656626</v>
      </c>
      <c r="G7" s="251">
        <v>-3822.4871672622103</v>
      </c>
      <c r="H7" s="251">
        <v>-5081.4205238107197</v>
      </c>
      <c r="I7" s="251">
        <v>-4878.3667566254762</v>
      </c>
      <c r="J7" s="251">
        <v>-5162.6420306848177</v>
      </c>
      <c r="K7" s="251">
        <v>-4345.3506177642121</v>
      </c>
      <c r="L7" s="251">
        <v>-3990.0065251900355</v>
      </c>
      <c r="M7" s="251">
        <v>-2350.3473551691945</v>
      </c>
      <c r="N7" s="251">
        <v>-3680.3495302325396</v>
      </c>
      <c r="O7" s="252">
        <v>-49001.950365978904</v>
      </c>
    </row>
    <row r="8" spans="1:15" ht="13" x14ac:dyDescent="0.3">
      <c r="A8" s="241"/>
      <c r="B8" s="242" t="s">
        <v>27</v>
      </c>
      <c r="C8" s="250">
        <v>-77061.41257880324</v>
      </c>
      <c r="D8" s="251">
        <v>-50441.438348747164</v>
      </c>
      <c r="E8" s="251">
        <v>-43820.572963322978</v>
      </c>
      <c r="F8" s="251">
        <v>-39656.935968365506</v>
      </c>
      <c r="G8" s="251">
        <v>-51397.027167262248</v>
      </c>
      <c r="H8" s="251">
        <v>-68324.600523810426</v>
      </c>
      <c r="I8" s="251">
        <v>-65594.346756625222</v>
      </c>
      <c r="J8" s="251">
        <v>-69416.702030684639</v>
      </c>
      <c r="K8" s="251">
        <v>-58427.430617764054</v>
      </c>
      <c r="L8" s="251">
        <v>-53649.486525189786</v>
      </c>
      <c r="M8" s="251">
        <v>-31602.687355169044</v>
      </c>
      <c r="N8" s="251">
        <v>-49485.849530232539</v>
      </c>
      <c r="O8" s="252">
        <v>-658878.49036597682</v>
      </c>
    </row>
    <row r="9" spans="1:15" x14ac:dyDescent="0.25">
      <c r="A9" s="241"/>
      <c r="B9" s="242" t="s">
        <v>49</v>
      </c>
      <c r="C9" s="243">
        <v>2329217.3199999998</v>
      </c>
      <c r="D9" s="82">
        <v>1524616.1199999999</v>
      </c>
      <c r="E9" s="82">
        <v>1324497.3599999999</v>
      </c>
      <c r="F9" s="82">
        <v>1198649.48</v>
      </c>
      <c r="G9" s="82">
        <v>1553499.24</v>
      </c>
      <c r="H9" s="82">
        <v>2065143.0799999998</v>
      </c>
      <c r="I9" s="82">
        <v>1982619.88</v>
      </c>
      <c r="J9" s="82">
        <v>2098152.36</v>
      </c>
      <c r="K9" s="82">
        <v>1765996.48</v>
      </c>
      <c r="L9" s="82">
        <v>1621580.88</v>
      </c>
      <c r="M9" s="82">
        <v>955206.03999999992</v>
      </c>
      <c r="N9" s="82">
        <v>1495733</v>
      </c>
      <c r="O9" s="244">
        <v>19914911.239999998</v>
      </c>
    </row>
    <row r="10" spans="1:15" x14ac:dyDescent="0.25">
      <c r="A10" s="241"/>
      <c r="B10" s="242" t="s">
        <v>87</v>
      </c>
      <c r="C10" s="243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244">
        <v>0</v>
      </c>
    </row>
    <row r="11" spans="1:15" x14ac:dyDescent="0.25">
      <c r="A11" s="241"/>
      <c r="B11" s="242" t="s">
        <v>89</v>
      </c>
      <c r="C11" s="243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244">
        <v>0</v>
      </c>
    </row>
    <row r="12" spans="1:15" x14ac:dyDescent="0.25">
      <c r="A12" s="231" t="s">
        <v>17</v>
      </c>
      <c r="B12" s="231" t="s">
        <v>70</v>
      </c>
      <c r="C12" s="238">
        <v>207989.6</v>
      </c>
      <c r="D12" s="239">
        <v>197990.1</v>
      </c>
      <c r="E12" s="239">
        <v>197990.1</v>
      </c>
      <c r="F12" s="239">
        <v>197990.1</v>
      </c>
      <c r="G12" s="239">
        <v>211989.40000000002</v>
      </c>
      <c r="H12" s="239">
        <v>239988</v>
      </c>
      <c r="I12" s="239">
        <v>233988.30000000002</v>
      </c>
      <c r="J12" s="239">
        <v>235988.2</v>
      </c>
      <c r="K12" s="239">
        <v>233988.30000000002</v>
      </c>
      <c r="L12" s="239">
        <v>213989.30000000002</v>
      </c>
      <c r="M12" s="239">
        <v>181990.9</v>
      </c>
      <c r="N12" s="239">
        <v>203989.80000000002</v>
      </c>
      <c r="O12" s="240">
        <v>2557872.0999999996</v>
      </c>
    </row>
    <row r="13" spans="1:15" ht="13" x14ac:dyDescent="0.3">
      <c r="A13" s="241"/>
      <c r="B13" s="242" t="s">
        <v>25</v>
      </c>
      <c r="C13" s="250">
        <v>-6570.7200000000012</v>
      </c>
      <c r="D13" s="251">
        <v>-6254.8199999999779</v>
      </c>
      <c r="E13" s="251">
        <v>-6254.8199999999779</v>
      </c>
      <c r="F13" s="251">
        <v>-6254.8199999999779</v>
      </c>
      <c r="G13" s="251">
        <v>-6697.0799999999581</v>
      </c>
      <c r="H13" s="251">
        <v>-7581.5999999999767</v>
      </c>
      <c r="I13" s="251">
        <v>-7392.0599999999686</v>
      </c>
      <c r="J13" s="251">
        <v>-7455.2399999999907</v>
      </c>
      <c r="K13" s="251">
        <v>-7392.0599999999686</v>
      </c>
      <c r="L13" s="251">
        <v>-6760.2599999999802</v>
      </c>
      <c r="M13" s="251">
        <v>-5749.3800000000047</v>
      </c>
      <c r="N13" s="251">
        <v>-6444.359999999986</v>
      </c>
      <c r="O13" s="252">
        <v>-80807.219999999768</v>
      </c>
    </row>
    <row r="14" spans="1:15" ht="13" x14ac:dyDescent="0.3">
      <c r="A14" s="241"/>
      <c r="B14" s="242" t="s">
        <v>26</v>
      </c>
      <c r="C14" s="250">
        <v>-527.9397946816332</v>
      </c>
      <c r="D14" s="251">
        <v>-502.55807378347777</v>
      </c>
      <c r="E14" s="251">
        <v>-502.55807378347777</v>
      </c>
      <c r="F14" s="251">
        <v>-502.55807378347777</v>
      </c>
      <c r="G14" s="251">
        <v>-538.09248304089544</v>
      </c>
      <c r="H14" s="251">
        <v>-609.16130155573069</v>
      </c>
      <c r="I14" s="251">
        <v>-593.93226901683738</v>
      </c>
      <c r="J14" s="251">
        <v>-599.00861319646845</v>
      </c>
      <c r="K14" s="251">
        <v>-593.93226901683738</v>
      </c>
      <c r="L14" s="251">
        <v>-543.16882722052651</v>
      </c>
      <c r="M14" s="251">
        <v>-461.94732034642914</v>
      </c>
      <c r="N14" s="251">
        <v>-517.78710632237107</v>
      </c>
      <c r="O14" s="252">
        <v>-6492.6442057481627</v>
      </c>
    </row>
    <row r="15" spans="1:15" ht="13" x14ac:dyDescent="0.3">
      <c r="A15" s="241"/>
      <c r="B15" s="242" t="s">
        <v>27</v>
      </c>
      <c r="C15" s="250">
        <v>-7098.6597946816346</v>
      </c>
      <c r="D15" s="251">
        <v>-6757.3780737834559</v>
      </c>
      <c r="E15" s="251">
        <v>-6757.3780737834559</v>
      </c>
      <c r="F15" s="251">
        <v>-6757.3780737834559</v>
      </c>
      <c r="G15" s="251">
        <v>-7235.1724830408539</v>
      </c>
      <c r="H15" s="251">
        <v>-8190.7613015557072</v>
      </c>
      <c r="I15" s="251">
        <v>-7985.9922690168059</v>
      </c>
      <c r="J15" s="251">
        <v>-8054.2486131964588</v>
      </c>
      <c r="K15" s="251">
        <v>-7985.9922690168059</v>
      </c>
      <c r="L15" s="251">
        <v>-7303.4288272205067</v>
      </c>
      <c r="M15" s="251">
        <v>-6211.3273203464341</v>
      </c>
      <c r="N15" s="251">
        <v>-6962.1471063223571</v>
      </c>
      <c r="O15" s="252">
        <v>-87299.86420574793</v>
      </c>
    </row>
    <row r="16" spans="1:15" x14ac:dyDescent="0.25">
      <c r="A16" s="241"/>
      <c r="B16" s="242" t="s">
        <v>49</v>
      </c>
      <c r="C16" s="243">
        <v>214560.32</v>
      </c>
      <c r="D16" s="82">
        <v>204244.91999999998</v>
      </c>
      <c r="E16" s="82">
        <v>204244.91999999998</v>
      </c>
      <c r="F16" s="82">
        <v>204244.91999999998</v>
      </c>
      <c r="G16" s="82">
        <v>218686.47999999998</v>
      </c>
      <c r="H16" s="82">
        <v>247569.59999999998</v>
      </c>
      <c r="I16" s="82">
        <v>241380.36</v>
      </c>
      <c r="J16" s="82">
        <v>243443.44</v>
      </c>
      <c r="K16" s="82">
        <v>241380.36</v>
      </c>
      <c r="L16" s="82">
        <v>220749.56</v>
      </c>
      <c r="M16" s="82">
        <v>187740.28</v>
      </c>
      <c r="N16" s="82">
        <v>210434.16</v>
      </c>
      <c r="O16" s="244">
        <v>2638679.3199999994</v>
      </c>
    </row>
    <row r="17" spans="1:15" x14ac:dyDescent="0.25">
      <c r="A17" s="241"/>
      <c r="B17" s="242" t="s">
        <v>87</v>
      </c>
      <c r="C17" s="243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244">
        <v>0</v>
      </c>
    </row>
    <row r="18" spans="1:15" x14ac:dyDescent="0.25">
      <c r="A18" s="241"/>
      <c r="B18" s="242" t="s">
        <v>89</v>
      </c>
      <c r="C18" s="243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244">
        <v>0</v>
      </c>
    </row>
    <row r="19" spans="1:15" x14ac:dyDescent="0.25">
      <c r="A19" s="231" t="s">
        <v>13</v>
      </c>
      <c r="B19" s="231" t="s">
        <v>70</v>
      </c>
      <c r="C19" s="238">
        <v>2903854.8000000003</v>
      </c>
      <c r="D19" s="239">
        <v>1931903.4000000001</v>
      </c>
      <c r="E19" s="239">
        <v>1463926.8</v>
      </c>
      <c r="F19" s="239">
        <v>1093945.3</v>
      </c>
      <c r="G19" s="239">
        <v>1493925.3</v>
      </c>
      <c r="H19" s="239">
        <v>1833908.3</v>
      </c>
      <c r="I19" s="239">
        <v>1899905</v>
      </c>
      <c r="J19" s="239">
        <v>1879906</v>
      </c>
      <c r="K19" s="239">
        <v>1631918.4000000001</v>
      </c>
      <c r="L19" s="239">
        <v>1365931.7</v>
      </c>
      <c r="M19" s="239">
        <v>1049947.5</v>
      </c>
      <c r="N19" s="239">
        <v>1725913.7000000002</v>
      </c>
      <c r="O19" s="240">
        <v>20274986.199999999</v>
      </c>
    </row>
    <row r="20" spans="1:15" ht="13" x14ac:dyDescent="0.3">
      <c r="A20" s="241"/>
      <c r="B20" s="242" t="s">
        <v>25</v>
      </c>
      <c r="C20" s="250">
        <v>-91737.359999999404</v>
      </c>
      <c r="D20" s="251">
        <v>-61031.879999999888</v>
      </c>
      <c r="E20" s="251">
        <v>-46247.760000000009</v>
      </c>
      <c r="F20" s="251">
        <v>-34559.459999999963</v>
      </c>
      <c r="G20" s="251">
        <v>-47195.459999999963</v>
      </c>
      <c r="H20" s="251">
        <v>-57936.059999999823</v>
      </c>
      <c r="I20" s="251">
        <v>-60021</v>
      </c>
      <c r="J20" s="251">
        <v>-59389.199999999953</v>
      </c>
      <c r="K20" s="251">
        <v>-51554.879999999888</v>
      </c>
      <c r="L20" s="251">
        <v>-43151.939999999944</v>
      </c>
      <c r="M20" s="251">
        <v>-33169.5</v>
      </c>
      <c r="N20" s="251">
        <v>-54524.339999999851</v>
      </c>
      <c r="O20" s="252">
        <v>-640518.83999999869</v>
      </c>
    </row>
    <row r="21" spans="1:15" ht="13" x14ac:dyDescent="0.3">
      <c r="A21" s="241"/>
      <c r="B21" s="242" t="s">
        <v>26</v>
      </c>
      <c r="C21" s="250">
        <v>-7370.8517488243415</v>
      </c>
      <c r="D21" s="251">
        <v>-4903.7484775236317</v>
      </c>
      <c r="E21" s="251">
        <v>-3715.8839394899569</v>
      </c>
      <c r="F21" s="251">
        <v>-2776.7602662582053</v>
      </c>
      <c r="G21" s="251">
        <v>-3792.0291021844237</v>
      </c>
      <c r="H21" s="251">
        <v>-4655.0076127217089</v>
      </c>
      <c r="I21" s="251">
        <v>-4822.5269706495346</v>
      </c>
      <c r="J21" s="251">
        <v>-4771.7635288532229</v>
      </c>
      <c r="K21" s="251">
        <v>-4142.2968505789686</v>
      </c>
      <c r="L21" s="251">
        <v>-3467.1430746880337</v>
      </c>
      <c r="M21" s="251">
        <v>-2665.0806943063217</v>
      </c>
      <c r="N21" s="251">
        <v>-4380.8850270216299</v>
      </c>
      <c r="O21" s="252">
        <v>-51463.977293099982</v>
      </c>
    </row>
    <row r="22" spans="1:15" ht="13" x14ac:dyDescent="0.3">
      <c r="A22" s="241"/>
      <c r="B22" s="242" t="s">
        <v>27</v>
      </c>
      <c r="C22" s="250">
        <v>-99108.211748823742</v>
      </c>
      <c r="D22" s="251">
        <v>-65935.628477523525</v>
      </c>
      <c r="E22" s="251">
        <v>-49963.643939489964</v>
      </c>
      <c r="F22" s="251">
        <v>-37336.220266258169</v>
      </c>
      <c r="G22" s="251">
        <v>-50987.489102184387</v>
      </c>
      <c r="H22" s="251">
        <v>-62591.067612721534</v>
      </c>
      <c r="I22" s="251">
        <v>-64843.526970649531</v>
      </c>
      <c r="J22" s="251">
        <v>-64160.963528853179</v>
      </c>
      <c r="K22" s="251">
        <v>-55697.176850578857</v>
      </c>
      <c r="L22" s="251">
        <v>-46619.08307468798</v>
      </c>
      <c r="M22" s="251">
        <v>-35834.580694306322</v>
      </c>
      <c r="N22" s="251">
        <v>-58905.225027021479</v>
      </c>
      <c r="O22" s="252">
        <v>-691982.81729309866</v>
      </c>
    </row>
    <row r="23" spans="1:15" x14ac:dyDescent="0.25">
      <c r="A23" s="241"/>
      <c r="B23" s="242" t="s">
        <v>49</v>
      </c>
      <c r="C23" s="243">
        <v>2995592.1599999997</v>
      </c>
      <c r="D23" s="82">
        <v>1992935.28</v>
      </c>
      <c r="E23" s="82">
        <v>1510174.56</v>
      </c>
      <c r="F23" s="82">
        <v>1128504.76</v>
      </c>
      <c r="G23" s="82">
        <v>1541120.76</v>
      </c>
      <c r="H23" s="82">
        <v>1891844.3599999999</v>
      </c>
      <c r="I23" s="82">
        <v>1959926</v>
      </c>
      <c r="J23" s="82">
        <v>1939295.2</v>
      </c>
      <c r="K23" s="82">
        <v>1683473.28</v>
      </c>
      <c r="L23" s="82">
        <v>1409083.64</v>
      </c>
      <c r="M23" s="82">
        <v>1083117</v>
      </c>
      <c r="N23" s="82">
        <v>1780438.04</v>
      </c>
      <c r="O23" s="244">
        <v>20915505.039999995</v>
      </c>
    </row>
    <row r="24" spans="1:15" x14ac:dyDescent="0.25">
      <c r="A24" s="241"/>
      <c r="B24" s="242" t="s">
        <v>87</v>
      </c>
      <c r="C24" s="243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244">
        <v>0</v>
      </c>
    </row>
    <row r="25" spans="1:15" x14ac:dyDescent="0.25">
      <c r="A25" s="241"/>
      <c r="B25" s="242" t="s">
        <v>89</v>
      </c>
      <c r="C25" s="243">
        <v>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244">
        <v>0</v>
      </c>
    </row>
    <row r="26" spans="1:15" x14ac:dyDescent="0.25">
      <c r="A26" s="231" t="s">
        <v>15</v>
      </c>
      <c r="B26" s="231" t="s">
        <v>70</v>
      </c>
      <c r="C26" s="238">
        <v>15999.2</v>
      </c>
      <c r="D26" s="239">
        <v>9999.5</v>
      </c>
      <c r="E26" s="239">
        <v>9999.5</v>
      </c>
      <c r="F26" s="239">
        <v>11999.400000000001</v>
      </c>
      <c r="G26" s="239">
        <v>17999.100000000002</v>
      </c>
      <c r="H26" s="239">
        <v>27998.600000000002</v>
      </c>
      <c r="I26" s="239">
        <v>33998.300000000003</v>
      </c>
      <c r="J26" s="239">
        <v>37998.1</v>
      </c>
      <c r="K26" s="239">
        <v>21998.9</v>
      </c>
      <c r="L26" s="239">
        <v>11999.400000000001</v>
      </c>
      <c r="M26" s="239">
        <v>11999.400000000001</v>
      </c>
      <c r="N26" s="239">
        <v>11999.400000000001</v>
      </c>
      <c r="O26" s="240">
        <v>223988.8</v>
      </c>
    </row>
    <row r="27" spans="1:15" ht="13" x14ac:dyDescent="0.3">
      <c r="A27" s="241"/>
      <c r="B27" s="242" t="s">
        <v>25</v>
      </c>
      <c r="C27" s="250">
        <v>-505.43999999999869</v>
      </c>
      <c r="D27" s="251">
        <v>-315.89999999999964</v>
      </c>
      <c r="E27" s="251">
        <v>-315.89999999999964</v>
      </c>
      <c r="F27" s="251">
        <v>-379.07999999999811</v>
      </c>
      <c r="G27" s="251">
        <v>-568.61999999999898</v>
      </c>
      <c r="H27" s="251">
        <v>-884.5199999999968</v>
      </c>
      <c r="I27" s="251">
        <v>-1074.0599999999977</v>
      </c>
      <c r="J27" s="251">
        <v>-1200.4199999999983</v>
      </c>
      <c r="K27" s="251">
        <v>-694.97999999999593</v>
      </c>
      <c r="L27" s="251">
        <v>-379.07999999999811</v>
      </c>
      <c r="M27" s="251">
        <v>-379.07999999999811</v>
      </c>
      <c r="N27" s="251">
        <v>-379.07999999999811</v>
      </c>
      <c r="O27" s="252">
        <v>-7076.159999999978</v>
      </c>
    </row>
    <row r="28" spans="1:15" ht="13" x14ac:dyDescent="0.3">
      <c r="A28" s="241"/>
      <c r="B28" s="242" t="s">
        <v>26</v>
      </c>
      <c r="C28" s="250">
        <v>-40.610753437048714</v>
      </c>
      <c r="D28" s="251">
        <v>-25.381720898155447</v>
      </c>
      <c r="E28" s="251">
        <v>-25.381720898155447</v>
      </c>
      <c r="F28" s="251">
        <v>-30.458065077786532</v>
      </c>
      <c r="G28" s="251">
        <v>-45.6870976166798</v>
      </c>
      <c r="H28" s="251">
        <v>-71.068818514835243</v>
      </c>
      <c r="I28" s="251">
        <v>-86.297851053728508</v>
      </c>
      <c r="J28" s="251">
        <v>-96.450539412990693</v>
      </c>
      <c r="K28" s="251">
        <v>-55.839785975941972</v>
      </c>
      <c r="L28" s="251">
        <v>-30.458065077786532</v>
      </c>
      <c r="M28" s="251">
        <v>-30.458065077786532</v>
      </c>
      <c r="N28" s="251">
        <v>-30.458065077786532</v>
      </c>
      <c r="O28" s="252">
        <v>-568.55054811868195</v>
      </c>
    </row>
    <row r="29" spans="1:15" ht="13" x14ac:dyDescent="0.3">
      <c r="A29" s="241"/>
      <c r="B29" s="242" t="s">
        <v>27</v>
      </c>
      <c r="C29" s="250">
        <v>-546.05075343704743</v>
      </c>
      <c r="D29" s="251">
        <v>-341.28172089815507</v>
      </c>
      <c r="E29" s="251">
        <v>-341.28172089815507</v>
      </c>
      <c r="F29" s="251">
        <v>-409.53806507778467</v>
      </c>
      <c r="G29" s="251">
        <v>-614.30709761667879</v>
      </c>
      <c r="H29" s="251">
        <v>-955.58881851483204</v>
      </c>
      <c r="I29" s="251">
        <v>-1160.3578510537261</v>
      </c>
      <c r="J29" s="251">
        <v>-1296.870539412989</v>
      </c>
      <c r="K29" s="251">
        <v>-750.81978597593786</v>
      </c>
      <c r="L29" s="251">
        <v>-409.53806507778467</v>
      </c>
      <c r="M29" s="251">
        <v>-409.53806507778467</v>
      </c>
      <c r="N29" s="251">
        <v>-409.53806507778467</v>
      </c>
      <c r="O29" s="252">
        <v>-7644.7105481186591</v>
      </c>
    </row>
    <row r="30" spans="1:15" x14ac:dyDescent="0.25">
      <c r="A30" s="241"/>
      <c r="B30" s="242" t="s">
        <v>49</v>
      </c>
      <c r="C30" s="243">
        <v>16504.64</v>
      </c>
      <c r="D30" s="82">
        <v>10315.4</v>
      </c>
      <c r="E30" s="82">
        <v>10315.4</v>
      </c>
      <c r="F30" s="82">
        <v>12378.48</v>
      </c>
      <c r="G30" s="82">
        <v>18567.72</v>
      </c>
      <c r="H30" s="82">
        <v>28883.119999999999</v>
      </c>
      <c r="I30" s="82">
        <v>35072.36</v>
      </c>
      <c r="J30" s="82">
        <v>39198.519999999997</v>
      </c>
      <c r="K30" s="82">
        <v>22693.879999999997</v>
      </c>
      <c r="L30" s="82">
        <v>12378.48</v>
      </c>
      <c r="M30" s="82">
        <v>12378.48</v>
      </c>
      <c r="N30" s="82">
        <v>12378.48</v>
      </c>
      <c r="O30" s="244">
        <v>231064.96000000002</v>
      </c>
    </row>
    <row r="31" spans="1:15" x14ac:dyDescent="0.25">
      <c r="A31" s="241"/>
      <c r="B31" s="242" t="s">
        <v>87</v>
      </c>
      <c r="C31" s="243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244">
        <v>0</v>
      </c>
    </row>
    <row r="32" spans="1:15" x14ac:dyDescent="0.25">
      <c r="A32" s="241"/>
      <c r="B32" s="242" t="s">
        <v>89</v>
      </c>
      <c r="C32" s="243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244">
        <v>0</v>
      </c>
    </row>
    <row r="33" spans="1:15" x14ac:dyDescent="0.25">
      <c r="A33" s="231" t="s">
        <v>16</v>
      </c>
      <c r="B33" s="231" t="s">
        <v>70</v>
      </c>
      <c r="C33" s="238">
        <v>7999.6</v>
      </c>
      <c r="D33" s="239">
        <v>5999.7000000000007</v>
      </c>
      <c r="E33" s="239">
        <v>5999.7000000000007</v>
      </c>
      <c r="F33" s="239">
        <v>3999.8</v>
      </c>
      <c r="G33" s="239">
        <v>7999.6</v>
      </c>
      <c r="H33" s="239">
        <v>7999.6</v>
      </c>
      <c r="I33" s="239">
        <v>11999.400000000001</v>
      </c>
      <c r="J33" s="239">
        <v>11999.400000000001</v>
      </c>
      <c r="K33" s="239">
        <v>5999.7000000000007</v>
      </c>
      <c r="L33" s="239">
        <v>11999.400000000001</v>
      </c>
      <c r="M33" s="239">
        <v>1999.9</v>
      </c>
      <c r="N33" s="239">
        <v>5999.7000000000007</v>
      </c>
      <c r="O33" s="240">
        <v>89995.499999999985</v>
      </c>
    </row>
    <row r="34" spans="1:15" ht="13" x14ac:dyDescent="0.3">
      <c r="A34" s="241"/>
      <c r="B34" s="242" t="s">
        <v>25</v>
      </c>
      <c r="C34" s="250">
        <v>-252.71999999999935</v>
      </c>
      <c r="D34" s="251">
        <v>-189.53999999999905</v>
      </c>
      <c r="E34" s="251">
        <v>-189.53999999999905</v>
      </c>
      <c r="F34" s="251">
        <v>-126.35999999999967</v>
      </c>
      <c r="G34" s="251">
        <v>-252.71999999999935</v>
      </c>
      <c r="H34" s="251">
        <v>-252.71999999999935</v>
      </c>
      <c r="I34" s="251">
        <v>-379.07999999999811</v>
      </c>
      <c r="J34" s="251">
        <v>-379.07999999999811</v>
      </c>
      <c r="K34" s="251">
        <v>-189.53999999999905</v>
      </c>
      <c r="L34" s="251">
        <v>-379.07999999999811</v>
      </c>
      <c r="M34" s="251">
        <v>-63.179999999999836</v>
      </c>
      <c r="N34" s="251">
        <v>-189.53999999999905</v>
      </c>
      <c r="O34" s="252">
        <v>-2843.0999999999881</v>
      </c>
    </row>
    <row r="35" spans="1:15" ht="13" x14ac:dyDescent="0.3">
      <c r="A35" s="241"/>
      <c r="B35" s="242" t="s">
        <v>26</v>
      </c>
      <c r="C35" s="250">
        <v>-20.305376718524357</v>
      </c>
      <c r="D35" s="251">
        <v>-15.229032538893266</v>
      </c>
      <c r="E35" s="251">
        <v>-15.229032538893266</v>
      </c>
      <c r="F35" s="251">
        <v>-10.152688359262179</v>
      </c>
      <c r="G35" s="251">
        <v>-20.305376718524357</v>
      </c>
      <c r="H35" s="251">
        <v>-20.305376718524357</v>
      </c>
      <c r="I35" s="251">
        <v>-30.458065077786532</v>
      </c>
      <c r="J35" s="251">
        <v>-30.458065077786532</v>
      </c>
      <c r="K35" s="251">
        <v>-15.229032538893266</v>
      </c>
      <c r="L35" s="251">
        <v>-30.458065077786532</v>
      </c>
      <c r="M35" s="251">
        <v>-5.0763441796310893</v>
      </c>
      <c r="N35" s="251">
        <v>-15.229032538893266</v>
      </c>
      <c r="O35" s="252">
        <v>-228.43548808339904</v>
      </c>
    </row>
    <row r="36" spans="1:15" ht="13" x14ac:dyDescent="0.3">
      <c r="A36" s="241"/>
      <c r="B36" s="242" t="s">
        <v>27</v>
      </c>
      <c r="C36" s="250">
        <v>-273.02537671852372</v>
      </c>
      <c r="D36" s="251">
        <v>-204.76903253889233</v>
      </c>
      <c r="E36" s="251">
        <v>-204.76903253889233</v>
      </c>
      <c r="F36" s="251">
        <v>-136.51268835926186</v>
      </c>
      <c r="G36" s="251">
        <v>-273.02537671852372</v>
      </c>
      <c r="H36" s="251">
        <v>-273.02537671852372</v>
      </c>
      <c r="I36" s="251">
        <v>-409.53806507778467</v>
      </c>
      <c r="J36" s="251">
        <v>-409.53806507778467</v>
      </c>
      <c r="K36" s="251">
        <v>-204.76903253889233</v>
      </c>
      <c r="L36" s="251">
        <v>-409.53806507778467</v>
      </c>
      <c r="M36" s="251">
        <v>-68.256344179630929</v>
      </c>
      <c r="N36" s="251">
        <v>-204.76903253889233</v>
      </c>
      <c r="O36" s="252">
        <v>-3071.535488083387</v>
      </c>
    </row>
    <row r="37" spans="1:15" x14ac:dyDescent="0.25">
      <c r="A37" s="241"/>
      <c r="B37" s="242" t="s">
        <v>49</v>
      </c>
      <c r="C37" s="243">
        <v>8252.32</v>
      </c>
      <c r="D37" s="82">
        <v>6189.24</v>
      </c>
      <c r="E37" s="82">
        <v>6189.24</v>
      </c>
      <c r="F37" s="82">
        <v>4126.16</v>
      </c>
      <c r="G37" s="82">
        <v>8252.32</v>
      </c>
      <c r="H37" s="82">
        <v>8252.32</v>
      </c>
      <c r="I37" s="82">
        <v>12378.48</v>
      </c>
      <c r="J37" s="82">
        <v>12378.48</v>
      </c>
      <c r="K37" s="82">
        <v>6189.24</v>
      </c>
      <c r="L37" s="82">
        <v>12378.48</v>
      </c>
      <c r="M37" s="82">
        <v>2063.08</v>
      </c>
      <c r="N37" s="82">
        <v>6189.24</v>
      </c>
      <c r="O37" s="244">
        <v>92838.6</v>
      </c>
    </row>
    <row r="38" spans="1:15" x14ac:dyDescent="0.25">
      <c r="A38" s="241"/>
      <c r="B38" s="242" t="s">
        <v>87</v>
      </c>
      <c r="C38" s="243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244">
        <v>0</v>
      </c>
    </row>
    <row r="39" spans="1:15" x14ac:dyDescent="0.25">
      <c r="A39" s="241"/>
      <c r="B39" s="242" t="s">
        <v>89</v>
      </c>
      <c r="C39" s="243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244">
        <v>0</v>
      </c>
    </row>
    <row r="40" spans="1:15" x14ac:dyDescent="0.25">
      <c r="A40" s="231" t="s">
        <v>19</v>
      </c>
      <c r="B40" s="231" t="s">
        <v>70</v>
      </c>
      <c r="C40" s="238">
        <v>129993.5</v>
      </c>
      <c r="D40" s="239">
        <v>129993.5</v>
      </c>
      <c r="E40" s="239">
        <v>127993.60000000001</v>
      </c>
      <c r="F40" s="239">
        <v>129993.5</v>
      </c>
      <c r="G40" s="239">
        <v>101994.90000000001</v>
      </c>
      <c r="H40" s="239">
        <v>117994.1</v>
      </c>
      <c r="I40" s="239">
        <v>133993.30000000002</v>
      </c>
      <c r="J40" s="239">
        <v>139993</v>
      </c>
      <c r="K40" s="239">
        <v>143992.80000000002</v>
      </c>
      <c r="L40" s="239">
        <v>145992.70000000001</v>
      </c>
      <c r="M40" s="239">
        <v>143992.80000000002</v>
      </c>
      <c r="N40" s="239">
        <v>129993.5</v>
      </c>
      <c r="O40" s="240">
        <v>1575921.2</v>
      </c>
    </row>
    <row r="41" spans="1:15" ht="13" x14ac:dyDescent="0.3">
      <c r="A41" s="241"/>
      <c r="B41" s="242" t="s">
        <v>25</v>
      </c>
      <c r="C41" s="250">
        <v>-4106.6999999999825</v>
      </c>
      <c r="D41" s="251">
        <v>-4106.6999999999825</v>
      </c>
      <c r="E41" s="251">
        <v>-4043.5199999999895</v>
      </c>
      <c r="F41" s="251">
        <v>-4106.6999999999825</v>
      </c>
      <c r="G41" s="251">
        <v>-3222.179999999993</v>
      </c>
      <c r="H41" s="251">
        <v>-3727.6199999999953</v>
      </c>
      <c r="I41" s="251">
        <v>-4233.0599999999686</v>
      </c>
      <c r="J41" s="251">
        <v>-4422.6000000000058</v>
      </c>
      <c r="K41" s="251">
        <v>-4548.9599999999919</v>
      </c>
      <c r="L41" s="251">
        <v>-4612.1399999999849</v>
      </c>
      <c r="M41" s="251">
        <v>-4548.9599999999919</v>
      </c>
      <c r="N41" s="251">
        <v>-4106.6999999999825</v>
      </c>
      <c r="O41" s="252">
        <v>-49785.839999999851</v>
      </c>
    </row>
    <row r="42" spans="1:15" ht="13" x14ac:dyDescent="0.3">
      <c r="A42" s="241"/>
      <c r="B42" s="242" t="s">
        <v>26</v>
      </c>
      <c r="C42" s="250">
        <v>-329.96237167602078</v>
      </c>
      <c r="D42" s="251">
        <v>-329.96237167602078</v>
      </c>
      <c r="E42" s="251">
        <v>-324.88602749638972</v>
      </c>
      <c r="F42" s="251">
        <v>-329.96237167602078</v>
      </c>
      <c r="G42" s="251">
        <v>-258.89355316118554</v>
      </c>
      <c r="H42" s="251">
        <v>-299.50430659823422</v>
      </c>
      <c r="I42" s="251">
        <v>-340.11506003528297</v>
      </c>
      <c r="J42" s="251">
        <v>-355.34409257417622</v>
      </c>
      <c r="K42" s="251">
        <v>-365.4967809334384</v>
      </c>
      <c r="L42" s="251">
        <v>-370.57312511306947</v>
      </c>
      <c r="M42" s="251">
        <v>-365.4967809334384</v>
      </c>
      <c r="N42" s="251">
        <v>-329.96237167602078</v>
      </c>
      <c r="O42" s="252">
        <v>-4000.1592135492979</v>
      </c>
    </row>
    <row r="43" spans="1:15" ht="13" x14ac:dyDescent="0.3">
      <c r="A43" s="241"/>
      <c r="B43" s="242" t="s">
        <v>27</v>
      </c>
      <c r="C43" s="250">
        <v>-4436.6623716760032</v>
      </c>
      <c r="D43" s="251">
        <v>-4436.6623716760032</v>
      </c>
      <c r="E43" s="251">
        <v>-4368.4060274963795</v>
      </c>
      <c r="F43" s="251">
        <v>-4436.6623716760032</v>
      </c>
      <c r="G43" s="251">
        <v>-3481.0735531611786</v>
      </c>
      <c r="H43" s="251">
        <v>-4027.1243065982294</v>
      </c>
      <c r="I43" s="251">
        <v>-4573.1750600352516</v>
      </c>
      <c r="J43" s="251">
        <v>-4777.9440925741819</v>
      </c>
      <c r="K43" s="251">
        <v>-4914.4567809334303</v>
      </c>
      <c r="L43" s="251">
        <v>-4982.713125113054</v>
      </c>
      <c r="M43" s="251">
        <v>-4914.4567809334303</v>
      </c>
      <c r="N43" s="251">
        <v>-4436.6623716760032</v>
      </c>
      <c r="O43" s="252">
        <v>-53785.999213549156</v>
      </c>
    </row>
    <row r="44" spans="1:15" x14ac:dyDescent="0.25">
      <c r="A44" s="241"/>
      <c r="B44" s="242" t="s">
        <v>49</v>
      </c>
      <c r="C44" s="243">
        <v>134100.19999999998</v>
      </c>
      <c r="D44" s="82">
        <v>134100.19999999998</v>
      </c>
      <c r="E44" s="82">
        <v>132037.12</v>
      </c>
      <c r="F44" s="82">
        <v>134100.19999999998</v>
      </c>
      <c r="G44" s="82">
        <v>105217.08</v>
      </c>
      <c r="H44" s="82">
        <v>121721.72</v>
      </c>
      <c r="I44" s="82">
        <v>138226.35999999999</v>
      </c>
      <c r="J44" s="82">
        <v>144415.6</v>
      </c>
      <c r="K44" s="82">
        <v>148541.76000000001</v>
      </c>
      <c r="L44" s="82">
        <v>150604.84</v>
      </c>
      <c r="M44" s="82">
        <v>148541.76000000001</v>
      </c>
      <c r="N44" s="82">
        <v>134100.19999999998</v>
      </c>
      <c r="O44" s="244">
        <v>1625707.0399999998</v>
      </c>
    </row>
    <row r="45" spans="1:15" x14ac:dyDescent="0.25">
      <c r="A45" s="241"/>
      <c r="B45" s="242" t="s">
        <v>87</v>
      </c>
      <c r="C45" s="243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244">
        <v>0</v>
      </c>
    </row>
    <row r="46" spans="1:15" x14ac:dyDescent="0.25">
      <c r="A46" s="241"/>
      <c r="B46" s="242" t="s">
        <v>89</v>
      </c>
      <c r="C46" s="243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244">
        <v>0</v>
      </c>
    </row>
    <row r="47" spans="1:15" x14ac:dyDescent="0.25">
      <c r="A47" s="231" t="s">
        <v>8</v>
      </c>
      <c r="B47" s="231" t="s">
        <v>70</v>
      </c>
      <c r="C47" s="238">
        <v>187990.6</v>
      </c>
      <c r="D47" s="239">
        <v>123993.8</v>
      </c>
      <c r="E47" s="239">
        <v>119994</v>
      </c>
      <c r="F47" s="239">
        <v>183990.80000000002</v>
      </c>
      <c r="G47" s="239">
        <v>235988.2</v>
      </c>
      <c r="H47" s="239">
        <v>285985.7</v>
      </c>
      <c r="I47" s="239">
        <v>301984.90000000002</v>
      </c>
      <c r="J47" s="239">
        <v>313984.3</v>
      </c>
      <c r="K47" s="239">
        <v>291985.40000000002</v>
      </c>
      <c r="L47" s="239">
        <v>231988.40000000002</v>
      </c>
      <c r="M47" s="239">
        <v>123993.8</v>
      </c>
      <c r="N47" s="239">
        <v>153992.30000000002</v>
      </c>
      <c r="O47" s="240">
        <v>2555872.1999999997</v>
      </c>
    </row>
    <row r="48" spans="1:15" ht="13" x14ac:dyDescent="0.3">
      <c r="A48" s="241"/>
      <c r="B48" s="242" t="s">
        <v>25</v>
      </c>
      <c r="C48" s="250">
        <v>-5938.9199999999837</v>
      </c>
      <c r="D48" s="251">
        <v>-3917.1599999999889</v>
      </c>
      <c r="E48" s="251">
        <v>-3790.7999999999884</v>
      </c>
      <c r="F48" s="251">
        <v>-5812.5599999999686</v>
      </c>
      <c r="G48" s="251">
        <v>-7455.2399999999907</v>
      </c>
      <c r="H48" s="251">
        <v>-9034.7399999999907</v>
      </c>
      <c r="I48" s="251">
        <v>-9540.179999999993</v>
      </c>
      <c r="J48" s="251">
        <v>-9919.2600000000093</v>
      </c>
      <c r="K48" s="251">
        <v>-9224.2799999999697</v>
      </c>
      <c r="L48" s="251">
        <v>-7328.8799999999756</v>
      </c>
      <c r="M48" s="251">
        <v>-3917.1599999999889</v>
      </c>
      <c r="N48" s="251">
        <v>-4864.859999999986</v>
      </c>
      <c r="O48" s="252">
        <v>-80744.039999999834</v>
      </c>
    </row>
    <row r="49" spans="1:15" ht="13" x14ac:dyDescent="0.3">
      <c r="A49" s="241"/>
      <c r="B49" s="242" t="s">
        <v>26</v>
      </c>
      <c r="C49" s="250">
        <v>-477.17635288532239</v>
      </c>
      <c r="D49" s="251">
        <v>-314.73333913712747</v>
      </c>
      <c r="E49" s="251">
        <v>-304.58065077786534</v>
      </c>
      <c r="F49" s="251">
        <v>-467.02366452606014</v>
      </c>
      <c r="G49" s="251">
        <v>-599.00861319646845</v>
      </c>
      <c r="H49" s="251">
        <v>-725.91721768724562</v>
      </c>
      <c r="I49" s="251">
        <v>-766.52797112429437</v>
      </c>
      <c r="J49" s="251">
        <v>-796.98603620208087</v>
      </c>
      <c r="K49" s="251">
        <v>-741.14625022613893</v>
      </c>
      <c r="L49" s="251">
        <v>-588.85592483720632</v>
      </c>
      <c r="M49" s="251">
        <v>-314.73333913712747</v>
      </c>
      <c r="N49" s="251">
        <v>-390.87850183159384</v>
      </c>
      <c r="O49" s="252">
        <v>-6487.5678615685329</v>
      </c>
    </row>
    <row r="50" spans="1:15" ht="13" x14ac:dyDescent="0.3">
      <c r="A50" s="241"/>
      <c r="B50" s="242" t="s">
        <v>27</v>
      </c>
      <c r="C50" s="250">
        <v>-6416.0963528853063</v>
      </c>
      <c r="D50" s="251">
        <v>-4231.8933391371165</v>
      </c>
      <c r="E50" s="251">
        <v>-4095.3806507778536</v>
      </c>
      <c r="F50" s="251">
        <v>-6279.5836645260288</v>
      </c>
      <c r="G50" s="251">
        <v>-8054.2486131964588</v>
      </c>
      <c r="H50" s="251">
        <v>-9760.657217687236</v>
      </c>
      <c r="I50" s="251">
        <v>-10306.707971124288</v>
      </c>
      <c r="J50" s="251">
        <v>-10716.24603620209</v>
      </c>
      <c r="K50" s="251">
        <v>-9965.4262502261081</v>
      </c>
      <c r="L50" s="251">
        <v>-7917.7359248371822</v>
      </c>
      <c r="M50" s="251">
        <v>-4231.8933391371165</v>
      </c>
      <c r="N50" s="251">
        <v>-5255.7385018315799</v>
      </c>
      <c r="O50" s="252">
        <v>-87231.607861568365</v>
      </c>
    </row>
    <row r="51" spans="1:15" x14ac:dyDescent="0.25">
      <c r="A51" s="241"/>
      <c r="B51" s="242" t="s">
        <v>49</v>
      </c>
      <c r="C51" s="243">
        <v>193929.52</v>
      </c>
      <c r="D51" s="82">
        <v>127910.95999999999</v>
      </c>
      <c r="E51" s="82">
        <v>123784.79999999999</v>
      </c>
      <c r="F51" s="82">
        <v>189803.36</v>
      </c>
      <c r="G51" s="82">
        <v>243443.44</v>
      </c>
      <c r="H51" s="82">
        <v>295020.44</v>
      </c>
      <c r="I51" s="82">
        <v>311525.08</v>
      </c>
      <c r="J51" s="82">
        <v>323903.56</v>
      </c>
      <c r="K51" s="82">
        <v>301209.68</v>
      </c>
      <c r="L51" s="82">
        <v>239317.28</v>
      </c>
      <c r="M51" s="82">
        <v>127910.95999999999</v>
      </c>
      <c r="N51" s="82">
        <v>158857.16</v>
      </c>
      <c r="O51" s="244">
        <v>2636616.2399999998</v>
      </c>
    </row>
    <row r="52" spans="1:15" x14ac:dyDescent="0.25">
      <c r="A52" s="241"/>
      <c r="B52" s="242" t="s">
        <v>87</v>
      </c>
      <c r="C52" s="243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244">
        <v>0</v>
      </c>
    </row>
    <row r="53" spans="1:15" x14ac:dyDescent="0.25">
      <c r="A53" s="241"/>
      <c r="B53" s="242" t="s">
        <v>89</v>
      </c>
      <c r="C53" s="243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244">
        <v>0</v>
      </c>
    </row>
    <row r="54" spans="1:15" x14ac:dyDescent="0.25">
      <c r="A54" s="231" t="s">
        <v>21</v>
      </c>
      <c r="B54" s="231" t="s">
        <v>70</v>
      </c>
      <c r="C54" s="238">
        <v>6503674.8000000007</v>
      </c>
      <c r="D54" s="239">
        <v>4675766.2</v>
      </c>
      <c r="E54" s="239">
        <v>4431778.4000000004</v>
      </c>
      <c r="F54" s="239">
        <v>5553722.2999999998</v>
      </c>
      <c r="G54" s="239">
        <v>6489675.5</v>
      </c>
      <c r="H54" s="239">
        <v>8159592</v>
      </c>
      <c r="I54" s="239">
        <v>8297585.1000000006</v>
      </c>
      <c r="J54" s="239">
        <v>8301584.9000000004</v>
      </c>
      <c r="K54" s="239">
        <v>7717614.1000000006</v>
      </c>
      <c r="L54" s="239">
        <v>6857657.1000000006</v>
      </c>
      <c r="M54" s="239">
        <v>4439778</v>
      </c>
      <c r="N54" s="239">
        <v>5137743.1000000006</v>
      </c>
      <c r="O54" s="240">
        <v>76566171.5</v>
      </c>
    </row>
    <row r="55" spans="1:15" ht="13" x14ac:dyDescent="0.3">
      <c r="A55" s="241"/>
      <c r="B55" s="242" t="s">
        <v>25</v>
      </c>
      <c r="C55" s="250">
        <v>-205461.3599999994</v>
      </c>
      <c r="D55" s="251">
        <v>-147714.83999999985</v>
      </c>
      <c r="E55" s="251">
        <v>-140006.87999999989</v>
      </c>
      <c r="F55" s="251">
        <v>-175450.86000000034</v>
      </c>
      <c r="G55" s="251">
        <v>-205019.09999999963</v>
      </c>
      <c r="H55" s="251">
        <v>-257774.40000000037</v>
      </c>
      <c r="I55" s="251">
        <v>-262133.81999999937</v>
      </c>
      <c r="J55" s="251">
        <v>-262260.1799999997</v>
      </c>
      <c r="K55" s="251">
        <v>-243811.61999999918</v>
      </c>
      <c r="L55" s="251">
        <v>-216644.21999999881</v>
      </c>
      <c r="M55" s="251">
        <v>-140259.59999999963</v>
      </c>
      <c r="N55" s="251">
        <v>-162309.41999999899</v>
      </c>
      <c r="O55" s="252">
        <v>-2418846.2999999952</v>
      </c>
    </row>
    <row r="56" spans="1:15" ht="13" x14ac:dyDescent="0.3">
      <c r="A56" s="241"/>
      <c r="B56" s="242" t="s">
        <v>26</v>
      </c>
      <c r="C56" s="250">
        <v>-16508.271272160302</v>
      </c>
      <c r="D56" s="251">
        <v>-11868.492691977486</v>
      </c>
      <c r="E56" s="251">
        <v>-11249.178702062492</v>
      </c>
      <c r="F56" s="251">
        <v>-14097.007786835533</v>
      </c>
      <c r="G56" s="251">
        <v>-16472.736862902882</v>
      </c>
      <c r="H56" s="251">
        <v>-20711.484252894843</v>
      </c>
      <c r="I56" s="251">
        <v>-21061.752001289387</v>
      </c>
      <c r="J56" s="251">
        <v>-21071.904689648651</v>
      </c>
      <c r="K56" s="251">
        <v>-19589.612189196374</v>
      </c>
      <c r="L56" s="251">
        <v>-17406.784191955005</v>
      </c>
      <c r="M56" s="251">
        <v>-11269.484078781017</v>
      </c>
      <c r="N56" s="251">
        <v>-13041.128197472266</v>
      </c>
      <c r="O56" s="252">
        <v>-194347.8369171762</v>
      </c>
    </row>
    <row r="57" spans="1:15" ht="13" x14ac:dyDescent="0.3">
      <c r="A57" s="241"/>
      <c r="B57" s="242" t="s">
        <v>27</v>
      </c>
      <c r="C57" s="250">
        <v>-221969.63127215969</v>
      </c>
      <c r="D57" s="251">
        <v>-159583.33269197732</v>
      </c>
      <c r="E57" s="251">
        <v>-151256.05870206238</v>
      </c>
      <c r="F57" s="251">
        <v>-189547.86778683588</v>
      </c>
      <c r="G57" s="251">
        <v>-221491.83686290251</v>
      </c>
      <c r="H57" s="251">
        <v>-278485.88425289519</v>
      </c>
      <c r="I57" s="251">
        <v>-283195.57200128876</v>
      </c>
      <c r="J57" s="251">
        <v>-283332.08468964836</v>
      </c>
      <c r="K57" s="251">
        <v>-263401.23218919558</v>
      </c>
      <c r="L57" s="251">
        <v>-234051.00419195381</v>
      </c>
      <c r="M57" s="251">
        <v>-151529.08407878064</v>
      </c>
      <c r="N57" s="251">
        <v>-175350.54819747125</v>
      </c>
      <c r="O57" s="252">
        <v>-2613194.1369171715</v>
      </c>
    </row>
    <row r="58" spans="1:15" x14ac:dyDescent="0.25">
      <c r="A58" s="241"/>
      <c r="B58" s="242" t="s">
        <v>49</v>
      </c>
      <c r="C58" s="243">
        <v>6709136.1600000001</v>
      </c>
      <c r="D58" s="82">
        <v>4823481.04</v>
      </c>
      <c r="E58" s="82">
        <v>4571785.28</v>
      </c>
      <c r="F58" s="82">
        <v>5729173.1600000001</v>
      </c>
      <c r="G58" s="82">
        <v>6694694.5999999996</v>
      </c>
      <c r="H58" s="82">
        <v>8417366.4000000004</v>
      </c>
      <c r="I58" s="82">
        <v>8559718.9199999999</v>
      </c>
      <c r="J58" s="82">
        <v>8563845.0800000001</v>
      </c>
      <c r="K58" s="82">
        <v>7961425.7199999997</v>
      </c>
      <c r="L58" s="82">
        <v>7074301.3199999994</v>
      </c>
      <c r="M58" s="82">
        <v>4580037.5999999996</v>
      </c>
      <c r="N58" s="82">
        <v>5300052.5199999996</v>
      </c>
      <c r="O58" s="244">
        <v>78985017.799999982</v>
      </c>
    </row>
    <row r="59" spans="1:15" x14ac:dyDescent="0.25">
      <c r="A59" s="241"/>
      <c r="B59" s="242" t="s">
        <v>87</v>
      </c>
      <c r="C59" s="243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244">
        <v>0</v>
      </c>
    </row>
    <row r="60" spans="1:15" x14ac:dyDescent="0.25">
      <c r="A60" s="241"/>
      <c r="B60" s="242" t="s">
        <v>89</v>
      </c>
      <c r="C60" s="243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244">
        <v>0</v>
      </c>
    </row>
    <row r="61" spans="1:15" x14ac:dyDescent="0.25">
      <c r="A61" s="231" t="s">
        <v>22</v>
      </c>
      <c r="B61" s="231" t="s">
        <v>70</v>
      </c>
      <c r="C61" s="238">
        <v>6611669.4000000004</v>
      </c>
      <c r="D61" s="239">
        <v>5221738.9000000004</v>
      </c>
      <c r="E61" s="239">
        <v>4603769.8</v>
      </c>
      <c r="F61" s="239">
        <v>4971751.4000000004</v>
      </c>
      <c r="G61" s="239">
        <v>5939703</v>
      </c>
      <c r="H61" s="239">
        <v>6965651.7000000002</v>
      </c>
      <c r="I61" s="239">
        <v>7019649</v>
      </c>
      <c r="J61" s="239">
        <v>7147642.6000000006</v>
      </c>
      <c r="K61" s="239">
        <v>6375681.2000000002</v>
      </c>
      <c r="L61" s="239">
        <v>5585720.7000000002</v>
      </c>
      <c r="M61" s="239">
        <v>4677766.1000000006</v>
      </c>
      <c r="N61" s="239">
        <v>5039748</v>
      </c>
      <c r="O61" s="240">
        <v>70160491.800000012</v>
      </c>
    </row>
    <row r="62" spans="1:15" ht="13" x14ac:dyDescent="0.3">
      <c r="A62" s="241"/>
      <c r="B62" s="242" t="s">
        <v>25</v>
      </c>
      <c r="C62" s="250">
        <v>-208873.07999999914</v>
      </c>
      <c r="D62" s="251">
        <v>-164962.97999999952</v>
      </c>
      <c r="E62" s="251">
        <v>-145440.36000000034</v>
      </c>
      <c r="F62" s="251">
        <v>-157065.47999999952</v>
      </c>
      <c r="G62" s="251">
        <v>-187644.59999999963</v>
      </c>
      <c r="H62" s="251">
        <v>-220055.93999999948</v>
      </c>
      <c r="I62" s="251">
        <v>-221761.79999999981</v>
      </c>
      <c r="J62" s="251">
        <v>-225805.31999999937</v>
      </c>
      <c r="K62" s="251">
        <v>-201417.83999999985</v>
      </c>
      <c r="L62" s="251">
        <v>-176461.73999999929</v>
      </c>
      <c r="M62" s="251">
        <v>-147778.01999999955</v>
      </c>
      <c r="N62" s="251">
        <v>-159213.59999999963</v>
      </c>
      <c r="O62" s="252">
        <v>-2216480.7599999951</v>
      </c>
    </row>
    <row r="63" spans="1:15" ht="13" x14ac:dyDescent="0.3">
      <c r="A63" s="241"/>
      <c r="B63" s="242" t="s">
        <v>26</v>
      </c>
      <c r="C63" s="250">
        <v>-16782.393857860381</v>
      </c>
      <c r="D63" s="251">
        <v>-13254.334653016773</v>
      </c>
      <c r="E63" s="251">
        <v>-11685.744301510766</v>
      </c>
      <c r="F63" s="251">
        <v>-12619.791630562888</v>
      </c>
      <c r="G63" s="251">
        <v>-15076.742213504334</v>
      </c>
      <c r="H63" s="251">
        <v>-17680.90677765508</v>
      </c>
      <c r="I63" s="251">
        <v>-17817.968070505121</v>
      </c>
      <c r="J63" s="251">
        <v>-18142.854098001513</v>
      </c>
      <c r="K63" s="251">
        <v>-16183.38524466391</v>
      </c>
      <c r="L63" s="251">
        <v>-14178.229293709632</v>
      </c>
      <c r="M63" s="251">
        <v>-11873.569036157116</v>
      </c>
      <c r="N63" s="251">
        <v>-12792.387332670343</v>
      </c>
      <c r="O63" s="252">
        <v>-178088.3065098178</v>
      </c>
    </row>
    <row r="64" spans="1:15" ht="13" x14ac:dyDescent="0.3">
      <c r="A64" s="241"/>
      <c r="B64" s="242" t="s">
        <v>27</v>
      </c>
      <c r="C64" s="250">
        <v>-225655.47385785953</v>
      </c>
      <c r="D64" s="251">
        <v>-178217.31465301628</v>
      </c>
      <c r="E64" s="251">
        <v>-157126.10430151111</v>
      </c>
      <c r="F64" s="251">
        <v>-169685.27163056241</v>
      </c>
      <c r="G64" s="251">
        <v>-202721.34221350396</v>
      </c>
      <c r="H64" s="251">
        <v>-237736.84677765454</v>
      </c>
      <c r="I64" s="251">
        <v>-239579.76807050494</v>
      </c>
      <c r="J64" s="251">
        <v>-243948.17409800089</v>
      </c>
      <c r="K64" s="251">
        <v>-217601.22524466377</v>
      </c>
      <c r="L64" s="251">
        <v>-190639.96929370891</v>
      </c>
      <c r="M64" s="251">
        <v>-159651.58903615666</v>
      </c>
      <c r="N64" s="251">
        <v>-172005.98733266996</v>
      </c>
      <c r="O64" s="252">
        <v>-2394569.0665098131</v>
      </c>
    </row>
    <row r="65" spans="1:15" x14ac:dyDescent="0.25">
      <c r="A65" s="241"/>
      <c r="B65" s="242" t="s">
        <v>49</v>
      </c>
      <c r="C65" s="243">
        <v>6820542.4799999995</v>
      </c>
      <c r="D65" s="82">
        <v>5386701.8799999999</v>
      </c>
      <c r="E65" s="82">
        <v>4749210.16</v>
      </c>
      <c r="F65" s="82">
        <v>5128816.88</v>
      </c>
      <c r="G65" s="82">
        <v>6127347.5999999996</v>
      </c>
      <c r="H65" s="82">
        <v>7185707.6399999997</v>
      </c>
      <c r="I65" s="82">
        <v>7241410.7999999998</v>
      </c>
      <c r="J65" s="82">
        <v>7373447.9199999999</v>
      </c>
      <c r="K65" s="82">
        <v>6577099.04</v>
      </c>
      <c r="L65" s="82">
        <v>5762182.4399999995</v>
      </c>
      <c r="M65" s="82">
        <v>4825544.12</v>
      </c>
      <c r="N65" s="82">
        <v>5198961.5999999996</v>
      </c>
      <c r="O65" s="244">
        <v>72376972.559999987</v>
      </c>
    </row>
    <row r="66" spans="1:15" x14ac:dyDescent="0.25">
      <c r="A66" s="241"/>
      <c r="B66" s="242" t="s">
        <v>87</v>
      </c>
      <c r="C66" s="243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244">
        <v>0</v>
      </c>
    </row>
    <row r="67" spans="1:15" x14ac:dyDescent="0.25">
      <c r="A67" s="241"/>
      <c r="B67" s="242" t="s">
        <v>89</v>
      </c>
      <c r="C67" s="243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244">
        <v>0</v>
      </c>
    </row>
    <row r="68" spans="1:15" x14ac:dyDescent="0.25">
      <c r="A68" s="231" t="s">
        <v>9</v>
      </c>
      <c r="B68" s="231" t="s">
        <v>70</v>
      </c>
      <c r="C68" s="238">
        <v>149992.5</v>
      </c>
      <c r="D68" s="239">
        <v>107994.6</v>
      </c>
      <c r="E68" s="239">
        <v>97995.1</v>
      </c>
      <c r="F68" s="239">
        <v>85995.7</v>
      </c>
      <c r="G68" s="239">
        <v>99995</v>
      </c>
      <c r="H68" s="239">
        <v>117994.1</v>
      </c>
      <c r="I68" s="239">
        <v>119994</v>
      </c>
      <c r="J68" s="239">
        <v>111994.40000000001</v>
      </c>
      <c r="K68" s="239">
        <v>109994.5</v>
      </c>
      <c r="L68" s="239">
        <v>101994.90000000001</v>
      </c>
      <c r="M68" s="239">
        <v>79996</v>
      </c>
      <c r="N68" s="239">
        <v>101994.90000000001</v>
      </c>
      <c r="O68" s="240">
        <v>1285935.7</v>
      </c>
    </row>
    <row r="69" spans="1:15" ht="13" x14ac:dyDescent="0.3">
      <c r="A69" s="241"/>
      <c r="B69" s="242" t="s">
        <v>25</v>
      </c>
      <c r="C69" s="250">
        <v>-4738.5</v>
      </c>
      <c r="D69" s="251">
        <v>-3411.7199999999866</v>
      </c>
      <c r="E69" s="251">
        <v>-3095.8199999999924</v>
      </c>
      <c r="F69" s="251">
        <v>-2716.7400000000052</v>
      </c>
      <c r="G69" s="251">
        <v>-3159</v>
      </c>
      <c r="H69" s="251">
        <v>-3727.6199999999953</v>
      </c>
      <c r="I69" s="251">
        <v>-3790.7999999999884</v>
      </c>
      <c r="J69" s="251">
        <v>-3538.0799999999872</v>
      </c>
      <c r="K69" s="251">
        <v>-3474.8999999999942</v>
      </c>
      <c r="L69" s="251">
        <v>-3222.179999999993</v>
      </c>
      <c r="M69" s="251">
        <v>-2527.1999999999971</v>
      </c>
      <c r="N69" s="251">
        <v>-3222.179999999993</v>
      </c>
      <c r="O69" s="252">
        <v>-40624.739999999932</v>
      </c>
    </row>
    <row r="70" spans="1:15" ht="13" x14ac:dyDescent="0.3">
      <c r="A70" s="241"/>
      <c r="B70" s="242" t="s">
        <v>26</v>
      </c>
      <c r="C70" s="250">
        <v>-380.72581347233165</v>
      </c>
      <c r="D70" s="251">
        <v>-274.12258570007884</v>
      </c>
      <c r="E70" s="251">
        <v>-248.74086480192335</v>
      </c>
      <c r="F70" s="251">
        <v>-218.28279972413682</v>
      </c>
      <c r="G70" s="251">
        <v>-253.81720898155447</v>
      </c>
      <c r="H70" s="251">
        <v>-299.50430659823422</v>
      </c>
      <c r="I70" s="251">
        <v>-304.58065077786534</v>
      </c>
      <c r="J70" s="251">
        <v>-284.27527405934097</v>
      </c>
      <c r="K70" s="251">
        <v>-279.19892987970985</v>
      </c>
      <c r="L70" s="251">
        <v>-258.89355316118554</v>
      </c>
      <c r="M70" s="251">
        <v>-203.05376718524357</v>
      </c>
      <c r="N70" s="251">
        <v>-258.89355316118554</v>
      </c>
      <c r="O70" s="252">
        <v>-3264.0893075027902</v>
      </c>
    </row>
    <row r="71" spans="1:15" ht="13" x14ac:dyDescent="0.3">
      <c r="A71" s="241"/>
      <c r="B71" s="242" t="s">
        <v>27</v>
      </c>
      <c r="C71" s="250">
        <v>-5119.2258134723315</v>
      </c>
      <c r="D71" s="251">
        <v>-3685.8425857000657</v>
      </c>
      <c r="E71" s="251">
        <v>-3344.5608648019156</v>
      </c>
      <c r="F71" s="251">
        <v>-2935.0227997241423</v>
      </c>
      <c r="G71" s="251">
        <v>-3412.8172089815544</v>
      </c>
      <c r="H71" s="251">
        <v>-4027.1243065982294</v>
      </c>
      <c r="I71" s="251">
        <v>-4095.3806507778536</v>
      </c>
      <c r="J71" s="251">
        <v>-3822.3552740593282</v>
      </c>
      <c r="K71" s="251">
        <v>-3754.098929879704</v>
      </c>
      <c r="L71" s="251">
        <v>-3481.0735531611786</v>
      </c>
      <c r="M71" s="251">
        <v>-2730.2537671852406</v>
      </c>
      <c r="N71" s="251">
        <v>-3481.0735531611786</v>
      </c>
      <c r="O71" s="252">
        <v>-43888.829307502725</v>
      </c>
    </row>
    <row r="72" spans="1:15" x14ac:dyDescent="0.25">
      <c r="A72" s="241"/>
      <c r="B72" s="242" t="s">
        <v>49</v>
      </c>
      <c r="C72" s="243">
        <v>154731</v>
      </c>
      <c r="D72" s="82">
        <v>111406.31999999999</v>
      </c>
      <c r="E72" s="82">
        <v>101090.92</v>
      </c>
      <c r="F72" s="82">
        <v>88712.44</v>
      </c>
      <c r="G72" s="82">
        <v>103154</v>
      </c>
      <c r="H72" s="82">
        <v>121721.72</v>
      </c>
      <c r="I72" s="82">
        <v>123784.79999999999</v>
      </c>
      <c r="J72" s="82">
        <v>115532.48</v>
      </c>
      <c r="K72" s="82">
        <v>113469.4</v>
      </c>
      <c r="L72" s="82">
        <v>105217.08</v>
      </c>
      <c r="M72" s="82">
        <v>82523.199999999997</v>
      </c>
      <c r="N72" s="82">
        <v>105217.08</v>
      </c>
      <c r="O72" s="244">
        <v>1326560.44</v>
      </c>
    </row>
    <row r="73" spans="1:15" x14ac:dyDescent="0.25">
      <c r="A73" s="241"/>
      <c r="B73" s="242" t="s">
        <v>87</v>
      </c>
      <c r="C73" s="243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244">
        <v>0</v>
      </c>
    </row>
    <row r="74" spans="1:15" x14ac:dyDescent="0.25">
      <c r="A74" s="241"/>
      <c r="B74" s="242" t="s">
        <v>89</v>
      </c>
      <c r="C74" s="243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244">
        <v>0</v>
      </c>
    </row>
    <row r="75" spans="1:15" x14ac:dyDescent="0.25">
      <c r="A75" s="231" t="s">
        <v>54</v>
      </c>
      <c r="B75" s="231" t="s">
        <v>70</v>
      </c>
      <c r="C75" s="238">
        <v>289985.5</v>
      </c>
      <c r="D75" s="239">
        <v>199990</v>
      </c>
      <c r="E75" s="239">
        <v>183990.80000000002</v>
      </c>
      <c r="F75" s="239">
        <v>201989.90000000002</v>
      </c>
      <c r="G75" s="239">
        <v>235988.2</v>
      </c>
      <c r="H75" s="239">
        <v>345982.7</v>
      </c>
      <c r="I75" s="239">
        <v>327983.60000000003</v>
      </c>
      <c r="J75" s="239">
        <v>339983</v>
      </c>
      <c r="K75" s="239">
        <v>311984.40000000002</v>
      </c>
      <c r="L75" s="239">
        <v>277986.10000000003</v>
      </c>
      <c r="M75" s="239">
        <v>179991</v>
      </c>
      <c r="N75" s="239">
        <v>219989</v>
      </c>
      <c r="O75" s="240">
        <v>3115844.2</v>
      </c>
    </row>
    <row r="76" spans="1:15" x14ac:dyDescent="0.25">
      <c r="A76" s="241"/>
      <c r="B76" s="242" t="s">
        <v>25</v>
      </c>
      <c r="C76" s="243">
        <v>-9161.0999999999767</v>
      </c>
      <c r="D76" s="82">
        <v>-6318</v>
      </c>
      <c r="E76" s="82">
        <v>-5812.5599999999686</v>
      </c>
      <c r="F76" s="82">
        <v>-6381.1799999999639</v>
      </c>
      <c r="G76" s="82">
        <v>-7455.2399999999907</v>
      </c>
      <c r="H76" s="82">
        <v>-10930.139999999956</v>
      </c>
      <c r="I76" s="82">
        <v>-10361.51999999996</v>
      </c>
      <c r="J76" s="82">
        <v>-10740.599999999977</v>
      </c>
      <c r="K76" s="82">
        <v>-9856.0799999999581</v>
      </c>
      <c r="L76" s="82">
        <v>-8782.0199999999604</v>
      </c>
      <c r="M76" s="82">
        <v>-5686.1999999999825</v>
      </c>
      <c r="N76" s="82">
        <v>-6949.7999999999884</v>
      </c>
      <c r="O76" s="244">
        <v>-98434.439999999682</v>
      </c>
    </row>
    <row r="77" spans="1:15" x14ac:dyDescent="0.25">
      <c r="A77" s="241"/>
      <c r="B77" s="242" t="s">
        <v>26</v>
      </c>
      <c r="C77" s="243">
        <v>-736.06990604650787</v>
      </c>
      <c r="D77" s="82">
        <v>-507.63441796310894</v>
      </c>
      <c r="E77" s="82">
        <v>-467.02366452606014</v>
      </c>
      <c r="F77" s="82">
        <v>-512.71076214274001</v>
      </c>
      <c r="G77" s="82">
        <v>-599.00861319646845</v>
      </c>
      <c r="H77" s="82">
        <v>-878.20754307617835</v>
      </c>
      <c r="I77" s="82">
        <v>-832.52044545949855</v>
      </c>
      <c r="J77" s="82">
        <v>-862.97851053728505</v>
      </c>
      <c r="K77" s="82">
        <v>-791.9096920224498</v>
      </c>
      <c r="L77" s="82">
        <v>-705.61184096872137</v>
      </c>
      <c r="M77" s="82">
        <v>-456.87097616679802</v>
      </c>
      <c r="N77" s="82">
        <v>-558.3978597594197</v>
      </c>
      <c r="O77" s="244">
        <v>-7908.9442318652364</v>
      </c>
    </row>
    <row r="78" spans="1:15" x14ac:dyDescent="0.25">
      <c r="A78" s="241"/>
      <c r="B78" s="242" t="s">
        <v>27</v>
      </c>
      <c r="C78" s="243">
        <v>-9897.1699060464853</v>
      </c>
      <c r="D78" s="82">
        <v>-6825.6344179631087</v>
      </c>
      <c r="E78" s="82">
        <v>-6279.5836645260288</v>
      </c>
      <c r="F78" s="82">
        <v>-6893.8907621427043</v>
      </c>
      <c r="G78" s="82">
        <v>-8054.2486131964588</v>
      </c>
      <c r="H78" s="82">
        <v>-11808.347543076134</v>
      </c>
      <c r="I78" s="82">
        <v>-11194.040445459459</v>
      </c>
      <c r="J78" s="82">
        <v>-11603.578510537262</v>
      </c>
      <c r="K78" s="82">
        <v>-10647.989692022407</v>
      </c>
      <c r="L78" s="82">
        <v>-9487.631840968681</v>
      </c>
      <c r="M78" s="82">
        <v>-6143.0709761667804</v>
      </c>
      <c r="N78" s="82">
        <v>-7508.1978597594079</v>
      </c>
      <c r="O78" s="244">
        <v>-106343.38423186493</v>
      </c>
    </row>
    <row r="79" spans="1:15" x14ac:dyDescent="0.25">
      <c r="A79" s="241"/>
      <c r="B79" s="242" t="s">
        <v>49</v>
      </c>
      <c r="C79" s="243">
        <v>299146.59999999998</v>
      </c>
      <c r="D79" s="82">
        <v>206308</v>
      </c>
      <c r="E79" s="82">
        <v>189803.36</v>
      </c>
      <c r="F79" s="82">
        <v>208371.08</v>
      </c>
      <c r="G79" s="82">
        <v>243443.44</v>
      </c>
      <c r="H79" s="82">
        <v>356912.83999999997</v>
      </c>
      <c r="I79" s="82">
        <v>338345.12</v>
      </c>
      <c r="J79" s="82">
        <v>350723.6</v>
      </c>
      <c r="K79" s="82">
        <v>321840.48</v>
      </c>
      <c r="L79" s="82">
        <v>286768.12</v>
      </c>
      <c r="M79" s="82">
        <v>185677.19999999998</v>
      </c>
      <c r="N79" s="82">
        <v>226938.8</v>
      </c>
      <c r="O79" s="244">
        <v>3214278.64</v>
      </c>
    </row>
    <row r="80" spans="1:15" x14ac:dyDescent="0.25">
      <c r="A80" s="241"/>
      <c r="B80" s="242" t="s">
        <v>87</v>
      </c>
      <c r="C80" s="243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244">
        <v>0</v>
      </c>
    </row>
    <row r="81" spans="1:15" x14ac:dyDescent="0.25">
      <c r="A81" s="241"/>
      <c r="B81" s="242" t="s">
        <v>89</v>
      </c>
      <c r="C81" s="243">
        <v>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82">
        <v>0</v>
      </c>
      <c r="J81" s="82">
        <v>0</v>
      </c>
      <c r="K81" s="82">
        <v>0</v>
      </c>
      <c r="L81" s="82">
        <v>0</v>
      </c>
      <c r="M81" s="82">
        <v>0</v>
      </c>
      <c r="N81" s="82">
        <v>0</v>
      </c>
      <c r="O81" s="244">
        <v>0</v>
      </c>
    </row>
    <row r="82" spans="1:15" x14ac:dyDescent="0.25">
      <c r="A82" s="231" t="s">
        <v>55</v>
      </c>
      <c r="B82" s="231" t="s">
        <v>70</v>
      </c>
      <c r="C82" s="238">
        <v>17999.100000000002</v>
      </c>
      <c r="D82" s="239">
        <v>15999.2</v>
      </c>
      <c r="E82" s="239">
        <v>19999</v>
      </c>
      <c r="F82" s="239">
        <v>13999.300000000001</v>
      </c>
      <c r="G82" s="239">
        <v>19999</v>
      </c>
      <c r="H82" s="239">
        <v>19999</v>
      </c>
      <c r="I82" s="239">
        <v>23998.800000000003</v>
      </c>
      <c r="J82" s="239">
        <v>23998.800000000003</v>
      </c>
      <c r="K82" s="239">
        <v>21998.9</v>
      </c>
      <c r="L82" s="239">
        <v>19999</v>
      </c>
      <c r="M82" s="239">
        <v>19999</v>
      </c>
      <c r="N82" s="239">
        <v>19999</v>
      </c>
      <c r="O82" s="240">
        <v>237988.1</v>
      </c>
    </row>
    <row r="83" spans="1:15" x14ac:dyDescent="0.25">
      <c r="A83" s="241"/>
      <c r="B83" s="242" t="s">
        <v>25</v>
      </c>
      <c r="C83" s="243">
        <v>-568.61999999999898</v>
      </c>
      <c r="D83" s="82">
        <v>-505.43999999999869</v>
      </c>
      <c r="E83" s="82">
        <v>-631.79999999999927</v>
      </c>
      <c r="F83" s="82">
        <v>-442.2599999999984</v>
      </c>
      <c r="G83" s="82">
        <v>-631.79999999999927</v>
      </c>
      <c r="H83" s="82">
        <v>-631.79999999999927</v>
      </c>
      <c r="I83" s="82">
        <v>-758.15999999999622</v>
      </c>
      <c r="J83" s="82">
        <v>-758.15999999999622</v>
      </c>
      <c r="K83" s="82">
        <v>-694.97999999999593</v>
      </c>
      <c r="L83" s="82">
        <v>-631.79999999999927</v>
      </c>
      <c r="M83" s="82">
        <v>-631.79999999999927</v>
      </c>
      <c r="N83" s="82">
        <v>-631.79999999999927</v>
      </c>
      <c r="O83" s="244">
        <v>-7518.4199999999801</v>
      </c>
    </row>
    <row r="84" spans="1:15" x14ac:dyDescent="0.25">
      <c r="A84" s="241"/>
      <c r="B84" s="242" t="s">
        <v>26</v>
      </c>
      <c r="C84" s="243">
        <v>-45.6870976166798</v>
      </c>
      <c r="D84" s="82">
        <v>-40.610753437048714</v>
      </c>
      <c r="E84" s="82">
        <v>-50.763441796310893</v>
      </c>
      <c r="F84" s="82">
        <v>-35.534409257417622</v>
      </c>
      <c r="G84" s="82">
        <v>-50.763441796310893</v>
      </c>
      <c r="H84" s="82">
        <v>-50.763441796310893</v>
      </c>
      <c r="I84" s="82">
        <v>-60.916130155573065</v>
      </c>
      <c r="J84" s="82">
        <v>-60.916130155573065</v>
      </c>
      <c r="K84" s="82">
        <v>-55.839785975941972</v>
      </c>
      <c r="L84" s="82">
        <v>-50.763441796310893</v>
      </c>
      <c r="M84" s="82">
        <v>-50.763441796310893</v>
      </c>
      <c r="N84" s="82">
        <v>-50.763441796310893</v>
      </c>
      <c r="O84" s="244">
        <v>-604.08495737609962</v>
      </c>
    </row>
    <row r="85" spans="1:15" x14ac:dyDescent="0.25">
      <c r="A85" s="241"/>
      <c r="B85" s="242" t="s">
        <v>27</v>
      </c>
      <c r="C85" s="243">
        <v>-614.30709761667879</v>
      </c>
      <c r="D85" s="82">
        <v>-546.05075343704743</v>
      </c>
      <c r="E85" s="82">
        <v>-682.56344179631014</v>
      </c>
      <c r="F85" s="82">
        <v>-477.79440925741602</v>
      </c>
      <c r="G85" s="82">
        <v>-682.56344179631014</v>
      </c>
      <c r="H85" s="82">
        <v>-682.56344179631014</v>
      </c>
      <c r="I85" s="82">
        <v>-819.07613015556933</v>
      </c>
      <c r="J85" s="82">
        <v>-819.07613015556933</v>
      </c>
      <c r="K85" s="82">
        <v>-750.81978597593786</v>
      </c>
      <c r="L85" s="82">
        <v>-682.56344179631014</v>
      </c>
      <c r="M85" s="82">
        <v>-682.56344179631014</v>
      </c>
      <c r="N85" s="82">
        <v>-682.56344179631014</v>
      </c>
      <c r="O85" s="244">
        <v>-8122.5049573760798</v>
      </c>
    </row>
    <row r="86" spans="1:15" x14ac:dyDescent="0.25">
      <c r="A86" s="241"/>
      <c r="B86" s="242" t="s">
        <v>49</v>
      </c>
      <c r="C86" s="243">
        <v>18567.72</v>
      </c>
      <c r="D86" s="82">
        <v>16504.64</v>
      </c>
      <c r="E86" s="82">
        <v>20630.8</v>
      </c>
      <c r="F86" s="82">
        <v>14441.56</v>
      </c>
      <c r="G86" s="82">
        <v>20630.8</v>
      </c>
      <c r="H86" s="82">
        <v>20630.8</v>
      </c>
      <c r="I86" s="82">
        <v>24756.959999999999</v>
      </c>
      <c r="J86" s="82">
        <v>24756.959999999999</v>
      </c>
      <c r="K86" s="82">
        <v>22693.879999999997</v>
      </c>
      <c r="L86" s="82">
        <v>20630.8</v>
      </c>
      <c r="M86" s="82">
        <v>20630.8</v>
      </c>
      <c r="N86" s="82">
        <v>20630.8</v>
      </c>
      <c r="O86" s="244">
        <v>245506.51999999996</v>
      </c>
    </row>
    <row r="87" spans="1:15" x14ac:dyDescent="0.25">
      <c r="A87" s="241"/>
      <c r="B87" s="242" t="s">
        <v>87</v>
      </c>
      <c r="C87" s="243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244">
        <v>0</v>
      </c>
    </row>
    <row r="88" spans="1:15" x14ac:dyDescent="0.25">
      <c r="A88" s="241"/>
      <c r="B88" s="242" t="s">
        <v>89</v>
      </c>
      <c r="C88" s="243">
        <v>0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82">
        <v>0</v>
      </c>
      <c r="J88" s="82">
        <v>0</v>
      </c>
      <c r="K88" s="82">
        <v>0</v>
      </c>
      <c r="L88" s="82">
        <v>0</v>
      </c>
      <c r="M88" s="82">
        <v>0</v>
      </c>
      <c r="N88" s="82">
        <v>0</v>
      </c>
      <c r="O88" s="244">
        <v>0</v>
      </c>
    </row>
    <row r="89" spans="1:15" x14ac:dyDescent="0.25">
      <c r="A89" s="231" t="s">
        <v>56</v>
      </c>
      <c r="B89" s="231" t="s">
        <v>70</v>
      </c>
      <c r="C89" s="238">
        <v>51997.4</v>
      </c>
      <c r="D89" s="239">
        <v>37998.1</v>
      </c>
      <c r="E89" s="239">
        <v>35998.200000000004</v>
      </c>
      <c r="F89" s="239">
        <v>43997.8</v>
      </c>
      <c r="G89" s="239">
        <v>61996.9</v>
      </c>
      <c r="H89" s="239">
        <v>71996.400000000009</v>
      </c>
      <c r="I89" s="239">
        <v>75996.2</v>
      </c>
      <c r="J89" s="239">
        <v>81995.900000000009</v>
      </c>
      <c r="K89" s="239">
        <v>57997.100000000006</v>
      </c>
      <c r="L89" s="239">
        <v>51997.4</v>
      </c>
      <c r="M89" s="239">
        <v>43997.8</v>
      </c>
      <c r="N89" s="239">
        <v>35998.200000000004</v>
      </c>
      <c r="O89" s="240">
        <v>651967.4</v>
      </c>
    </row>
    <row r="90" spans="1:15" x14ac:dyDescent="0.25">
      <c r="A90" s="241"/>
      <c r="B90" s="242" t="s">
        <v>25</v>
      </c>
      <c r="C90" s="243">
        <v>-1642.6800000000003</v>
      </c>
      <c r="D90" s="82">
        <v>-1200.4199999999983</v>
      </c>
      <c r="E90" s="82">
        <v>-1137.239999999998</v>
      </c>
      <c r="F90" s="82">
        <v>-1389.9599999999919</v>
      </c>
      <c r="G90" s="82">
        <v>-1958.5799999999945</v>
      </c>
      <c r="H90" s="82">
        <v>-2274.4799999999959</v>
      </c>
      <c r="I90" s="82">
        <v>-2400.8399999999965</v>
      </c>
      <c r="J90" s="82">
        <v>-2590.3799999999901</v>
      </c>
      <c r="K90" s="82">
        <v>-1832.2199999999939</v>
      </c>
      <c r="L90" s="82">
        <v>-1642.6800000000003</v>
      </c>
      <c r="M90" s="82">
        <v>-1389.9599999999919</v>
      </c>
      <c r="N90" s="82">
        <v>-1137.239999999998</v>
      </c>
      <c r="O90" s="244">
        <v>-20596.679999999949</v>
      </c>
    </row>
    <row r="91" spans="1:15" x14ac:dyDescent="0.25">
      <c r="A91" s="241"/>
      <c r="B91" s="242" t="s">
        <v>26</v>
      </c>
      <c r="C91" s="243">
        <v>-131.9849486704083</v>
      </c>
      <c r="D91" s="82">
        <v>-96.450539412990693</v>
      </c>
      <c r="E91" s="82">
        <v>-91.3741952333596</v>
      </c>
      <c r="F91" s="82">
        <v>-111.67957195188394</v>
      </c>
      <c r="G91" s="82">
        <v>-157.36666956856374</v>
      </c>
      <c r="H91" s="82">
        <v>-182.7483904667192</v>
      </c>
      <c r="I91" s="82">
        <v>-192.90107882598139</v>
      </c>
      <c r="J91" s="82">
        <v>-208.13011136487464</v>
      </c>
      <c r="K91" s="82">
        <v>-147.21398120930158</v>
      </c>
      <c r="L91" s="82">
        <v>-131.9849486704083</v>
      </c>
      <c r="M91" s="82">
        <v>-111.67957195188394</v>
      </c>
      <c r="N91" s="82">
        <v>-91.3741952333596</v>
      </c>
      <c r="O91" s="244">
        <v>-1654.888202559735</v>
      </c>
    </row>
    <row r="92" spans="1:15" x14ac:dyDescent="0.25">
      <c r="A92" s="241"/>
      <c r="B92" s="242" t="s">
        <v>27</v>
      </c>
      <c r="C92" s="243">
        <v>-1774.6649486704086</v>
      </c>
      <c r="D92" s="82">
        <v>-1296.870539412989</v>
      </c>
      <c r="E92" s="82">
        <v>-1228.6141952333576</v>
      </c>
      <c r="F92" s="82">
        <v>-1501.6395719518757</v>
      </c>
      <c r="G92" s="82">
        <v>-2115.9466695685583</v>
      </c>
      <c r="H92" s="82">
        <v>-2457.2283904667152</v>
      </c>
      <c r="I92" s="82">
        <v>-2593.7410788259781</v>
      </c>
      <c r="J92" s="82">
        <v>-2798.5101113648648</v>
      </c>
      <c r="K92" s="82">
        <v>-1979.4339812092956</v>
      </c>
      <c r="L92" s="82">
        <v>-1774.6649486704086</v>
      </c>
      <c r="M92" s="82">
        <v>-1501.6395719518757</v>
      </c>
      <c r="N92" s="82">
        <v>-1228.6141952333576</v>
      </c>
      <c r="O92" s="244">
        <v>-22251.568202559683</v>
      </c>
    </row>
    <row r="93" spans="1:15" x14ac:dyDescent="0.25">
      <c r="A93" s="241"/>
      <c r="B93" s="242" t="s">
        <v>49</v>
      </c>
      <c r="C93" s="243">
        <v>53640.08</v>
      </c>
      <c r="D93" s="82">
        <v>39198.519999999997</v>
      </c>
      <c r="E93" s="82">
        <v>37135.440000000002</v>
      </c>
      <c r="F93" s="82">
        <v>45387.759999999995</v>
      </c>
      <c r="G93" s="82">
        <v>63955.479999999996</v>
      </c>
      <c r="H93" s="82">
        <v>74270.880000000005</v>
      </c>
      <c r="I93" s="82">
        <v>78397.039999999994</v>
      </c>
      <c r="J93" s="82">
        <v>84586.28</v>
      </c>
      <c r="K93" s="82">
        <v>59829.32</v>
      </c>
      <c r="L93" s="82">
        <v>53640.08</v>
      </c>
      <c r="M93" s="82">
        <v>45387.759999999995</v>
      </c>
      <c r="N93" s="82">
        <v>37135.440000000002</v>
      </c>
      <c r="O93" s="244">
        <v>672564.07999999984</v>
      </c>
    </row>
    <row r="94" spans="1:15" x14ac:dyDescent="0.25">
      <c r="A94" s="241"/>
      <c r="B94" s="242" t="s">
        <v>87</v>
      </c>
      <c r="C94" s="243">
        <v>0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82">
        <v>0</v>
      </c>
      <c r="J94" s="82">
        <v>0</v>
      </c>
      <c r="K94" s="82">
        <v>0</v>
      </c>
      <c r="L94" s="82">
        <v>0</v>
      </c>
      <c r="M94" s="82">
        <v>0</v>
      </c>
      <c r="N94" s="82">
        <v>0</v>
      </c>
      <c r="O94" s="244">
        <v>0</v>
      </c>
    </row>
    <row r="95" spans="1:15" x14ac:dyDescent="0.25">
      <c r="A95" s="241"/>
      <c r="B95" s="242" t="s">
        <v>89</v>
      </c>
      <c r="C95" s="243">
        <v>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2">
        <v>0</v>
      </c>
      <c r="M95" s="82">
        <v>0</v>
      </c>
      <c r="N95" s="82">
        <v>0</v>
      </c>
      <c r="O95" s="244">
        <v>0</v>
      </c>
    </row>
    <row r="96" spans="1:15" x14ac:dyDescent="0.25">
      <c r="A96" s="231" t="s">
        <v>57</v>
      </c>
      <c r="B96" s="231" t="s">
        <v>70</v>
      </c>
      <c r="C96" s="238">
        <v>67996.600000000006</v>
      </c>
      <c r="D96" s="239">
        <v>63996.800000000003</v>
      </c>
      <c r="E96" s="239">
        <v>63996.800000000003</v>
      </c>
      <c r="F96" s="239">
        <v>65996.7</v>
      </c>
      <c r="G96" s="239">
        <v>79996</v>
      </c>
      <c r="H96" s="239">
        <v>93995.3</v>
      </c>
      <c r="I96" s="239">
        <v>93995.3</v>
      </c>
      <c r="J96" s="239">
        <v>101994.90000000001</v>
      </c>
      <c r="K96" s="239">
        <v>85995.7</v>
      </c>
      <c r="L96" s="239">
        <v>73996.3</v>
      </c>
      <c r="M96" s="239">
        <v>67996.600000000006</v>
      </c>
      <c r="N96" s="239">
        <v>63996.800000000003</v>
      </c>
      <c r="O96" s="240">
        <v>923953.8</v>
      </c>
    </row>
    <row r="97" spans="1:15" x14ac:dyDescent="0.25">
      <c r="A97" s="241"/>
      <c r="B97" s="242" t="s">
        <v>25</v>
      </c>
      <c r="C97" s="243">
        <v>-2148.1199999999953</v>
      </c>
      <c r="D97" s="82">
        <v>-2021.7599999999948</v>
      </c>
      <c r="E97" s="82">
        <v>-2021.7599999999948</v>
      </c>
      <c r="F97" s="82">
        <v>-2084.9400000000023</v>
      </c>
      <c r="G97" s="82">
        <v>-2527.1999999999971</v>
      </c>
      <c r="H97" s="82">
        <v>-2969.4599999999919</v>
      </c>
      <c r="I97" s="82">
        <v>-2969.4599999999919</v>
      </c>
      <c r="J97" s="82">
        <v>-3222.179999999993</v>
      </c>
      <c r="K97" s="82">
        <v>-2716.7400000000052</v>
      </c>
      <c r="L97" s="82">
        <v>-2337.6599999999889</v>
      </c>
      <c r="M97" s="82">
        <v>-2148.1199999999953</v>
      </c>
      <c r="N97" s="82">
        <v>-2021.7599999999948</v>
      </c>
      <c r="O97" s="244">
        <v>-29189.159999999945</v>
      </c>
    </row>
    <row r="98" spans="1:15" x14ac:dyDescent="0.25">
      <c r="A98" s="241"/>
      <c r="B98" s="242" t="s">
        <v>26</v>
      </c>
      <c r="C98" s="243">
        <v>-172.59570210745702</v>
      </c>
      <c r="D98" s="82">
        <v>-162.44301374819486</v>
      </c>
      <c r="E98" s="82">
        <v>-162.44301374819486</v>
      </c>
      <c r="F98" s="82">
        <v>-167.51935792782592</v>
      </c>
      <c r="G98" s="82">
        <v>-203.05376718524357</v>
      </c>
      <c r="H98" s="82">
        <v>-238.58817644266119</v>
      </c>
      <c r="I98" s="82">
        <v>-238.58817644266119</v>
      </c>
      <c r="J98" s="82">
        <v>-258.89355316118554</v>
      </c>
      <c r="K98" s="82">
        <v>-218.28279972413682</v>
      </c>
      <c r="L98" s="82">
        <v>-187.82473464635029</v>
      </c>
      <c r="M98" s="82">
        <v>-172.59570210745702</v>
      </c>
      <c r="N98" s="82">
        <v>-162.44301374819486</v>
      </c>
      <c r="O98" s="244">
        <v>-2345.2710109895634</v>
      </c>
    </row>
    <row r="99" spans="1:15" x14ac:dyDescent="0.25">
      <c r="A99" s="241"/>
      <c r="B99" s="242" t="s">
        <v>27</v>
      </c>
      <c r="C99" s="243">
        <v>-2320.7157021074522</v>
      </c>
      <c r="D99" s="82">
        <v>-2184.2030137481897</v>
      </c>
      <c r="E99" s="82">
        <v>-2184.2030137481897</v>
      </c>
      <c r="F99" s="82">
        <v>-2252.459357927828</v>
      </c>
      <c r="G99" s="82">
        <v>-2730.2537671852406</v>
      </c>
      <c r="H99" s="82">
        <v>-3208.0481764426531</v>
      </c>
      <c r="I99" s="82">
        <v>-3208.0481764426531</v>
      </c>
      <c r="J99" s="82">
        <v>-3481.0735531611786</v>
      </c>
      <c r="K99" s="82">
        <v>-2935.0227997241423</v>
      </c>
      <c r="L99" s="82">
        <v>-2525.4847346463393</v>
      </c>
      <c r="M99" s="82">
        <v>-2320.7157021074522</v>
      </c>
      <c r="N99" s="82">
        <v>-2184.2030137481897</v>
      </c>
      <c r="O99" s="244">
        <v>-31534.431010989509</v>
      </c>
    </row>
    <row r="100" spans="1:15" x14ac:dyDescent="0.25">
      <c r="A100" s="241"/>
      <c r="B100" s="242" t="s">
        <v>49</v>
      </c>
      <c r="C100" s="243">
        <v>70144.72</v>
      </c>
      <c r="D100" s="82">
        <v>66018.559999999998</v>
      </c>
      <c r="E100" s="82">
        <v>66018.559999999998</v>
      </c>
      <c r="F100" s="82">
        <v>68081.64</v>
      </c>
      <c r="G100" s="82">
        <v>82523.199999999997</v>
      </c>
      <c r="H100" s="82">
        <v>96964.76</v>
      </c>
      <c r="I100" s="82">
        <v>96964.76</v>
      </c>
      <c r="J100" s="82">
        <v>105217.08</v>
      </c>
      <c r="K100" s="82">
        <v>88712.44</v>
      </c>
      <c r="L100" s="82">
        <v>76333.959999999992</v>
      </c>
      <c r="M100" s="82">
        <v>70144.72</v>
      </c>
      <c r="N100" s="82">
        <v>66018.559999999998</v>
      </c>
      <c r="O100" s="244">
        <v>953142.96</v>
      </c>
    </row>
    <row r="101" spans="1:15" x14ac:dyDescent="0.25">
      <c r="A101" s="241"/>
      <c r="B101" s="242" t="s">
        <v>87</v>
      </c>
      <c r="C101" s="243">
        <v>0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82">
        <v>0</v>
      </c>
      <c r="J101" s="82">
        <v>0</v>
      </c>
      <c r="K101" s="82">
        <v>0</v>
      </c>
      <c r="L101" s="82">
        <v>0</v>
      </c>
      <c r="M101" s="82">
        <v>0</v>
      </c>
      <c r="N101" s="82">
        <v>0</v>
      </c>
      <c r="O101" s="244">
        <v>0</v>
      </c>
    </row>
    <row r="102" spans="1:15" x14ac:dyDescent="0.25">
      <c r="A102" s="241"/>
      <c r="B102" s="242" t="s">
        <v>89</v>
      </c>
      <c r="C102" s="243">
        <v>0</v>
      </c>
      <c r="D102" s="82">
        <v>0</v>
      </c>
      <c r="E102" s="82">
        <v>0</v>
      </c>
      <c r="F102" s="82">
        <v>0</v>
      </c>
      <c r="G102" s="82">
        <v>0</v>
      </c>
      <c r="H102" s="82">
        <v>0</v>
      </c>
      <c r="I102" s="82">
        <v>0</v>
      </c>
      <c r="J102" s="82">
        <v>0</v>
      </c>
      <c r="K102" s="82">
        <v>0</v>
      </c>
      <c r="L102" s="82">
        <v>0</v>
      </c>
      <c r="M102" s="82">
        <v>0</v>
      </c>
      <c r="N102" s="82">
        <v>0</v>
      </c>
      <c r="O102" s="244">
        <v>0</v>
      </c>
    </row>
    <row r="103" spans="1:15" x14ac:dyDescent="0.25">
      <c r="A103" s="231" t="s">
        <v>81</v>
      </c>
      <c r="B103" s="231" t="s">
        <v>70</v>
      </c>
      <c r="C103" s="238">
        <v>431978.4</v>
      </c>
      <c r="D103" s="239">
        <v>291985.40000000002</v>
      </c>
      <c r="E103" s="239">
        <v>225988.7</v>
      </c>
      <c r="F103" s="239">
        <v>151992.4</v>
      </c>
      <c r="G103" s="239">
        <v>239988</v>
      </c>
      <c r="H103" s="239">
        <v>293985.3</v>
      </c>
      <c r="I103" s="239">
        <v>309984.5</v>
      </c>
      <c r="J103" s="239">
        <v>313984.3</v>
      </c>
      <c r="K103" s="239">
        <v>251987.40000000002</v>
      </c>
      <c r="L103" s="239">
        <v>223988.80000000002</v>
      </c>
      <c r="M103" s="239">
        <v>185990.7</v>
      </c>
      <c r="N103" s="239">
        <v>255987.20000000001</v>
      </c>
      <c r="O103" s="240">
        <v>3177841.1</v>
      </c>
    </row>
    <row r="104" spans="1:15" x14ac:dyDescent="0.25">
      <c r="A104" s="241"/>
      <c r="B104" s="242" t="s">
        <v>25</v>
      </c>
      <c r="C104" s="243">
        <v>-13646.879999999946</v>
      </c>
      <c r="D104" s="82">
        <v>-9224.2799999999697</v>
      </c>
      <c r="E104" s="82">
        <v>-7139.3399999999674</v>
      </c>
      <c r="F104" s="82">
        <v>-4801.679999999993</v>
      </c>
      <c r="G104" s="82">
        <v>-7581.5999999999767</v>
      </c>
      <c r="H104" s="82">
        <v>-9287.460000000021</v>
      </c>
      <c r="I104" s="82">
        <v>-9792.8999999999651</v>
      </c>
      <c r="J104" s="82">
        <v>-9919.2600000000093</v>
      </c>
      <c r="K104" s="82">
        <v>-7960.6799999999639</v>
      </c>
      <c r="L104" s="82">
        <v>-7076.1599999999744</v>
      </c>
      <c r="M104" s="82">
        <v>-5875.7399999999907</v>
      </c>
      <c r="N104" s="82">
        <v>-8087.039999999979</v>
      </c>
      <c r="O104" s="244">
        <v>-100393.01999999976</v>
      </c>
    </row>
    <row r="105" spans="1:15" x14ac:dyDescent="0.25">
      <c r="A105" s="241"/>
      <c r="B105" s="242" t="s">
        <v>26</v>
      </c>
      <c r="C105" s="243">
        <v>-1096.4903428003154</v>
      </c>
      <c r="D105" s="82">
        <v>-741.14625022613893</v>
      </c>
      <c r="E105" s="82">
        <v>-573.62689229831301</v>
      </c>
      <c r="F105" s="82">
        <v>-385.80215765196277</v>
      </c>
      <c r="G105" s="82">
        <v>-609.16130155573069</v>
      </c>
      <c r="H105" s="82">
        <v>-746.22259440577011</v>
      </c>
      <c r="I105" s="82">
        <v>-786.83334784281885</v>
      </c>
      <c r="J105" s="82">
        <v>-796.98603620208087</v>
      </c>
      <c r="K105" s="82">
        <v>-639.61936663351719</v>
      </c>
      <c r="L105" s="82">
        <v>-568.55054811868195</v>
      </c>
      <c r="M105" s="82">
        <v>-472.10000870569127</v>
      </c>
      <c r="N105" s="82">
        <v>-649.77205499277943</v>
      </c>
      <c r="O105" s="244">
        <v>-8066.3109014338006</v>
      </c>
    </row>
    <row r="106" spans="1:15" x14ac:dyDescent="0.25">
      <c r="A106" s="241"/>
      <c r="B106" s="242" t="s">
        <v>27</v>
      </c>
      <c r="C106" s="243">
        <v>-14743.370342800263</v>
      </c>
      <c r="D106" s="82">
        <v>-9965.4262502261081</v>
      </c>
      <c r="E106" s="82">
        <v>-7712.9668922982801</v>
      </c>
      <c r="F106" s="82">
        <v>-5187.4821576519562</v>
      </c>
      <c r="G106" s="82">
        <v>-8190.7613015557072</v>
      </c>
      <c r="H106" s="82">
        <v>-10033.682594405791</v>
      </c>
      <c r="I106" s="82">
        <v>-10579.733347842784</v>
      </c>
      <c r="J106" s="82">
        <v>-10716.24603620209</v>
      </c>
      <c r="K106" s="82">
        <v>-8600.2993666334805</v>
      </c>
      <c r="L106" s="82">
        <v>-7644.7105481186563</v>
      </c>
      <c r="M106" s="82">
        <v>-6347.8400087056816</v>
      </c>
      <c r="N106" s="82">
        <v>-8736.8120549927589</v>
      </c>
      <c r="O106" s="244">
        <v>-108459.33090143355</v>
      </c>
    </row>
    <row r="107" spans="1:15" x14ac:dyDescent="0.25">
      <c r="A107" s="241"/>
      <c r="B107" s="242" t="s">
        <v>49</v>
      </c>
      <c r="C107" s="243">
        <v>445625.27999999997</v>
      </c>
      <c r="D107" s="82">
        <v>301209.68</v>
      </c>
      <c r="E107" s="82">
        <v>233128.03999999998</v>
      </c>
      <c r="F107" s="82">
        <v>156794.07999999999</v>
      </c>
      <c r="G107" s="82">
        <v>247569.59999999998</v>
      </c>
      <c r="H107" s="82">
        <v>303272.76</v>
      </c>
      <c r="I107" s="82">
        <v>319777.39999999997</v>
      </c>
      <c r="J107" s="82">
        <v>323903.56</v>
      </c>
      <c r="K107" s="82">
        <v>259948.08</v>
      </c>
      <c r="L107" s="82">
        <v>231064.95999999999</v>
      </c>
      <c r="M107" s="82">
        <v>191866.44</v>
      </c>
      <c r="N107" s="82">
        <v>264074.23999999999</v>
      </c>
      <c r="O107" s="244">
        <v>3278234.12</v>
      </c>
    </row>
    <row r="108" spans="1:15" x14ac:dyDescent="0.25">
      <c r="A108" s="241"/>
      <c r="B108" s="242" t="s">
        <v>87</v>
      </c>
      <c r="C108" s="243">
        <v>0</v>
      </c>
      <c r="D108" s="82">
        <v>0</v>
      </c>
      <c r="E108" s="82">
        <v>0</v>
      </c>
      <c r="F108" s="82">
        <v>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  <c r="M108" s="82">
        <v>0</v>
      </c>
      <c r="N108" s="82">
        <v>0</v>
      </c>
      <c r="O108" s="244">
        <v>0</v>
      </c>
    </row>
    <row r="109" spans="1:15" x14ac:dyDescent="0.25">
      <c r="A109" s="241"/>
      <c r="B109" s="242" t="s">
        <v>89</v>
      </c>
      <c r="C109" s="243">
        <v>0</v>
      </c>
      <c r="D109" s="82">
        <v>0</v>
      </c>
      <c r="E109" s="82">
        <v>0</v>
      </c>
      <c r="F109" s="82">
        <v>0</v>
      </c>
      <c r="G109" s="82">
        <v>0</v>
      </c>
      <c r="H109" s="82">
        <v>0</v>
      </c>
      <c r="I109" s="82">
        <v>0</v>
      </c>
      <c r="J109" s="82">
        <v>0</v>
      </c>
      <c r="K109" s="82">
        <v>0</v>
      </c>
      <c r="L109" s="82">
        <v>0</v>
      </c>
      <c r="M109" s="82">
        <v>0</v>
      </c>
      <c r="N109" s="82">
        <v>0</v>
      </c>
      <c r="O109" s="244">
        <v>0</v>
      </c>
    </row>
    <row r="110" spans="1:15" x14ac:dyDescent="0.25">
      <c r="A110" s="231" t="s">
        <v>83</v>
      </c>
      <c r="B110" s="231" t="s">
        <v>70</v>
      </c>
      <c r="C110" s="238">
        <v>115994.20000000001</v>
      </c>
      <c r="D110" s="239">
        <v>71996.400000000009</v>
      </c>
      <c r="E110" s="239">
        <v>57997.100000000006</v>
      </c>
      <c r="F110" s="239">
        <v>53997.3</v>
      </c>
      <c r="G110" s="239">
        <v>71996.400000000009</v>
      </c>
      <c r="H110" s="239">
        <v>105994.70000000001</v>
      </c>
      <c r="I110" s="239">
        <v>105994.70000000001</v>
      </c>
      <c r="J110" s="239">
        <v>107994.6</v>
      </c>
      <c r="K110" s="239">
        <v>95995.200000000012</v>
      </c>
      <c r="L110" s="239">
        <v>81995.900000000009</v>
      </c>
      <c r="M110" s="239">
        <v>43997.8</v>
      </c>
      <c r="N110" s="239">
        <v>73996.3</v>
      </c>
      <c r="O110" s="240">
        <v>987950.60000000021</v>
      </c>
    </row>
    <row r="111" spans="1:15" x14ac:dyDescent="0.25">
      <c r="A111" s="241"/>
      <c r="B111" s="242" t="s">
        <v>25</v>
      </c>
      <c r="C111" s="243">
        <v>-3664.4399999999878</v>
      </c>
      <c r="D111" s="82">
        <v>-2274.4799999999959</v>
      </c>
      <c r="E111" s="82">
        <v>-1832.2199999999939</v>
      </c>
      <c r="F111" s="82">
        <v>-1705.8599999999933</v>
      </c>
      <c r="G111" s="82">
        <v>-2274.4799999999959</v>
      </c>
      <c r="H111" s="82">
        <v>-3348.539999999979</v>
      </c>
      <c r="I111" s="82">
        <v>-3348.539999999979</v>
      </c>
      <c r="J111" s="82">
        <v>-3411.7199999999866</v>
      </c>
      <c r="K111" s="82">
        <v>-3032.6399999999849</v>
      </c>
      <c r="L111" s="82">
        <v>-2590.3799999999901</v>
      </c>
      <c r="M111" s="82">
        <v>-1389.9599999999919</v>
      </c>
      <c r="N111" s="82">
        <v>-2337.6599999999889</v>
      </c>
      <c r="O111" s="244">
        <v>-31210.919999999867</v>
      </c>
    </row>
    <row r="112" spans="1:15" x14ac:dyDescent="0.25">
      <c r="A112" s="241"/>
      <c r="B112" s="242" t="s">
        <v>26</v>
      </c>
      <c r="C112" s="243">
        <v>-294.42796241860316</v>
      </c>
      <c r="D112" s="82">
        <v>-182.7483904667192</v>
      </c>
      <c r="E112" s="82">
        <v>-147.21398120930158</v>
      </c>
      <c r="F112" s="82">
        <v>-137.06129285003942</v>
      </c>
      <c r="G112" s="82">
        <v>-182.7483904667192</v>
      </c>
      <c r="H112" s="82">
        <v>-269.04624152044772</v>
      </c>
      <c r="I112" s="82">
        <v>-269.04624152044772</v>
      </c>
      <c r="J112" s="82">
        <v>-274.12258570007884</v>
      </c>
      <c r="K112" s="82">
        <v>-243.66452062229226</v>
      </c>
      <c r="L112" s="82">
        <v>-208.13011136487464</v>
      </c>
      <c r="M112" s="82">
        <v>-111.67957195188394</v>
      </c>
      <c r="N112" s="82">
        <v>-187.82473464635029</v>
      </c>
      <c r="O112" s="244">
        <v>-2507.7140247377579</v>
      </c>
    </row>
    <row r="113" spans="1:15" x14ac:dyDescent="0.25">
      <c r="A113" s="241"/>
      <c r="B113" s="242" t="s">
        <v>27</v>
      </c>
      <c r="C113" s="243">
        <v>-3958.8679624185911</v>
      </c>
      <c r="D113" s="82">
        <v>-2457.2283904667152</v>
      </c>
      <c r="E113" s="82">
        <v>-1979.4339812092956</v>
      </c>
      <c r="F113" s="82">
        <v>-1842.9212928500328</v>
      </c>
      <c r="G113" s="82">
        <v>-2457.2283904667152</v>
      </c>
      <c r="H113" s="82">
        <v>-3617.5862415204269</v>
      </c>
      <c r="I113" s="82">
        <v>-3617.5862415204269</v>
      </c>
      <c r="J113" s="82">
        <v>-3685.8425857000657</v>
      </c>
      <c r="K113" s="82">
        <v>-3276.3045206222773</v>
      </c>
      <c r="L113" s="82">
        <v>-2798.5101113648648</v>
      </c>
      <c r="M113" s="82">
        <v>-1501.6395719518757</v>
      </c>
      <c r="N113" s="82">
        <v>-2525.4847346463393</v>
      </c>
      <c r="O113" s="244">
        <v>-33718.634024737621</v>
      </c>
    </row>
    <row r="114" spans="1:15" x14ac:dyDescent="0.25">
      <c r="A114" s="241"/>
      <c r="B114" s="242" t="s">
        <v>49</v>
      </c>
      <c r="C114" s="243">
        <v>119658.64</v>
      </c>
      <c r="D114" s="82">
        <v>74270.880000000005</v>
      </c>
      <c r="E114" s="82">
        <v>59829.32</v>
      </c>
      <c r="F114" s="82">
        <v>55703.159999999996</v>
      </c>
      <c r="G114" s="82">
        <v>74270.880000000005</v>
      </c>
      <c r="H114" s="82">
        <v>109343.23999999999</v>
      </c>
      <c r="I114" s="82">
        <v>109343.23999999999</v>
      </c>
      <c r="J114" s="82">
        <v>111406.31999999999</v>
      </c>
      <c r="K114" s="82">
        <v>99027.839999999997</v>
      </c>
      <c r="L114" s="82">
        <v>84586.28</v>
      </c>
      <c r="M114" s="82">
        <v>45387.759999999995</v>
      </c>
      <c r="N114" s="82">
        <v>76333.959999999992</v>
      </c>
      <c r="O114" s="244">
        <v>1019161.5199999999</v>
      </c>
    </row>
    <row r="115" spans="1:15" x14ac:dyDescent="0.25">
      <c r="A115" s="241"/>
      <c r="B115" s="242" t="s">
        <v>87</v>
      </c>
      <c r="C115" s="243">
        <v>0</v>
      </c>
      <c r="D115" s="82">
        <v>0</v>
      </c>
      <c r="E115" s="82">
        <v>0</v>
      </c>
      <c r="F115" s="82">
        <v>0</v>
      </c>
      <c r="G115" s="82">
        <v>0</v>
      </c>
      <c r="H115" s="82">
        <v>0</v>
      </c>
      <c r="I115" s="82">
        <v>0</v>
      </c>
      <c r="J115" s="82">
        <v>0</v>
      </c>
      <c r="K115" s="82">
        <v>0</v>
      </c>
      <c r="L115" s="82">
        <v>0</v>
      </c>
      <c r="M115" s="82">
        <v>0</v>
      </c>
      <c r="N115" s="82">
        <v>0</v>
      </c>
      <c r="O115" s="244">
        <v>0</v>
      </c>
    </row>
    <row r="116" spans="1:15" x14ac:dyDescent="0.25">
      <c r="A116" s="241"/>
      <c r="B116" s="242" t="s">
        <v>89</v>
      </c>
      <c r="C116" s="243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0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244">
        <v>0</v>
      </c>
    </row>
    <row r="117" spans="1:15" x14ac:dyDescent="0.25">
      <c r="A117" s="231" t="s">
        <v>71</v>
      </c>
      <c r="B117" s="232"/>
      <c r="C117" s="238">
        <v>19953002.300000001</v>
      </c>
      <c r="D117" s="239">
        <v>14565271.700000001</v>
      </c>
      <c r="E117" s="239">
        <v>12931353.399999999</v>
      </c>
      <c r="F117" s="239">
        <v>13927303.600000001</v>
      </c>
      <c r="G117" s="239">
        <v>16815159.199999999</v>
      </c>
      <c r="H117" s="239">
        <v>20690965.399999999</v>
      </c>
      <c r="I117" s="239">
        <v>20912954.300000004</v>
      </c>
      <c r="J117" s="239">
        <v>21184940.699999999</v>
      </c>
      <c r="K117" s="239">
        <v>19071046.399999995</v>
      </c>
      <c r="L117" s="239">
        <v>16829158.500000004</v>
      </c>
      <c r="M117" s="239">
        <v>12179391.000000002</v>
      </c>
      <c r="N117" s="239">
        <v>14631268.4</v>
      </c>
      <c r="O117" s="240">
        <v>203691814.89999998</v>
      </c>
    </row>
    <row r="118" spans="1:15" ht="13" x14ac:dyDescent="0.3">
      <c r="A118" s="231" t="s">
        <v>28</v>
      </c>
      <c r="B118" s="232"/>
      <c r="C118" s="253">
        <v>-630346.85999999754</v>
      </c>
      <c r="D118" s="254">
        <v>-460139.9399999989</v>
      </c>
      <c r="E118" s="254">
        <v>-408521.87999999995</v>
      </c>
      <c r="F118" s="254">
        <v>-439985.51999999944</v>
      </c>
      <c r="G118" s="254">
        <v>-531217.43999999925</v>
      </c>
      <c r="H118" s="254">
        <v>-653660.27999999933</v>
      </c>
      <c r="I118" s="254">
        <v>-660673.25999999885</v>
      </c>
      <c r="J118" s="254">
        <v>-669265.73999999883</v>
      </c>
      <c r="K118" s="254">
        <v>-602484.47999999858</v>
      </c>
      <c r="L118" s="254">
        <v>-531659.69999999763</v>
      </c>
      <c r="M118" s="254">
        <v>-384766.19999999902</v>
      </c>
      <c r="N118" s="254">
        <v>-462224.87999999832</v>
      </c>
      <c r="O118" s="255">
        <v>-6434946.1799999848</v>
      </c>
    </row>
    <row r="119" spans="1:15" ht="13" x14ac:dyDescent="0.3">
      <c r="A119" s="231" t="s">
        <v>29</v>
      </c>
      <c r="B119" s="232"/>
      <c r="C119" s="253">
        <v>-50646.685880179379</v>
      </c>
      <c r="D119" s="254">
        <v>-36971.014660253219</v>
      </c>
      <c r="E119" s="254">
        <v>-32823.64146549462</v>
      </c>
      <c r="F119" s="254">
        <v>-35351.660866950908</v>
      </c>
      <c r="G119" s="254">
        <v>-42681.901862338193</v>
      </c>
      <c r="H119" s="254">
        <v>-52519.856882463231</v>
      </c>
      <c r="I119" s="254">
        <v>-53083.331086402301</v>
      </c>
      <c r="J119" s="254">
        <v>-53773.71389483213</v>
      </c>
      <c r="K119" s="254">
        <v>-48408.018096962063</v>
      </c>
      <c r="L119" s="254">
        <v>-42717.436271595616</v>
      </c>
      <c r="M119" s="254">
        <v>-30914.936053953341</v>
      </c>
      <c r="N119" s="254">
        <v>-37138.534018181039</v>
      </c>
      <c r="O119" s="255">
        <v>-517030.73103960598</v>
      </c>
    </row>
    <row r="120" spans="1:15" ht="13" x14ac:dyDescent="0.3">
      <c r="A120" s="231" t="s">
        <v>30</v>
      </c>
      <c r="B120" s="232"/>
      <c r="C120" s="253">
        <v>-680993.54588017683</v>
      </c>
      <c r="D120" s="254">
        <v>-497110.95466025209</v>
      </c>
      <c r="E120" s="254">
        <v>-441345.52146549453</v>
      </c>
      <c r="F120" s="254">
        <v>-475337.18086695054</v>
      </c>
      <c r="G120" s="254">
        <v>-573899.34186233731</v>
      </c>
      <c r="H120" s="254">
        <v>-706180.13688246254</v>
      </c>
      <c r="I120" s="254">
        <v>-713756.59108640114</v>
      </c>
      <c r="J120" s="254">
        <v>-723039.45389483101</v>
      </c>
      <c r="K120" s="254">
        <v>-650892.49809696071</v>
      </c>
      <c r="L120" s="254">
        <v>-574377.13627159351</v>
      </c>
      <c r="M120" s="254">
        <v>-415681.13605395221</v>
      </c>
      <c r="N120" s="254">
        <v>-499363.41401817935</v>
      </c>
      <c r="O120" s="255">
        <v>-6951976.9110395918</v>
      </c>
    </row>
    <row r="121" spans="1:15" x14ac:dyDescent="0.25">
      <c r="A121" s="231" t="s">
        <v>61</v>
      </c>
      <c r="B121" s="232"/>
      <c r="C121" s="238">
        <v>20583349.159999996</v>
      </c>
      <c r="D121" s="239">
        <v>15025411.640000001</v>
      </c>
      <c r="E121" s="239">
        <v>13339875.279999999</v>
      </c>
      <c r="F121" s="239">
        <v>14367289.119999999</v>
      </c>
      <c r="G121" s="239">
        <v>17346376.640000001</v>
      </c>
      <c r="H121" s="239">
        <v>21344625.68</v>
      </c>
      <c r="I121" s="239">
        <v>21573627.560000002</v>
      </c>
      <c r="J121" s="239">
        <v>21854206.439999998</v>
      </c>
      <c r="K121" s="239">
        <v>19673530.879999999</v>
      </c>
      <c r="L121" s="239">
        <v>17360818.199999999</v>
      </c>
      <c r="M121" s="239">
        <v>12564157.199999999</v>
      </c>
      <c r="N121" s="239">
        <v>15093493.280000003</v>
      </c>
      <c r="O121" s="240">
        <v>210126761.07999998</v>
      </c>
    </row>
    <row r="122" spans="1:15" x14ac:dyDescent="0.25">
      <c r="A122" s="231" t="s">
        <v>88</v>
      </c>
      <c r="B122" s="232"/>
      <c r="C122" s="238">
        <v>0</v>
      </c>
      <c r="D122" s="239">
        <v>0</v>
      </c>
      <c r="E122" s="239">
        <v>0</v>
      </c>
      <c r="F122" s="239">
        <v>0</v>
      </c>
      <c r="G122" s="239">
        <v>0</v>
      </c>
      <c r="H122" s="239">
        <v>0</v>
      </c>
      <c r="I122" s="239">
        <v>0</v>
      </c>
      <c r="J122" s="239">
        <v>0</v>
      </c>
      <c r="K122" s="239">
        <v>0</v>
      </c>
      <c r="L122" s="239">
        <v>0</v>
      </c>
      <c r="M122" s="239">
        <v>0</v>
      </c>
      <c r="N122" s="239">
        <v>0</v>
      </c>
      <c r="O122" s="240">
        <v>0</v>
      </c>
    </row>
    <row r="123" spans="1:15" x14ac:dyDescent="0.25">
      <c r="A123" s="245" t="s">
        <v>90</v>
      </c>
      <c r="B123" s="246"/>
      <c r="C123" s="247">
        <v>0</v>
      </c>
      <c r="D123" s="248">
        <v>0</v>
      </c>
      <c r="E123" s="248">
        <v>0</v>
      </c>
      <c r="F123" s="248">
        <v>0</v>
      </c>
      <c r="G123" s="248">
        <v>0</v>
      </c>
      <c r="H123" s="248">
        <v>0</v>
      </c>
      <c r="I123" s="248">
        <v>0</v>
      </c>
      <c r="J123" s="248">
        <v>0</v>
      </c>
      <c r="K123" s="248">
        <v>0</v>
      </c>
      <c r="L123" s="248">
        <v>0</v>
      </c>
      <c r="M123" s="248">
        <v>0</v>
      </c>
      <c r="N123" s="248">
        <v>0</v>
      </c>
      <c r="O123" s="249">
        <v>0</v>
      </c>
    </row>
    <row r="125" spans="1:15" x14ac:dyDescent="0.25">
      <c r="L125" s="198"/>
      <c r="O125" s="198"/>
    </row>
    <row r="126" spans="1:15" x14ac:dyDescent="0.25">
      <c r="L126" s="82"/>
      <c r="O126" s="82"/>
    </row>
  </sheetData>
  <phoneticPr fontId="6" type="noConversion"/>
  <pageMargins left="0.5" right="0.5" top="0.73" bottom="0.98" header="0.5" footer="0.5"/>
  <pageSetup scale="52" fitToHeight="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H14" sqref="H14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29" customWidth="1"/>
    <col min="5" max="5" width="24.26953125" style="1" customWidth="1"/>
    <col min="6" max="6" width="7.7265625" style="129" customWidth="1"/>
    <col min="7" max="7" width="8.54296875" style="129" customWidth="1"/>
    <col min="8" max="8" width="11.1796875" style="129" bestFit="1" customWidth="1"/>
    <col min="9" max="9" width="11.26953125" style="130" customWidth="1"/>
    <col min="10" max="10" width="17.1796875" style="129" customWidth="1"/>
    <col min="11" max="11" width="17.453125" style="131" customWidth="1"/>
    <col min="12" max="12" width="14.7265625" style="129" customWidth="1"/>
    <col min="13" max="13" width="13.453125" style="93" bestFit="1" customWidth="1"/>
    <col min="14" max="15" width="13.453125" style="93" customWidth="1"/>
    <col min="16" max="16" width="14.81640625" style="93" bestFit="1" customWidth="1"/>
    <col min="17" max="17" width="13.453125" style="93" customWidth="1"/>
    <col min="18" max="18" width="15.54296875" style="196" customWidth="1"/>
    <col min="19" max="16384" width="8.7265625" style="1"/>
  </cols>
  <sheetData>
    <row r="1" spans="2:19" ht="21.5" x14ac:dyDescent="0.3">
      <c r="B1" s="10" t="s">
        <v>95</v>
      </c>
      <c r="C1" s="83"/>
      <c r="D1" s="84"/>
      <c r="E1" s="83"/>
      <c r="F1" s="85" t="s">
        <v>12</v>
      </c>
      <c r="G1" s="86"/>
      <c r="H1" s="87"/>
      <c r="I1" s="88"/>
      <c r="J1" s="200" t="str">
        <f>"True-Up ARR
(CY"&amp;R1&amp;")"</f>
        <v>True-Up ARR
(CY2024)</v>
      </c>
      <c r="K1" s="200" t="str">
        <f>"Projected ARR
(Jan'"&amp;RIGHT(R$1,2)&amp;" - Dec'"&amp;RIGHT(R$1,2)&amp;")"</f>
        <v>Projected ARR
(Jan'24 - Dec'24)</v>
      </c>
      <c r="L1" s="89" t="s">
        <v>45</v>
      </c>
      <c r="M1" s="90"/>
      <c r="N1" s="50"/>
      <c r="O1" s="50"/>
      <c r="P1" s="50"/>
      <c r="Q1" s="50"/>
      <c r="R1" s="91">
        <v>2024</v>
      </c>
      <c r="S1" s="2"/>
    </row>
    <row r="2" spans="2:19" ht="13" x14ac:dyDescent="0.3">
      <c r="B2" s="10" t="s">
        <v>52</v>
      </c>
      <c r="C2" s="83"/>
      <c r="D2" s="84"/>
      <c r="E2" s="83"/>
      <c r="F2" s="92">
        <v>9</v>
      </c>
      <c r="G2" s="257"/>
      <c r="H2" s="257"/>
      <c r="I2" s="94" t="s">
        <v>6</v>
      </c>
      <c r="J2" s="95">
        <v>203691666.17075253</v>
      </c>
      <c r="K2" s="95">
        <v>209429794.06779259</v>
      </c>
      <c r="L2" s="206"/>
      <c r="M2" s="97"/>
      <c r="N2" s="50"/>
      <c r="O2" s="50"/>
      <c r="P2" s="50"/>
      <c r="Q2" s="50"/>
      <c r="R2" s="1"/>
    </row>
    <row r="3" spans="2:19" ht="13" x14ac:dyDescent="0.3">
      <c r="B3" s="10" t="str">
        <f>"for CY"&amp;R1&amp;" SPP Network Transmission Service"</f>
        <v>for CY2024 SPP Network Transmission Service</v>
      </c>
      <c r="C3" s="83"/>
      <c r="D3" s="84"/>
      <c r="E3" s="83"/>
      <c r="F3" s="92"/>
      <c r="G3" s="257"/>
      <c r="H3" s="257"/>
      <c r="I3" s="94" t="s">
        <v>10</v>
      </c>
      <c r="J3" s="98">
        <v>1999.9</v>
      </c>
      <c r="K3" s="98">
        <v>2063.08</v>
      </c>
      <c r="L3" s="118" t="str">
        <f>"Inv. Jan-Dec'"&amp;RIGHT(R1,2)</f>
        <v>Inv. Jan-Dec'24</v>
      </c>
      <c r="M3" s="97"/>
      <c r="N3" s="50"/>
      <c r="O3" s="50"/>
      <c r="P3" s="50"/>
      <c r="Q3" s="50"/>
      <c r="R3" s="1"/>
    </row>
    <row r="4" spans="2:19" ht="13" x14ac:dyDescent="0.3">
      <c r="B4" s="9"/>
      <c r="C4" s="83"/>
      <c r="D4" s="84"/>
      <c r="E4" s="83"/>
      <c r="F4" s="92"/>
      <c r="G4" s="93"/>
      <c r="H4" s="93"/>
      <c r="I4" s="49"/>
      <c r="J4" s="93"/>
      <c r="K4" s="99"/>
      <c r="L4" s="204"/>
      <c r="M4" s="100"/>
      <c r="R4" s="1"/>
    </row>
    <row r="5" spans="2:19" ht="13" x14ac:dyDescent="0.3">
      <c r="B5" s="9"/>
      <c r="C5" s="83"/>
      <c r="D5" s="84"/>
      <c r="E5" s="83"/>
      <c r="F5" s="92"/>
      <c r="G5" s="93"/>
      <c r="H5" s="93"/>
      <c r="I5" s="94"/>
      <c r="J5" s="93"/>
      <c r="K5" s="95">
        <v>0</v>
      </c>
      <c r="L5" s="96"/>
      <c r="M5" s="101"/>
      <c r="N5" s="102"/>
      <c r="O5" s="102"/>
      <c r="P5" s="102"/>
      <c r="Q5" s="102"/>
      <c r="R5" s="103"/>
    </row>
    <row r="6" spans="2:19" ht="13" x14ac:dyDescent="0.3">
      <c r="B6" s="10" t="s">
        <v>23</v>
      </c>
      <c r="D6" s="84"/>
      <c r="E6" s="83"/>
      <c r="F6" s="104"/>
      <c r="G6" s="105"/>
      <c r="H6" s="106"/>
      <c r="I6" s="107"/>
      <c r="J6" s="108"/>
      <c r="K6" s="98">
        <v>0</v>
      </c>
      <c r="L6" s="197"/>
      <c r="M6" s="101"/>
      <c r="N6" s="102"/>
      <c r="O6" s="102"/>
      <c r="P6" s="102"/>
      <c r="Q6" s="102"/>
      <c r="R6" s="1"/>
    </row>
    <row r="7" spans="2:19" ht="13" x14ac:dyDescent="0.3">
      <c r="B7" s="9" t="s">
        <v>77</v>
      </c>
      <c r="D7" s="84"/>
      <c r="E7" s="83"/>
      <c r="F7" s="92"/>
      <c r="G7" s="258"/>
      <c r="H7" s="259"/>
      <c r="I7" s="94"/>
      <c r="J7" s="109"/>
      <c r="K7" s="96"/>
      <c r="L7" s="96"/>
      <c r="M7" s="110"/>
      <c r="N7" s="111"/>
      <c r="O7" s="111"/>
      <c r="P7" s="111"/>
      <c r="Q7" s="111"/>
      <c r="R7" s="1"/>
    </row>
    <row r="8" spans="2:19" ht="13" x14ac:dyDescent="0.3">
      <c r="B8" s="10"/>
      <c r="C8" s="83"/>
      <c r="D8" s="84"/>
      <c r="E8" s="83"/>
      <c r="F8" s="92"/>
      <c r="G8" s="259"/>
      <c r="H8" s="259"/>
      <c r="I8" s="94"/>
      <c r="J8" s="112"/>
      <c r="K8" s="96"/>
      <c r="L8" s="113"/>
      <c r="M8" s="97"/>
      <c r="N8" s="50"/>
      <c r="O8" s="50"/>
      <c r="P8" s="50"/>
      <c r="Q8" s="50"/>
      <c r="R8" s="103"/>
    </row>
    <row r="9" spans="2:19" ht="13" x14ac:dyDescent="0.3">
      <c r="B9" s="114"/>
      <c r="C9" s="83"/>
      <c r="D9" s="84"/>
      <c r="E9" s="83"/>
      <c r="F9" s="92"/>
      <c r="G9" s="93"/>
      <c r="H9" s="93"/>
      <c r="I9" s="115"/>
      <c r="J9" s="116"/>
      <c r="K9" s="117"/>
      <c r="L9" s="118"/>
      <c r="M9" s="97"/>
      <c r="N9" s="50"/>
      <c r="O9" s="50"/>
      <c r="P9" s="50"/>
      <c r="Q9" s="50"/>
      <c r="R9" s="103"/>
    </row>
    <row r="10" spans="2:19" ht="13.5" thickBot="1" x14ac:dyDescent="0.35">
      <c r="B10" s="9"/>
      <c r="D10" s="1"/>
      <c r="E10" s="119"/>
      <c r="F10" s="120"/>
      <c r="G10" s="121"/>
      <c r="H10" s="122"/>
      <c r="I10" s="123"/>
      <c r="J10" s="124"/>
      <c r="K10" s="124"/>
      <c r="L10" s="125"/>
      <c r="M10" s="126"/>
      <c r="R10" s="127"/>
    </row>
    <row r="11" spans="2:19" ht="13" x14ac:dyDescent="0.3">
      <c r="B11" s="128"/>
      <c r="E11" s="119"/>
      <c r="L11" s="132"/>
      <c r="M11" s="1"/>
      <c r="N11" s="1"/>
      <c r="O11" s="1"/>
      <c r="P11" s="1"/>
      <c r="Q11" s="1"/>
      <c r="R11" s="103"/>
    </row>
    <row r="12" spans="2:19" x14ac:dyDescent="0.25">
      <c r="E12" s="119"/>
      <c r="L12" s="132"/>
      <c r="R12" s="133" t="s">
        <v>60</v>
      </c>
    </row>
    <row r="13" spans="2:19" ht="13" x14ac:dyDescent="0.3">
      <c r="E13" s="119"/>
      <c r="F13" s="134"/>
      <c r="G13" s="135"/>
      <c r="H13" s="135"/>
      <c r="I13" s="136" t="s">
        <v>58</v>
      </c>
      <c r="J13" s="137">
        <f t="shared" ref="J13:R13" si="0">SUM(J56:J211)</f>
        <v>53787310.499999985</v>
      </c>
      <c r="K13" s="137">
        <f t="shared" si="0"/>
        <v>55486536.599999949</v>
      </c>
      <c r="L13" s="138">
        <f t="shared" si="0"/>
        <v>-1699226.0999999954</v>
      </c>
      <c r="M13" s="139">
        <f t="shared" si="0"/>
        <v>-136528.27671117816</v>
      </c>
      <c r="N13" s="137">
        <f t="shared" si="0"/>
        <v>-1835754.3767111718</v>
      </c>
      <c r="O13" s="137">
        <f t="shared" si="0"/>
        <v>0</v>
      </c>
      <c r="P13" s="137">
        <f t="shared" si="0"/>
        <v>0</v>
      </c>
      <c r="Q13" s="137">
        <f t="shared" si="0"/>
        <v>0</v>
      </c>
      <c r="R13" s="138">
        <f t="shared" si="0"/>
        <v>-1835754.3767111718</v>
      </c>
    </row>
    <row r="14" spans="2:19" ht="13" x14ac:dyDescent="0.3">
      <c r="E14" s="119"/>
      <c r="F14" s="140"/>
      <c r="G14" s="140"/>
      <c r="H14" s="140"/>
      <c r="I14" s="141" t="s">
        <v>59</v>
      </c>
      <c r="J14" s="137">
        <f>SUM(J20:J211)</f>
        <v>203691814.90000021</v>
      </c>
      <c r="K14" s="137">
        <f>SUM(K20:K211)</f>
        <v>210126761.07999995</v>
      </c>
      <c r="L14" s="138">
        <f>SUM(L20:L211)</f>
        <v>-6434946.1799999829</v>
      </c>
      <c r="M14" s="199">
        <v>-517030.73103960603</v>
      </c>
      <c r="N14" s="137">
        <f>SUM(N20:N211)</f>
        <v>-6951976.9110395815</v>
      </c>
      <c r="O14" s="137">
        <f>SUM(O20:O211)</f>
        <v>0</v>
      </c>
      <c r="P14" s="137">
        <f>SUM(P20:P211)</f>
        <v>0</v>
      </c>
      <c r="Q14" s="137">
        <f>SUM(Q20:Q211)</f>
        <v>0</v>
      </c>
      <c r="R14" s="138">
        <f>SUM(R20:R211)</f>
        <v>-6951976.9110395815</v>
      </c>
    </row>
    <row r="15" spans="2:19" x14ac:dyDescent="0.25">
      <c r="B15" s="142" t="s">
        <v>82</v>
      </c>
      <c r="E15" s="119"/>
      <c r="J15" s="130"/>
      <c r="L15" s="132"/>
      <c r="M15" s="205"/>
      <c r="N15" s="143"/>
      <c r="O15" s="143"/>
      <c r="P15" s="143"/>
      <c r="Q15" s="143"/>
      <c r="R15" s="144" t="s">
        <v>20</v>
      </c>
    </row>
    <row r="16" spans="2:19" x14ac:dyDescent="0.25">
      <c r="B16" s="145" t="str">
        <f>"** Actual Trued-Up CY"&amp;R1&amp;" Charge reflects "&amp;R1&amp;" True-UP Rate x MW"</f>
        <v>** Actual Trued-Up CY2024 Charge reflects 2024 True-UP Rate x MW</v>
      </c>
      <c r="E16" s="119"/>
      <c r="F16" s="93"/>
      <c r="G16" s="5"/>
      <c r="J16" s="146"/>
      <c r="L16" s="147" t="s">
        <v>11</v>
      </c>
      <c r="M16" s="143"/>
      <c r="N16" s="143"/>
      <c r="O16" s="143"/>
      <c r="P16" s="143"/>
      <c r="Q16" s="143"/>
      <c r="R16" s="148"/>
    </row>
    <row r="17" spans="1:18" x14ac:dyDescent="0.25">
      <c r="B17" s="149" t="s">
        <v>62</v>
      </c>
      <c r="E17" s="119"/>
      <c r="I17" s="150"/>
      <c r="J17" s="151"/>
      <c r="K17" s="152"/>
      <c r="L17" s="152"/>
      <c r="M17" s="152"/>
      <c r="N17" s="152"/>
      <c r="O17" s="152"/>
      <c r="P17" s="152"/>
      <c r="Q17" s="152"/>
      <c r="R17" s="153"/>
    </row>
    <row r="18" spans="1:18" ht="3.65" customHeight="1" x14ac:dyDescent="0.25">
      <c r="I18" s="154"/>
      <c r="J18" s="151"/>
      <c r="K18" s="154"/>
      <c r="L18" s="154"/>
      <c r="M18" s="155"/>
      <c r="N18" s="155"/>
      <c r="O18" s="155"/>
      <c r="P18" s="155"/>
      <c r="Q18" s="155"/>
      <c r="R18" s="156"/>
    </row>
    <row r="19" spans="1:18" ht="38.25" customHeight="1" x14ac:dyDescent="0.25">
      <c r="B19" s="157" t="s">
        <v>53</v>
      </c>
      <c r="C19" s="207" t="s">
        <v>4</v>
      </c>
      <c r="D19" s="207" t="s">
        <v>5</v>
      </c>
      <c r="E19" s="208" t="s">
        <v>0</v>
      </c>
      <c r="F19" s="209" t="s">
        <v>12</v>
      </c>
      <c r="G19" s="210" t="s">
        <v>1</v>
      </c>
      <c r="H19" s="158" t="s">
        <v>48</v>
      </c>
      <c r="I19" s="158" t="s">
        <v>46</v>
      </c>
      <c r="J19" s="159" t="str">
        <f>"True-Up Charge"</f>
        <v>True-Up Charge</v>
      </c>
      <c r="K19" s="159" t="s">
        <v>47</v>
      </c>
      <c r="L19" s="160" t="s">
        <v>3</v>
      </c>
      <c r="M19" s="161" t="s">
        <v>7</v>
      </c>
      <c r="N19" s="162" t="s">
        <v>100</v>
      </c>
      <c r="O19" s="162" t="s">
        <v>84</v>
      </c>
      <c r="P19" s="162" t="s">
        <v>85</v>
      </c>
      <c r="Q19" s="162" t="s">
        <v>86</v>
      </c>
      <c r="R19" s="163" t="s">
        <v>2</v>
      </c>
    </row>
    <row r="20" spans="1:18" s="50" customFormat="1" ht="12.75" customHeight="1" x14ac:dyDescent="0.25">
      <c r="A20" s="93">
        <v>1</v>
      </c>
      <c r="B20" s="164">
        <f>DATE($R$1,A20,1)</f>
        <v>45292</v>
      </c>
      <c r="C20" s="201">
        <v>45327</v>
      </c>
      <c r="D20" s="201">
        <v>45348</v>
      </c>
      <c r="E20" s="165" t="s">
        <v>21</v>
      </c>
      <c r="F20" s="93">
        <v>9</v>
      </c>
      <c r="G20" s="166">
        <v>3252</v>
      </c>
      <c r="H20" s="167">
        <f>+$K$3</f>
        <v>2063.08</v>
      </c>
      <c r="I20" s="167">
        <f t="shared" ref="I20:I63" si="1">$J$3</f>
        <v>1999.9</v>
      </c>
      <c r="J20" s="168">
        <f t="shared" ref="J20:J108" si="2">+$G20*I20</f>
        <v>6503674.8000000007</v>
      </c>
      <c r="K20" s="169">
        <f>+$G20*H20</f>
        <v>6709136.1600000001</v>
      </c>
      <c r="L20" s="170">
        <f t="shared" ref="L20:L34" si="3">+J20-K20</f>
        <v>-205461.3599999994</v>
      </c>
      <c r="M20" s="171">
        <f>G20/$G$212*$M$14</f>
        <v>-16508.271272160302</v>
      </c>
      <c r="N20" s="172">
        <f>SUM(L20:M20)</f>
        <v>-221969.63127215969</v>
      </c>
      <c r="O20" s="171">
        <v>0</v>
      </c>
      <c r="P20" s="171">
        <v>0</v>
      </c>
      <c r="Q20" s="171">
        <v>0</v>
      </c>
      <c r="R20" s="172">
        <f>+N20-Q20</f>
        <v>-221969.63127215969</v>
      </c>
    </row>
    <row r="21" spans="1:18" x14ac:dyDescent="0.25">
      <c r="A21" s="129">
        <v>2</v>
      </c>
      <c r="B21" s="164">
        <f t="shared" ref="B21:B108" si="4">DATE($R$1,A21,1)</f>
        <v>45323</v>
      </c>
      <c r="C21" s="201">
        <v>45356</v>
      </c>
      <c r="D21" s="201">
        <v>45376</v>
      </c>
      <c r="E21" s="173" t="s">
        <v>21</v>
      </c>
      <c r="F21" s="129">
        <v>9</v>
      </c>
      <c r="G21" s="166">
        <v>2338</v>
      </c>
      <c r="H21" s="167">
        <f t="shared" ref="H21:H84" si="5">+$K$3</f>
        <v>2063.08</v>
      </c>
      <c r="I21" s="167">
        <f t="shared" si="1"/>
        <v>1999.9</v>
      </c>
      <c r="J21" s="168">
        <f t="shared" si="2"/>
        <v>4675766.2</v>
      </c>
      <c r="K21" s="169">
        <f t="shared" ref="K21:K33" si="6">+$G21*H21</f>
        <v>4823481.04</v>
      </c>
      <c r="L21" s="170">
        <f t="shared" si="3"/>
        <v>-147714.83999999985</v>
      </c>
      <c r="M21" s="171">
        <f t="shared" ref="M21:M84" si="7">G21/$G$212*$M$14</f>
        <v>-11868.492691977486</v>
      </c>
      <c r="N21" s="172">
        <f t="shared" ref="N21:N84" si="8">SUM(L21:M21)</f>
        <v>-159583.33269197732</v>
      </c>
      <c r="O21" s="171">
        <v>0</v>
      </c>
      <c r="P21" s="171">
        <v>0</v>
      </c>
      <c r="Q21" s="171">
        <v>0</v>
      </c>
      <c r="R21" s="172">
        <f t="shared" ref="R21:R84" si="9">+N21-Q21</f>
        <v>-159583.33269197732</v>
      </c>
    </row>
    <row r="22" spans="1:18" x14ac:dyDescent="0.25">
      <c r="A22" s="129">
        <v>3</v>
      </c>
      <c r="B22" s="164">
        <f t="shared" si="4"/>
        <v>45352</v>
      </c>
      <c r="C22" s="201">
        <v>45385</v>
      </c>
      <c r="D22" s="201">
        <v>45406</v>
      </c>
      <c r="E22" s="173" t="s">
        <v>21</v>
      </c>
      <c r="F22" s="129">
        <v>9</v>
      </c>
      <c r="G22" s="166">
        <v>2216</v>
      </c>
      <c r="H22" s="167">
        <f t="shared" si="5"/>
        <v>2063.08</v>
      </c>
      <c r="I22" s="167">
        <f t="shared" si="1"/>
        <v>1999.9</v>
      </c>
      <c r="J22" s="168">
        <f t="shared" si="2"/>
        <v>4431778.4000000004</v>
      </c>
      <c r="K22" s="169">
        <f t="shared" si="6"/>
        <v>4571785.28</v>
      </c>
      <c r="L22" s="170">
        <f t="shared" si="3"/>
        <v>-140006.87999999989</v>
      </c>
      <c r="M22" s="171">
        <f t="shared" si="7"/>
        <v>-11249.178702062492</v>
      </c>
      <c r="N22" s="172">
        <f t="shared" si="8"/>
        <v>-151256.05870206238</v>
      </c>
      <c r="O22" s="171">
        <v>0</v>
      </c>
      <c r="P22" s="171">
        <v>0</v>
      </c>
      <c r="Q22" s="171">
        <v>0</v>
      </c>
      <c r="R22" s="172">
        <f t="shared" si="9"/>
        <v>-151256.05870206238</v>
      </c>
    </row>
    <row r="23" spans="1:18" x14ac:dyDescent="0.25">
      <c r="A23" s="93">
        <v>4</v>
      </c>
      <c r="B23" s="164">
        <f t="shared" si="4"/>
        <v>45383</v>
      </c>
      <c r="C23" s="201">
        <v>45415</v>
      </c>
      <c r="D23" s="201">
        <v>45436</v>
      </c>
      <c r="E23" s="173" t="s">
        <v>21</v>
      </c>
      <c r="F23" s="129">
        <v>9</v>
      </c>
      <c r="G23" s="166">
        <v>2777</v>
      </c>
      <c r="H23" s="167">
        <f t="shared" si="5"/>
        <v>2063.08</v>
      </c>
      <c r="I23" s="167">
        <f t="shared" si="1"/>
        <v>1999.9</v>
      </c>
      <c r="J23" s="168">
        <f t="shared" si="2"/>
        <v>5553722.2999999998</v>
      </c>
      <c r="K23" s="169">
        <f t="shared" si="6"/>
        <v>5729173.1600000001</v>
      </c>
      <c r="L23" s="170">
        <f t="shared" si="3"/>
        <v>-175450.86000000034</v>
      </c>
      <c r="M23" s="171">
        <f t="shared" si="7"/>
        <v>-14097.007786835533</v>
      </c>
      <c r="N23" s="172">
        <f t="shared" si="8"/>
        <v>-189547.86778683588</v>
      </c>
      <c r="O23" s="171">
        <v>0</v>
      </c>
      <c r="P23" s="171">
        <v>0</v>
      </c>
      <c r="Q23" s="171">
        <v>0</v>
      </c>
      <c r="R23" s="172">
        <f t="shared" si="9"/>
        <v>-189547.86778683588</v>
      </c>
    </row>
    <row r="24" spans="1:18" ht="12" customHeight="1" x14ac:dyDescent="0.25">
      <c r="A24" s="129">
        <v>5</v>
      </c>
      <c r="B24" s="164">
        <f t="shared" si="4"/>
        <v>45413</v>
      </c>
      <c r="C24" s="201">
        <v>45448</v>
      </c>
      <c r="D24" s="201">
        <v>45467</v>
      </c>
      <c r="E24" s="52" t="s">
        <v>21</v>
      </c>
      <c r="F24" s="129">
        <v>9</v>
      </c>
      <c r="G24" s="166">
        <v>3245</v>
      </c>
      <c r="H24" s="167">
        <f t="shared" si="5"/>
        <v>2063.08</v>
      </c>
      <c r="I24" s="167">
        <f t="shared" si="1"/>
        <v>1999.9</v>
      </c>
      <c r="J24" s="168">
        <f t="shared" si="2"/>
        <v>6489675.5</v>
      </c>
      <c r="K24" s="169">
        <f t="shared" si="6"/>
        <v>6694694.5999999996</v>
      </c>
      <c r="L24" s="170">
        <f t="shared" si="3"/>
        <v>-205019.09999999963</v>
      </c>
      <c r="M24" s="171">
        <f t="shared" si="7"/>
        <v>-16472.736862902882</v>
      </c>
      <c r="N24" s="172">
        <f t="shared" si="8"/>
        <v>-221491.83686290251</v>
      </c>
      <c r="O24" s="171">
        <v>0</v>
      </c>
      <c r="P24" s="171">
        <v>0</v>
      </c>
      <c r="Q24" s="171">
        <v>0</v>
      </c>
      <c r="R24" s="172">
        <f t="shared" si="9"/>
        <v>-221491.83686290251</v>
      </c>
    </row>
    <row r="25" spans="1:18" x14ac:dyDescent="0.25">
      <c r="A25" s="129">
        <v>6</v>
      </c>
      <c r="B25" s="164">
        <f t="shared" si="4"/>
        <v>45444</v>
      </c>
      <c r="C25" s="201">
        <v>45476</v>
      </c>
      <c r="D25" s="201">
        <v>45497</v>
      </c>
      <c r="E25" s="52" t="s">
        <v>21</v>
      </c>
      <c r="F25" s="129">
        <v>9</v>
      </c>
      <c r="G25" s="166">
        <v>4080</v>
      </c>
      <c r="H25" s="167">
        <f t="shared" si="5"/>
        <v>2063.08</v>
      </c>
      <c r="I25" s="167">
        <f t="shared" si="1"/>
        <v>1999.9</v>
      </c>
      <c r="J25" s="168">
        <f t="shared" si="2"/>
        <v>8159592</v>
      </c>
      <c r="K25" s="169">
        <f t="shared" si="6"/>
        <v>8417366.4000000004</v>
      </c>
      <c r="L25" s="174">
        <f t="shared" si="3"/>
        <v>-257774.40000000037</v>
      </c>
      <c r="M25" s="171">
        <f t="shared" si="7"/>
        <v>-20711.484252894843</v>
      </c>
      <c r="N25" s="172">
        <f t="shared" si="8"/>
        <v>-278485.88425289519</v>
      </c>
      <c r="O25" s="171">
        <v>0</v>
      </c>
      <c r="P25" s="171">
        <v>0</v>
      </c>
      <c r="Q25" s="171">
        <v>0</v>
      </c>
      <c r="R25" s="172">
        <f t="shared" si="9"/>
        <v>-278485.88425289519</v>
      </c>
    </row>
    <row r="26" spans="1:18" x14ac:dyDescent="0.25">
      <c r="A26" s="93">
        <v>7</v>
      </c>
      <c r="B26" s="164">
        <f t="shared" si="4"/>
        <v>45474</v>
      </c>
      <c r="C26" s="201">
        <v>45509</v>
      </c>
      <c r="D26" s="201">
        <v>45530</v>
      </c>
      <c r="E26" s="52" t="s">
        <v>21</v>
      </c>
      <c r="F26" s="129">
        <v>9</v>
      </c>
      <c r="G26" s="166">
        <v>4149</v>
      </c>
      <c r="H26" s="167">
        <f t="shared" si="5"/>
        <v>2063.08</v>
      </c>
      <c r="I26" s="167">
        <f t="shared" si="1"/>
        <v>1999.9</v>
      </c>
      <c r="J26" s="168">
        <f t="shared" si="2"/>
        <v>8297585.1000000006</v>
      </c>
      <c r="K26" s="175">
        <f t="shared" si="6"/>
        <v>8559718.9199999999</v>
      </c>
      <c r="L26" s="174">
        <f t="shared" si="3"/>
        <v>-262133.81999999937</v>
      </c>
      <c r="M26" s="171">
        <f t="shared" si="7"/>
        <v>-21061.752001289387</v>
      </c>
      <c r="N26" s="172">
        <f t="shared" si="8"/>
        <v>-283195.57200128876</v>
      </c>
      <c r="O26" s="171">
        <v>0</v>
      </c>
      <c r="P26" s="171">
        <v>0</v>
      </c>
      <c r="Q26" s="171">
        <v>0</v>
      </c>
      <c r="R26" s="172">
        <f t="shared" si="9"/>
        <v>-283195.57200128876</v>
      </c>
    </row>
    <row r="27" spans="1:18" x14ac:dyDescent="0.25">
      <c r="A27" s="129">
        <v>8</v>
      </c>
      <c r="B27" s="164">
        <f t="shared" si="4"/>
        <v>45505</v>
      </c>
      <c r="C27" s="201">
        <v>45539</v>
      </c>
      <c r="D27" s="201">
        <v>45559</v>
      </c>
      <c r="E27" s="52" t="s">
        <v>21</v>
      </c>
      <c r="F27" s="129">
        <v>9</v>
      </c>
      <c r="G27" s="166">
        <v>4151</v>
      </c>
      <c r="H27" s="167">
        <f t="shared" si="5"/>
        <v>2063.08</v>
      </c>
      <c r="I27" s="167">
        <f t="shared" si="1"/>
        <v>1999.9</v>
      </c>
      <c r="J27" s="168">
        <f t="shared" si="2"/>
        <v>8301584.9000000004</v>
      </c>
      <c r="K27" s="175">
        <f t="shared" si="6"/>
        <v>8563845.0800000001</v>
      </c>
      <c r="L27" s="174">
        <f t="shared" si="3"/>
        <v>-262260.1799999997</v>
      </c>
      <c r="M27" s="171">
        <f t="shared" si="7"/>
        <v>-21071.904689648651</v>
      </c>
      <c r="N27" s="172">
        <f t="shared" si="8"/>
        <v>-283332.08468964836</v>
      </c>
      <c r="O27" s="171">
        <v>0</v>
      </c>
      <c r="P27" s="171">
        <v>0</v>
      </c>
      <c r="Q27" s="171">
        <v>0</v>
      </c>
      <c r="R27" s="172">
        <f t="shared" si="9"/>
        <v>-283332.08468964836</v>
      </c>
    </row>
    <row r="28" spans="1:18" x14ac:dyDescent="0.25">
      <c r="A28" s="129">
        <v>9</v>
      </c>
      <c r="B28" s="164">
        <f t="shared" si="4"/>
        <v>45536</v>
      </c>
      <c r="C28" s="201">
        <v>45568</v>
      </c>
      <c r="D28" s="201">
        <v>45589</v>
      </c>
      <c r="E28" s="52" t="s">
        <v>21</v>
      </c>
      <c r="F28" s="129">
        <v>9</v>
      </c>
      <c r="G28" s="166">
        <v>3859</v>
      </c>
      <c r="H28" s="167">
        <f t="shared" si="5"/>
        <v>2063.08</v>
      </c>
      <c r="I28" s="167">
        <f t="shared" si="1"/>
        <v>1999.9</v>
      </c>
      <c r="J28" s="168">
        <f t="shared" si="2"/>
        <v>7717614.1000000006</v>
      </c>
      <c r="K28" s="175">
        <f t="shared" si="6"/>
        <v>7961425.7199999997</v>
      </c>
      <c r="L28" s="174">
        <f t="shared" si="3"/>
        <v>-243811.61999999918</v>
      </c>
      <c r="M28" s="171">
        <f t="shared" si="7"/>
        <v>-19589.612189196374</v>
      </c>
      <c r="N28" s="172">
        <f t="shared" si="8"/>
        <v>-263401.23218919558</v>
      </c>
      <c r="O28" s="171">
        <v>0</v>
      </c>
      <c r="P28" s="171">
        <v>0</v>
      </c>
      <c r="Q28" s="171">
        <v>0</v>
      </c>
      <c r="R28" s="172">
        <f t="shared" si="9"/>
        <v>-263401.23218919558</v>
      </c>
    </row>
    <row r="29" spans="1:18" x14ac:dyDescent="0.25">
      <c r="A29" s="93">
        <v>10</v>
      </c>
      <c r="B29" s="164">
        <f t="shared" si="4"/>
        <v>45566</v>
      </c>
      <c r="C29" s="201">
        <v>45601</v>
      </c>
      <c r="D29" s="201">
        <v>45621</v>
      </c>
      <c r="E29" s="52" t="s">
        <v>21</v>
      </c>
      <c r="F29" s="129">
        <v>9</v>
      </c>
      <c r="G29" s="166">
        <v>3429</v>
      </c>
      <c r="H29" s="167">
        <f t="shared" si="5"/>
        <v>2063.08</v>
      </c>
      <c r="I29" s="167">
        <f t="shared" si="1"/>
        <v>1999.9</v>
      </c>
      <c r="J29" s="168">
        <f t="shared" si="2"/>
        <v>6857657.1000000006</v>
      </c>
      <c r="K29" s="175">
        <f t="shared" si="6"/>
        <v>7074301.3199999994</v>
      </c>
      <c r="L29" s="174">
        <f t="shared" si="3"/>
        <v>-216644.21999999881</v>
      </c>
      <c r="M29" s="171">
        <f t="shared" si="7"/>
        <v>-17406.784191955005</v>
      </c>
      <c r="N29" s="172">
        <f t="shared" si="8"/>
        <v>-234051.00419195381</v>
      </c>
      <c r="O29" s="171">
        <v>0</v>
      </c>
      <c r="P29" s="171">
        <v>0</v>
      </c>
      <c r="Q29" s="171">
        <v>0</v>
      </c>
      <c r="R29" s="172">
        <f t="shared" si="9"/>
        <v>-234051.00419195381</v>
      </c>
    </row>
    <row r="30" spans="1:18" x14ac:dyDescent="0.25">
      <c r="A30" s="129">
        <v>11</v>
      </c>
      <c r="B30" s="164">
        <f t="shared" si="4"/>
        <v>45597</v>
      </c>
      <c r="C30" s="201">
        <v>45630</v>
      </c>
      <c r="D30" s="201">
        <v>45650</v>
      </c>
      <c r="E30" s="52" t="s">
        <v>21</v>
      </c>
      <c r="F30" s="129">
        <v>9</v>
      </c>
      <c r="G30" s="166">
        <v>2220</v>
      </c>
      <c r="H30" s="167">
        <f t="shared" si="5"/>
        <v>2063.08</v>
      </c>
      <c r="I30" s="167">
        <f t="shared" si="1"/>
        <v>1999.9</v>
      </c>
      <c r="J30" s="168">
        <f t="shared" si="2"/>
        <v>4439778</v>
      </c>
      <c r="K30" s="175">
        <f t="shared" si="6"/>
        <v>4580037.5999999996</v>
      </c>
      <c r="L30" s="174">
        <f t="shared" si="3"/>
        <v>-140259.59999999963</v>
      </c>
      <c r="M30" s="171">
        <f t="shared" si="7"/>
        <v>-11269.484078781017</v>
      </c>
      <c r="N30" s="172">
        <f t="shared" si="8"/>
        <v>-151529.08407878064</v>
      </c>
      <c r="O30" s="171">
        <v>0</v>
      </c>
      <c r="P30" s="171">
        <v>0</v>
      </c>
      <c r="Q30" s="171">
        <v>0</v>
      </c>
      <c r="R30" s="172">
        <f t="shared" si="9"/>
        <v>-151529.08407878064</v>
      </c>
    </row>
    <row r="31" spans="1:18" x14ac:dyDescent="0.25">
      <c r="A31" s="129">
        <v>12</v>
      </c>
      <c r="B31" s="164">
        <f t="shared" si="4"/>
        <v>45627</v>
      </c>
      <c r="C31" s="202">
        <v>45660</v>
      </c>
      <c r="D31" s="203">
        <v>45681</v>
      </c>
      <c r="E31" s="52" t="s">
        <v>21</v>
      </c>
      <c r="F31" s="129">
        <v>9</v>
      </c>
      <c r="G31" s="166">
        <v>2569</v>
      </c>
      <c r="H31" s="176">
        <f t="shared" si="5"/>
        <v>2063.08</v>
      </c>
      <c r="I31" s="176">
        <f t="shared" si="1"/>
        <v>1999.9</v>
      </c>
      <c r="J31" s="177">
        <f t="shared" si="2"/>
        <v>5137743.1000000006</v>
      </c>
      <c r="K31" s="178">
        <f t="shared" si="6"/>
        <v>5300052.5199999996</v>
      </c>
      <c r="L31" s="179">
        <f t="shared" si="3"/>
        <v>-162309.41999999899</v>
      </c>
      <c r="M31" s="171">
        <f t="shared" si="7"/>
        <v>-13041.128197472266</v>
      </c>
      <c r="N31" s="172">
        <f t="shared" si="8"/>
        <v>-175350.54819747125</v>
      </c>
      <c r="O31" s="171">
        <v>0</v>
      </c>
      <c r="P31" s="171">
        <v>0</v>
      </c>
      <c r="Q31" s="171">
        <v>0</v>
      </c>
      <c r="R31" s="172">
        <f t="shared" si="9"/>
        <v>-175350.54819747125</v>
      </c>
    </row>
    <row r="32" spans="1:18" x14ac:dyDescent="0.25">
      <c r="A32" s="93">
        <v>1</v>
      </c>
      <c r="B32" s="180">
        <f t="shared" si="4"/>
        <v>45292</v>
      </c>
      <c r="C32" s="181">
        <f t="shared" ref="C32:D43" si="10">+C20</f>
        <v>45327</v>
      </c>
      <c r="D32" s="181">
        <f t="shared" si="10"/>
        <v>45348</v>
      </c>
      <c r="E32" s="182" t="s">
        <v>22</v>
      </c>
      <c r="F32" s="183">
        <v>9</v>
      </c>
      <c r="G32" s="166">
        <v>3306</v>
      </c>
      <c r="H32" s="167">
        <f t="shared" si="5"/>
        <v>2063.08</v>
      </c>
      <c r="I32" s="167">
        <f t="shared" si="1"/>
        <v>1999.9</v>
      </c>
      <c r="J32" s="168">
        <f t="shared" si="2"/>
        <v>6611669.4000000004</v>
      </c>
      <c r="K32" s="169">
        <f t="shared" si="6"/>
        <v>6820542.4799999995</v>
      </c>
      <c r="L32" s="170">
        <f t="shared" si="3"/>
        <v>-208873.07999999914</v>
      </c>
      <c r="M32" s="171">
        <f t="shared" si="7"/>
        <v>-16782.393857860381</v>
      </c>
      <c r="N32" s="172">
        <f t="shared" si="8"/>
        <v>-225655.47385785953</v>
      </c>
      <c r="O32" s="171">
        <v>0</v>
      </c>
      <c r="P32" s="171">
        <v>0</v>
      </c>
      <c r="Q32" s="171">
        <v>0</v>
      </c>
      <c r="R32" s="172">
        <f t="shared" si="9"/>
        <v>-225655.47385785953</v>
      </c>
    </row>
    <row r="33" spans="1:18" x14ac:dyDescent="0.25">
      <c r="A33" s="129">
        <v>2</v>
      </c>
      <c r="B33" s="164">
        <f t="shared" si="4"/>
        <v>45323</v>
      </c>
      <c r="C33" s="184">
        <f t="shared" si="10"/>
        <v>45356</v>
      </c>
      <c r="D33" s="184">
        <f t="shared" si="10"/>
        <v>45376</v>
      </c>
      <c r="E33" s="173" t="s">
        <v>22</v>
      </c>
      <c r="F33" s="129">
        <v>9</v>
      </c>
      <c r="G33" s="166">
        <v>2611</v>
      </c>
      <c r="H33" s="167">
        <f t="shared" si="5"/>
        <v>2063.08</v>
      </c>
      <c r="I33" s="167">
        <f t="shared" si="1"/>
        <v>1999.9</v>
      </c>
      <c r="J33" s="168">
        <f t="shared" si="2"/>
        <v>5221738.9000000004</v>
      </c>
      <c r="K33" s="169">
        <f t="shared" si="6"/>
        <v>5386701.8799999999</v>
      </c>
      <c r="L33" s="170">
        <f t="shared" si="3"/>
        <v>-164962.97999999952</v>
      </c>
      <c r="M33" s="171">
        <f t="shared" si="7"/>
        <v>-13254.334653016773</v>
      </c>
      <c r="N33" s="172">
        <f t="shared" si="8"/>
        <v>-178217.31465301628</v>
      </c>
      <c r="O33" s="171">
        <v>0</v>
      </c>
      <c r="P33" s="171">
        <v>0</v>
      </c>
      <c r="Q33" s="171">
        <v>0</v>
      </c>
      <c r="R33" s="172">
        <f t="shared" si="9"/>
        <v>-178217.31465301628</v>
      </c>
    </row>
    <row r="34" spans="1:18" x14ac:dyDescent="0.25">
      <c r="A34" s="129">
        <v>3</v>
      </c>
      <c r="B34" s="164">
        <f t="shared" si="4"/>
        <v>45352</v>
      </c>
      <c r="C34" s="184">
        <f t="shared" si="10"/>
        <v>45385</v>
      </c>
      <c r="D34" s="184">
        <f t="shared" si="10"/>
        <v>45406</v>
      </c>
      <c r="E34" s="173" t="s">
        <v>22</v>
      </c>
      <c r="F34" s="129">
        <v>9</v>
      </c>
      <c r="G34" s="166">
        <v>2302</v>
      </c>
      <c r="H34" s="167">
        <f t="shared" si="5"/>
        <v>2063.08</v>
      </c>
      <c r="I34" s="167">
        <f t="shared" si="1"/>
        <v>1999.9</v>
      </c>
      <c r="J34" s="168">
        <f t="shared" si="2"/>
        <v>4603769.8</v>
      </c>
      <c r="K34" s="169">
        <f t="shared" ref="K34:K93" si="11">+$G34*H34</f>
        <v>4749210.16</v>
      </c>
      <c r="L34" s="170">
        <f t="shared" si="3"/>
        <v>-145440.36000000034</v>
      </c>
      <c r="M34" s="171">
        <f t="shared" si="7"/>
        <v>-11685.744301510766</v>
      </c>
      <c r="N34" s="172">
        <f t="shared" si="8"/>
        <v>-157126.10430151111</v>
      </c>
      <c r="O34" s="171">
        <v>0</v>
      </c>
      <c r="P34" s="171">
        <v>0</v>
      </c>
      <c r="Q34" s="171">
        <v>0</v>
      </c>
      <c r="R34" s="172">
        <f t="shared" si="9"/>
        <v>-157126.10430151111</v>
      </c>
    </row>
    <row r="35" spans="1:18" x14ac:dyDescent="0.25">
      <c r="A35" s="93">
        <v>4</v>
      </c>
      <c r="B35" s="164">
        <f t="shared" si="4"/>
        <v>45383</v>
      </c>
      <c r="C35" s="184">
        <f t="shared" si="10"/>
        <v>45415</v>
      </c>
      <c r="D35" s="184">
        <f t="shared" si="10"/>
        <v>45436</v>
      </c>
      <c r="E35" s="173" t="s">
        <v>22</v>
      </c>
      <c r="F35" s="129">
        <v>9</v>
      </c>
      <c r="G35" s="166">
        <v>2486</v>
      </c>
      <c r="H35" s="167">
        <f t="shared" si="5"/>
        <v>2063.08</v>
      </c>
      <c r="I35" s="167">
        <f t="shared" si="1"/>
        <v>1999.9</v>
      </c>
      <c r="J35" s="168">
        <f t="shared" si="2"/>
        <v>4971751.4000000004</v>
      </c>
      <c r="K35" s="169">
        <f t="shared" si="11"/>
        <v>5128816.88</v>
      </c>
      <c r="L35" s="170">
        <f t="shared" ref="L35:L57" si="12">+J35-K35</f>
        <v>-157065.47999999952</v>
      </c>
      <c r="M35" s="171">
        <f t="shared" si="7"/>
        <v>-12619.791630562888</v>
      </c>
      <c r="N35" s="172">
        <f t="shared" si="8"/>
        <v>-169685.27163056241</v>
      </c>
      <c r="O35" s="171">
        <v>0</v>
      </c>
      <c r="P35" s="171">
        <v>0</v>
      </c>
      <c r="Q35" s="171">
        <v>0</v>
      </c>
      <c r="R35" s="172">
        <f t="shared" si="9"/>
        <v>-169685.27163056241</v>
      </c>
    </row>
    <row r="36" spans="1:18" x14ac:dyDescent="0.25">
      <c r="A36" s="129">
        <v>5</v>
      </c>
      <c r="B36" s="164">
        <f t="shared" si="4"/>
        <v>45413</v>
      </c>
      <c r="C36" s="184">
        <f t="shared" si="10"/>
        <v>45448</v>
      </c>
      <c r="D36" s="184">
        <f t="shared" si="10"/>
        <v>45467</v>
      </c>
      <c r="E36" s="52" t="s">
        <v>22</v>
      </c>
      <c r="F36" s="129">
        <v>9</v>
      </c>
      <c r="G36" s="166">
        <v>2970</v>
      </c>
      <c r="H36" s="167">
        <f t="shared" si="5"/>
        <v>2063.08</v>
      </c>
      <c r="I36" s="167">
        <f t="shared" si="1"/>
        <v>1999.9</v>
      </c>
      <c r="J36" s="168">
        <f t="shared" si="2"/>
        <v>5939703</v>
      </c>
      <c r="K36" s="169">
        <f t="shared" si="11"/>
        <v>6127347.5999999996</v>
      </c>
      <c r="L36" s="170">
        <f t="shared" si="12"/>
        <v>-187644.59999999963</v>
      </c>
      <c r="M36" s="171">
        <f t="shared" si="7"/>
        <v>-15076.742213504334</v>
      </c>
      <c r="N36" s="172">
        <f t="shared" si="8"/>
        <v>-202721.34221350396</v>
      </c>
      <c r="O36" s="171">
        <v>0</v>
      </c>
      <c r="P36" s="171">
        <v>0</v>
      </c>
      <c r="Q36" s="171">
        <v>0</v>
      </c>
      <c r="R36" s="172">
        <f t="shared" si="9"/>
        <v>-202721.34221350396</v>
      </c>
    </row>
    <row r="37" spans="1:18" x14ac:dyDescent="0.25">
      <c r="A37" s="129">
        <v>6</v>
      </c>
      <c r="B37" s="164">
        <f t="shared" si="4"/>
        <v>45444</v>
      </c>
      <c r="C37" s="184">
        <f t="shared" si="10"/>
        <v>45476</v>
      </c>
      <c r="D37" s="184">
        <f t="shared" si="10"/>
        <v>45497</v>
      </c>
      <c r="E37" s="52" t="s">
        <v>22</v>
      </c>
      <c r="F37" s="129">
        <v>9</v>
      </c>
      <c r="G37" s="166">
        <v>3483</v>
      </c>
      <c r="H37" s="167">
        <f t="shared" si="5"/>
        <v>2063.08</v>
      </c>
      <c r="I37" s="167">
        <f t="shared" si="1"/>
        <v>1999.9</v>
      </c>
      <c r="J37" s="168">
        <f t="shared" si="2"/>
        <v>6965651.7000000002</v>
      </c>
      <c r="K37" s="169">
        <f t="shared" si="11"/>
        <v>7185707.6399999997</v>
      </c>
      <c r="L37" s="174">
        <f t="shared" si="12"/>
        <v>-220055.93999999948</v>
      </c>
      <c r="M37" s="171">
        <f t="shared" si="7"/>
        <v>-17680.90677765508</v>
      </c>
      <c r="N37" s="172">
        <f t="shared" si="8"/>
        <v>-237736.84677765454</v>
      </c>
      <c r="O37" s="171">
        <v>0</v>
      </c>
      <c r="P37" s="171">
        <v>0</v>
      </c>
      <c r="Q37" s="171">
        <v>0</v>
      </c>
      <c r="R37" s="172">
        <f t="shared" si="9"/>
        <v>-237736.84677765454</v>
      </c>
    </row>
    <row r="38" spans="1:18" x14ac:dyDescent="0.25">
      <c r="A38" s="93">
        <v>7</v>
      </c>
      <c r="B38" s="164">
        <f t="shared" si="4"/>
        <v>45474</v>
      </c>
      <c r="C38" s="184">
        <f t="shared" si="10"/>
        <v>45509</v>
      </c>
      <c r="D38" s="184">
        <f t="shared" si="10"/>
        <v>45530</v>
      </c>
      <c r="E38" s="52" t="s">
        <v>22</v>
      </c>
      <c r="F38" s="129">
        <v>9</v>
      </c>
      <c r="G38" s="166">
        <v>3510</v>
      </c>
      <c r="H38" s="167">
        <f t="shared" si="5"/>
        <v>2063.08</v>
      </c>
      <c r="I38" s="167">
        <f t="shared" si="1"/>
        <v>1999.9</v>
      </c>
      <c r="J38" s="168">
        <f t="shared" si="2"/>
        <v>7019649</v>
      </c>
      <c r="K38" s="175">
        <f t="shared" si="11"/>
        <v>7241410.7999999998</v>
      </c>
      <c r="L38" s="174">
        <f t="shared" si="12"/>
        <v>-221761.79999999981</v>
      </c>
      <c r="M38" s="171">
        <f t="shared" si="7"/>
        <v>-17817.968070505121</v>
      </c>
      <c r="N38" s="172">
        <f t="shared" si="8"/>
        <v>-239579.76807050494</v>
      </c>
      <c r="O38" s="171">
        <v>0</v>
      </c>
      <c r="P38" s="171">
        <v>0</v>
      </c>
      <c r="Q38" s="171">
        <v>0</v>
      </c>
      <c r="R38" s="172">
        <f t="shared" si="9"/>
        <v>-239579.76807050494</v>
      </c>
    </row>
    <row r="39" spans="1:18" x14ac:dyDescent="0.25">
      <c r="A39" s="129">
        <v>8</v>
      </c>
      <c r="B39" s="164">
        <f t="shared" si="4"/>
        <v>45505</v>
      </c>
      <c r="C39" s="184">
        <f t="shared" si="10"/>
        <v>45539</v>
      </c>
      <c r="D39" s="184">
        <f t="shared" si="10"/>
        <v>45559</v>
      </c>
      <c r="E39" s="52" t="s">
        <v>22</v>
      </c>
      <c r="F39" s="129">
        <v>9</v>
      </c>
      <c r="G39" s="166">
        <v>3574</v>
      </c>
      <c r="H39" s="167">
        <f t="shared" si="5"/>
        <v>2063.08</v>
      </c>
      <c r="I39" s="167">
        <f t="shared" si="1"/>
        <v>1999.9</v>
      </c>
      <c r="J39" s="168">
        <f t="shared" si="2"/>
        <v>7147642.6000000006</v>
      </c>
      <c r="K39" s="175">
        <f t="shared" si="11"/>
        <v>7373447.9199999999</v>
      </c>
      <c r="L39" s="174">
        <f t="shared" si="12"/>
        <v>-225805.31999999937</v>
      </c>
      <c r="M39" s="171">
        <f t="shared" si="7"/>
        <v>-18142.854098001513</v>
      </c>
      <c r="N39" s="172">
        <f t="shared" si="8"/>
        <v>-243948.17409800089</v>
      </c>
      <c r="O39" s="171">
        <v>0</v>
      </c>
      <c r="P39" s="171">
        <v>0</v>
      </c>
      <c r="Q39" s="171">
        <v>0</v>
      </c>
      <c r="R39" s="172">
        <f t="shared" si="9"/>
        <v>-243948.17409800089</v>
      </c>
    </row>
    <row r="40" spans="1:18" x14ac:dyDescent="0.25">
      <c r="A40" s="129">
        <v>9</v>
      </c>
      <c r="B40" s="164">
        <f t="shared" si="4"/>
        <v>45536</v>
      </c>
      <c r="C40" s="184">
        <f t="shared" si="10"/>
        <v>45568</v>
      </c>
      <c r="D40" s="184">
        <f t="shared" si="10"/>
        <v>45589</v>
      </c>
      <c r="E40" s="52" t="s">
        <v>22</v>
      </c>
      <c r="F40" s="129">
        <v>9</v>
      </c>
      <c r="G40" s="166">
        <v>3188</v>
      </c>
      <c r="H40" s="167">
        <f t="shared" si="5"/>
        <v>2063.08</v>
      </c>
      <c r="I40" s="167">
        <f t="shared" si="1"/>
        <v>1999.9</v>
      </c>
      <c r="J40" s="168">
        <f t="shared" si="2"/>
        <v>6375681.2000000002</v>
      </c>
      <c r="K40" s="175">
        <f t="shared" si="11"/>
        <v>6577099.04</v>
      </c>
      <c r="L40" s="174">
        <f t="shared" si="12"/>
        <v>-201417.83999999985</v>
      </c>
      <c r="M40" s="171">
        <f t="shared" si="7"/>
        <v>-16183.38524466391</v>
      </c>
      <c r="N40" s="172">
        <f t="shared" si="8"/>
        <v>-217601.22524466377</v>
      </c>
      <c r="O40" s="171">
        <v>0</v>
      </c>
      <c r="P40" s="171">
        <v>0</v>
      </c>
      <c r="Q40" s="171">
        <v>0</v>
      </c>
      <c r="R40" s="172">
        <f t="shared" si="9"/>
        <v>-217601.22524466377</v>
      </c>
    </row>
    <row r="41" spans="1:18" x14ac:dyDescent="0.25">
      <c r="A41" s="93">
        <v>10</v>
      </c>
      <c r="B41" s="164">
        <f t="shared" si="4"/>
        <v>45566</v>
      </c>
      <c r="C41" s="184">
        <f t="shared" si="10"/>
        <v>45601</v>
      </c>
      <c r="D41" s="184">
        <f t="shared" si="10"/>
        <v>45621</v>
      </c>
      <c r="E41" s="52" t="s">
        <v>22</v>
      </c>
      <c r="F41" s="129">
        <v>9</v>
      </c>
      <c r="G41" s="166">
        <v>2793</v>
      </c>
      <c r="H41" s="167">
        <f t="shared" si="5"/>
        <v>2063.08</v>
      </c>
      <c r="I41" s="167">
        <f t="shared" si="1"/>
        <v>1999.9</v>
      </c>
      <c r="J41" s="168">
        <f t="shared" si="2"/>
        <v>5585720.7000000002</v>
      </c>
      <c r="K41" s="175">
        <f t="shared" si="11"/>
        <v>5762182.4399999995</v>
      </c>
      <c r="L41" s="174">
        <f t="shared" si="12"/>
        <v>-176461.73999999929</v>
      </c>
      <c r="M41" s="171">
        <f t="shared" si="7"/>
        <v>-14178.229293709632</v>
      </c>
      <c r="N41" s="172">
        <f t="shared" si="8"/>
        <v>-190639.96929370891</v>
      </c>
      <c r="O41" s="171">
        <v>0</v>
      </c>
      <c r="P41" s="171">
        <v>0</v>
      </c>
      <c r="Q41" s="171">
        <v>0</v>
      </c>
      <c r="R41" s="172">
        <f t="shared" si="9"/>
        <v>-190639.96929370891</v>
      </c>
    </row>
    <row r="42" spans="1:18" x14ac:dyDescent="0.25">
      <c r="A42" s="129">
        <v>11</v>
      </c>
      <c r="B42" s="164">
        <f t="shared" si="4"/>
        <v>45597</v>
      </c>
      <c r="C42" s="184">
        <f t="shared" si="10"/>
        <v>45630</v>
      </c>
      <c r="D42" s="184">
        <f t="shared" si="10"/>
        <v>45650</v>
      </c>
      <c r="E42" s="52" t="s">
        <v>22</v>
      </c>
      <c r="F42" s="129">
        <v>9</v>
      </c>
      <c r="G42" s="166">
        <v>2339</v>
      </c>
      <c r="H42" s="167">
        <f t="shared" si="5"/>
        <v>2063.08</v>
      </c>
      <c r="I42" s="167">
        <f t="shared" si="1"/>
        <v>1999.9</v>
      </c>
      <c r="J42" s="168">
        <f t="shared" si="2"/>
        <v>4677766.1000000006</v>
      </c>
      <c r="K42" s="175">
        <f t="shared" si="11"/>
        <v>4825544.12</v>
      </c>
      <c r="L42" s="174">
        <f t="shared" si="12"/>
        <v>-147778.01999999955</v>
      </c>
      <c r="M42" s="171">
        <f t="shared" si="7"/>
        <v>-11873.569036157116</v>
      </c>
      <c r="N42" s="172">
        <f t="shared" si="8"/>
        <v>-159651.58903615666</v>
      </c>
      <c r="O42" s="171">
        <v>0</v>
      </c>
      <c r="P42" s="171">
        <v>0</v>
      </c>
      <c r="Q42" s="171">
        <v>0</v>
      </c>
      <c r="R42" s="172">
        <f t="shared" si="9"/>
        <v>-159651.58903615666</v>
      </c>
    </row>
    <row r="43" spans="1:18" x14ac:dyDescent="0.25">
      <c r="A43" s="129">
        <v>12</v>
      </c>
      <c r="B43" s="164">
        <f t="shared" si="4"/>
        <v>45627</v>
      </c>
      <c r="C43" s="184">
        <f t="shared" si="10"/>
        <v>45660</v>
      </c>
      <c r="D43" s="184">
        <f t="shared" si="10"/>
        <v>45681</v>
      </c>
      <c r="E43" s="52" t="s">
        <v>22</v>
      </c>
      <c r="F43" s="129">
        <v>9</v>
      </c>
      <c r="G43" s="166">
        <v>2520</v>
      </c>
      <c r="H43" s="176">
        <f t="shared" si="5"/>
        <v>2063.08</v>
      </c>
      <c r="I43" s="176">
        <f t="shared" si="1"/>
        <v>1999.9</v>
      </c>
      <c r="J43" s="177">
        <f t="shared" si="2"/>
        <v>5039748</v>
      </c>
      <c r="K43" s="178">
        <f t="shared" si="11"/>
        <v>5198961.5999999996</v>
      </c>
      <c r="L43" s="179">
        <f t="shared" si="12"/>
        <v>-159213.59999999963</v>
      </c>
      <c r="M43" s="171">
        <f t="shared" si="7"/>
        <v>-12792.387332670343</v>
      </c>
      <c r="N43" s="172">
        <f t="shared" si="8"/>
        <v>-172005.98733266996</v>
      </c>
      <c r="O43" s="171">
        <v>0</v>
      </c>
      <c r="P43" s="171">
        <v>0</v>
      </c>
      <c r="Q43" s="171">
        <v>0</v>
      </c>
      <c r="R43" s="172">
        <f t="shared" si="9"/>
        <v>-172005.98733266996</v>
      </c>
    </row>
    <row r="44" spans="1:18" x14ac:dyDescent="0.25">
      <c r="A44" s="93">
        <v>1</v>
      </c>
      <c r="B44" s="180">
        <f t="shared" ref="B44:B55" si="13">DATE($R$1,A44,1)</f>
        <v>45292</v>
      </c>
      <c r="C44" s="181">
        <f t="shared" ref="C44:D55" si="14">+C32</f>
        <v>45327</v>
      </c>
      <c r="D44" s="181">
        <f t="shared" si="14"/>
        <v>45348</v>
      </c>
      <c r="E44" s="182" t="s">
        <v>81</v>
      </c>
      <c r="F44" s="183">
        <v>9</v>
      </c>
      <c r="G44" s="166">
        <v>216</v>
      </c>
      <c r="H44" s="167">
        <f t="shared" si="5"/>
        <v>2063.08</v>
      </c>
      <c r="I44" s="167">
        <f t="shared" si="1"/>
        <v>1999.9</v>
      </c>
      <c r="J44" s="171">
        <f t="shared" ref="J44:J55" si="15">+$G44*I44</f>
        <v>431978.4</v>
      </c>
      <c r="K44" s="175">
        <f t="shared" ref="K44:K55" si="16">+$G44*H44</f>
        <v>445625.27999999997</v>
      </c>
      <c r="L44" s="174">
        <f t="shared" ref="L44:L55" si="17">+J44-K44</f>
        <v>-13646.879999999946</v>
      </c>
      <c r="M44" s="171">
        <f t="shared" si="7"/>
        <v>-1096.4903428003154</v>
      </c>
      <c r="N44" s="172">
        <f t="shared" si="8"/>
        <v>-14743.370342800263</v>
      </c>
      <c r="O44" s="171">
        <v>0</v>
      </c>
      <c r="P44" s="171">
        <v>0</v>
      </c>
      <c r="Q44" s="171">
        <v>0</v>
      </c>
      <c r="R44" s="172">
        <f t="shared" si="9"/>
        <v>-14743.370342800263</v>
      </c>
    </row>
    <row r="45" spans="1:18" x14ac:dyDescent="0.25">
      <c r="A45" s="129">
        <v>2</v>
      </c>
      <c r="B45" s="164">
        <f t="shared" si="13"/>
        <v>45323</v>
      </c>
      <c r="C45" s="184">
        <f t="shared" si="14"/>
        <v>45356</v>
      </c>
      <c r="D45" s="184">
        <f t="shared" si="14"/>
        <v>45376</v>
      </c>
      <c r="E45" s="173" t="s">
        <v>81</v>
      </c>
      <c r="F45" s="129">
        <v>9</v>
      </c>
      <c r="G45" s="166">
        <v>146</v>
      </c>
      <c r="H45" s="167">
        <f t="shared" si="5"/>
        <v>2063.08</v>
      </c>
      <c r="I45" s="167">
        <f t="shared" si="1"/>
        <v>1999.9</v>
      </c>
      <c r="J45" s="171">
        <f t="shared" si="15"/>
        <v>291985.40000000002</v>
      </c>
      <c r="K45" s="175">
        <f t="shared" si="16"/>
        <v>301209.68</v>
      </c>
      <c r="L45" s="174">
        <f t="shared" si="17"/>
        <v>-9224.2799999999697</v>
      </c>
      <c r="M45" s="171">
        <f t="shared" si="7"/>
        <v>-741.14625022613893</v>
      </c>
      <c r="N45" s="172">
        <f t="shared" si="8"/>
        <v>-9965.4262502261081</v>
      </c>
      <c r="O45" s="171">
        <v>0</v>
      </c>
      <c r="P45" s="171">
        <v>0</v>
      </c>
      <c r="Q45" s="171">
        <v>0</v>
      </c>
      <c r="R45" s="172">
        <f t="shared" si="9"/>
        <v>-9965.4262502261081</v>
      </c>
    </row>
    <row r="46" spans="1:18" x14ac:dyDescent="0.25">
      <c r="A46" s="129">
        <v>3</v>
      </c>
      <c r="B46" s="164">
        <f t="shared" si="13"/>
        <v>45352</v>
      </c>
      <c r="C46" s="184">
        <f t="shared" si="14"/>
        <v>45385</v>
      </c>
      <c r="D46" s="184">
        <f t="shared" si="14"/>
        <v>45406</v>
      </c>
      <c r="E46" s="173" t="s">
        <v>81</v>
      </c>
      <c r="F46" s="129">
        <v>9</v>
      </c>
      <c r="G46" s="166">
        <v>113</v>
      </c>
      <c r="H46" s="167">
        <f t="shared" si="5"/>
        <v>2063.08</v>
      </c>
      <c r="I46" s="167">
        <f t="shared" si="1"/>
        <v>1999.9</v>
      </c>
      <c r="J46" s="171">
        <f t="shared" si="15"/>
        <v>225988.7</v>
      </c>
      <c r="K46" s="175">
        <f t="shared" si="16"/>
        <v>233128.03999999998</v>
      </c>
      <c r="L46" s="174">
        <f t="shared" si="17"/>
        <v>-7139.3399999999674</v>
      </c>
      <c r="M46" s="171">
        <f t="shared" si="7"/>
        <v>-573.62689229831301</v>
      </c>
      <c r="N46" s="172">
        <f t="shared" si="8"/>
        <v>-7712.9668922982801</v>
      </c>
      <c r="O46" s="171">
        <v>0</v>
      </c>
      <c r="P46" s="171">
        <v>0</v>
      </c>
      <c r="Q46" s="171">
        <v>0</v>
      </c>
      <c r="R46" s="172">
        <f t="shared" si="9"/>
        <v>-7712.9668922982801</v>
      </c>
    </row>
    <row r="47" spans="1:18" x14ac:dyDescent="0.25">
      <c r="A47" s="93">
        <v>4</v>
      </c>
      <c r="B47" s="164">
        <f t="shared" si="13"/>
        <v>45383</v>
      </c>
      <c r="C47" s="184">
        <f t="shared" si="14"/>
        <v>45415</v>
      </c>
      <c r="D47" s="184">
        <f t="shared" si="14"/>
        <v>45436</v>
      </c>
      <c r="E47" s="173" t="s">
        <v>81</v>
      </c>
      <c r="F47" s="129">
        <v>9</v>
      </c>
      <c r="G47" s="166">
        <v>76</v>
      </c>
      <c r="H47" s="167">
        <f t="shared" si="5"/>
        <v>2063.08</v>
      </c>
      <c r="I47" s="167">
        <f t="shared" si="1"/>
        <v>1999.9</v>
      </c>
      <c r="J47" s="171">
        <f t="shared" si="15"/>
        <v>151992.4</v>
      </c>
      <c r="K47" s="175">
        <f t="shared" si="16"/>
        <v>156794.07999999999</v>
      </c>
      <c r="L47" s="174">
        <f t="shared" si="17"/>
        <v>-4801.679999999993</v>
      </c>
      <c r="M47" s="171">
        <f t="shared" si="7"/>
        <v>-385.80215765196277</v>
      </c>
      <c r="N47" s="172">
        <f t="shared" si="8"/>
        <v>-5187.4821576519562</v>
      </c>
      <c r="O47" s="171">
        <v>0</v>
      </c>
      <c r="P47" s="171">
        <v>0</v>
      </c>
      <c r="Q47" s="171">
        <v>0</v>
      </c>
      <c r="R47" s="172">
        <f t="shared" si="9"/>
        <v>-5187.4821576519562</v>
      </c>
    </row>
    <row r="48" spans="1:18" x14ac:dyDescent="0.25">
      <c r="A48" s="129">
        <v>5</v>
      </c>
      <c r="B48" s="164">
        <f t="shared" si="13"/>
        <v>45413</v>
      </c>
      <c r="C48" s="184">
        <f t="shared" si="14"/>
        <v>45448</v>
      </c>
      <c r="D48" s="184">
        <f t="shared" si="14"/>
        <v>45467</v>
      </c>
      <c r="E48" s="173" t="s">
        <v>81</v>
      </c>
      <c r="F48" s="129">
        <v>9</v>
      </c>
      <c r="G48" s="166">
        <v>120</v>
      </c>
      <c r="H48" s="167">
        <f t="shared" si="5"/>
        <v>2063.08</v>
      </c>
      <c r="I48" s="167">
        <f t="shared" si="1"/>
        <v>1999.9</v>
      </c>
      <c r="J48" s="171">
        <f t="shared" si="15"/>
        <v>239988</v>
      </c>
      <c r="K48" s="175">
        <f t="shared" si="16"/>
        <v>247569.59999999998</v>
      </c>
      <c r="L48" s="174">
        <f t="shared" si="17"/>
        <v>-7581.5999999999767</v>
      </c>
      <c r="M48" s="171">
        <f t="shared" si="7"/>
        <v>-609.16130155573069</v>
      </c>
      <c r="N48" s="172">
        <f t="shared" si="8"/>
        <v>-8190.7613015557072</v>
      </c>
      <c r="O48" s="171">
        <v>0</v>
      </c>
      <c r="P48" s="171">
        <v>0</v>
      </c>
      <c r="Q48" s="171">
        <v>0</v>
      </c>
      <c r="R48" s="172">
        <f t="shared" si="9"/>
        <v>-8190.7613015557072</v>
      </c>
    </row>
    <row r="49" spans="1:18" x14ac:dyDescent="0.25">
      <c r="A49" s="129">
        <v>6</v>
      </c>
      <c r="B49" s="164">
        <f t="shared" si="13"/>
        <v>45444</v>
      </c>
      <c r="C49" s="184">
        <f t="shared" si="14"/>
        <v>45476</v>
      </c>
      <c r="D49" s="184">
        <f t="shared" si="14"/>
        <v>45497</v>
      </c>
      <c r="E49" s="173" t="s">
        <v>81</v>
      </c>
      <c r="F49" s="129">
        <v>9</v>
      </c>
      <c r="G49" s="166">
        <v>147</v>
      </c>
      <c r="H49" s="167">
        <f t="shared" si="5"/>
        <v>2063.08</v>
      </c>
      <c r="I49" s="167">
        <f t="shared" si="1"/>
        <v>1999.9</v>
      </c>
      <c r="J49" s="171">
        <f t="shared" si="15"/>
        <v>293985.3</v>
      </c>
      <c r="K49" s="175">
        <f t="shared" si="16"/>
        <v>303272.76</v>
      </c>
      <c r="L49" s="174">
        <f t="shared" si="17"/>
        <v>-9287.460000000021</v>
      </c>
      <c r="M49" s="171">
        <f t="shared" si="7"/>
        <v>-746.22259440577011</v>
      </c>
      <c r="N49" s="172">
        <f t="shared" si="8"/>
        <v>-10033.682594405791</v>
      </c>
      <c r="O49" s="171">
        <v>0</v>
      </c>
      <c r="P49" s="171">
        <v>0</v>
      </c>
      <c r="Q49" s="171">
        <v>0</v>
      </c>
      <c r="R49" s="172">
        <f t="shared" si="9"/>
        <v>-10033.682594405791</v>
      </c>
    </row>
    <row r="50" spans="1:18" x14ac:dyDescent="0.25">
      <c r="A50" s="93">
        <v>7</v>
      </c>
      <c r="B50" s="164">
        <f t="shared" si="13"/>
        <v>45474</v>
      </c>
      <c r="C50" s="184">
        <f t="shared" si="14"/>
        <v>45509</v>
      </c>
      <c r="D50" s="184">
        <f t="shared" si="14"/>
        <v>45530</v>
      </c>
      <c r="E50" s="173" t="s">
        <v>81</v>
      </c>
      <c r="F50" s="129">
        <v>9</v>
      </c>
      <c r="G50" s="166">
        <v>155</v>
      </c>
      <c r="H50" s="167">
        <f t="shared" si="5"/>
        <v>2063.08</v>
      </c>
      <c r="I50" s="167">
        <f t="shared" si="1"/>
        <v>1999.9</v>
      </c>
      <c r="J50" s="171">
        <f t="shared" si="15"/>
        <v>309984.5</v>
      </c>
      <c r="K50" s="175">
        <f t="shared" si="16"/>
        <v>319777.39999999997</v>
      </c>
      <c r="L50" s="174">
        <f t="shared" si="17"/>
        <v>-9792.8999999999651</v>
      </c>
      <c r="M50" s="171">
        <f t="shared" si="7"/>
        <v>-786.83334784281885</v>
      </c>
      <c r="N50" s="172">
        <f t="shared" si="8"/>
        <v>-10579.733347842784</v>
      </c>
      <c r="O50" s="171">
        <v>0</v>
      </c>
      <c r="P50" s="171">
        <v>0</v>
      </c>
      <c r="Q50" s="171">
        <v>0</v>
      </c>
      <c r="R50" s="172">
        <f t="shared" si="9"/>
        <v>-10579.733347842784</v>
      </c>
    </row>
    <row r="51" spans="1:18" x14ac:dyDescent="0.25">
      <c r="A51" s="129">
        <v>8</v>
      </c>
      <c r="B51" s="164">
        <f t="shared" si="13"/>
        <v>45505</v>
      </c>
      <c r="C51" s="184">
        <f t="shared" si="14"/>
        <v>45539</v>
      </c>
      <c r="D51" s="184">
        <f t="shared" si="14"/>
        <v>45559</v>
      </c>
      <c r="E51" s="173" t="s">
        <v>81</v>
      </c>
      <c r="F51" s="129">
        <v>9</v>
      </c>
      <c r="G51" s="166">
        <v>157</v>
      </c>
      <c r="H51" s="167">
        <f t="shared" si="5"/>
        <v>2063.08</v>
      </c>
      <c r="I51" s="167">
        <f t="shared" si="1"/>
        <v>1999.9</v>
      </c>
      <c r="J51" s="171">
        <f t="shared" si="15"/>
        <v>313984.3</v>
      </c>
      <c r="K51" s="175">
        <f t="shared" si="16"/>
        <v>323903.56</v>
      </c>
      <c r="L51" s="174">
        <f t="shared" si="17"/>
        <v>-9919.2600000000093</v>
      </c>
      <c r="M51" s="171">
        <f t="shared" si="7"/>
        <v>-796.98603620208087</v>
      </c>
      <c r="N51" s="172">
        <f t="shared" si="8"/>
        <v>-10716.24603620209</v>
      </c>
      <c r="O51" s="171">
        <v>0</v>
      </c>
      <c r="P51" s="171">
        <v>0</v>
      </c>
      <c r="Q51" s="171">
        <v>0</v>
      </c>
      <c r="R51" s="172">
        <f t="shared" si="9"/>
        <v>-10716.24603620209</v>
      </c>
    </row>
    <row r="52" spans="1:18" x14ac:dyDescent="0.25">
      <c r="A52" s="129">
        <v>9</v>
      </c>
      <c r="B52" s="164">
        <f t="shared" si="13"/>
        <v>45536</v>
      </c>
      <c r="C52" s="184">
        <f t="shared" si="14"/>
        <v>45568</v>
      </c>
      <c r="D52" s="184">
        <f t="shared" si="14"/>
        <v>45589</v>
      </c>
      <c r="E52" s="173" t="s">
        <v>81</v>
      </c>
      <c r="F52" s="129">
        <v>9</v>
      </c>
      <c r="G52" s="166">
        <v>126</v>
      </c>
      <c r="H52" s="167">
        <f t="shared" si="5"/>
        <v>2063.08</v>
      </c>
      <c r="I52" s="167">
        <f t="shared" si="1"/>
        <v>1999.9</v>
      </c>
      <c r="J52" s="171">
        <f t="shared" si="15"/>
        <v>251987.40000000002</v>
      </c>
      <c r="K52" s="175">
        <f t="shared" si="16"/>
        <v>259948.08</v>
      </c>
      <c r="L52" s="174">
        <f t="shared" si="17"/>
        <v>-7960.6799999999639</v>
      </c>
      <c r="M52" s="171">
        <f t="shared" si="7"/>
        <v>-639.61936663351719</v>
      </c>
      <c r="N52" s="172">
        <f t="shared" si="8"/>
        <v>-8600.2993666334805</v>
      </c>
      <c r="O52" s="171">
        <v>0</v>
      </c>
      <c r="P52" s="171">
        <v>0</v>
      </c>
      <c r="Q52" s="171">
        <v>0</v>
      </c>
      <c r="R52" s="172">
        <f t="shared" si="9"/>
        <v>-8600.2993666334805</v>
      </c>
    </row>
    <row r="53" spans="1:18" x14ac:dyDescent="0.25">
      <c r="A53" s="93">
        <v>10</v>
      </c>
      <c r="B53" s="164">
        <f t="shared" si="13"/>
        <v>45566</v>
      </c>
      <c r="C53" s="184">
        <f t="shared" si="14"/>
        <v>45601</v>
      </c>
      <c r="D53" s="184">
        <f t="shared" si="14"/>
        <v>45621</v>
      </c>
      <c r="E53" s="173" t="s">
        <v>81</v>
      </c>
      <c r="F53" s="129">
        <v>9</v>
      </c>
      <c r="G53" s="166">
        <v>112</v>
      </c>
      <c r="H53" s="167">
        <f t="shared" si="5"/>
        <v>2063.08</v>
      </c>
      <c r="I53" s="167">
        <f t="shared" si="1"/>
        <v>1999.9</v>
      </c>
      <c r="J53" s="171">
        <f t="shared" si="15"/>
        <v>223988.80000000002</v>
      </c>
      <c r="K53" s="175">
        <f t="shared" si="16"/>
        <v>231064.95999999999</v>
      </c>
      <c r="L53" s="174">
        <f t="shared" si="17"/>
        <v>-7076.1599999999744</v>
      </c>
      <c r="M53" s="171">
        <f t="shared" si="7"/>
        <v>-568.55054811868195</v>
      </c>
      <c r="N53" s="172">
        <f t="shared" si="8"/>
        <v>-7644.7105481186563</v>
      </c>
      <c r="O53" s="171">
        <v>0</v>
      </c>
      <c r="P53" s="171">
        <v>0</v>
      </c>
      <c r="Q53" s="171">
        <v>0</v>
      </c>
      <c r="R53" s="172">
        <f t="shared" si="9"/>
        <v>-7644.7105481186563</v>
      </c>
    </row>
    <row r="54" spans="1:18" x14ac:dyDescent="0.25">
      <c r="A54" s="129">
        <v>11</v>
      </c>
      <c r="B54" s="164">
        <f t="shared" si="13"/>
        <v>45597</v>
      </c>
      <c r="C54" s="184">
        <f t="shared" si="14"/>
        <v>45630</v>
      </c>
      <c r="D54" s="184">
        <f t="shared" si="14"/>
        <v>45650</v>
      </c>
      <c r="E54" s="173" t="s">
        <v>81</v>
      </c>
      <c r="F54" s="129">
        <v>9</v>
      </c>
      <c r="G54" s="166">
        <v>93</v>
      </c>
      <c r="H54" s="167">
        <f t="shared" si="5"/>
        <v>2063.08</v>
      </c>
      <c r="I54" s="167">
        <f t="shared" si="1"/>
        <v>1999.9</v>
      </c>
      <c r="J54" s="171">
        <f t="shared" si="15"/>
        <v>185990.7</v>
      </c>
      <c r="K54" s="175">
        <f t="shared" si="16"/>
        <v>191866.44</v>
      </c>
      <c r="L54" s="174">
        <f t="shared" si="17"/>
        <v>-5875.7399999999907</v>
      </c>
      <c r="M54" s="171">
        <f t="shared" si="7"/>
        <v>-472.10000870569127</v>
      </c>
      <c r="N54" s="172">
        <f t="shared" si="8"/>
        <v>-6347.8400087056816</v>
      </c>
      <c r="O54" s="171">
        <v>0</v>
      </c>
      <c r="P54" s="171">
        <v>0</v>
      </c>
      <c r="Q54" s="171">
        <v>0</v>
      </c>
      <c r="R54" s="172">
        <f t="shared" si="9"/>
        <v>-6347.8400087056816</v>
      </c>
    </row>
    <row r="55" spans="1:18" x14ac:dyDescent="0.25">
      <c r="A55" s="129">
        <v>12</v>
      </c>
      <c r="B55" s="164">
        <f t="shared" si="13"/>
        <v>45627</v>
      </c>
      <c r="C55" s="184">
        <f t="shared" si="14"/>
        <v>45660</v>
      </c>
      <c r="D55" s="184">
        <f t="shared" si="14"/>
        <v>45681</v>
      </c>
      <c r="E55" s="173" t="s">
        <v>81</v>
      </c>
      <c r="F55" s="129">
        <v>9</v>
      </c>
      <c r="G55" s="166">
        <v>128</v>
      </c>
      <c r="H55" s="176">
        <f t="shared" si="5"/>
        <v>2063.08</v>
      </c>
      <c r="I55" s="176">
        <f t="shared" si="1"/>
        <v>1999.9</v>
      </c>
      <c r="J55" s="177">
        <f t="shared" si="15"/>
        <v>255987.20000000001</v>
      </c>
      <c r="K55" s="178">
        <f t="shared" si="16"/>
        <v>264074.23999999999</v>
      </c>
      <c r="L55" s="179">
        <f t="shared" si="17"/>
        <v>-8087.039999999979</v>
      </c>
      <c r="M55" s="171">
        <f t="shared" si="7"/>
        <v>-649.77205499277943</v>
      </c>
      <c r="N55" s="172">
        <f t="shared" si="8"/>
        <v>-8736.8120549927589</v>
      </c>
      <c r="O55" s="171">
        <v>0</v>
      </c>
      <c r="P55" s="171">
        <v>0</v>
      </c>
      <c r="Q55" s="171">
        <v>0</v>
      </c>
      <c r="R55" s="172">
        <f t="shared" si="9"/>
        <v>-8736.8120549927589</v>
      </c>
    </row>
    <row r="56" spans="1:18" s="185" customFormat="1" x14ac:dyDescent="0.25">
      <c r="A56" s="93">
        <v>1</v>
      </c>
      <c r="B56" s="180">
        <f t="shared" si="4"/>
        <v>45292</v>
      </c>
      <c r="C56" s="181">
        <f t="shared" ref="C56:D67" si="18">+C32</f>
        <v>45327</v>
      </c>
      <c r="D56" s="181">
        <f t="shared" si="18"/>
        <v>45348</v>
      </c>
      <c r="E56" s="182" t="s">
        <v>14</v>
      </c>
      <c r="F56" s="183">
        <v>9</v>
      </c>
      <c r="G56" s="166">
        <v>1129</v>
      </c>
      <c r="H56" s="167">
        <f t="shared" si="5"/>
        <v>2063.08</v>
      </c>
      <c r="I56" s="167">
        <f t="shared" si="1"/>
        <v>1999.9</v>
      </c>
      <c r="J56" s="168">
        <f t="shared" si="2"/>
        <v>2257887.1</v>
      </c>
      <c r="K56" s="169">
        <f t="shared" si="11"/>
        <v>2329217.3199999998</v>
      </c>
      <c r="L56" s="170">
        <f t="shared" si="12"/>
        <v>-71330.219999999739</v>
      </c>
      <c r="M56" s="171">
        <f t="shared" si="7"/>
        <v>-5731.1925788034996</v>
      </c>
      <c r="N56" s="172">
        <f t="shared" si="8"/>
        <v>-77061.41257880324</v>
      </c>
      <c r="O56" s="171">
        <v>0</v>
      </c>
      <c r="P56" s="171">
        <v>0</v>
      </c>
      <c r="Q56" s="171">
        <v>0</v>
      </c>
      <c r="R56" s="172">
        <f t="shared" si="9"/>
        <v>-77061.41257880324</v>
      </c>
    </row>
    <row r="57" spans="1:18" x14ac:dyDescent="0.25">
      <c r="A57" s="129">
        <v>2</v>
      </c>
      <c r="B57" s="164">
        <f t="shared" si="4"/>
        <v>45323</v>
      </c>
      <c r="C57" s="184">
        <f t="shared" si="18"/>
        <v>45356</v>
      </c>
      <c r="D57" s="184">
        <f t="shared" si="18"/>
        <v>45376</v>
      </c>
      <c r="E57" s="173" t="s">
        <v>14</v>
      </c>
      <c r="F57" s="129">
        <v>9</v>
      </c>
      <c r="G57" s="166">
        <v>739</v>
      </c>
      <c r="H57" s="167">
        <f t="shared" si="5"/>
        <v>2063.08</v>
      </c>
      <c r="I57" s="167">
        <f t="shared" si="1"/>
        <v>1999.9</v>
      </c>
      <c r="J57" s="168">
        <f t="shared" si="2"/>
        <v>1477926.1</v>
      </c>
      <c r="K57" s="169">
        <f t="shared" si="11"/>
        <v>1524616.1199999999</v>
      </c>
      <c r="L57" s="170">
        <f t="shared" si="12"/>
        <v>-46690.019999999786</v>
      </c>
      <c r="M57" s="171">
        <f t="shared" si="7"/>
        <v>-3751.4183487473747</v>
      </c>
      <c r="N57" s="172">
        <f t="shared" si="8"/>
        <v>-50441.438348747164</v>
      </c>
      <c r="O57" s="171">
        <v>0</v>
      </c>
      <c r="P57" s="171">
        <v>0</v>
      </c>
      <c r="Q57" s="171">
        <v>0</v>
      </c>
      <c r="R57" s="172">
        <f t="shared" si="9"/>
        <v>-50441.438348747164</v>
      </c>
    </row>
    <row r="58" spans="1:18" x14ac:dyDescent="0.25">
      <c r="A58" s="129">
        <v>3</v>
      </c>
      <c r="B58" s="164">
        <f t="shared" si="4"/>
        <v>45352</v>
      </c>
      <c r="C58" s="184">
        <f t="shared" si="18"/>
        <v>45385</v>
      </c>
      <c r="D58" s="184">
        <f t="shared" si="18"/>
        <v>45406</v>
      </c>
      <c r="E58" s="173" t="s">
        <v>14</v>
      </c>
      <c r="F58" s="129">
        <v>9</v>
      </c>
      <c r="G58" s="166">
        <v>642</v>
      </c>
      <c r="H58" s="167">
        <f t="shared" si="5"/>
        <v>2063.08</v>
      </c>
      <c r="I58" s="167">
        <f t="shared" si="1"/>
        <v>1999.9</v>
      </c>
      <c r="J58" s="168">
        <f t="shared" si="2"/>
        <v>1283935.8</v>
      </c>
      <c r="K58" s="169">
        <f t="shared" si="11"/>
        <v>1324497.3599999999</v>
      </c>
      <c r="L58" s="170">
        <f>+J58-K58</f>
        <v>-40561.559999999823</v>
      </c>
      <c r="M58" s="171">
        <f t="shared" si="7"/>
        <v>-3259.0129633231591</v>
      </c>
      <c r="N58" s="172">
        <f t="shared" si="8"/>
        <v>-43820.572963322978</v>
      </c>
      <c r="O58" s="171">
        <v>0</v>
      </c>
      <c r="P58" s="171">
        <v>0</v>
      </c>
      <c r="Q58" s="171">
        <v>0</v>
      </c>
      <c r="R58" s="172">
        <f t="shared" si="9"/>
        <v>-43820.572963322978</v>
      </c>
    </row>
    <row r="59" spans="1:18" x14ac:dyDescent="0.25">
      <c r="A59" s="93">
        <v>4</v>
      </c>
      <c r="B59" s="164">
        <f t="shared" si="4"/>
        <v>45383</v>
      </c>
      <c r="C59" s="184">
        <f t="shared" si="18"/>
        <v>45415</v>
      </c>
      <c r="D59" s="184">
        <f t="shared" si="18"/>
        <v>45436</v>
      </c>
      <c r="E59" s="173" t="s">
        <v>14</v>
      </c>
      <c r="F59" s="129">
        <v>9</v>
      </c>
      <c r="G59" s="166">
        <v>581</v>
      </c>
      <c r="H59" s="167">
        <f t="shared" si="5"/>
        <v>2063.08</v>
      </c>
      <c r="I59" s="167">
        <f t="shared" si="1"/>
        <v>1999.9</v>
      </c>
      <c r="J59" s="168">
        <f t="shared" si="2"/>
        <v>1161941.9000000001</v>
      </c>
      <c r="K59" s="169">
        <f t="shared" si="11"/>
        <v>1198649.48</v>
      </c>
      <c r="L59" s="170">
        <f t="shared" ref="L59:L81" si="19">+J59-K59</f>
        <v>-36707.579999999842</v>
      </c>
      <c r="M59" s="171">
        <f t="shared" si="7"/>
        <v>-2949.3559683656626</v>
      </c>
      <c r="N59" s="172">
        <f t="shared" si="8"/>
        <v>-39656.935968365506</v>
      </c>
      <c r="O59" s="171">
        <v>0</v>
      </c>
      <c r="P59" s="171">
        <v>0</v>
      </c>
      <c r="Q59" s="171">
        <v>0</v>
      </c>
      <c r="R59" s="172">
        <f t="shared" si="9"/>
        <v>-39656.935968365506</v>
      </c>
    </row>
    <row r="60" spans="1:18" x14ac:dyDescent="0.25">
      <c r="A60" s="129">
        <v>5</v>
      </c>
      <c r="B60" s="164">
        <f t="shared" si="4"/>
        <v>45413</v>
      </c>
      <c r="C60" s="184">
        <f t="shared" si="18"/>
        <v>45448</v>
      </c>
      <c r="D60" s="184">
        <f t="shared" si="18"/>
        <v>45467</v>
      </c>
      <c r="E60" s="52" t="s">
        <v>14</v>
      </c>
      <c r="F60" s="129">
        <v>9</v>
      </c>
      <c r="G60" s="166">
        <v>753</v>
      </c>
      <c r="H60" s="167">
        <f t="shared" si="5"/>
        <v>2063.08</v>
      </c>
      <c r="I60" s="167">
        <f t="shared" si="1"/>
        <v>1999.9</v>
      </c>
      <c r="J60" s="168">
        <f t="shared" si="2"/>
        <v>1505924.7</v>
      </c>
      <c r="K60" s="169">
        <f t="shared" si="11"/>
        <v>1553499.24</v>
      </c>
      <c r="L60" s="170">
        <f t="shared" si="19"/>
        <v>-47574.540000000037</v>
      </c>
      <c r="M60" s="171">
        <f t="shared" si="7"/>
        <v>-3822.4871672622103</v>
      </c>
      <c r="N60" s="172">
        <f t="shared" si="8"/>
        <v>-51397.027167262248</v>
      </c>
      <c r="O60" s="171">
        <v>0</v>
      </c>
      <c r="P60" s="171">
        <v>0</v>
      </c>
      <c r="Q60" s="171">
        <v>0</v>
      </c>
      <c r="R60" s="172">
        <f t="shared" si="9"/>
        <v>-51397.027167262248</v>
      </c>
    </row>
    <row r="61" spans="1:18" x14ac:dyDescent="0.25">
      <c r="A61" s="129">
        <v>6</v>
      </c>
      <c r="B61" s="164">
        <f t="shared" si="4"/>
        <v>45444</v>
      </c>
      <c r="C61" s="184">
        <f t="shared" si="18"/>
        <v>45476</v>
      </c>
      <c r="D61" s="184">
        <f t="shared" si="18"/>
        <v>45497</v>
      </c>
      <c r="E61" s="52" t="s">
        <v>14</v>
      </c>
      <c r="F61" s="129">
        <v>9</v>
      </c>
      <c r="G61" s="166">
        <v>1001</v>
      </c>
      <c r="H61" s="167">
        <f t="shared" si="5"/>
        <v>2063.08</v>
      </c>
      <c r="I61" s="167">
        <f t="shared" si="1"/>
        <v>1999.9</v>
      </c>
      <c r="J61" s="168">
        <f t="shared" si="2"/>
        <v>2001899.9000000001</v>
      </c>
      <c r="K61" s="169">
        <f t="shared" si="11"/>
        <v>2065143.0799999998</v>
      </c>
      <c r="L61" s="174">
        <f t="shared" si="19"/>
        <v>-63243.179999999702</v>
      </c>
      <c r="M61" s="171">
        <f t="shared" si="7"/>
        <v>-5081.4205238107197</v>
      </c>
      <c r="N61" s="172">
        <f t="shared" si="8"/>
        <v>-68324.600523810426</v>
      </c>
      <c r="O61" s="171">
        <v>0</v>
      </c>
      <c r="P61" s="171">
        <v>0</v>
      </c>
      <c r="Q61" s="171">
        <v>0</v>
      </c>
      <c r="R61" s="172">
        <f t="shared" si="9"/>
        <v>-68324.600523810426</v>
      </c>
    </row>
    <row r="62" spans="1:18" x14ac:dyDescent="0.25">
      <c r="A62" s="93">
        <v>7</v>
      </c>
      <c r="B62" s="164">
        <f t="shared" si="4"/>
        <v>45474</v>
      </c>
      <c r="C62" s="184">
        <f t="shared" si="18"/>
        <v>45509</v>
      </c>
      <c r="D62" s="184">
        <f t="shared" si="18"/>
        <v>45530</v>
      </c>
      <c r="E62" s="52" t="s">
        <v>14</v>
      </c>
      <c r="F62" s="129">
        <v>9</v>
      </c>
      <c r="G62" s="166">
        <v>961</v>
      </c>
      <c r="H62" s="167">
        <f t="shared" si="5"/>
        <v>2063.08</v>
      </c>
      <c r="I62" s="167">
        <f t="shared" si="1"/>
        <v>1999.9</v>
      </c>
      <c r="J62" s="168">
        <f t="shared" si="2"/>
        <v>1921903.9000000001</v>
      </c>
      <c r="K62" s="175">
        <f t="shared" si="11"/>
        <v>1982619.88</v>
      </c>
      <c r="L62" s="174">
        <f t="shared" si="19"/>
        <v>-60715.979999999749</v>
      </c>
      <c r="M62" s="171">
        <f t="shared" si="7"/>
        <v>-4878.3667566254762</v>
      </c>
      <c r="N62" s="172">
        <f t="shared" si="8"/>
        <v>-65594.346756625222</v>
      </c>
      <c r="O62" s="171">
        <v>0</v>
      </c>
      <c r="P62" s="171">
        <v>0</v>
      </c>
      <c r="Q62" s="171">
        <v>0</v>
      </c>
      <c r="R62" s="172">
        <f t="shared" si="9"/>
        <v>-65594.346756625222</v>
      </c>
    </row>
    <row r="63" spans="1:18" x14ac:dyDescent="0.25">
      <c r="A63" s="129">
        <v>8</v>
      </c>
      <c r="B63" s="164">
        <f t="shared" si="4"/>
        <v>45505</v>
      </c>
      <c r="C63" s="184">
        <f t="shared" si="18"/>
        <v>45539</v>
      </c>
      <c r="D63" s="184">
        <f t="shared" si="18"/>
        <v>45559</v>
      </c>
      <c r="E63" s="52" t="s">
        <v>14</v>
      </c>
      <c r="F63" s="129">
        <v>9</v>
      </c>
      <c r="G63" s="166">
        <v>1017</v>
      </c>
      <c r="H63" s="167">
        <f t="shared" si="5"/>
        <v>2063.08</v>
      </c>
      <c r="I63" s="167">
        <f t="shared" si="1"/>
        <v>1999.9</v>
      </c>
      <c r="J63" s="168">
        <f t="shared" si="2"/>
        <v>2033898.3</v>
      </c>
      <c r="K63" s="175">
        <f t="shared" si="11"/>
        <v>2098152.36</v>
      </c>
      <c r="L63" s="174">
        <f t="shared" si="19"/>
        <v>-64254.059999999823</v>
      </c>
      <c r="M63" s="171">
        <f t="shared" si="7"/>
        <v>-5162.6420306848177</v>
      </c>
      <c r="N63" s="172">
        <f t="shared" si="8"/>
        <v>-69416.702030684639</v>
      </c>
      <c r="O63" s="171">
        <v>0</v>
      </c>
      <c r="P63" s="171">
        <v>0</v>
      </c>
      <c r="Q63" s="171">
        <v>0</v>
      </c>
      <c r="R63" s="172">
        <f t="shared" si="9"/>
        <v>-69416.702030684639</v>
      </c>
    </row>
    <row r="64" spans="1:18" x14ac:dyDescent="0.25">
      <c r="A64" s="129">
        <v>9</v>
      </c>
      <c r="B64" s="164">
        <f t="shared" si="4"/>
        <v>45536</v>
      </c>
      <c r="C64" s="184">
        <f t="shared" si="18"/>
        <v>45568</v>
      </c>
      <c r="D64" s="184">
        <f t="shared" si="18"/>
        <v>45589</v>
      </c>
      <c r="E64" s="52" t="s">
        <v>14</v>
      </c>
      <c r="F64" s="129">
        <v>9</v>
      </c>
      <c r="G64" s="166">
        <v>856</v>
      </c>
      <c r="H64" s="167">
        <f t="shared" si="5"/>
        <v>2063.08</v>
      </c>
      <c r="I64" s="167">
        <f t="shared" ref="I64:I107" si="20">$J$3</f>
        <v>1999.9</v>
      </c>
      <c r="J64" s="168">
        <f t="shared" si="2"/>
        <v>1711914.4000000001</v>
      </c>
      <c r="K64" s="175">
        <f t="shared" si="11"/>
        <v>1765996.48</v>
      </c>
      <c r="L64" s="174">
        <f t="shared" si="19"/>
        <v>-54082.079999999842</v>
      </c>
      <c r="M64" s="171">
        <f t="shared" si="7"/>
        <v>-4345.3506177642121</v>
      </c>
      <c r="N64" s="172">
        <f t="shared" si="8"/>
        <v>-58427.430617764054</v>
      </c>
      <c r="O64" s="171">
        <v>0</v>
      </c>
      <c r="P64" s="171">
        <v>0</v>
      </c>
      <c r="Q64" s="171">
        <v>0</v>
      </c>
      <c r="R64" s="172">
        <f t="shared" si="9"/>
        <v>-58427.430617764054</v>
      </c>
    </row>
    <row r="65" spans="1:18" x14ac:dyDescent="0.25">
      <c r="A65" s="93">
        <v>10</v>
      </c>
      <c r="B65" s="164">
        <f t="shared" si="4"/>
        <v>45566</v>
      </c>
      <c r="C65" s="184">
        <f t="shared" si="18"/>
        <v>45601</v>
      </c>
      <c r="D65" s="184">
        <f t="shared" si="18"/>
        <v>45621</v>
      </c>
      <c r="E65" s="52" t="s">
        <v>14</v>
      </c>
      <c r="F65" s="129">
        <v>9</v>
      </c>
      <c r="G65" s="166">
        <v>786</v>
      </c>
      <c r="H65" s="167">
        <f t="shared" si="5"/>
        <v>2063.08</v>
      </c>
      <c r="I65" s="167">
        <f t="shared" si="20"/>
        <v>1999.9</v>
      </c>
      <c r="J65" s="168">
        <f t="shared" si="2"/>
        <v>1571921.4000000001</v>
      </c>
      <c r="K65" s="175">
        <f t="shared" si="11"/>
        <v>1621580.88</v>
      </c>
      <c r="L65" s="174">
        <f t="shared" si="19"/>
        <v>-49659.479999999749</v>
      </c>
      <c r="M65" s="171">
        <f t="shared" si="7"/>
        <v>-3990.0065251900355</v>
      </c>
      <c r="N65" s="172">
        <f t="shared" si="8"/>
        <v>-53649.486525189786</v>
      </c>
      <c r="O65" s="171">
        <v>0</v>
      </c>
      <c r="P65" s="171">
        <v>0</v>
      </c>
      <c r="Q65" s="171">
        <v>0</v>
      </c>
      <c r="R65" s="172">
        <f t="shared" si="9"/>
        <v>-53649.486525189786</v>
      </c>
    </row>
    <row r="66" spans="1:18" x14ac:dyDescent="0.25">
      <c r="A66" s="129">
        <v>11</v>
      </c>
      <c r="B66" s="164">
        <f t="shared" si="4"/>
        <v>45597</v>
      </c>
      <c r="C66" s="184">
        <f t="shared" si="18"/>
        <v>45630</v>
      </c>
      <c r="D66" s="184">
        <f t="shared" si="18"/>
        <v>45650</v>
      </c>
      <c r="E66" s="52" t="s">
        <v>14</v>
      </c>
      <c r="F66" s="129">
        <v>9</v>
      </c>
      <c r="G66" s="166">
        <v>463</v>
      </c>
      <c r="H66" s="167">
        <f t="shared" si="5"/>
        <v>2063.08</v>
      </c>
      <c r="I66" s="167">
        <f t="shared" si="20"/>
        <v>1999.9</v>
      </c>
      <c r="J66" s="168">
        <f t="shared" si="2"/>
        <v>925953.70000000007</v>
      </c>
      <c r="K66" s="175">
        <f t="shared" si="11"/>
        <v>955206.03999999992</v>
      </c>
      <c r="L66" s="174">
        <f t="shared" si="19"/>
        <v>-29252.339999999851</v>
      </c>
      <c r="M66" s="171">
        <f t="shared" si="7"/>
        <v>-2350.3473551691945</v>
      </c>
      <c r="N66" s="172">
        <f t="shared" si="8"/>
        <v>-31602.687355169044</v>
      </c>
      <c r="O66" s="171">
        <v>0</v>
      </c>
      <c r="P66" s="171">
        <v>0</v>
      </c>
      <c r="Q66" s="171">
        <v>0</v>
      </c>
      <c r="R66" s="172">
        <f t="shared" si="9"/>
        <v>-31602.687355169044</v>
      </c>
    </row>
    <row r="67" spans="1:18" s="188" customFormat="1" x14ac:dyDescent="0.25">
      <c r="A67" s="129">
        <v>12</v>
      </c>
      <c r="B67" s="186">
        <f t="shared" si="4"/>
        <v>45627</v>
      </c>
      <c r="C67" s="184">
        <f t="shared" si="18"/>
        <v>45660</v>
      </c>
      <c r="D67" s="184">
        <f t="shared" si="18"/>
        <v>45681</v>
      </c>
      <c r="E67" s="187" t="s">
        <v>14</v>
      </c>
      <c r="F67" s="140">
        <v>9</v>
      </c>
      <c r="G67" s="166">
        <v>725</v>
      </c>
      <c r="H67" s="176">
        <f t="shared" si="5"/>
        <v>2063.08</v>
      </c>
      <c r="I67" s="176">
        <f t="shared" si="20"/>
        <v>1999.9</v>
      </c>
      <c r="J67" s="177">
        <f t="shared" si="2"/>
        <v>1449927.5</v>
      </c>
      <c r="K67" s="178">
        <f t="shared" si="11"/>
        <v>1495733</v>
      </c>
      <c r="L67" s="179">
        <f t="shared" si="19"/>
        <v>-45805.5</v>
      </c>
      <c r="M67" s="171">
        <f t="shared" si="7"/>
        <v>-3680.3495302325396</v>
      </c>
      <c r="N67" s="172">
        <f t="shared" si="8"/>
        <v>-49485.849530232539</v>
      </c>
      <c r="O67" s="171">
        <v>0</v>
      </c>
      <c r="P67" s="171">
        <v>0</v>
      </c>
      <c r="Q67" s="171">
        <v>0</v>
      </c>
      <c r="R67" s="172">
        <f t="shared" si="9"/>
        <v>-49485.849530232539</v>
      </c>
    </row>
    <row r="68" spans="1:18" x14ac:dyDescent="0.25">
      <c r="A68" s="93">
        <v>1</v>
      </c>
      <c r="B68" s="164">
        <f t="shared" si="4"/>
        <v>45292</v>
      </c>
      <c r="C68" s="181">
        <f t="shared" ref="C68:D79" si="21">+C56</f>
        <v>45327</v>
      </c>
      <c r="D68" s="181">
        <f t="shared" si="21"/>
        <v>45348</v>
      </c>
      <c r="E68" s="165" t="s">
        <v>83</v>
      </c>
      <c r="F68" s="93">
        <v>9</v>
      </c>
      <c r="G68" s="166">
        <v>58</v>
      </c>
      <c r="H68" s="167">
        <f t="shared" si="5"/>
        <v>2063.08</v>
      </c>
      <c r="I68" s="167">
        <f t="shared" si="20"/>
        <v>1999.9</v>
      </c>
      <c r="J68" s="168">
        <f t="shared" si="2"/>
        <v>115994.20000000001</v>
      </c>
      <c r="K68" s="169">
        <f t="shared" si="11"/>
        <v>119658.64</v>
      </c>
      <c r="L68" s="170">
        <f t="shared" si="19"/>
        <v>-3664.4399999999878</v>
      </c>
      <c r="M68" s="171">
        <f t="shared" si="7"/>
        <v>-294.42796241860316</v>
      </c>
      <c r="N68" s="172">
        <f t="shared" si="8"/>
        <v>-3958.8679624185911</v>
      </c>
      <c r="O68" s="171">
        <v>0</v>
      </c>
      <c r="P68" s="171">
        <v>0</v>
      </c>
      <c r="Q68" s="171">
        <v>0</v>
      </c>
      <c r="R68" s="172">
        <f t="shared" si="9"/>
        <v>-3958.8679624185911</v>
      </c>
    </row>
    <row r="69" spans="1:18" x14ac:dyDescent="0.25">
      <c r="A69" s="129">
        <v>2</v>
      </c>
      <c r="B69" s="164">
        <f t="shared" si="4"/>
        <v>45323</v>
      </c>
      <c r="C69" s="184">
        <f t="shared" si="21"/>
        <v>45356</v>
      </c>
      <c r="D69" s="184">
        <f t="shared" si="21"/>
        <v>45376</v>
      </c>
      <c r="E69" s="173" t="s">
        <v>83</v>
      </c>
      <c r="F69" s="129">
        <v>9</v>
      </c>
      <c r="G69" s="166">
        <v>36</v>
      </c>
      <c r="H69" s="167">
        <f t="shared" si="5"/>
        <v>2063.08</v>
      </c>
      <c r="I69" s="167">
        <f t="shared" si="20"/>
        <v>1999.9</v>
      </c>
      <c r="J69" s="168">
        <f t="shared" si="2"/>
        <v>71996.400000000009</v>
      </c>
      <c r="K69" s="169">
        <f t="shared" si="11"/>
        <v>74270.880000000005</v>
      </c>
      <c r="L69" s="170">
        <f t="shared" si="19"/>
        <v>-2274.4799999999959</v>
      </c>
      <c r="M69" s="171">
        <f t="shared" si="7"/>
        <v>-182.7483904667192</v>
      </c>
      <c r="N69" s="172">
        <f t="shared" si="8"/>
        <v>-2457.2283904667152</v>
      </c>
      <c r="O69" s="171">
        <v>0</v>
      </c>
      <c r="P69" s="171">
        <v>0</v>
      </c>
      <c r="Q69" s="171">
        <v>0</v>
      </c>
      <c r="R69" s="172">
        <f t="shared" si="9"/>
        <v>-2457.2283904667152</v>
      </c>
    </row>
    <row r="70" spans="1:18" x14ac:dyDescent="0.25">
      <c r="A70" s="129">
        <v>3</v>
      </c>
      <c r="B70" s="164">
        <f t="shared" si="4"/>
        <v>45352</v>
      </c>
      <c r="C70" s="184">
        <f t="shared" si="21"/>
        <v>45385</v>
      </c>
      <c r="D70" s="184">
        <f t="shared" si="21"/>
        <v>45406</v>
      </c>
      <c r="E70" s="173" t="s">
        <v>83</v>
      </c>
      <c r="F70" s="129">
        <v>9</v>
      </c>
      <c r="G70" s="166">
        <v>29</v>
      </c>
      <c r="H70" s="167">
        <f t="shared" si="5"/>
        <v>2063.08</v>
      </c>
      <c r="I70" s="167">
        <f t="shared" si="20"/>
        <v>1999.9</v>
      </c>
      <c r="J70" s="168">
        <f t="shared" si="2"/>
        <v>57997.100000000006</v>
      </c>
      <c r="K70" s="169">
        <f t="shared" si="11"/>
        <v>59829.32</v>
      </c>
      <c r="L70" s="170">
        <f>+J70-K70</f>
        <v>-1832.2199999999939</v>
      </c>
      <c r="M70" s="171">
        <f t="shared" si="7"/>
        <v>-147.21398120930158</v>
      </c>
      <c r="N70" s="172">
        <f t="shared" si="8"/>
        <v>-1979.4339812092956</v>
      </c>
      <c r="O70" s="171">
        <v>0</v>
      </c>
      <c r="P70" s="171">
        <v>0</v>
      </c>
      <c r="Q70" s="171">
        <v>0</v>
      </c>
      <c r="R70" s="172">
        <f t="shared" si="9"/>
        <v>-1979.4339812092956</v>
      </c>
    </row>
    <row r="71" spans="1:18" x14ac:dyDescent="0.25">
      <c r="A71" s="93">
        <v>4</v>
      </c>
      <c r="B71" s="164">
        <f t="shared" si="4"/>
        <v>45383</v>
      </c>
      <c r="C71" s="184">
        <f t="shared" si="21"/>
        <v>45415</v>
      </c>
      <c r="D71" s="184">
        <f t="shared" si="21"/>
        <v>45436</v>
      </c>
      <c r="E71" s="173" t="s">
        <v>83</v>
      </c>
      <c r="F71" s="129">
        <v>9</v>
      </c>
      <c r="G71" s="166">
        <v>27</v>
      </c>
      <c r="H71" s="167">
        <f t="shared" si="5"/>
        <v>2063.08</v>
      </c>
      <c r="I71" s="167">
        <f t="shared" si="20"/>
        <v>1999.9</v>
      </c>
      <c r="J71" s="168">
        <f t="shared" si="2"/>
        <v>53997.3</v>
      </c>
      <c r="K71" s="169">
        <f t="shared" si="11"/>
        <v>55703.159999999996</v>
      </c>
      <c r="L71" s="170">
        <f t="shared" ref="L71:L79" si="22">+J71-K71</f>
        <v>-1705.8599999999933</v>
      </c>
      <c r="M71" s="171">
        <f t="shared" si="7"/>
        <v>-137.06129285003942</v>
      </c>
      <c r="N71" s="172">
        <f t="shared" si="8"/>
        <v>-1842.9212928500328</v>
      </c>
      <c r="O71" s="171">
        <v>0</v>
      </c>
      <c r="P71" s="171">
        <v>0</v>
      </c>
      <c r="Q71" s="171">
        <v>0</v>
      </c>
      <c r="R71" s="172">
        <f t="shared" si="9"/>
        <v>-1842.9212928500328</v>
      </c>
    </row>
    <row r="72" spans="1:18" x14ac:dyDescent="0.25">
      <c r="A72" s="129">
        <v>5</v>
      </c>
      <c r="B72" s="164">
        <f t="shared" si="4"/>
        <v>45413</v>
      </c>
      <c r="C72" s="184">
        <f t="shared" si="21"/>
        <v>45448</v>
      </c>
      <c r="D72" s="184">
        <f t="shared" si="21"/>
        <v>45467</v>
      </c>
      <c r="E72" s="173" t="s">
        <v>83</v>
      </c>
      <c r="F72" s="129">
        <v>9</v>
      </c>
      <c r="G72" s="166">
        <v>36</v>
      </c>
      <c r="H72" s="167">
        <f t="shared" si="5"/>
        <v>2063.08</v>
      </c>
      <c r="I72" s="167">
        <f t="shared" si="20"/>
        <v>1999.9</v>
      </c>
      <c r="J72" s="168">
        <f t="shared" si="2"/>
        <v>71996.400000000009</v>
      </c>
      <c r="K72" s="169">
        <f t="shared" si="11"/>
        <v>74270.880000000005</v>
      </c>
      <c r="L72" s="170">
        <f t="shared" si="22"/>
        <v>-2274.4799999999959</v>
      </c>
      <c r="M72" s="171">
        <f t="shared" si="7"/>
        <v>-182.7483904667192</v>
      </c>
      <c r="N72" s="172">
        <f t="shared" si="8"/>
        <v>-2457.2283904667152</v>
      </c>
      <c r="O72" s="171">
        <v>0</v>
      </c>
      <c r="P72" s="171">
        <v>0</v>
      </c>
      <c r="Q72" s="171">
        <v>0</v>
      </c>
      <c r="R72" s="172">
        <f t="shared" si="9"/>
        <v>-2457.2283904667152</v>
      </c>
    </row>
    <row r="73" spans="1:18" x14ac:dyDescent="0.25">
      <c r="A73" s="129">
        <v>6</v>
      </c>
      <c r="B73" s="164">
        <f t="shared" si="4"/>
        <v>45444</v>
      </c>
      <c r="C73" s="184">
        <f t="shared" si="21"/>
        <v>45476</v>
      </c>
      <c r="D73" s="184">
        <f t="shared" si="21"/>
        <v>45497</v>
      </c>
      <c r="E73" s="173" t="s">
        <v>83</v>
      </c>
      <c r="F73" s="129">
        <v>9</v>
      </c>
      <c r="G73" s="166">
        <v>53</v>
      </c>
      <c r="H73" s="167">
        <f t="shared" si="5"/>
        <v>2063.08</v>
      </c>
      <c r="I73" s="167">
        <f t="shared" si="20"/>
        <v>1999.9</v>
      </c>
      <c r="J73" s="168">
        <f t="shared" si="2"/>
        <v>105994.70000000001</v>
      </c>
      <c r="K73" s="169">
        <f t="shared" si="11"/>
        <v>109343.23999999999</v>
      </c>
      <c r="L73" s="174">
        <f t="shared" si="22"/>
        <v>-3348.539999999979</v>
      </c>
      <c r="M73" s="171">
        <f t="shared" si="7"/>
        <v>-269.04624152044772</v>
      </c>
      <c r="N73" s="172">
        <f t="shared" si="8"/>
        <v>-3617.5862415204269</v>
      </c>
      <c r="O73" s="171">
        <v>0</v>
      </c>
      <c r="P73" s="171">
        <v>0</v>
      </c>
      <c r="Q73" s="171">
        <v>0</v>
      </c>
      <c r="R73" s="172">
        <f t="shared" si="9"/>
        <v>-3617.5862415204269</v>
      </c>
    </row>
    <row r="74" spans="1:18" x14ac:dyDescent="0.25">
      <c r="A74" s="93">
        <v>7</v>
      </c>
      <c r="B74" s="164">
        <f t="shared" si="4"/>
        <v>45474</v>
      </c>
      <c r="C74" s="184">
        <f t="shared" si="21"/>
        <v>45509</v>
      </c>
      <c r="D74" s="184">
        <f t="shared" si="21"/>
        <v>45530</v>
      </c>
      <c r="E74" s="173" t="s">
        <v>83</v>
      </c>
      <c r="F74" s="129">
        <v>9</v>
      </c>
      <c r="G74" s="166">
        <v>53</v>
      </c>
      <c r="H74" s="167">
        <f t="shared" si="5"/>
        <v>2063.08</v>
      </c>
      <c r="I74" s="167">
        <f t="shared" si="20"/>
        <v>1999.9</v>
      </c>
      <c r="J74" s="168">
        <f t="shared" si="2"/>
        <v>105994.70000000001</v>
      </c>
      <c r="K74" s="175">
        <f t="shared" si="11"/>
        <v>109343.23999999999</v>
      </c>
      <c r="L74" s="174">
        <f t="shared" si="22"/>
        <v>-3348.539999999979</v>
      </c>
      <c r="M74" s="171">
        <f t="shared" si="7"/>
        <v>-269.04624152044772</v>
      </c>
      <c r="N74" s="172">
        <f t="shared" si="8"/>
        <v>-3617.5862415204269</v>
      </c>
      <c r="O74" s="171">
        <v>0</v>
      </c>
      <c r="P74" s="171">
        <v>0</v>
      </c>
      <c r="Q74" s="171">
        <v>0</v>
      </c>
      <c r="R74" s="172">
        <f t="shared" si="9"/>
        <v>-3617.5862415204269</v>
      </c>
    </row>
    <row r="75" spans="1:18" x14ac:dyDescent="0.25">
      <c r="A75" s="129">
        <v>8</v>
      </c>
      <c r="B75" s="164">
        <f t="shared" si="4"/>
        <v>45505</v>
      </c>
      <c r="C75" s="184">
        <f t="shared" si="21"/>
        <v>45539</v>
      </c>
      <c r="D75" s="184">
        <f t="shared" si="21"/>
        <v>45559</v>
      </c>
      <c r="E75" s="173" t="s">
        <v>83</v>
      </c>
      <c r="F75" s="129">
        <v>9</v>
      </c>
      <c r="G75" s="166">
        <v>54</v>
      </c>
      <c r="H75" s="167">
        <f t="shared" si="5"/>
        <v>2063.08</v>
      </c>
      <c r="I75" s="167">
        <f t="shared" si="20"/>
        <v>1999.9</v>
      </c>
      <c r="J75" s="168">
        <f t="shared" si="2"/>
        <v>107994.6</v>
      </c>
      <c r="K75" s="175">
        <f t="shared" si="11"/>
        <v>111406.31999999999</v>
      </c>
      <c r="L75" s="174">
        <f t="shared" si="22"/>
        <v>-3411.7199999999866</v>
      </c>
      <c r="M75" s="171">
        <f t="shared" si="7"/>
        <v>-274.12258570007884</v>
      </c>
      <c r="N75" s="172">
        <f t="shared" si="8"/>
        <v>-3685.8425857000657</v>
      </c>
      <c r="O75" s="171">
        <v>0</v>
      </c>
      <c r="P75" s="171">
        <v>0</v>
      </c>
      <c r="Q75" s="171">
        <v>0</v>
      </c>
      <c r="R75" s="172">
        <f t="shared" si="9"/>
        <v>-3685.8425857000657</v>
      </c>
    </row>
    <row r="76" spans="1:18" x14ac:dyDescent="0.25">
      <c r="A76" s="129">
        <v>9</v>
      </c>
      <c r="B76" s="164">
        <f t="shared" si="4"/>
        <v>45536</v>
      </c>
      <c r="C76" s="184">
        <f t="shared" si="21"/>
        <v>45568</v>
      </c>
      <c r="D76" s="184">
        <f t="shared" si="21"/>
        <v>45589</v>
      </c>
      <c r="E76" s="173" t="s">
        <v>83</v>
      </c>
      <c r="F76" s="129">
        <v>9</v>
      </c>
      <c r="G76" s="166">
        <v>48</v>
      </c>
      <c r="H76" s="167">
        <f t="shared" si="5"/>
        <v>2063.08</v>
      </c>
      <c r="I76" s="167">
        <f t="shared" si="20"/>
        <v>1999.9</v>
      </c>
      <c r="J76" s="168">
        <f t="shared" si="2"/>
        <v>95995.200000000012</v>
      </c>
      <c r="K76" s="175">
        <f t="shared" si="11"/>
        <v>99027.839999999997</v>
      </c>
      <c r="L76" s="174">
        <f t="shared" si="22"/>
        <v>-3032.6399999999849</v>
      </c>
      <c r="M76" s="171">
        <f t="shared" si="7"/>
        <v>-243.66452062229226</v>
      </c>
      <c r="N76" s="172">
        <f t="shared" si="8"/>
        <v>-3276.3045206222773</v>
      </c>
      <c r="O76" s="171">
        <v>0</v>
      </c>
      <c r="P76" s="171">
        <v>0</v>
      </c>
      <c r="Q76" s="171">
        <v>0</v>
      </c>
      <c r="R76" s="172">
        <f t="shared" si="9"/>
        <v>-3276.3045206222773</v>
      </c>
    </row>
    <row r="77" spans="1:18" x14ac:dyDescent="0.25">
      <c r="A77" s="93">
        <v>10</v>
      </c>
      <c r="B77" s="164">
        <f t="shared" si="4"/>
        <v>45566</v>
      </c>
      <c r="C77" s="184">
        <f t="shared" si="21"/>
        <v>45601</v>
      </c>
      <c r="D77" s="184">
        <f t="shared" si="21"/>
        <v>45621</v>
      </c>
      <c r="E77" s="173" t="s">
        <v>83</v>
      </c>
      <c r="F77" s="129">
        <v>9</v>
      </c>
      <c r="G77" s="166">
        <v>41</v>
      </c>
      <c r="H77" s="167">
        <f t="shared" si="5"/>
        <v>2063.08</v>
      </c>
      <c r="I77" s="167">
        <f t="shared" si="20"/>
        <v>1999.9</v>
      </c>
      <c r="J77" s="168">
        <f t="shared" si="2"/>
        <v>81995.900000000009</v>
      </c>
      <c r="K77" s="175">
        <f t="shared" si="11"/>
        <v>84586.28</v>
      </c>
      <c r="L77" s="174">
        <f t="shared" si="22"/>
        <v>-2590.3799999999901</v>
      </c>
      <c r="M77" s="171">
        <f t="shared" si="7"/>
        <v>-208.13011136487464</v>
      </c>
      <c r="N77" s="172">
        <f t="shared" si="8"/>
        <v>-2798.5101113648648</v>
      </c>
      <c r="O77" s="171">
        <v>0</v>
      </c>
      <c r="P77" s="171">
        <v>0</v>
      </c>
      <c r="Q77" s="171">
        <v>0</v>
      </c>
      <c r="R77" s="172">
        <f t="shared" si="9"/>
        <v>-2798.5101113648648</v>
      </c>
    </row>
    <row r="78" spans="1:18" x14ac:dyDescent="0.25">
      <c r="A78" s="129">
        <v>11</v>
      </c>
      <c r="B78" s="164">
        <f t="shared" si="4"/>
        <v>45597</v>
      </c>
      <c r="C78" s="184">
        <f t="shared" si="21"/>
        <v>45630</v>
      </c>
      <c r="D78" s="184">
        <f t="shared" si="21"/>
        <v>45650</v>
      </c>
      <c r="E78" s="173" t="s">
        <v>83</v>
      </c>
      <c r="F78" s="129">
        <v>9</v>
      </c>
      <c r="G78" s="166">
        <v>22</v>
      </c>
      <c r="H78" s="167">
        <f t="shared" si="5"/>
        <v>2063.08</v>
      </c>
      <c r="I78" s="167">
        <f t="shared" si="20"/>
        <v>1999.9</v>
      </c>
      <c r="J78" s="168">
        <f t="shared" si="2"/>
        <v>43997.8</v>
      </c>
      <c r="K78" s="175">
        <f>+$G78*H78</f>
        <v>45387.759999999995</v>
      </c>
      <c r="L78" s="174">
        <f t="shared" si="22"/>
        <v>-1389.9599999999919</v>
      </c>
      <c r="M78" s="171">
        <f t="shared" si="7"/>
        <v>-111.67957195188394</v>
      </c>
      <c r="N78" s="172">
        <f t="shared" si="8"/>
        <v>-1501.6395719518757</v>
      </c>
      <c r="O78" s="171">
        <v>0</v>
      </c>
      <c r="P78" s="171">
        <v>0</v>
      </c>
      <c r="Q78" s="171">
        <v>0</v>
      </c>
      <c r="R78" s="172">
        <f t="shared" si="9"/>
        <v>-1501.6395719518757</v>
      </c>
    </row>
    <row r="79" spans="1:18" s="188" customFormat="1" x14ac:dyDescent="0.25">
      <c r="A79" s="129">
        <v>12</v>
      </c>
      <c r="B79" s="186">
        <f t="shared" si="4"/>
        <v>45627</v>
      </c>
      <c r="C79" s="189">
        <f t="shared" si="21"/>
        <v>45660</v>
      </c>
      <c r="D79" s="189">
        <f t="shared" si="21"/>
        <v>45681</v>
      </c>
      <c r="E79" s="190" t="s">
        <v>83</v>
      </c>
      <c r="F79" s="140">
        <v>9</v>
      </c>
      <c r="G79" s="166">
        <v>37</v>
      </c>
      <c r="H79" s="176">
        <f t="shared" si="5"/>
        <v>2063.08</v>
      </c>
      <c r="I79" s="176">
        <f t="shared" si="20"/>
        <v>1999.9</v>
      </c>
      <c r="J79" s="177">
        <f t="shared" si="2"/>
        <v>73996.3</v>
      </c>
      <c r="K79" s="178">
        <f>+$G79*H79</f>
        <v>76333.959999999992</v>
      </c>
      <c r="L79" s="179">
        <f t="shared" si="22"/>
        <v>-2337.6599999999889</v>
      </c>
      <c r="M79" s="171">
        <f t="shared" si="7"/>
        <v>-187.82473464635029</v>
      </c>
      <c r="N79" s="172">
        <f t="shared" si="8"/>
        <v>-2525.4847346463393</v>
      </c>
      <c r="O79" s="171">
        <v>0</v>
      </c>
      <c r="P79" s="171">
        <v>0</v>
      </c>
      <c r="Q79" s="171">
        <v>0</v>
      </c>
      <c r="R79" s="172">
        <f t="shared" si="9"/>
        <v>-2525.4847346463393</v>
      </c>
    </row>
    <row r="80" spans="1:18" s="50" customFormat="1" ht="12.75" customHeight="1" x14ac:dyDescent="0.25">
      <c r="A80" s="93">
        <v>1</v>
      </c>
      <c r="B80" s="164">
        <f t="shared" si="4"/>
        <v>45292</v>
      </c>
      <c r="C80" s="181">
        <f t="shared" ref="C80:D91" si="23">+C56</f>
        <v>45327</v>
      </c>
      <c r="D80" s="181">
        <f t="shared" si="23"/>
        <v>45348</v>
      </c>
      <c r="E80" s="165" t="s">
        <v>9</v>
      </c>
      <c r="F80" s="93">
        <v>9</v>
      </c>
      <c r="G80" s="166">
        <v>75</v>
      </c>
      <c r="H80" s="167">
        <f t="shared" si="5"/>
        <v>2063.08</v>
      </c>
      <c r="I80" s="167">
        <f t="shared" si="20"/>
        <v>1999.9</v>
      </c>
      <c r="J80" s="168">
        <f t="shared" si="2"/>
        <v>149992.5</v>
      </c>
      <c r="K80" s="169">
        <f t="shared" si="11"/>
        <v>154731</v>
      </c>
      <c r="L80" s="170">
        <f t="shared" si="19"/>
        <v>-4738.5</v>
      </c>
      <c r="M80" s="171">
        <f t="shared" si="7"/>
        <v>-380.72581347233165</v>
      </c>
      <c r="N80" s="172">
        <f t="shared" si="8"/>
        <v>-5119.2258134723315</v>
      </c>
      <c r="O80" s="171">
        <v>0</v>
      </c>
      <c r="P80" s="171">
        <v>0</v>
      </c>
      <c r="Q80" s="171">
        <v>0</v>
      </c>
      <c r="R80" s="172">
        <f t="shared" si="9"/>
        <v>-5119.2258134723315</v>
      </c>
    </row>
    <row r="81" spans="1:18" x14ac:dyDescent="0.25">
      <c r="A81" s="129">
        <v>2</v>
      </c>
      <c r="B81" s="164">
        <f t="shared" si="4"/>
        <v>45323</v>
      </c>
      <c r="C81" s="184">
        <f t="shared" si="23"/>
        <v>45356</v>
      </c>
      <c r="D81" s="184">
        <f t="shared" si="23"/>
        <v>45376</v>
      </c>
      <c r="E81" s="173" t="s">
        <v>9</v>
      </c>
      <c r="F81" s="129">
        <v>9</v>
      </c>
      <c r="G81" s="166">
        <v>54</v>
      </c>
      <c r="H81" s="167">
        <f t="shared" si="5"/>
        <v>2063.08</v>
      </c>
      <c r="I81" s="167">
        <f t="shared" si="20"/>
        <v>1999.9</v>
      </c>
      <c r="J81" s="168">
        <f t="shared" si="2"/>
        <v>107994.6</v>
      </c>
      <c r="K81" s="169">
        <f t="shared" si="11"/>
        <v>111406.31999999999</v>
      </c>
      <c r="L81" s="170">
        <f t="shared" si="19"/>
        <v>-3411.7199999999866</v>
      </c>
      <c r="M81" s="171">
        <f t="shared" si="7"/>
        <v>-274.12258570007884</v>
      </c>
      <c r="N81" s="172">
        <f t="shared" si="8"/>
        <v>-3685.8425857000657</v>
      </c>
      <c r="O81" s="171">
        <v>0</v>
      </c>
      <c r="P81" s="171">
        <v>0</v>
      </c>
      <c r="Q81" s="171">
        <v>0</v>
      </c>
      <c r="R81" s="172">
        <f t="shared" si="9"/>
        <v>-3685.8425857000657</v>
      </c>
    </row>
    <row r="82" spans="1:18" x14ac:dyDescent="0.25">
      <c r="A82" s="129">
        <v>3</v>
      </c>
      <c r="B82" s="164">
        <f t="shared" si="4"/>
        <v>45352</v>
      </c>
      <c r="C82" s="184">
        <f t="shared" si="23"/>
        <v>45385</v>
      </c>
      <c r="D82" s="184">
        <f t="shared" si="23"/>
        <v>45406</v>
      </c>
      <c r="E82" s="173" t="s">
        <v>9</v>
      </c>
      <c r="F82" s="129">
        <v>9</v>
      </c>
      <c r="G82" s="166">
        <v>49</v>
      </c>
      <c r="H82" s="167">
        <f t="shared" si="5"/>
        <v>2063.08</v>
      </c>
      <c r="I82" s="167">
        <f t="shared" si="20"/>
        <v>1999.9</v>
      </c>
      <c r="J82" s="168">
        <f t="shared" si="2"/>
        <v>97995.1</v>
      </c>
      <c r="K82" s="169">
        <f t="shared" si="11"/>
        <v>101090.92</v>
      </c>
      <c r="L82" s="170">
        <f>+J82-K82</f>
        <v>-3095.8199999999924</v>
      </c>
      <c r="M82" s="171">
        <f t="shared" si="7"/>
        <v>-248.74086480192335</v>
      </c>
      <c r="N82" s="172">
        <f t="shared" si="8"/>
        <v>-3344.5608648019156</v>
      </c>
      <c r="O82" s="171">
        <v>0</v>
      </c>
      <c r="P82" s="171">
        <v>0</v>
      </c>
      <c r="Q82" s="171">
        <v>0</v>
      </c>
      <c r="R82" s="172">
        <f t="shared" si="9"/>
        <v>-3344.5608648019156</v>
      </c>
    </row>
    <row r="83" spans="1:18" ht="12" customHeight="1" x14ac:dyDescent="0.25">
      <c r="A83" s="93">
        <v>4</v>
      </c>
      <c r="B83" s="164">
        <f t="shared" si="4"/>
        <v>45383</v>
      </c>
      <c r="C83" s="184">
        <f t="shared" si="23"/>
        <v>45415</v>
      </c>
      <c r="D83" s="184">
        <f t="shared" si="23"/>
        <v>45436</v>
      </c>
      <c r="E83" s="52" t="s">
        <v>9</v>
      </c>
      <c r="F83" s="129">
        <v>9</v>
      </c>
      <c r="G83" s="166">
        <v>43</v>
      </c>
      <c r="H83" s="167">
        <f t="shared" si="5"/>
        <v>2063.08</v>
      </c>
      <c r="I83" s="167">
        <f t="shared" si="20"/>
        <v>1999.9</v>
      </c>
      <c r="J83" s="168">
        <f t="shared" si="2"/>
        <v>85995.7</v>
      </c>
      <c r="K83" s="169">
        <f t="shared" si="11"/>
        <v>88712.44</v>
      </c>
      <c r="L83" s="170">
        <f t="shared" ref="L83:L93" si="24">+J83-K83</f>
        <v>-2716.7400000000052</v>
      </c>
      <c r="M83" s="171">
        <f t="shared" si="7"/>
        <v>-218.28279972413682</v>
      </c>
      <c r="N83" s="172">
        <f t="shared" si="8"/>
        <v>-2935.0227997241423</v>
      </c>
      <c r="O83" s="171">
        <v>0</v>
      </c>
      <c r="P83" s="171">
        <v>0</v>
      </c>
      <c r="Q83" s="171">
        <v>0</v>
      </c>
      <c r="R83" s="172">
        <f t="shared" si="9"/>
        <v>-2935.0227997241423</v>
      </c>
    </row>
    <row r="84" spans="1:18" ht="12" customHeight="1" x14ac:dyDescent="0.25">
      <c r="A84" s="129">
        <v>5</v>
      </c>
      <c r="B84" s="164">
        <f t="shared" si="4"/>
        <v>45413</v>
      </c>
      <c r="C84" s="184">
        <f t="shared" si="23"/>
        <v>45448</v>
      </c>
      <c r="D84" s="184">
        <f t="shared" si="23"/>
        <v>45467</v>
      </c>
      <c r="E84" s="52" t="s">
        <v>9</v>
      </c>
      <c r="F84" s="129">
        <v>9</v>
      </c>
      <c r="G84" s="166">
        <v>50</v>
      </c>
      <c r="H84" s="167">
        <f t="shared" si="5"/>
        <v>2063.08</v>
      </c>
      <c r="I84" s="167">
        <f t="shared" si="20"/>
        <v>1999.9</v>
      </c>
      <c r="J84" s="168">
        <f t="shared" si="2"/>
        <v>99995</v>
      </c>
      <c r="K84" s="169">
        <f t="shared" si="11"/>
        <v>103154</v>
      </c>
      <c r="L84" s="170">
        <f t="shared" si="24"/>
        <v>-3159</v>
      </c>
      <c r="M84" s="171">
        <f t="shared" si="7"/>
        <v>-253.81720898155447</v>
      </c>
      <c r="N84" s="172">
        <f t="shared" si="8"/>
        <v>-3412.8172089815544</v>
      </c>
      <c r="O84" s="171">
        <v>0</v>
      </c>
      <c r="P84" s="171">
        <v>0</v>
      </c>
      <c r="Q84" s="171">
        <v>0</v>
      </c>
      <c r="R84" s="172">
        <f t="shared" si="9"/>
        <v>-3412.8172089815544</v>
      </c>
    </row>
    <row r="85" spans="1:18" x14ac:dyDescent="0.25">
      <c r="A85" s="129">
        <v>6</v>
      </c>
      <c r="B85" s="164">
        <f t="shared" si="4"/>
        <v>45444</v>
      </c>
      <c r="C85" s="184">
        <f t="shared" si="23"/>
        <v>45476</v>
      </c>
      <c r="D85" s="184">
        <f t="shared" si="23"/>
        <v>45497</v>
      </c>
      <c r="E85" s="52" t="s">
        <v>9</v>
      </c>
      <c r="F85" s="129">
        <v>9</v>
      </c>
      <c r="G85" s="166">
        <v>59</v>
      </c>
      <c r="H85" s="167">
        <f t="shared" ref="H85:H148" si="25">+$K$3</f>
        <v>2063.08</v>
      </c>
      <c r="I85" s="167">
        <f t="shared" si="20"/>
        <v>1999.9</v>
      </c>
      <c r="J85" s="168">
        <f t="shared" si="2"/>
        <v>117994.1</v>
      </c>
      <c r="K85" s="169">
        <f t="shared" si="11"/>
        <v>121721.72</v>
      </c>
      <c r="L85" s="174">
        <f t="shared" si="24"/>
        <v>-3727.6199999999953</v>
      </c>
      <c r="M85" s="171">
        <f t="shared" ref="M85:M148" si="26">G85/$G$212*$M$14</f>
        <v>-299.50430659823422</v>
      </c>
      <c r="N85" s="172">
        <f t="shared" ref="N85:N148" si="27">SUM(L85:M85)</f>
        <v>-4027.1243065982294</v>
      </c>
      <c r="O85" s="171">
        <v>0</v>
      </c>
      <c r="P85" s="171">
        <v>0</v>
      </c>
      <c r="Q85" s="171">
        <v>0</v>
      </c>
      <c r="R85" s="172">
        <f t="shared" ref="R85:R148" si="28">+N85-Q85</f>
        <v>-4027.1243065982294</v>
      </c>
    </row>
    <row r="86" spans="1:18" x14ac:dyDescent="0.25">
      <c r="A86" s="93">
        <v>7</v>
      </c>
      <c r="B86" s="164">
        <f t="shared" si="4"/>
        <v>45474</v>
      </c>
      <c r="C86" s="184">
        <f t="shared" si="23"/>
        <v>45509</v>
      </c>
      <c r="D86" s="184">
        <f t="shared" si="23"/>
        <v>45530</v>
      </c>
      <c r="E86" s="52" t="s">
        <v>9</v>
      </c>
      <c r="F86" s="129">
        <v>9</v>
      </c>
      <c r="G86" s="166">
        <v>60</v>
      </c>
      <c r="H86" s="167">
        <f t="shared" si="25"/>
        <v>2063.08</v>
      </c>
      <c r="I86" s="167">
        <f t="shared" si="20"/>
        <v>1999.9</v>
      </c>
      <c r="J86" s="168">
        <f t="shared" si="2"/>
        <v>119994</v>
      </c>
      <c r="K86" s="175">
        <f t="shared" si="11"/>
        <v>123784.79999999999</v>
      </c>
      <c r="L86" s="174">
        <f t="shared" si="24"/>
        <v>-3790.7999999999884</v>
      </c>
      <c r="M86" s="171">
        <f t="shared" si="26"/>
        <v>-304.58065077786534</v>
      </c>
      <c r="N86" s="172">
        <f t="shared" si="27"/>
        <v>-4095.3806507778536</v>
      </c>
      <c r="O86" s="171">
        <v>0</v>
      </c>
      <c r="P86" s="171">
        <v>0</v>
      </c>
      <c r="Q86" s="171">
        <v>0</v>
      </c>
      <c r="R86" s="172">
        <f t="shared" si="28"/>
        <v>-4095.3806507778536</v>
      </c>
    </row>
    <row r="87" spans="1:18" x14ac:dyDescent="0.25">
      <c r="A87" s="129">
        <v>8</v>
      </c>
      <c r="B87" s="164">
        <f t="shared" si="4"/>
        <v>45505</v>
      </c>
      <c r="C87" s="184">
        <f t="shared" si="23"/>
        <v>45539</v>
      </c>
      <c r="D87" s="184">
        <f t="shared" si="23"/>
        <v>45559</v>
      </c>
      <c r="E87" s="52" t="s">
        <v>9</v>
      </c>
      <c r="F87" s="129">
        <v>9</v>
      </c>
      <c r="G87" s="166">
        <v>56</v>
      </c>
      <c r="H87" s="167">
        <f t="shared" si="25"/>
        <v>2063.08</v>
      </c>
      <c r="I87" s="167">
        <f t="shared" si="20"/>
        <v>1999.9</v>
      </c>
      <c r="J87" s="168">
        <f t="shared" si="2"/>
        <v>111994.40000000001</v>
      </c>
      <c r="K87" s="175">
        <f t="shared" si="11"/>
        <v>115532.48</v>
      </c>
      <c r="L87" s="174">
        <f t="shared" si="24"/>
        <v>-3538.0799999999872</v>
      </c>
      <c r="M87" s="171">
        <f t="shared" si="26"/>
        <v>-284.27527405934097</v>
      </c>
      <c r="N87" s="172">
        <f t="shared" si="27"/>
        <v>-3822.3552740593282</v>
      </c>
      <c r="O87" s="171">
        <v>0</v>
      </c>
      <c r="P87" s="171">
        <v>0</v>
      </c>
      <c r="Q87" s="171">
        <v>0</v>
      </c>
      <c r="R87" s="172">
        <f t="shared" si="28"/>
        <v>-3822.3552740593282</v>
      </c>
    </row>
    <row r="88" spans="1:18" x14ac:dyDescent="0.25">
      <c r="A88" s="129">
        <v>9</v>
      </c>
      <c r="B88" s="164">
        <f t="shared" si="4"/>
        <v>45536</v>
      </c>
      <c r="C88" s="184">
        <f t="shared" si="23"/>
        <v>45568</v>
      </c>
      <c r="D88" s="184">
        <f t="shared" si="23"/>
        <v>45589</v>
      </c>
      <c r="E88" s="52" t="s">
        <v>9</v>
      </c>
      <c r="F88" s="129">
        <v>9</v>
      </c>
      <c r="G88" s="166">
        <v>55</v>
      </c>
      <c r="H88" s="167">
        <f t="shared" si="25"/>
        <v>2063.08</v>
      </c>
      <c r="I88" s="167">
        <f t="shared" si="20"/>
        <v>1999.9</v>
      </c>
      <c r="J88" s="168">
        <f t="shared" si="2"/>
        <v>109994.5</v>
      </c>
      <c r="K88" s="175">
        <f t="shared" si="11"/>
        <v>113469.4</v>
      </c>
      <c r="L88" s="174">
        <f t="shared" si="24"/>
        <v>-3474.8999999999942</v>
      </c>
      <c r="M88" s="171">
        <f t="shared" si="26"/>
        <v>-279.19892987970985</v>
      </c>
      <c r="N88" s="172">
        <f t="shared" si="27"/>
        <v>-3754.098929879704</v>
      </c>
      <c r="O88" s="171">
        <v>0</v>
      </c>
      <c r="P88" s="171">
        <v>0</v>
      </c>
      <c r="Q88" s="171">
        <v>0</v>
      </c>
      <c r="R88" s="172">
        <f t="shared" si="28"/>
        <v>-3754.098929879704</v>
      </c>
    </row>
    <row r="89" spans="1:18" x14ac:dyDescent="0.25">
      <c r="A89" s="93">
        <v>10</v>
      </c>
      <c r="B89" s="164">
        <f t="shared" si="4"/>
        <v>45566</v>
      </c>
      <c r="C89" s="184">
        <f t="shared" si="23"/>
        <v>45601</v>
      </c>
      <c r="D89" s="184">
        <f t="shared" si="23"/>
        <v>45621</v>
      </c>
      <c r="E89" s="52" t="s">
        <v>9</v>
      </c>
      <c r="F89" s="129">
        <v>9</v>
      </c>
      <c r="G89" s="166">
        <v>51</v>
      </c>
      <c r="H89" s="167">
        <f t="shared" si="25"/>
        <v>2063.08</v>
      </c>
      <c r="I89" s="167">
        <f t="shared" si="20"/>
        <v>1999.9</v>
      </c>
      <c r="J89" s="168">
        <f t="shared" si="2"/>
        <v>101994.90000000001</v>
      </c>
      <c r="K89" s="175">
        <f t="shared" si="11"/>
        <v>105217.08</v>
      </c>
      <c r="L89" s="174">
        <f t="shared" si="24"/>
        <v>-3222.179999999993</v>
      </c>
      <c r="M89" s="171">
        <f t="shared" si="26"/>
        <v>-258.89355316118554</v>
      </c>
      <c r="N89" s="172">
        <f t="shared" si="27"/>
        <v>-3481.0735531611786</v>
      </c>
      <c r="O89" s="171">
        <v>0</v>
      </c>
      <c r="P89" s="171">
        <v>0</v>
      </c>
      <c r="Q89" s="171">
        <v>0</v>
      </c>
      <c r="R89" s="172">
        <f t="shared" si="28"/>
        <v>-3481.0735531611786</v>
      </c>
    </row>
    <row r="90" spans="1:18" x14ac:dyDescent="0.25">
      <c r="A90" s="129">
        <v>11</v>
      </c>
      <c r="B90" s="164">
        <f t="shared" si="4"/>
        <v>45597</v>
      </c>
      <c r="C90" s="184">
        <f t="shared" si="23"/>
        <v>45630</v>
      </c>
      <c r="D90" s="184">
        <f t="shared" si="23"/>
        <v>45650</v>
      </c>
      <c r="E90" s="52" t="s">
        <v>9</v>
      </c>
      <c r="F90" s="129">
        <v>9</v>
      </c>
      <c r="G90" s="166">
        <v>40</v>
      </c>
      <c r="H90" s="167">
        <f t="shared" si="25"/>
        <v>2063.08</v>
      </c>
      <c r="I90" s="167">
        <f t="shared" si="20"/>
        <v>1999.9</v>
      </c>
      <c r="J90" s="168">
        <f t="shared" si="2"/>
        <v>79996</v>
      </c>
      <c r="K90" s="175">
        <f t="shared" si="11"/>
        <v>82523.199999999997</v>
      </c>
      <c r="L90" s="174">
        <f t="shared" si="24"/>
        <v>-2527.1999999999971</v>
      </c>
      <c r="M90" s="171">
        <f t="shared" si="26"/>
        <v>-203.05376718524357</v>
      </c>
      <c r="N90" s="172">
        <f t="shared" si="27"/>
        <v>-2730.2537671852406</v>
      </c>
      <c r="O90" s="171">
        <v>0</v>
      </c>
      <c r="P90" s="171">
        <v>0</v>
      </c>
      <c r="Q90" s="171">
        <v>0</v>
      </c>
      <c r="R90" s="172">
        <f t="shared" si="28"/>
        <v>-2730.2537671852406</v>
      </c>
    </row>
    <row r="91" spans="1:18" s="188" customFormat="1" x14ac:dyDescent="0.25">
      <c r="A91" s="129">
        <v>12</v>
      </c>
      <c r="B91" s="186">
        <f t="shared" si="4"/>
        <v>45627</v>
      </c>
      <c r="C91" s="184">
        <f t="shared" si="23"/>
        <v>45660</v>
      </c>
      <c r="D91" s="184">
        <f t="shared" si="23"/>
        <v>45681</v>
      </c>
      <c r="E91" s="187" t="s">
        <v>9</v>
      </c>
      <c r="F91" s="140">
        <v>9</v>
      </c>
      <c r="G91" s="166">
        <v>51</v>
      </c>
      <c r="H91" s="176">
        <f t="shared" si="25"/>
        <v>2063.08</v>
      </c>
      <c r="I91" s="176">
        <f t="shared" si="20"/>
        <v>1999.9</v>
      </c>
      <c r="J91" s="177">
        <f t="shared" si="2"/>
        <v>101994.90000000001</v>
      </c>
      <c r="K91" s="178">
        <f t="shared" si="11"/>
        <v>105217.08</v>
      </c>
      <c r="L91" s="179">
        <f t="shared" si="24"/>
        <v>-3222.179999999993</v>
      </c>
      <c r="M91" s="171">
        <f t="shared" si="26"/>
        <v>-258.89355316118554</v>
      </c>
      <c r="N91" s="172">
        <f t="shared" si="27"/>
        <v>-3481.0735531611786</v>
      </c>
      <c r="O91" s="171">
        <v>0</v>
      </c>
      <c r="P91" s="171">
        <v>0</v>
      </c>
      <c r="Q91" s="171">
        <v>0</v>
      </c>
      <c r="R91" s="172">
        <f t="shared" si="28"/>
        <v>-3481.0735531611786</v>
      </c>
    </row>
    <row r="92" spans="1:18" x14ac:dyDescent="0.25">
      <c r="A92" s="93">
        <v>1</v>
      </c>
      <c r="B92" s="164">
        <f t="shared" si="4"/>
        <v>45292</v>
      </c>
      <c r="C92" s="181">
        <f t="shared" ref="C92:D95" si="29">+C80</f>
        <v>45327</v>
      </c>
      <c r="D92" s="181">
        <f t="shared" si="29"/>
        <v>45348</v>
      </c>
      <c r="E92" s="165" t="s">
        <v>8</v>
      </c>
      <c r="F92" s="93">
        <v>9</v>
      </c>
      <c r="G92" s="166">
        <v>94</v>
      </c>
      <c r="H92" s="167">
        <f t="shared" si="25"/>
        <v>2063.08</v>
      </c>
      <c r="I92" s="167">
        <f t="shared" si="20"/>
        <v>1999.9</v>
      </c>
      <c r="J92" s="168">
        <f t="shared" si="2"/>
        <v>187990.6</v>
      </c>
      <c r="K92" s="169">
        <f t="shared" si="11"/>
        <v>193929.52</v>
      </c>
      <c r="L92" s="170">
        <f t="shared" si="24"/>
        <v>-5938.9199999999837</v>
      </c>
      <c r="M92" s="171">
        <f t="shared" si="26"/>
        <v>-477.17635288532239</v>
      </c>
      <c r="N92" s="172">
        <f t="shared" si="27"/>
        <v>-6416.0963528853063</v>
      </c>
      <c r="O92" s="171">
        <v>0</v>
      </c>
      <c r="P92" s="171">
        <v>0</v>
      </c>
      <c r="Q92" s="171">
        <v>0</v>
      </c>
      <c r="R92" s="172">
        <f t="shared" si="28"/>
        <v>-6416.0963528853063</v>
      </c>
    </row>
    <row r="93" spans="1:18" x14ac:dyDescent="0.25">
      <c r="A93" s="129">
        <v>2</v>
      </c>
      <c r="B93" s="164">
        <f t="shared" si="4"/>
        <v>45323</v>
      </c>
      <c r="C93" s="184">
        <f t="shared" si="29"/>
        <v>45356</v>
      </c>
      <c r="D93" s="184">
        <f t="shared" si="29"/>
        <v>45376</v>
      </c>
      <c r="E93" s="173" t="s">
        <v>8</v>
      </c>
      <c r="F93" s="129">
        <v>9</v>
      </c>
      <c r="G93" s="166">
        <v>62</v>
      </c>
      <c r="H93" s="167">
        <f t="shared" si="25"/>
        <v>2063.08</v>
      </c>
      <c r="I93" s="167">
        <f t="shared" si="20"/>
        <v>1999.9</v>
      </c>
      <c r="J93" s="168">
        <f t="shared" si="2"/>
        <v>123993.8</v>
      </c>
      <c r="K93" s="169">
        <f t="shared" si="11"/>
        <v>127910.95999999999</v>
      </c>
      <c r="L93" s="170">
        <f t="shared" si="24"/>
        <v>-3917.1599999999889</v>
      </c>
      <c r="M93" s="171">
        <f t="shared" si="26"/>
        <v>-314.73333913712747</v>
      </c>
      <c r="N93" s="172">
        <f t="shared" si="27"/>
        <v>-4231.8933391371165</v>
      </c>
      <c r="O93" s="171">
        <v>0</v>
      </c>
      <c r="P93" s="171">
        <v>0</v>
      </c>
      <c r="Q93" s="171">
        <v>0</v>
      </c>
      <c r="R93" s="172">
        <f t="shared" si="28"/>
        <v>-4231.8933391371165</v>
      </c>
    </row>
    <row r="94" spans="1:18" x14ac:dyDescent="0.25">
      <c r="A94" s="129">
        <v>3</v>
      </c>
      <c r="B94" s="164">
        <f t="shared" si="4"/>
        <v>45352</v>
      </c>
      <c r="C94" s="184">
        <f t="shared" si="29"/>
        <v>45385</v>
      </c>
      <c r="D94" s="184">
        <f t="shared" si="29"/>
        <v>45406</v>
      </c>
      <c r="E94" s="173" t="s">
        <v>8</v>
      </c>
      <c r="F94" s="129">
        <v>9</v>
      </c>
      <c r="G94" s="166">
        <v>60</v>
      </c>
      <c r="H94" s="167">
        <f t="shared" si="25"/>
        <v>2063.08</v>
      </c>
      <c r="I94" s="167">
        <f t="shared" si="20"/>
        <v>1999.9</v>
      </c>
      <c r="J94" s="168">
        <f t="shared" si="2"/>
        <v>119994</v>
      </c>
      <c r="K94" s="169">
        <f t="shared" ref="K94:K133" si="30">+$G94*H94</f>
        <v>123784.79999999999</v>
      </c>
      <c r="L94" s="170">
        <f>+J94-K94</f>
        <v>-3790.7999999999884</v>
      </c>
      <c r="M94" s="171">
        <f t="shared" si="26"/>
        <v>-304.58065077786534</v>
      </c>
      <c r="N94" s="172">
        <f t="shared" si="27"/>
        <v>-4095.3806507778536</v>
      </c>
      <c r="O94" s="171">
        <v>0</v>
      </c>
      <c r="P94" s="171">
        <v>0</v>
      </c>
      <c r="Q94" s="171">
        <v>0</v>
      </c>
      <c r="R94" s="172">
        <f t="shared" si="28"/>
        <v>-4095.3806507778536</v>
      </c>
    </row>
    <row r="95" spans="1:18" x14ac:dyDescent="0.25">
      <c r="A95" s="93">
        <v>4</v>
      </c>
      <c r="B95" s="164">
        <f t="shared" si="4"/>
        <v>45383</v>
      </c>
      <c r="C95" s="184">
        <f t="shared" si="29"/>
        <v>45415</v>
      </c>
      <c r="D95" s="184">
        <f t="shared" si="29"/>
        <v>45436</v>
      </c>
      <c r="E95" s="173" t="s">
        <v>8</v>
      </c>
      <c r="F95" s="129">
        <v>9</v>
      </c>
      <c r="G95" s="166">
        <v>92</v>
      </c>
      <c r="H95" s="167">
        <f t="shared" si="25"/>
        <v>2063.08</v>
      </c>
      <c r="I95" s="167">
        <f t="shared" si="20"/>
        <v>1999.9</v>
      </c>
      <c r="J95" s="168">
        <f t="shared" si="2"/>
        <v>183990.80000000002</v>
      </c>
      <c r="K95" s="169">
        <f t="shared" si="30"/>
        <v>189803.36</v>
      </c>
      <c r="L95" s="170">
        <f t="shared" ref="L95:L105" si="31">+J95-K95</f>
        <v>-5812.5599999999686</v>
      </c>
      <c r="M95" s="171">
        <f t="shared" si="26"/>
        <v>-467.02366452606014</v>
      </c>
      <c r="N95" s="172">
        <f t="shared" si="27"/>
        <v>-6279.5836645260288</v>
      </c>
      <c r="O95" s="171">
        <v>0</v>
      </c>
      <c r="P95" s="171">
        <v>0</v>
      </c>
      <c r="Q95" s="171">
        <v>0</v>
      </c>
      <c r="R95" s="172">
        <f t="shared" si="28"/>
        <v>-6279.5836645260288</v>
      </c>
    </row>
    <row r="96" spans="1:18" x14ac:dyDescent="0.25">
      <c r="A96" s="129">
        <v>5</v>
      </c>
      <c r="B96" s="164">
        <f t="shared" si="4"/>
        <v>45413</v>
      </c>
      <c r="C96" s="184">
        <f t="shared" ref="C96:D116" si="32">+C84</f>
        <v>45448</v>
      </c>
      <c r="D96" s="184">
        <f t="shared" si="32"/>
        <v>45467</v>
      </c>
      <c r="E96" s="52" t="s">
        <v>8</v>
      </c>
      <c r="F96" s="129">
        <v>9</v>
      </c>
      <c r="G96" s="166">
        <v>118</v>
      </c>
      <c r="H96" s="167">
        <f t="shared" si="25"/>
        <v>2063.08</v>
      </c>
      <c r="I96" s="167">
        <f t="shared" si="20"/>
        <v>1999.9</v>
      </c>
      <c r="J96" s="168">
        <f t="shared" si="2"/>
        <v>235988.2</v>
      </c>
      <c r="K96" s="169">
        <f t="shared" si="30"/>
        <v>243443.44</v>
      </c>
      <c r="L96" s="170">
        <f t="shared" si="31"/>
        <v>-7455.2399999999907</v>
      </c>
      <c r="M96" s="171">
        <f t="shared" si="26"/>
        <v>-599.00861319646845</v>
      </c>
      <c r="N96" s="172">
        <f t="shared" si="27"/>
        <v>-8054.2486131964588</v>
      </c>
      <c r="O96" s="171">
        <v>0</v>
      </c>
      <c r="P96" s="171">
        <v>0</v>
      </c>
      <c r="Q96" s="171">
        <v>0</v>
      </c>
      <c r="R96" s="172">
        <f t="shared" si="28"/>
        <v>-8054.2486131964588</v>
      </c>
    </row>
    <row r="97" spans="1:18" x14ac:dyDescent="0.25">
      <c r="A97" s="129">
        <v>6</v>
      </c>
      <c r="B97" s="164">
        <f t="shared" si="4"/>
        <v>45444</v>
      </c>
      <c r="C97" s="184">
        <f t="shared" si="32"/>
        <v>45476</v>
      </c>
      <c r="D97" s="184">
        <f t="shared" si="32"/>
        <v>45497</v>
      </c>
      <c r="E97" s="52" t="s">
        <v>8</v>
      </c>
      <c r="F97" s="129">
        <v>9</v>
      </c>
      <c r="G97" s="166">
        <v>143</v>
      </c>
      <c r="H97" s="167">
        <f t="shared" si="25"/>
        <v>2063.08</v>
      </c>
      <c r="I97" s="167">
        <f t="shared" si="20"/>
        <v>1999.9</v>
      </c>
      <c r="J97" s="168">
        <f t="shared" si="2"/>
        <v>285985.7</v>
      </c>
      <c r="K97" s="169">
        <f t="shared" si="30"/>
        <v>295020.44</v>
      </c>
      <c r="L97" s="174">
        <f t="shared" si="31"/>
        <v>-9034.7399999999907</v>
      </c>
      <c r="M97" s="171">
        <f t="shared" si="26"/>
        <v>-725.91721768724562</v>
      </c>
      <c r="N97" s="172">
        <f t="shared" si="27"/>
        <v>-9760.657217687236</v>
      </c>
      <c r="O97" s="171">
        <v>0</v>
      </c>
      <c r="P97" s="171">
        <v>0</v>
      </c>
      <c r="Q97" s="171">
        <v>0</v>
      </c>
      <c r="R97" s="172">
        <f t="shared" si="28"/>
        <v>-9760.657217687236</v>
      </c>
    </row>
    <row r="98" spans="1:18" x14ac:dyDescent="0.25">
      <c r="A98" s="93">
        <v>7</v>
      </c>
      <c r="B98" s="164">
        <f t="shared" si="4"/>
        <v>45474</v>
      </c>
      <c r="C98" s="184">
        <f t="shared" si="32"/>
        <v>45509</v>
      </c>
      <c r="D98" s="184">
        <f t="shared" si="32"/>
        <v>45530</v>
      </c>
      <c r="E98" s="52" t="s">
        <v>8</v>
      </c>
      <c r="F98" s="129">
        <v>9</v>
      </c>
      <c r="G98" s="166">
        <v>151</v>
      </c>
      <c r="H98" s="167">
        <f t="shared" si="25"/>
        <v>2063.08</v>
      </c>
      <c r="I98" s="167">
        <f t="shared" si="20"/>
        <v>1999.9</v>
      </c>
      <c r="J98" s="168">
        <f t="shared" si="2"/>
        <v>301984.90000000002</v>
      </c>
      <c r="K98" s="175">
        <f t="shared" si="30"/>
        <v>311525.08</v>
      </c>
      <c r="L98" s="174">
        <f t="shared" si="31"/>
        <v>-9540.179999999993</v>
      </c>
      <c r="M98" s="171">
        <f t="shared" si="26"/>
        <v>-766.52797112429437</v>
      </c>
      <c r="N98" s="172">
        <f t="shared" si="27"/>
        <v>-10306.707971124288</v>
      </c>
      <c r="O98" s="171">
        <v>0</v>
      </c>
      <c r="P98" s="171">
        <v>0</v>
      </c>
      <c r="Q98" s="171">
        <v>0</v>
      </c>
      <c r="R98" s="172">
        <f t="shared" si="28"/>
        <v>-10306.707971124288</v>
      </c>
    </row>
    <row r="99" spans="1:18" x14ac:dyDescent="0.25">
      <c r="A99" s="129">
        <v>8</v>
      </c>
      <c r="B99" s="164">
        <f t="shared" si="4"/>
        <v>45505</v>
      </c>
      <c r="C99" s="184">
        <f t="shared" si="32"/>
        <v>45539</v>
      </c>
      <c r="D99" s="184">
        <f t="shared" si="32"/>
        <v>45559</v>
      </c>
      <c r="E99" s="52" t="s">
        <v>8</v>
      </c>
      <c r="F99" s="129">
        <v>9</v>
      </c>
      <c r="G99" s="166">
        <v>157</v>
      </c>
      <c r="H99" s="167">
        <f t="shared" si="25"/>
        <v>2063.08</v>
      </c>
      <c r="I99" s="167">
        <f t="shared" si="20"/>
        <v>1999.9</v>
      </c>
      <c r="J99" s="168">
        <f t="shared" si="2"/>
        <v>313984.3</v>
      </c>
      <c r="K99" s="175">
        <f t="shared" si="30"/>
        <v>323903.56</v>
      </c>
      <c r="L99" s="174">
        <f t="shared" si="31"/>
        <v>-9919.2600000000093</v>
      </c>
      <c r="M99" s="171">
        <f t="shared" si="26"/>
        <v>-796.98603620208087</v>
      </c>
      <c r="N99" s="172">
        <f t="shared" si="27"/>
        <v>-10716.24603620209</v>
      </c>
      <c r="O99" s="171">
        <v>0</v>
      </c>
      <c r="P99" s="171">
        <v>0</v>
      </c>
      <c r="Q99" s="171">
        <v>0</v>
      </c>
      <c r="R99" s="172">
        <f t="shared" si="28"/>
        <v>-10716.24603620209</v>
      </c>
    </row>
    <row r="100" spans="1:18" x14ac:dyDescent="0.25">
      <c r="A100" s="129">
        <v>9</v>
      </c>
      <c r="B100" s="164">
        <f t="shared" si="4"/>
        <v>45536</v>
      </c>
      <c r="C100" s="184">
        <f t="shared" si="32"/>
        <v>45568</v>
      </c>
      <c r="D100" s="184">
        <f t="shared" si="32"/>
        <v>45589</v>
      </c>
      <c r="E100" s="52" t="s">
        <v>8</v>
      </c>
      <c r="F100" s="129">
        <v>9</v>
      </c>
      <c r="G100" s="166">
        <v>146</v>
      </c>
      <c r="H100" s="167">
        <f t="shared" si="25"/>
        <v>2063.08</v>
      </c>
      <c r="I100" s="167">
        <f t="shared" si="20"/>
        <v>1999.9</v>
      </c>
      <c r="J100" s="168">
        <f t="shared" si="2"/>
        <v>291985.40000000002</v>
      </c>
      <c r="K100" s="175">
        <f t="shared" si="30"/>
        <v>301209.68</v>
      </c>
      <c r="L100" s="174">
        <f t="shared" si="31"/>
        <v>-9224.2799999999697</v>
      </c>
      <c r="M100" s="171">
        <f t="shared" si="26"/>
        <v>-741.14625022613893</v>
      </c>
      <c r="N100" s="172">
        <f t="shared" si="27"/>
        <v>-9965.4262502261081</v>
      </c>
      <c r="O100" s="171">
        <v>0</v>
      </c>
      <c r="P100" s="171">
        <v>0</v>
      </c>
      <c r="Q100" s="171">
        <v>0</v>
      </c>
      <c r="R100" s="172">
        <f t="shared" si="28"/>
        <v>-9965.4262502261081</v>
      </c>
    </row>
    <row r="101" spans="1:18" x14ac:dyDescent="0.25">
      <c r="A101" s="93">
        <v>10</v>
      </c>
      <c r="B101" s="164">
        <f t="shared" si="4"/>
        <v>45566</v>
      </c>
      <c r="C101" s="184">
        <f t="shared" si="32"/>
        <v>45601</v>
      </c>
      <c r="D101" s="184">
        <f t="shared" si="32"/>
        <v>45621</v>
      </c>
      <c r="E101" s="52" t="s">
        <v>8</v>
      </c>
      <c r="F101" s="129">
        <v>9</v>
      </c>
      <c r="G101" s="166">
        <v>116</v>
      </c>
      <c r="H101" s="167">
        <f t="shared" si="25"/>
        <v>2063.08</v>
      </c>
      <c r="I101" s="167">
        <f t="shared" si="20"/>
        <v>1999.9</v>
      </c>
      <c r="J101" s="168">
        <f t="shared" si="2"/>
        <v>231988.40000000002</v>
      </c>
      <c r="K101" s="175">
        <f t="shared" si="30"/>
        <v>239317.28</v>
      </c>
      <c r="L101" s="174">
        <f t="shared" si="31"/>
        <v>-7328.8799999999756</v>
      </c>
      <c r="M101" s="171">
        <f t="shared" si="26"/>
        <v>-588.85592483720632</v>
      </c>
      <c r="N101" s="172">
        <f t="shared" si="27"/>
        <v>-7917.7359248371822</v>
      </c>
      <c r="O101" s="171">
        <v>0</v>
      </c>
      <c r="P101" s="171">
        <v>0</v>
      </c>
      <c r="Q101" s="171">
        <v>0</v>
      </c>
      <c r="R101" s="172">
        <f t="shared" si="28"/>
        <v>-7917.7359248371822</v>
      </c>
    </row>
    <row r="102" spans="1:18" x14ac:dyDescent="0.25">
      <c r="A102" s="129">
        <v>11</v>
      </c>
      <c r="B102" s="164">
        <f t="shared" si="4"/>
        <v>45597</v>
      </c>
      <c r="C102" s="184">
        <f t="shared" si="32"/>
        <v>45630</v>
      </c>
      <c r="D102" s="184">
        <f t="shared" si="32"/>
        <v>45650</v>
      </c>
      <c r="E102" s="52" t="s">
        <v>8</v>
      </c>
      <c r="F102" s="129">
        <v>9</v>
      </c>
      <c r="G102" s="166">
        <v>62</v>
      </c>
      <c r="H102" s="167">
        <f t="shared" si="25"/>
        <v>2063.08</v>
      </c>
      <c r="I102" s="167">
        <f t="shared" si="20"/>
        <v>1999.9</v>
      </c>
      <c r="J102" s="168">
        <f t="shared" si="2"/>
        <v>123993.8</v>
      </c>
      <c r="K102" s="175">
        <f t="shared" si="30"/>
        <v>127910.95999999999</v>
      </c>
      <c r="L102" s="174">
        <f t="shared" si="31"/>
        <v>-3917.1599999999889</v>
      </c>
      <c r="M102" s="171">
        <f t="shared" si="26"/>
        <v>-314.73333913712747</v>
      </c>
      <c r="N102" s="172">
        <f t="shared" si="27"/>
        <v>-4231.8933391371165</v>
      </c>
      <c r="O102" s="171">
        <v>0</v>
      </c>
      <c r="P102" s="171">
        <v>0</v>
      </c>
      <c r="Q102" s="171">
        <v>0</v>
      </c>
      <c r="R102" s="172">
        <f t="shared" si="28"/>
        <v>-4231.8933391371165</v>
      </c>
    </row>
    <row r="103" spans="1:18" s="188" customFormat="1" x14ac:dyDescent="0.25">
      <c r="A103" s="129">
        <v>12</v>
      </c>
      <c r="B103" s="186">
        <f t="shared" si="4"/>
        <v>45627</v>
      </c>
      <c r="C103" s="184">
        <f t="shared" si="32"/>
        <v>45660</v>
      </c>
      <c r="D103" s="184">
        <f t="shared" si="32"/>
        <v>45681</v>
      </c>
      <c r="E103" s="187" t="s">
        <v>8</v>
      </c>
      <c r="F103" s="140">
        <v>9</v>
      </c>
      <c r="G103" s="166">
        <v>77</v>
      </c>
      <c r="H103" s="176">
        <f t="shared" si="25"/>
        <v>2063.08</v>
      </c>
      <c r="I103" s="176">
        <f t="shared" si="20"/>
        <v>1999.9</v>
      </c>
      <c r="J103" s="177">
        <f t="shared" si="2"/>
        <v>153992.30000000002</v>
      </c>
      <c r="K103" s="178">
        <f t="shared" si="30"/>
        <v>158857.16</v>
      </c>
      <c r="L103" s="179">
        <f t="shared" si="31"/>
        <v>-4864.859999999986</v>
      </c>
      <c r="M103" s="171">
        <f t="shared" si="26"/>
        <v>-390.87850183159384</v>
      </c>
      <c r="N103" s="172">
        <f t="shared" si="27"/>
        <v>-5255.7385018315799</v>
      </c>
      <c r="O103" s="171">
        <v>0</v>
      </c>
      <c r="P103" s="171">
        <v>0</v>
      </c>
      <c r="Q103" s="171">
        <v>0</v>
      </c>
      <c r="R103" s="172">
        <f t="shared" si="28"/>
        <v>-5255.7385018315799</v>
      </c>
    </row>
    <row r="104" spans="1:18" x14ac:dyDescent="0.25">
      <c r="A104" s="93">
        <v>1</v>
      </c>
      <c r="B104" s="164">
        <f t="shared" si="4"/>
        <v>45292</v>
      </c>
      <c r="C104" s="181">
        <f t="shared" si="32"/>
        <v>45327</v>
      </c>
      <c r="D104" s="181">
        <f t="shared" si="32"/>
        <v>45348</v>
      </c>
      <c r="E104" s="165" t="s">
        <v>19</v>
      </c>
      <c r="F104" s="93">
        <v>9</v>
      </c>
      <c r="G104" s="166">
        <v>65</v>
      </c>
      <c r="H104" s="167">
        <f t="shared" si="25"/>
        <v>2063.08</v>
      </c>
      <c r="I104" s="167">
        <f t="shared" si="20"/>
        <v>1999.9</v>
      </c>
      <c r="J104" s="168">
        <f t="shared" si="2"/>
        <v>129993.5</v>
      </c>
      <c r="K104" s="169">
        <f t="shared" si="30"/>
        <v>134100.19999999998</v>
      </c>
      <c r="L104" s="170">
        <f t="shared" si="31"/>
        <v>-4106.6999999999825</v>
      </c>
      <c r="M104" s="171">
        <f t="shared" si="26"/>
        <v>-329.96237167602078</v>
      </c>
      <c r="N104" s="172">
        <f t="shared" si="27"/>
        <v>-4436.6623716760032</v>
      </c>
      <c r="O104" s="171">
        <v>0</v>
      </c>
      <c r="P104" s="171">
        <v>0</v>
      </c>
      <c r="Q104" s="171">
        <v>0</v>
      </c>
      <c r="R104" s="172">
        <f t="shared" si="28"/>
        <v>-4436.6623716760032</v>
      </c>
    </row>
    <row r="105" spans="1:18" x14ac:dyDescent="0.25">
      <c r="A105" s="129">
        <v>2</v>
      </c>
      <c r="B105" s="164">
        <f t="shared" si="4"/>
        <v>45323</v>
      </c>
      <c r="C105" s="184">
        <f t="shared" si="32"/>
        <v>45356</v>
      </c>
      <c r="D105" s="184">
        <f t="shared" si="32"/>
        <v>45376</v>
      </c>
      <c r="E105" s="173" t="s">
        <v>19</v>
      </c>
      <c r="F105" s="129">
        <v>9</v>
      </c>
      <c r="G105" s="166">
        <v>65</v>
      </c>
      <c r="H105" s="167">
        <f t="shared" si="25"/>
        <v>2063.08</v>
      </c>
      <c r="I105" s="167">
        <f t="shared" si="20"/>
        <v>1999.9</v>
      </c>
      <c r="J105" s="168">
        <f t="shared" si="2"/>
        <v>129993.5</v>
      </c>
      <c r="K105" s="169">
        <f t="shared" si="30"/>
        <v>134100.19999999998</v>
      </c>
      <c r="L105" s="170">
        <f t="shared" si="31"/>
        <v>-4106.6999999999825</v>
      </c>
      <c r="M105" s="171">
        <f t="shared" si="26"/>
        <v>-329.96237167602078</v>
      </c>
      <c r="N105" s="172">
        <f t="shared" si="27"/>
        <v>-4436.6623716760032</v>
      </c>
      <c r="O105" s="171">
        <v>0</v>
      </c>
      <c r="P105" s="171">
        <v>0</v>
      </c>
      <c r="Q105" s="171">
        <v>0</v>
      </c>
      <c r="R105" s="172">
        <f t="shared" si="28"/>
        <v>-4436.6623716760032</v>
      </c>
    </row>
    <row r="106" spans="1:18" x14ac:dyDescent="0.25">
      <c r="A106" s="129">
        <v>3</v>
      </c>
      <c r="B106" s="164">
        <f t="shared" si="4"/>
        <v>45352</v>
      </c>
      <c r="C106" s="184">
        <f t="shared" si="32"/>
        <v>45385</v>
      </c>
      <c r="D106" s="184">
        <f t="shared" si="32"/>
        <v>45406</v>
      </c>
      <c r="E106" s="173" t="s">
        <v>19</v>
      </c>
      <c r="F106" s="129">
        <v>9</v>
      </c>
      <c r="G106" s="166">
        <v>64</v>
      </c>
      <c r="H106" s="167">
        <f t="shared" si="25"/>
        <v>2063.08</v>
      </c>
      <c r="I106" s="167">
        <f t="shared" si="20"/>
        <v>1999.9</v>
      </c>
      <c r="J106" s="168">
        <f t="shared" si="2"/>
        <v>127993.60000000001</v>
      </c>
      <c r="K106" s="169">
        <f t="shared" si="30"/>
        <v>132037.12</v>
      </c>
      <c r="L106" s="170">
        <f>+J106-K106</f>
        <v>-4043.5199999999895</v>
      </c>
      <c r="M106" s="171">
        <f t="shared" si="26"/>
        <v>-324.88602749638972</v>
      </c>
      <c r="N106" s="172">
        <f t="shared" si="27"/>
        <v>-4368.4060274963795</v>
      </c>
      <c r="O106" s="171">
        <v>0</v>
      </c>
      <c r="P106" s="171">
        <v>0</v>
      </c>
      <c r="Q106" s="171">
        <v>0</v>
      </c>
      <c r="R106" s="172">
        <f t="shared" si="28"/>
        <v>-4368.4060274963795</v>
      </c>
    </row>
    <row r="107" spans="1:18" x14ac:dyDescent="0.25">
      <c r="A107" s="93">
        <v>4</v>
      </c>
      <c r="B107" s="164">
        <f t="shared" si="4"/>
        <v>45383</v>
      </c>
      <c r="C107" s="184">
        <f t="shared" si="32"/>
        <v>45415</v>
      </c>
      <c r="D107" s="184">
        <f t="shared" si="32"/>
        <v>45436</v>
      </c>
      <c r="E107" s="52" t="s">
        <v>19</v>
      </c>
      <c r="F107" s="129">
        <v>9</v>
      </c>
      <c r="G107" s="166">
        <v>65</v>
      </c>
      <c r="H107" s="167">
        <f t="shared" si="25"/>
        <v>2063.08</v>
      </c>
      <c r="I107" s="167">
        <f t="shared" si="20"/>
        <v>1999.9</v>
      </c>
      <c r="J107" s="168">
        <f t="shared" si="2"/>
        <v>129993.5</v>
      </c>
      <c r="K107" s="169">
        <f t="shared" si="30"/>
        <v>134100.19999999998</v>
      </c>
      <c r="L107" s="170">
        <f t="shared" ref="L107:L115" si="33">+J107-K107</f>
        <v>-4106.6999999999825</v>
      </c>
      <c r="M107" s="171">
        <f t="shared" si="26"/>
        <v>-329.96237167602078</v>
      </c>
      <c r="N107" s="172">
        <f t="shared" si="27"/>
        <v>-4436.6623716760032</v>
      </c>
      <c r="O107" s="171">
        <v>0</v>
      </c>
      <c r="P107" s="171">
        <v>0</v>
      </c>
      <c r="Q107" s="171">
        <v>0</v>
      </c>
      <c r="R107" s="172">
        <f t="shared" si="28"/>
        <v>-4436.6623716760032</v>
      </c>
    </row>
    <row r="108" spans="1:18" x14ac:dyDescent="0.25">
      <c r="A108" s="129">
        <v>5</v>
      </c>
      <c r="B108" s="164">
        <f t="shared" si="4"/>
        <v>45413</v>
      </c>
      <c r="C108" s="184">
        <f t="shared" si="32"/>
        <v>45448</v>
      </c>
      <c r="D108" s="184">
        <f t="shared" si="32"/>
        <v>45467</v>
      </c>
      <c r="E108" s="52" t="s">
        <v>19</v>
      </c>
      <c r="F108" s="129">
        <v>9</v>
      </c>
      <c r="G108" s="166">
        <v>51</v>
      </c>
      <c r="H108" s="167">
        <f t="shared" si="25"/>
        <v>2063.08</v>
      </c>
      <c r="I108" s="167">
        <f t="shared" ref="I108:I127" si="34">$J$3</f>
        <v>1999.9</v>
      </c>
      <c r="J108" s="168">
        <f t="shared" si="2"/>
        <v>101994.90000000001</v>
      </c>
      <c r="K108" s="169">
        <f t="shared" si="30"/>
        <v>105217.08</v>
      </c>
      <c r="L108" s="170">
        <f t="shared" si="33"/>
        <v>-3222.179999999993</v>
      </c>
      <c r="M108" s="171">
        <f t="shared" si="26"/>
        <v>-258.89355316118554</v>
      </c>
      <c r="N108" s="172">
        <f t="shared" si="27"/>
        <v>-3481.0735531611786</v>
      </c>
      <c r="O108" s="171">
        <v>0</v>
      </c>
      <c r="P108" s="171">
        <v>0</v>
      </c>
      <c r="Q108" s="171">
        <v>0</v>
      </c>
      <c r="R108" s="172">
        <f t="shared" si="28"/>
        <v>-3481.0735531611786</v>
      </c>
    </row>
    <row r="109" spans="1:18" x14ac:dyDescent="0.25">
      <c r="A109" s="129">
        <v>6</v>
      </c>
      <c r="B109" s="164">
        <f t="shared" ref="B109:B148" si="35">DATE($R$1,A109,1)</f>
        <v>45444</v>
      </c>
      <c r="C109" s="184">
        <f t="shared" si="32"/>
        <v>45476</v>
      </c>
      <c r="D109" s="184">
        <f t="shared" si="32"/>
        <v>45497</v>
      </c>
      <c r="E109" s="52" t="s">
        <v>19</v>
      </c>
      <c r="F109" s="129">
        <v>9</v>
      </c>
      <c r="G109" s="166">
        <v>59</v>
      </c>
      <c r="H109" s="167">
        <f t="shared" si="25"/>
        <v>2063.08</v>
      </c>
      <c r="I109" s="167">
        <f t="shared" si="34"/>
        <v>1999.9</v>
      </c>
      <c r="J109" s="168">
        <f t="shared" ref="J109:J148" si="36">+$G109*I109</f>
        <v>117994.1</v>
      </c>
      <c r="K109" s="169">
        <f t="shared" si="30"/>
        <v>121721.72</v>
      </c>
      <c r="L109" s="174">
        <f t="shared" si="33"/>
        <v>-3727.6199999999953</v>
      </c>
      <c r="M109" s="171">
        <f t="shared" si="26"/>
        <v>-299.50430659823422</v>
      </c>
      <c r="N109" s="172">
        <f t="shared" si="27"/>
        <v>-4027.1243065982294</v>
      </c>
      <c r="O109" s="171">
        <v>0</v>
      </c>
      <c r="P109" s="171">
        <v>0</v>
      </c>
      <c r="Q109" s="171">
        <v>0</v>
      </c>
      <c r="R109" s="172">
        <f t="shared" si="28"/>
        <v>-4027.1243065982294</v>
      </c>
    </row>
    <row r="110" spans="1:18" x14ac:dyDescent="0.25">
      <c r="A110" s="93">
        <v>7</v>
      </c>
      <c r="B110" s="164">
        <f t="shared" si="35"/>
        <v>45474</v>
      </c>
      <c r="C110" s="184">
        <f t="shared" si="32"/>
        <v>45509</v>
      </c>
      <c r="D110" s="184">
        <f t="shared" si="32"/>
        <v>45530</v>
      </c>
      <c r="E110" s="52" t="s">
        <v>19</v>
      </c>
      <c r="F110" s="129">
        <v>9</v>
      </c>
      <c r="G110" s="166">
        <v>67</v>
      </c>
      <c r="H110" s="167">
        <f t="shared" si="25"/>
        <v>2063.08</v>
      </c>
      <c r="I110" s="167">
        <f t="shared" si="34"/>
        <v>1999.9</v>
      </c>
      <c r="J110" s="168">
        <f t="shared" si="36"/>
        <v>133993.30000000002</v>
      </c>
      <c r="K110" s="175">
        <f t="shared" si="30"/>
        <v>138226.35999999999</v>
      </c>
      <c r="L110" s="174">
        <f t="shared" si="33"/>
        <v>-4233.0599999999686</v>
      </c>
      <c r="M110" s="171">
        <f t="shared" si="26"/>
        <v>-340.11506003528297</v>
      </c>
      <c r="N110" s="172">
        <f t="shared" si="27"/>
        <v>-4573.1750600352516</v>
      </c>
      <c r="O110" s="171">
        <v>0</v>
      </c>
      <c r="P110" s="171">
        <v>0</v>
      </c>
      <c r="Q110" s="171">
        <v>0</v>
      </c>
      <c r="R110" s="172">
        <f t="shared" si="28"/>
        <v>-4573.1750600352516</v>
      </c>
    </row>
    <row r="111" spans="1:18" x14ac:dyDescent="0.25">
      <c r="A111" s="129">
        <v>8</v>
      </c>
      <c r="B111" s="164">
        <f t="shared" si="35"/>
        <v>45505</v>
      </c>
      <c r="C111" s="184">
        <f t="shared" si="32"/>
        <v>45539</v>
      </c>
      <c r="D111" s="184">
        <f t="shared" si="32"/>
        <v>45559</v>
      </c>
      <c r="E111" s="52" t="s">
        <v>19</v>
      </c>
      <c r="F111" s="129">
        <v>9</v>
      </c>
      <c r="G111" s="166">
        <v>70</v>
      </c>
      <c r="H111" s="167">
        <f t="shared" si="25"/>
        <v>2063.08</v>
      </c>
      <c r="I111" s="167">
        <f t="shared" si="34"/>
        <v>1999.9</v>
      </c>
      <c r="J111" s="168">
        <f t="shared" si="36"/>
        <v>139993</v>
      </c>
      <c r="K111" s="175">
        <f t="shared" si="30"/>
        <v>144415.6</v>
      </c>
      <c r="L111" s="174">
        <f t="shared" si="33"/>
        <v>-4422.6000000000058</v>
      </c>
      <c r="M111" s="171">
        <f t="shared" si="26"/>
        <v>-355.34409257417622</v>
      </c>
      <c r="N111" s="172">
        <f t="shared" si="27"/>
        <v>-4777.9440925741819</v>
      </c>
      <c r="O111" s="171">
        <v>0</v>
      </c>
      <c r="P111" s="171">
        <v>0</v>
      </c>
      <c r="Q111" s="171">
        <v>0</v>
      </c>
      <c r="R111" s="172">
        <f t="shared" si="28"/>
        <v>-4777.9440925741819</v>
      </c>
    </row>
    <row r="112" spans="1:18" x14ac:dyDescent="0.25">
      <c r="A112" s="129">
        <v>9</v>
      </c>
      <c r="B112" s="164">
        <f t="shared" si="35"/>
        <v>45536</v>
      </c>
      <c r="C112" s="184">
        <f t="shared" si="32"/>
        <v>45568</v>
      </c>
      <c r="D112" s="184">
        <f t="shared" si="32"/>
        <v>45589</v>
      </c>
      <c r="E112" s="52" t="s">
        <v>19</v>
      </c>
      <c r="F112" s="129">
        <v>9</v>
      </c>
      <c r="G112" s="166">
        <v>72</v>
      </c>
      <c r="H112" s="167">
        <f t="shared" si="25"/>
        <v>2063.08</v>
      </c>
      <c r="I112" s="167">
        <f t="shared" si="34"/>
        <v>1999.9</v>
      </c>
      <c r="J112" s="168">
        <f t="shared" si="36"/>
        <v>143992.80000000002</v>
      </c>
      <c r="K112" s="175">
        <f t="shared" si="30"/>
        <v>148541.76000000001</v>
      </c>
      <c r="L112" s="174">
        <f t="shared" si="33"/>
        <v>-4548.9599999999919</v>
      </c>
      <c r="M112" s="171">
        <f t="shared" si="26"/>
        <v>-365.4967809334384</v>
      </c>
      <c r="N112" s="172">
        <f t="shared" si="27"/>
        <v>-4914.4567809334303</v>
      </c>
      <c r="O112" s="171">
        <v>0</v>
      </c>
      <c r="P112" s="171">
        <v>0</v>
      </c>
      <c r="Q112" s="171">
        <v>0</v>
      </c>
      <c r="R112" s="172">
        <f t="shared" si="28"/>
        <v>-4914.4567809334303</v>
      </c>
    </row>
    <row r="113" spans="1:18" x14ac:dyDescent="0.25">
      <c r="A113" s="93">
        <v>10</v>
      </c>
      <c r="B113" s="164">
        <f t="shared" si="35"/>
        <v>45566</v>
      </c>
      <c r="C113" s="184">
        <f t="shared" si="32"/>
        <v>45601</v>
      </c>
      <c r="D113" s="184">
        <f t="shared" si="32"/>
        <v>45621</v>
      </c>
      <c r="E113" s="52" t="s">
        <v>19</v>
      </c>
      <c r="F113" s="129">
        <v>9</v>
      </c>
      <c r="G113" s="166">
        <v>73</v>
      </c>
      <c r="H113" s="167">
        <f t="shared" si="25"/>
        <v>2063.08</v>
      </c>
      <c r="I113" s="167">
        <f t="shared" si="34"/>
        <v>1999.9</v>
      </c>
      <c r="J113" s="168">
        <f t="shared" si="36"/>
        <v>145992.70000000001</v>
      </c>
      <c r="K113" s="175">
        <f t="shared" si="30"/>
        <v>150604.84</v>
      </c>
      <c r="L113" s="174">
        <f t="shared" si="33"/>
        <v>-4612.1399999999849</v>
      </c>
      <c r="M113" s="171">
        <f t="shared" si="26"/>
        <v>-370.57312511306947</v>
      </c>
      <c r="N113" s="172">
        <f t="shared" si="27"/>
        <v>-4982.713125113054</v>
      </c>
      <c r="O113" s="171">
        <v>0</v>
      </c>
      <c r="P113" s="171">
        <v>0</v>
      </c>
      <c r="Q113" s="171">
        <v>0</v>
      </c>
      <c r="R113" s="172">
        <f t="shared" si="28"/>
        <v>-4982.713125113054</v>
      </c>
    </row>
    <row r="114" spans="1:18" x14ac:dyDescent="0.25">
      <c r="A114" s="129">
        <v>11</v>
      </c>
      <c r="B114" s="164">
        <f t="shared" si="35"/>
        <v>45597</v>
      </c>
      <c r="C114" s="184">
        <f t="shared" si="32"/>
        <v>45630</v>
      </c>
      <c r="D114" s="184">
        <f t="shared" si="32"/>
        <v>45650</v>
      </c>
      <c r="E114" s="52" t="s">
        <v>19</v>
      </c>
      <c r="F114" s="129">
        <v>9</v>
      </c>
      <c r="G114" s="166">
        <v>72</v>
      </c>
      <c r="H114" s="167">
        <f t="shared" si="25"/>
        <v>2063.08</v>
      </c>
      <c r="I114" s="167">
        <f t="shared" si="34"/>
        <v>1999.9</v>
      </c>
      <c r="J114" s="168">
        <f t="shared" si="36"/>
        <v>143992.80000000002</v>
      </c>
      <c r="K114" s="175">
        <f t="shared" si="30"/>
        <v>148541.76000000001</v>
      </c>
      <c r="L114" s="174">
        <f t="shared" si="33"/>
        <v>-4548.9599999999919</v>
      </c>
      <c r="M114" s="171">
        <f t="shared" si="26"/>
        <v>-365.4967809334384</v>
      </c>
      <c r="N114" s="172">
        <f t="shared" si="27"/>
        <v>-4914.4567809334303</v>
      </c>
      <c r="O114" s="171">
        <v>0</v>
      </c>
      <c r="P114" s="171">
        <v>0</v>
      </c>
      <c r="Q114" s="171">
        <v>0</v>
      </c>
      <c r="R114" s="172">
        <f t="shared" si="28"/>
        <v>-4914.4567809334303</v>
      </c>
    </row>
    <row r="115" spans="1:18" s="188" customFormat="1" x14ac:dyDescent="0.25">
      <c r="A115" s="129">
        <v>12</v>
      </c>
      <c r="B115" s="186">
        <f t="shared" si="35"/>
        <v>45627</v>
      </c>
      <c r="C115" s="189">
        <f t="shared" si="32"/>
        <v>45660</v>
      </c>
      <c r="D115" s="189">
        <f t="shared" si="32"/>
        <v>45681</v>
      </c>
      <c r="E115" s="187" t="s">
        <v>19</v>
      </c>
      <c r="F115" s="140">
        <v>9</v>
      </c>
      <c r="G115" s="166">
        <v>65</v>
      </c>
      <c r="H115" s="176">
        <f t="shared" si="25"/>
        <v>2063.08</v>
      </c>
      <c r="I115" s="176">
        <f t="shared" si="34"/>
        <v>1999.9</v>
      </c>
      <c r="J115" s="177">
        <f t="shared" si="36"/>
        <v>129993.5</v>
      </c>
      <c r="K115" s="178">
        <f t="shared" si="30"/>
        <v>134100.19999999998</v>
      </c>
      <c r="L115" s="179">
        <f t="shared" si="33"/>
        <v>-4106.6999999999825</v>
      </c>
      <c r="M115" s="171">
        <f t="shared" si="26"/>
        <v>-329.96237167602078</v>
      </c>
      <c r="N115" s="172">
        <f t="shared" si="27"/>
        <v>-4436.6623716760032</v>
      </c>
      <c r="O115" s="171">
        <v>0</v>
      </c>
      <c r="P115" s="171">
        <v>0</v>
      </c>
      <c r="Q115" s="171">
        <v>0</v>
      </c>
      <c r="R115" s="172">
        <f t="shared" si="28"/>
        <v>-4436.6623716760032</v>
      </c>
    </row>
    <row r="116" spans="1:18" x14ac:dyDescent="0.25">
      <c r="A116" s="93">
        <v>1</v>
      </c>
      <c r="B116" s="164">
        <f t="shared" si="35"/>
        <v>45292</v>
      </c>
      <c r="C116" s="184">
        <f t="shared" si="32"/>
        <v>45327</v>
      </c>
      <c r="D116" s="184">
        <f t="shared" si="32"/>
        <v>45348</v>
      </c>
      <c r="E116" s="165" t="s">
        <v>13</v>
      </c>
      <c r="F116" s="93">
        <v>9</v>
      </c>
      <c r="G116" s="166">
        <v>1452</v>
      </c>
      <c r="H116" s="167">
        <f t="shared" si="25"/>
        <v>2063.08</v>
      </c>
      <c r="I116" s="167">
        <f t="shared" si="34"/>
        <v>1999.9</v>
      </c>
      <c r="J116" s="168">
        <f t="shared" si="36"/>
        <v>2903854.8000000003</v>
      </c>
      <c r="K116" s="169">
        <f t="shared" si="30"/>
        <v>2995592.1599999997</v>
      </c>
      <c r="L116" s="170">
        <f>+J116-K116</f>
        <v>-91737.359999999404</v>
      </c>
      <c r="M116" s="171">
        <f t="shared" si="26"/>
        <v>-7370.8517488243415</v>
      </c>
      <c r="N116" s="172">
        <f t="shared" si="27"/>
        <v>-99108.211748823742</v>
      </c>
      <c r="O116" s="171">
        <v>0</v>
      </c>
      <c r="P116" s="171">
        <v>0</v>
      </c>
      <c r="Q116" s="171">
        <v>0</v>
      </c>
      <c r="R116" s="172">
        <f t="shared" si="28"/>
        <v>-99108.211748823742</v>
      </c>
    </row>
    <row r="117" spans="1:18" x14ac:dyDescent="0.25">
      <c r="A117" s="129">
        <v>2</v>
      </c>
      <c r="B117" s="164">
        <f t="shared" si="35"/>
        <v>45323</v>
      </c>
      <c r="C117" s="184">
        <f t="shared" ref="C117:D139" si="37">+C105</f>
        <v>45356</v>
      </c>
      <c r="D117" s="184">
        <f t="shared" si="37"/>
        <v>45376</v>
      </c>
      <c r="E117" s="173" t="s">
        <v>13</v>
      </c>
      <c r="F117" s="129">
        <v>9</v>
      </c>
      <c r="G117" s="166">
        <v>966</v>
      </c>
      <c r="H117" s="167">
        <f t="shared" si="25"/>
        <v>2063.08</v>
      </c>
      <c r="I117" s="167">
        <f t="shared" si="34"/>
        <v>1999.9</v>
      </c>
      <c r="J117" s="168">
        <f t="shared" si="36"/>
        <v>1931903.4000000001</v>
      </c>
      <c r="K117" s="169">
        <f t="shared" si="30"/>
        <v>1992935.28</v>
      </c>
      <c r="L117" s="170">
        <f>+J117-K117</f>
        <v>-61031.879999999888</v>
      </c>
      <c r="M117" s="171">
        <f t="shared" si="26"/>
        <v>-4903.7484775236317</v>
      </c>
      <c r="N117" s="172">
        <f t="shared" si="27"/>
        <v>-65935.628477523525</v>
      </c>
      <c r="O117" s="171">
        <v>0</v>
      </c>
      <c r="P117" s="171">
        <v>0</v>
      </c>
      <c r="Q117" s="171">
        <v>0</v>
      </c>
      <c r="R117" s="172">
        <f t="shared" si="28"/>
        <v>-65935.628477523525</v>
      </c>
    </row>
    <row r="118" spans="1:18" x14ac:dyDescent="0.25">
      <c r="A118" s="129">
        <v>3</v>
      </c>
      <c r="B118" s="164">
        <f t="shared" si="35"/>
        <v>45352</v>
      </c>
      <c r="C118" s="184">
        <f t="shared" si="37"/>
        <v>45385</v>
      </c>
      <c r="D118" s="184">
        <f t="shared" si="37"/>
        <v>45406</v>
      </c>
      <c r="E118" s="173" t="s">
        <v>13</v>
      </c>
      <c r="F118" s="129">
        <v>9</v>
      </c>
      <c r="G118" s="166">
        <v>732</v>
      </c>
      <c r="H118" s="167">
        <f t="shared" si="25"/>
        <v>2063.08</v>
      </c>
      <c r="I118" s="167">
        <f t="shared" si="34"/>
        <v>1999.9</v>
      </c>
      <c r="J118" s="168">
        <f t="shared" si="36"/>
        <v>1463926.8</v>
      </c>
      <c r="K118" s="169">
        <f t="shared" si="30"/>
        <v>1510174.56</v>
      </c>
      <c r="L118" s="170">
        <f>+J118-K118</f>
        <v>-46247.760000000009</v>
      </c>
      <c r="M118" s="171">
        <f t="shared" si="26"/>
        <v>-3715.8839394899569</v>
      </c>
      <c r="N118" s="172">
        <f t="shared" si="27"/>
        <v>-49963.643939489964</v>
      </c>
      <c r="O118" s="171">
        <v>0</v>
      </c>
      <c r="P118" s="171">
        <v>0</v>
      </c>
      <c r="Q118" s="171">
        <v>0</v>
      </c>
      <c r="R118" s="172">
        <f t="shared" si="28"/>
        <v>-49963.643939489964</v>
      </c>
    </row>
    <row r="119" spans="1:18" x14ac:dyDescent="0.25">
      <c r="A119" s="93">
        <v>4</v>
      </c>
      <c r="B119" s="164">
        <f t="shared" si="35"/>
        <v>45383</v>
      </c>
      <c r="C119" s="184">
        <f t="shared" si="37"/>
        <v>45415</v>
      </c>
      <c r="D119" s="184">
        <f t="shared" si="37"/>
        <v>45436</v>
      </c>
      <c r="E119" s="52" t="s">
        <v>13</v>
      </c>
      <c r="F119" s="129">
        <v>9</v>
      </c>
      <c r="G119" s="166">
        <v>547</v>
      </c>
      <c r="H119" s="167">
        <f t="shared" si="25"/>
        <v>2063.08</v>
      </c>
      <c r="I119" s="167">
        <f t="shared" si="34"/>
        <v>1999.9</v>
      </c>
      <c r="J119" s="168">
        <f t="shared" si="36"/>
        <v>1093945.3</v>
      </c>
      <c r="K119" s="169">
        <f t="shared" si="30"/>
        <v>1128504.76</v>
      </c>
      <c r="L119" s="170">
        <f t="shared" ref="L119:L127" si="38">+J119-K119</f>
        <v>-34559.459999999963</v>
      </c>
      <c r="M119" s="171">
        <f t="shared" si="26"/>
        <v>-2776.7602662582053</v>
      </c>
      <c r="N119" s="172">
        <f t="shared" si="27"/>
        <v>-37336.220266258169</v>
      </c>
      <c r="O119" s="171">
        <v>0</v>
      </c>
      <c r="P119" s="171">
        <v>0</v>
      </c>
      <c r="Q119" s="171">
        <v>0</v>
      </c>
      <c r="R119" s="172">
        <f t="shared" si="28"/>
        <v>-37336.220266258169</v>
      </c>
    </row>
    <row r="120" spans="1:18" x14ac:dyDescent="0.25">
      <c r="A120" s="129">
        <v>5</v>
      </c>
      <c r="B120" s="164">
        <f t="shared" si="35"/>
        <v>45413</v>
      </c>
      <c r="C120" s="184">
        <f t="shared" si="37"/>
        <v>45448</v>
      </c>
      <c r="D120" s="184">
        <f t="shared" si="37"/>
        <v>45467</v>
      </c>
      <c r="E120" s="52" t="s">
        <v>13</v>
      </c>
      <c r="F120" s="129">
        <v>9</v>
      </c>
      <c r="G120" s="166">
        <v>747</v>
      </c>
      <c r="H120" s="167">
        <f t="shared" si="25"/>
        <v>2063.08</v>
      </c>
      <c r="I120" s="167">
        <f t="shared" si="34"/>
        <v>1999.9</v>
      </c>
      <c r="J120" s="168">
        <f t="shared" si="36"/>
        <v>1493925.3</v>
      </c>
      <c r="K120" s="169">
        <f t="shared" si="30"/>
        <v>1541120.76</v>
      </c>
      <c r="L120" s="170">
        <f t="shared" si="38"/>
        <v>-47195.459999999963</v>
      </c>
      <c r="M120" s="171">
        <f t="shared" si="26"/>
        <v>-3792.0291021844237</v>
      </c>
      <c r="N120" s="172">
        <f t="shared" si="27"/>
        <v>-50987.489102184387</v>
      </c>
      <c r="O120" s="171">
        <v>0</v>
      </c>
      <c r="P120" s="171">
        <v>0</v>
      </c>
      <c r="Q120" s="171">
        <v>0</v>
      </c>
      <c r="R120" s="172">
        <f t="shared" si="28"/>
        <v>-50987.489102184387</v>
      </c>
    </row>
    <row r="121" spans="1:18" x14ac:dyDescent="0.25">
      <c r="A121" s="129">
        <v>6</v>
      </c>
      <c r="B121" s="164">
        <f t="shared" si="35"/>
        <v>45444</v>
      </c>
      <c r="C121" s="184">
        <f t="shared" si="37"/>
        <v>45476</v>
      </c>
      <c r="D121" s="184">
        <f t="shared" si="37"/>
        <v>45497</v>
      </c>
      <c r="E121" s="52" t="s">
        <v>13</v>
      </c>
      <c r="F121" s="129">
        <v>9</v>
      </c>
      <c r="G121" s="166">
        <v>917</v>
      </c>
      <c r="H121" s="167">
        <f t="shared" si="25"/>
        <v>2063.08</v>
      </c>
      <c r="I121" s="167">
        <f t="shared" si="34"/>
        <v>1999.9</v>
      </c>
      <c r="J121" s="168">
        <f t="shared" si="36"/>
        <v>1833908.3</v>
      </c>
      <c r="K121" s="169">
        <f t="shared" si="30"/>
        <v>1891844.3599999999</v>
      </c>
      <c r="L121" s="174">
        <f t="shared" si="38"/>
        <v>-57936.059999999823</v>
      </c>
      <c r="M121" s="171">
        <f t="shared" si="26"/>
        <v>-4655.0076127217089</v>
      </c>
      <c r="N121" s="172">
        <f t="shared" si="27"/>
        <v>-62591.067612721534</v>
      </c>
      <c r="O121" s="171">
        <v>0</v>
      </c>
      <c r="P121" s="171">
        <v>0</v>
      </c>
      <c r="Q121" s="171">
        <v>0</v>
      </c>
      <c r="R121" s="172">
        <f t="shared" si="28"/>
        <v>-62591.067612721534</v>
      </c>
    </row>
    <row r="122" spans="1:18" x14ac:dyDescent="0.25">
      <c r="A122" s="93">
        <v>7</v>
      </c>
      <c r="B122" s="164">
        <f t="shared" si="35"/>
        <v>45474</v>
      </c>
      <c r="C122" s="184">
        <f t="shared" si="37"/>
        <v>45509</v>
      </c>
      <c r="D122" s="184">
        <f t="shared" si="37"/>
        <v>45530</v>
      </c>
      <c r="E122" s="52" t="s">
        <v>13</v>
      </c>
      <c r="F122" s="129">
        <v>9</v>
      </c>
      <c r="G122" s="166">
        <v>950</v>
      </c>
      <c r="H122" s="167">
        <f t="shared" si="25"/>
        <v>2063.08</v>
      </c>
      <c r="I122" s="167">
        <f t="shared" si="34"/>
        <v>1999.9</v>
      </c>
      <c r="J122" s="168">
        <f t="shared" si="36"/>
        <v>1899905</v>
      </c>
      <c r="K122" s="175">
        <f t="shared" si="30"/>
        <v>1959926</v>
      </c>
      <c r="L122" s="174">
        <f t="shared" si="38"/>
        <v>-60021</v>
      </c>
      <c r="M122" s="171">
        <f t="shared" si="26"/>
        <v>-4822.5269706495346</v>
      </c>
      <c r="N122" s="172">
        <f t="shared" si="27"/>
        <v>-64843.526970649531</v>
      </c>
      <c r="O122" s="171">
        <v>0</v>
      </c>
      <c r="P122" s="171">
        <v>0</v>
      </c>
      <c r="Q122" s="171">
        <v>0</v>
      </c>
      <c r="R122" s="172">
        <f t="shared" si="28"/>
        <v>-64843.526970649531</v>
      </c>
    </row>
    <row r="123" spans="1:18" x14ac:dyDescent="0.25">
      <c r="A123" s="129">
        <v>8</v>
      </c>
      <c r="B123" s="164">
        <f t="shared" si="35"/>
        <v>45505</v>
      </c>
      <c r="C123" s="184">
        <f t="shared" si="37"/>
        <v>45539</v>
      </c>
      <c r="D123" s="184">
        <f t="shared" si="37"/>
        <v>45559</v>
      </c>
      <c r="E123" s="52" t="s">
        <v>13</v>
      </c>
      <c r="F123" s="129">
        <v>9</v>
      </c>
      <c r="G123" s="166">
        <v>940</v>
      </c>
      <c r="H123" s="167">
        <f t="shared" si="25"/>
        <v>2063.08</v>
      </c>
      <c r="I123" s="167">
        <f t="shared" si="34"/>
        <v>1999.9</v>
      </c>
      <c r="J123" s="168">
        <f t="shared" si="36"/>
        <v>1879906</v>
      </c>
      <c r="K123" s="175">
        <f t="shared" si="30"/>
        <v>1939295.2</v>
      </c>
      <c r="L123" s="174">
        <f t="shared" si="38"/>
        <v>-59389.199999999953</v>
      </c>
      <c r="M123" s="171">
        <f t="shared" si="26"/>
        <v>-4771.7635288532229</v>
      </c>
      <c r="N123" s="172">
        <f t="shared" si="27"/>
        <v>-64160.963528853179</v>
      </c>
      <c r="O123" s="171">
        <v>0</v>
      </c>
      <c r="P123" s="171">
        <v>0</v>
      </c>
      <c r="Q123" s="171">
        <v>0</v>
      </c>
      <c r="R123" s="172">
        <f t="shared" si="28"/>
        <v>-64160.963528853179</v>
      </c>
    </row>
    <row r="124" spans="1:18" x14ac:dyDescent="0.25">
      <c r="A124" s="129">
        <v>9</v>
      </c>
      <c r="B124" s="164">
        <f t="shared" si="35"/>
        <v>45536</v>
      </c>
      <c r="C124" s="184">
        <f t="shared" si="37"/>
        <v>45568</v>
      </c>
      <c r="D124" s="184">
        <f t="shared" si="37"/>
        <v>45589</v>
      </c>
      <c r="E124" s="52" t="s">
        <v>13</v>
      </c>
      <c r="F124" s="129">
        <v>9</v>
      </c>
      <c r="G124" s="166">
        <v>816</v>
      </c>
      <c r="H124" s="167">
        <f t="shared" si="25"/>
        <v>2063.08</v>
      </c>
      <c r="I124" s="167">
        <f t="shared" si="34"/>
        <v>1999.9</v>
      </c>
      <c r="J124" s="168">
        <f t="shared" si="36"/>
        <v>1631918.4000000001</v>
      </c>
      <c r="K124" s="175">
        <f t="shared" si="30"/>
        <v>1683473.28</v>
      </c>
      <c r="L124" s="174">
        <f t="shared" si="38"/>
        <v>-51554.879999999888</v>
      </c>
      <c r="M124" s="171">
        <f t="shared" si="26"/>
        <v>-4142.2968505789686</v>
      </c>
      <c r="N124" s="172">
        <f t="shared" si="27"/>
        <v>-55697.176850578857</v>
      </c>
      <c r="O124" s="171">
        <v>0</v>
      </c>
      <c r="P124" s="171">
        <v>0</v>
      </c>
      <c r="Q124" s="171">
        <v>0</v>
      </c>
      <c r="R124" s="172">
        <f t="shared" si="28"/>
        <v>-55697.176850578857</v>
      </c>
    </row>
    <row r="125" spans="1:18" x14ac:dyDescent="0.25">
      <c r="A125" s="93">
        <v>10</v>
      </c>
      <c r="B125" s="164">
        <f t="shared" si="35"/>
        <v>45566</v>
      </c>
      <c r="C125" s="184">
        <f t="shared" si="37"/>
        <v>45601</v>
      </c>
      <c r="D125" s="184">
        <f t="shared" si="37"/>
        <v>45621</v>
      </c>
      <c r="E125" s="52" t="s">
        <v>13</v>
      </c>
      <c r="F125" s="129">
        <v>9</v>
      </c>
      <c r="G125" s="166">
        <v>683</v>
      </c>
      <c r="H125" s="167">
        <f t="shared" si="25"/>
        <v>2063.08</v>
      </c>
      <c r="I125" s="167">
        <f t="shared" si="34"/>
        <v>1999.9</v>
      </c>
      <c r="J125" s="168">
        <f t="shared" si="36"/>
        <v>1365931.7</v>
      </c>
      <c r="K125" s="175">
        <f t="shared" si="30"/>
        <v>1409083.64</v>
      </c>
      <c r="L125" s="174">
        <f t="shared" si="38"/>
        <v>-43151.939999999944</v>
      </c>
      <c r="M125" s="171">
        <f t="shared" si="26"/>
        <v>-3467.1430746880337</v>
      </c>
      <c r="N125" s="172">
        <f t="shared" si="27"/>
        <v>-46619.08307468798</v>
      </c>
      <c r="O125" s="171">
        <v>0</v>
      </c>
      <c r="P125" s="171">
        <v>0</v>
      </c>
      <c r="Q125" s="171">
        <v>0</v>
      </c>
      <c r="R125" s="172">
        <f t="shared" si="28"/>
        <v>-46619.08307468798</v>
      </c>
    </row>
    <row r="126" spans="1:18" x14ac:dyDescent="0.25">
      <c r="A126" s="129">
        <v>11</v>
      </c>
      <c r="B126" s="164">
        <f t="shared" si="35"/>
        <v>45597</v>
      </c>
      <c r="C126" s="184">
        <f t="shared" si="37"/>
        <v>45630</v>
      </c>
      <c r="D126" s="184">
        <f t="shared" si="37"/>
        <v>45650</v>
      </c>
      <c r="E126" s="52" t="s">
        <v>13</v>
      </c>
      <c r="F126" s="129">
        <v>9</v>
      </c>
      <c r="G126" s="166">
        <v>525</v>
      </c>
      <c r="H126" s="167">
        <f t="shared" si="25"/>
        <v>2063.08</v>
      </c>
      <c r="I126" s="167">
        <f t="shared" si="34"/>
        <v>1999.9</v>
      </c>
      <c r="J126" s="168">
        <f t="shared" si="36"/>
        <v>1049947.5</v>
      </c>
      <c r="K126" s="175">
        <f t="shared" si="30"/>
        <v>1083117</v>
      </c>
      <c r="L126" s="174">
        <f t="shared" si="38"/>
        <v>-33169.5</v>
      </c>
      <c r="M126" s="171">
        <f t="shared" si="26"/>
        <v>-2665.0806943063217</v>
      </c>
      <c r="N126" s="172">
        <f t="shared" si="27"/>
        <v>-35834.580694306322</v>
      </c>
      <c r="O126" s="171">
        <v>0</v>
      </c>
      <c r="P126" s="171">
        <v>0</v>
      </c>
      <c r="Q126" s="171">
        <v>0</v>
      </c>
      <c r="R126" s="172">
        <f t="shared" si="28"/>
        <v>-35834.580694306322</v>
      </c>
    </row>
    <row r="127" spans="1:18" s="188" customFormat="1" x14ac:dyDescent="0.25">
      <c r="A127" s="129">
        <v>12</v>
      </c>
      <c r="B127" s="186">
        <f t="shared" si="35"/>
        <v>45627</v>
      </c>
      <c r="C127" s="189">
        <f t="shared" si="37"/>
        <v>45660</v>
      </c>
      <c r="D127" s="189">
        <f t="shared" si="37"/>
        <v>45681</v>
      </c>
      <c r="E127" s="187" t="s">
        <v>13</v>
      </c>
      <c r="F127" s="140">
        <v>9</v>
      </c>
      <c r="G127" s="166">
        <v>863</v>
      </c>
      <c r="H127" s="176">
        <f t="shared" si="25"/>
        <v>2063.08</v>
      </c>
      <c r="I127" s="176">
        <f t="shared" si="34"/>
        <v>1999.9</v>
      </c>
      <c r="J127" s="177">
        <f t="shared" si="36"/>
        <v>1725913.7000000002</v>
      </c>
      <c r="K127" s="178">
        <f t="shared" si="30"/>
        <v>1780438.04</v>
      </c>
      <c r="L127" s="179">
        <f t="shared" si="38"/>
        <v>-54524.339999999851</v>
      </c>
      <c r="M127" s="171">
        <f t="shared" si="26"/>
        <v>-4380.8850270216299</v>
      </c>
      <c r="N127" s="172">
        <f t="shared" si="27"/>
        <v>-58905.225027021479</v>
      </c>
      <c r="O127" s="171">
        <v>0</v>
      </c>
      <c r="P127" s="171">
        <v>0</v>
      </c>
      <c r="Q127" s="171">
        <v>0</v>
      </c>
      <c r="R127" s="172">
        <f t="shared" si="28"/>
        <v>-58905.225027021479</v>
      </c>
    </row>
    <row r="128" spans="1:18" x14ac:dyDescent="0.25">
      <c r="A128" s="93">
        <v>1</v>
      </c>
      <c r="B128" s="164">
        <f t="shared" si="35"/>
        <v>45292</v>
      </c>
      <c r="C128" s="184">
        <f t="shared" si="37"/>
        <v>45327</v>
      </c>
      <c r="D128" s="184">
        <f t="shared" si="37"/>
        <v>45348</v>
      </c>
      <c r="E128" s="165" t="s">
        <v>15</v>
      </c>
      <c r="F128" s="93">
        <v>9</v>
      </c>
      <c r="G128" s="166">
        <v>8</v>
      </c>
      <c r="H128" s="167">
        <f t="shared" si="25"/>
        <v>2063.08</v>
      </c>
      <c r="I128" s="167">
        <f t="shared" ref="I128:I147" si="39">$J$3</f>
        <v>1999.9</v>
      </c>
      <c r="J128" s="168">
        <f t="shared" si="36"/>
        <v>15999.2</v>
      </c>
      <c r="K128" s="169">
        <f t="shared" si="30"/>
        <v>16504.64</v>
      </c>
      <c r="L128" s="170">
        <f>+J128-K128</f>
        <v>-505.43999999999869</v>
      </c>
      <c r="M128" s="171">
        <f t="shared" si="26"/>
        <v>-40.610753437048714</v>
      </c>
      <c r="N128" s="172">
        <f t="shared" si="27"/>
        <v>-546.05075343704743</v>
      </c>
      <c r="O128" s="171">
        <v>0</v>
      </c>
      <c r="P128" s="171">
        <v>0</v>
      </c>
      <c r="Q128" s="171">
        <v>0</v>
      </c>
      <c r="R128" s="172">
        <f t="shared" si="28"/>
        <v>-546.05075343704743</v>
      </c>
    </row>
    <row r="129" spans="1:18" x14ac:dyDescent="0.25">
      <c r="A129" s="129">
        <v>2</v>
      </c>
      <c r="B129" s="164">
        <f t="shared" si="35"/>
        <v>45323</v>
      </c>
      <c r="C129" s="184">
        <f t="shared" si="37"/>
        <v>45356</v>
      </c>
      <c r="D129" s="184">
        <f t="shared" si="37"/>
        <v>45376</v>
      </c>
      <c r="E129" s="173" t="s">
        <v>15</v>
      </c>
      <c r="F129" s="129">
        <v>9</v>
      </c>
      <c r="G129" s="166">
        <v>5</v>
      </c>
      <c r="H129" s="167">
        <f t="shared" si="25"/>
        <v>2063.08</v>
      </c>
      <c r="I129" s="167">
        <f t="shared" si="39"/>
        <v>1999.9</v>
      </c>
      <c r="J129" s="168">
        <f t="shared" si="36"/>
        <v>9999.5</v>
      </c>
      <c r="K129" s="169">
        <f t="shared" si="30"/>
        <v>10315.4</v>
      </c>
      <c r="L129" s="170">
        <f>+J129-K129</f>
        <v>-315.89999999999964</v>
      </c>
      <c r="M129" s="171">
        <f t="shared" si="26"/>
        <v>-25.381720898155447</v>
      </c>
      <c r="N129" s="172">
        <f t="shared" si="27"/>
        <v>-341.28172089815507</v>
      </c>
      <c r="O129" s="171">
        <v>0</v>
      </c>
      <c r="P129" s="171">
        <v>0</v>
      </c>
      <c r="Q129" s="171">
        <v>0</v>
      </c>
      <c r="R129" s="172">
        <f t="shared" si="28"/>
        <v>-341.28172089815507</v>
      </c>
    </row>
    <row r="130" spans="1:18" x14ac:dyDescent="0.25">
      <c r="A130" s="129">
        <v>3</v>
      </c>
      <c r="B130" s="164">
        <f t="shared" si="35"/>
        <v>45352</v>
      </c>
      <c r="C130" s="184">
        <f t="shared" si="37"/>
        <v>45385</v>
      </c>
      <c r="D130" s="184">
        <f t="shared" si="37"/>
        <v>45406</v>
      </c>
      <c r="E130" s="173" t="s">
        <v>15</v>
      </c>
      <c r="F130" s="129">
        <v>9</v>
      </c>
      <c r="G130" s="166">
        <v>5</v>
      </c>
      <c r="H130" s="167">
        <f t="shared" si="25"/>
        <v>2063.08</v>
      </c>
      <c r="I130" s="167">
        <f t="shared" si="39"/>
        <v>1999.9</v>
      </c>
      <c r="J130" s="168">
        <f t="shared" si="36"/>
        <v>9999.5</v>
      </c>
      <c r="K130" s="169">
        <f t="shared" si="30"/>
        <v>10315.4</v>
      </c>
      <c r="L130" s="170">
        <f>+J130-K130</f>
        <v>-315.89999999999964</v>
      </c>
      <c r="M130" s="171">
        <f t="shared" si="26"/>
        <v>-25.381720898155447</v>
      </c>
      <c r="N130" s="172">
        <f t="shared" si="27"/>
        <v>-341.28172089815507</v>
      </c>
      <c r="O130" s="171">
        <v>0</v>
      </c>
      <c r="P130" s="171">
        <v>0</v>
      </c>
      <c r="Q130" s="171">
        <v>0</v>
      </c>
      <c r="R130" s="172">
        <f t="shared" si="28"/>
        <v>-341.28172089815507</v>
      </c>
    </row>
    <row r="131" spans="1:18" x14ac:dyDescent="0.25">
      <c r="A131" s="93">
        <v>4</v>
      </c>
      <c r="B131" s="164">
        <f t="shared" si="35"/>
        <v>45383</v>
      </c>
      <c r="C131" s="184">
        <f t="shared" si="37"/>
        <v>45415</v>
      </c>
      <c r="D131" s="184">
        <f t="shared" si="37"/>
        <v>45436</v>
      </c>
      <c r="E131" s="173" t="s">
        <v>15</v>
      </c>
      <c r="F131" s="129">
        <v>9</v>
      </c>
      <c r="G131" s="166">
        <v>6</v>
      </c>
      <c r="H131" s="167">
        <f t="shared" si="25"/>
        <v>2063.08</v>
      </c>
      <c r="I131" s="167">
        <f t="shared" si="39"/>
        <v>1999.9</v>
      </c>
      <c r="J131" s="168">
        <f t="shared" si="36"/>
        <v>11999.400000000001</v>
      </c>
      <c r="K131" s="169">
        <f t="shared" si="30"/>
        <v>12378.48</v>
      </c>
      <c r="L131" s="170">
        <f t="shared" ref="L131:L141" si="40">+J131-K131</f>
        <v>-379.07999999999811</v>
      </c>
      <c r="M131" s="171">
        <f t="shared" si="26"/>
        <v>-30.458065077786532</v>
      </c>
      <c r="N131" s="172">
        <f t="shared" si="27"/>
        <v>-409.53806507778467</v>
      </c>
      <c r="O131" s="171">
        <v>0</v>
      </c>
      <c r="P131" s="171">
        <v>0</v>
      </c>
      <c r="Q131" s="171">
        <v>0</v>
      </c>
      <c r="R131" s="172">
        <f t="shared" si="28"/>
        <v>-409.53806507778467</v>
      </c>
    </row>
    <row r="132" spans="1:18" x14ac:dyDescent="0.25">
      <c r="A132" s="129">
        <v>5</v>
      </c>
      <c r="B132" s="164">
        <f t="shared" si="35"/>
        <v>45413</v>
      </c>
      <c r="C132" s="184">
        <f t="shared" si="37"/>
        <v>45448</v>
      </c>
      <c r="D132" s="184">
        <f t="shared" si="37"/>
        <v>45467</v>
      </c>
      <c r="E132" s="52" t="s">
        <v>15</v>
      </c>
      <c r="F132" s="129">
        <v>9</v>
      </c>
      <c r="G132" s="166">
        <v>9</v>
      </c>
      <c r="H132" s="167">
        <f t="shared" si="25"/>
        <v>2063.08</v>
      </c>
      <c r="I132" s="167">
        <f t="shared" si="39"/>
        <v>1999.9</v>
      </c>
      <c r="J132" s="168">
        <f t="shared" si="36"/>
        <v>17999.100000000002</v>
      </c>
      <c r="K132" s="169">
        <f t="shared" si="30"/>
        <v>18567.72</v>
      </c>
      <c r="L132" s="170">
        <f t="shared" si="40"/>
        <v>-568.61999999999898</v>
      </c>
      <c r="M132" s="171">
        <f t="shared" si="26"/>
        <v>-45.6870976166798</v>
      </c>
      <c r="N132" s="172">
        <f t="shared" si="27"/>
        <v>-614.30709761667879</v>
      </c>
      <c r="O132" s="171">
        <v>0</v>
      </c>
      <c r="P132" s="171">
        <v>0</v>
      </c>
      <c r="Q132" s="171">
        <v>0</v>
      </c>
      <c r="R132" s="172">
        <f t="shared" si="28"/>
        <v>-614.30709761667879</v>
      </c>
    </row>
    <row r="133" spans="1:18" x14ac:dyDescent="0.25">
      <c r="A133" s="129">
        <v>6</v>
      </c>
      <c r="B133" s="164">
        <f t="shared" si="35"/>
        <v>45444</v>
      </c>
      <c r="C133" s="184">
        <f t="shared" si="37"/>
        <v>45476</v>
      </c>
      <c r="D133" s="184">
        <f t="shared" si="37"/>
        <v>45497</v>
      </c>
      <c r="E133" s="52" t="s">
        <v>15</v>
      </c>
      <c r="F133" s="129">
        <v>9</v>
      </c>
      <c r="G133" s="166">
        <v>14</v>
      </c>
      <c r="H133" s="167">
        <f t="shared" si="25"/>
        <v>2063.08</v>
      </c>
      <c r="I133" s="167">
        <f t="shared" si="39"/>
        <v>1999.9</v>
      </c>
      <c r="J133" s="168">
        <f t="shared" si="36"/>
        <v>27998.600000000002</v>
      </c>
      <c r="K133" s="169">
        <f t="shared" si="30"/>
        <v>28883.119999999999</v>
      </c>
      <c r="L133" s="174">
        <f t="shared" si="40"/>
        <v>-884.5199999999968</v>
      </c>
      <c r="M133" s="171">
        <f t="shared" si="26"/>
        <v>-71.068818514835243</v>
      </c>
      <c r="N133" s="172">
        <f t="shared" si="27"/>
        <v>-955.58881851483204</v>
      </c>
      <c r="O133" s="171">
        <v>0</v>
      </c>
      <c r="P133" s="171">
        <v>0</v>
      </c>
      <c r="Q133" s="171">
        <v>0</v>
      </c>
      <c r="R133" s="172">
        <f t="shared" si="28"/>
        <v>-955.58881851483204</v>
      </c>
    </row>
    <row r="134" spans="1:18" x14ac:dyDescent="0.25">
      <c r="A134" s="93">
        <v>7</v>
      </c>
      <c r="B134" s="164">
        <f t="shared" si="35"/>
        <v>45474</v>
      </c>
      <c r="C134" s="184">
        <f t="shared" si="37"/>
        <v>45509</v>
      </c>
      <c r="D134" s="184">
        <f t="shared" si="37"/>
        <v>45530</v>
      </c>
      <c r="E134" s="52" t="s">
        <v>15</v>
      </c>
      <c r="F134" s="129">
        <v>9</v>
      </c>
      <c r="G134" s="166">
        <v>17</v>
      </c>
      <c r="H134" s="167">
        <f t="shared" si="25"/>
        <v>2063.08</v>
      </c>
      <c r="I134" s="167">
        <f t="shared" si="39"/>
        <v>1999.9</v>
      </c>
      <c r="J134" s="168">
        <f t="shared" si="36"/>
        <v>33998.300000000003</v>
      </c>
      <c r="K134" s="175">
        <f t="shared" ref="K134:K197" si="41">+$G134*H134</f>
        <v>35072.36</v>
      </c>
      <c r="L134" s="174">
        <f t="shared" si="40"/>
        <v>-1074.0599999999977</v>
      </c>
      <c r="M134" s="171">
        <f t="shared" si="26"/>
        <v>-86.297851053728508</v>
      </c>
      <c r="N134" s="172">
        <f t="shared" si="27"/>
        <v>-1160.3578510537261</v>
      </c>
      <c r="O134" s="171">
        <v>0</v>
      </c>
      <c r="P134" s="171">
        <v>0</v>
      </c>
      <c r="Q134" s="171">
        <v>0</v>
      </c>
      <c r="R134" s="172">
        <f t="shared" si="28"/>
        <v>-1160.3578510537261</v>
      </c>
    </row>
    <row r="135" spans="1:18" x14ac:dyDescent="0.25">
      <c r="A135" s="129">
        <v>8</v>
      </c>
      <c r="B135" s="164">
        <f t="shared" si="35"/>
        <v>45505</v>
      </c>
      <c r="C135" s="184">
        <f t="shared" si="37"/>
        <v>45539</v>
      </c>
      <c r="D135" s="184">
        <f t="shared" si="37"/>
        <v>45559</v>
      </c>
      <c r="E135" s="52" t="s">
        <v>15</v>
      </c>
      <c r="F135" s="129">
        <v>9</v>
      </c>
      <c r="G135" s="166">
        <v>19</v>
      </c>
      <c r="H135" s="167">
        <f t="shared" si="25"/>
        <v>2063.08</v>
      </c>
      <c r="I135" s="167">
        <f t="shared" si="39"/>
        <v>1999.9</v>
      </c>
      <c r="J135" s="168">
        <f t="shared" si="36"/>
        <v>37998.1</v>
      </c>
      <c r="K135" s="175">
        <f t="shared" si="41"/>
        <v>39198.519999999997</v>
      </c>
      <c r="L135" s="174">
        <f t="shared" si="40"/>
        <v>-1200.4199999999983</v>
      </c>
      <c r="M135" s="171">
        <f t="shared" si="26"/>
        <v>-96.450539412990693</v>
      </c>
      <c r="N135" s="172">
        <f t="shared" si="27"/>
        <v>-1296.870539412989</v>
      </c>
      <c r="O135" s="171">
        <v>0</v>
      </c>
      <c r="P135" s="171">
        <v>0</v>
      </c>
      <c r="Q135" s="171">
        <v>0</v>
      </c>
      <c r="R135" s="172">
        <f t="shared" si="28"/>
        <v>-1296.870539412989</v>
      </c>
    </row>
    <row r="136" spans="1:18" x14ac:dyDescent="0.25">
      <c r="A136" s="129">
        <v>9</v>
      </c>
      <c r="B136" s="164">
        <f t="shared" si="35"/>
        <v>45536</v>
      </c>
      <c r="C136" s="184">
        <f t="shared" si="37"/>
        <v>45568</v>
      </c>
      <c r="D136" s="184">
        <f t="shared" si="37"/>
        <v>45589</v>
      </c>
      <c r="E136" s="52" t="s">
        <v>15</v>
      </c>
      <c r="F136" s="129">
        <v>9</v>
      </c>
      <c r="G136" s="166">
        <v>11</v>
      </c>
      <c r="H136" s="167">
        <f t="shared" si="25"/>
        <v>2063.08</v>
      </c>
      <c r="I136" s="167">
        <f t="shared" si="39"/>
        <v>1999.9</v>
      </c>
      <c r="J136" s="168">
        <f t="shared" si="36"/>
        <v>21998.9</v>
      </c>
      <c r="K136" s="175">
        <f t="shared" si="41"/>
        <v>22693.879999999997</v>
      </c>
      <c r="L136" s="174">
        <f t="shared" si="40"/>
        <v>-694.97999999999593</v>
      </c>
      <c r="M136" s="171">
        <f t="shared" si="26"/>
        <v>-55.839785975941972</v>
      </c>
      <c r="N136" s="172">
        <f t="shared" si="27"/>
        <v>-750.81978597593786</v>
      </c>
      <c r="O136" s="171">
        <v>0</v>
      </c>
      <c r="P136" s="171">
        <v>0</v>
      </c>
      <c r="Q136" s="171">
        <v>0</v>
      </c>
      <c r="R136" s="172">
        <f t="shared" si="28"/>
        <v>-750.81978597593786</v>
      </c>
    </row>
    <row r="137" spans="1:18" x14ac:dyDescent="0.25">
      <c r="A137" s="93">
        <v>10</v>
      </c>
      <c r="B137" s="164">
        <f t="shared" si="35"/>
        <v>45566</v>
      </c>
      <c r="C137" s="184">
        <f t="shared" si="37"/>
        <v>45601</v>
      </c>
      <c r="D137" s="184">
        <f t="shared" si="37"/>
        <v>45621</v>
      </c>
      <c r="E137" s="52" t="s">
        <v>15</v>
      </c>
      <c r="F137" s="129">
        <v>9</v>
      </c>
      <c r="G137" s="166">
        <v>6</v>
      </c>
      <c r="H137" s="167">
        <f t="shared" si="25"/>
        <v>2063.08</v>
      </c>
      <c r="I137" s="167">
        <f t="shared" si="39"/>
        <v>1999.9</v>
      </c>
      <c r="J137" s="168">
        <f t="shared" si="36"/>
        <v>11999.400000000001</v>
      </c>
      <c r="K137" s="175">
        <f t="shared" si="41"/>
        <v>12378.48</v>
      </c>
      <c r="L137" s="174">
        <f t="shared" si="40"/>
        <v>-379.07999999999811</v>
      </c>
      <c r="M137" s="171">
        <f t="shared" si="26"/>
        <v>-30.458065077786532</v>
      </c>
      <c r="N137" s="172">
        <f t="shared" si="27"/>
        <v>-409.53806507778467</v>
      </c>
      <c r="O137" s="171">
        <v>0</v>
      </c>
      <c r="P137" s="171">
        <v>0</v>
      </c>
      <c r="Q137" s="171">
        <v>0</v>
      </c>
      <c r="R137" s="172">
        <f t="shared" si="28"/>
        <v>-409.53806507778467</v>
      </c>
    </row>
    <row r="138" spans="1:18" x14ac:dyDescent="0.25">
      <c r="A138" s="129">
        <v>11</v>
      </c>
      <c r="B138" s="164">
        <f t="shared" si="35"/>
        <v>45597</v>
      </c>
      <c r="C138" s="184">
        <f t="shared" si="37"/>
        <v>45630</v>
      </c>
      <c r="D138" s="184">
        <f t="shared" si="37"/>
        <v>45650</v>
      </c>
      <c r="E138" s="52" t="s">
        <v>15</v>
      </c>
      <c r="F138" s="129">
        <v>9</v>
      </c>
      <c r="G138" s="166">
        <v>6</v>
      </c>
      <c r="H138" s="167">
        <f t="shared" si="25"/>
        <v>2063.08</v>
      </c>
      <c r="I138" s="167">
        <f t="shared" si="39"/>
        <v>1999.9</v>
      </c>
      <c r="J138" s="168">
        <f t="shared" si="36"/>
        <v>11999.400000000001</v>
      </c>
      <c r="K138" s="175">
        <f t="shared" si="41"/>
        <v>12378.48</v>
      </c>
      <c r="L138" s="174">
        <f t="shared" si="40"/>
        <v>-379.07999999999811</v>
      </c>
      <c r="M138" s="171">
        <f t="shared" si="26"/>
        <v>-30.458065077786532</v>
      </c>
      <c r="N138" s="172">
        <f t="shared" si="27"/>
        <v>-409.53806507778467</v>
      </c>
      <c r="O138" s="171">
        <v>0</v>
      </c>
      <c r="P138" s="171">
        <v>0</v>
      </c>
      <c r="Q138" s="171">
        <v>0</v>
      </c>
      <c r="R138" s="172">
        <f t="shared" si="28"/>
        <v>-409.53806507778467</v>
      </c>
    </row>
    <row r="139" spans="1:18" s="188" customFormat="1" x14ac:dyDescent="0.25">
      <c r="A139" s="129">
        <v>12</v>
      </c>
      <c r="B139" s="186">
        <f t="shared" si="35"/>
        <v>45627</v>
      </c>
      <c r="C139" s="184">
        <f t="shared" si="37"/>
        <v>45660</v>
      </c>
      <c r="D139" s="184">
        <f t="shared" si="37"/>
        <v>45681</v>
      </c>
      <c r="E139" s="187" t="s">
        <v>15</v>
      </c>
      <c r="F139" s="140">
        <v>9</v>
      </c>
      <c r="G139" s="166">
        <v>6</v>
      </c>
      <c r="H139" s="176">
        <f t="shared" si="25"/>
        <v>2063.08</v>
      </c>
      <c r="I139" s="176">
        <f t="shared" si="39"/>
        <v>1999.9</v>
      </c>
      <c r="J139" s="177">
        <f t="shared" si="36"/>
        <v>11999.400000000001</v>
      </c>
      <c r="K139" s="178">
        <f t="shared" si="41"/>
        <v>12378.48</v>
      </c>
      <c r="L139" s="179">
        <f t="shared" si="40"/>
        <v>-379.07999999999811</v>
      </c>
      <c r="M139" s="171">
        <f t="shared" si="26"/>
        <v>-30.458065077786532</v>
      </c>
      <c r="N139" s="172">
        <f t="shared" si="27"/>
        <v>-409.53806507778467</v>
      </c>
      <c r="O139" s="171">
        <v>0</v>
      </c>
      <c r="P139" s="171">
        <v>0</v>
      </c>
      <c r="Q139" s="171">
        <v>0</v>
      </c>
      <c r="R139" s="172">
        <f t="shared" si="28"/>
        <v>-409.53806507778467</v>
      </c>
    </row>
    <row r="140" spans="1:18" x14ac:dyDescent="0.25">
      <c r="A140" s="93">
        <v>1</v>
      </c>
      <c r="B140" s="164">
        <f t="shared" si="35"/>
        <v>45292</v>
      </c>
      <c r="C140" s="181">
        <f t="shared" ref="C140:D151" si="42">+C128</f>
        <v>45327</v>
      </c>
      <c r="D140" s="181">
        <f t="shared" si="42"/>
        <v>45348</v>
      </c>
      <c r="E140" s="191" t="s">
        <v>16</v>
      </c>
      <c r="F140" s="129">
        <v>9</v>
      </c>
      <c r="G140" s="166">
        <v>4</v>
      </c>
      <c r="H140" s="167">
        <f t="shared" si="25"/>
        <v>2063.08</v>
      </c>
      <c r="I140" s="167">
        <f t="shared" si="39"/>
        <v>1999.9</v>
      </c>
      <c r="J140" s="168">
        <f t="shared" si="36"/>
        <v>7999.6</v>
      </c>
      <c r="K140" s="169">
        <f t="shared" si="41"/>
        <v>8252.32</v>
      </c>
      <c r="L140" s="170">
        <f t="shared" si="40"/>
        <v>-252.71999999999935</v>
      </c>
      <c r="M140" s="171">
        <f t="shared" si="26"/>
        <v>-20.305376718524357</v>
      </c>
      <c r="N140" s="172">
        <f t="shared" si="27"/>
        <v>-273.02537671852372</v>
      </c>
      <c r="O140" s="171">
        <v>0</v>
      </c>
      <c r="P140" s="171">
        <v>0</v>
      </c>
      <c r="Q140" s="171">
        <v>0</v>
      </c>
      <c r="R140" s="172">
        <f t="shared" si="28"/>
        <v>-273.02537671852372</v>
      </c>
    </row>
    <row r="141" spans="1:18" x14ac:dyDescent="0.25">
      <c r="A141" s="129">
        <v>2</v>
      </c>
      <c r="B141" s="164">
        <f t="shared" si="35"/>
        <v>45323</v>
      </c>
      <c r="C141" s="184">
        <f t="shared" si="42"/>
        <v>45356</v>
      </c>
      <c r="D141" s="184">
        <f t="shared" si="42"/>
        <v>45376</v>
      </c>
      <c r="E141" s="52" t="s">
        <v>16</v>
      </c>
      <c r="F141" s="129">
        <v>9</v>
      </c>
      <c r="G141" s="166">
        <v>3</v>
      </c>
      <c r="H141" s="167">
        <f t="shared" si="25"/>
        <v>2063.08</v>
      </c>
      <c r="I141" s="167">
        <f t="shared" si="39"/>
        <v>1999.9</v>
      </c>
      <c r="J141" s="168">
        <f t="shared" si="36"/>
        <v>5999.7000000000007</v>
      </c>
      <c r="K141" s="169">
        <f t="shared" si="41"/>
        <v>6189.24</v>
      </c>
      <c r="L141" s="170">
        <f t="shared" si="40"/>
        <v>-189.53999999999905</v>
      </c>
      <c r="M141" s="171">
        <f t="shared" si="26"/>
        <v>-15.229032538893266</v>
      </c>
      <c r="N141" s="172">
        <f t="shared" si="27"/>
        <v>-204.76903253889233</v>
      </c>
      <c r="O141" s="171">
        <v>0</v>
      </c>
      <c r="P141" s="171">
        <v>0</v>
      </c>
      <c r="Q141" s="171">
        <v>0</v>
      </c>
      <c r="R141" s="172">
        <f t="shared" si="28"/>
        <v>-204.76903253889233</v>
      </c>
    </row>
    <row r="142" spans="1:18" x14ac:dyDescent="0.25">
      <c r="A142" s="129">
        <v>3</v>
      </c>
      <c r="B142" s="164">
        <f t="shared" si="35"/>
        <v>45352</v>
      </c>
      <c r="C142" s="184">
        <f t="shared" si="42"/>
        <v>45385</v>
      </c>
      <c r="D142" s="184">
        <f t="shared" si="42"/>
        <v>45406</v>
      </c>
      <c r="E142" s="52" t="s">
        <v>16</v>
      </c>
      <c r="F142" s="129">
        <v>9</v>
      </c>
      <c r="G142" s="166">
        <v>3</v>
      </c>
      <c r="H142" s="167">
        <f t="shared" si="25"/>
        <v>2063.08</v>
      </c>
      <c r="I142" s="167">
        <f t="shared" si="39"/>
        <v>1999.9</v>
      </c>
      <c r="J142" s="168">
        <f t="shared" si="36"/>
        <v>5999.7000000000007</v>
      </c>
      <c r="K142" s="169">
        <f t="shared" si="41"/>
        <v>6189.24</v>
      </c>
      <c r="L142" s="170">
        <f>+J142-K142</f>
        <v>-189.53999999999905</v>
      </c>
      <c r="M142" s="171">
        <f t="shared" si="26"/>
        <v>-15.229032538893266</v>
      </c>
      <c r="N142" s="172">
        <f t="shared" si="27"/>
        <v>-204.76903253889233</v>
      </c>
      <c r="O142" s="171">
        <v>0</v>
      </c>
      <c r="P142" s="171">
        <v>0</v>
      </c>
      <c r="Q142" s="171">
        <v>0</v>
      </c>
      <c r="R142" s="172">
        <f t="shared" si="28"/>
        <v>-204.76903253889233</v>
      </c>
    </row>
    <row r="143" spans="1:18" x14ac:dyDescent="0.25">
      <c r="A143" s="93">
        <v>4</v>
      </c>
      <c r="B143" s="164">
        <f t="shared" si="35"/>
        <v>45383</v>
      </c>
      <c r="C143" s="184">
        <f t="shared" si="42"/>
        <v>45415</v>
      </c>
      <c r="D143" s="184">
        <f t="shared" si="42"/>
        <v>45436</v>
      </c>
      <c r="E143" s="52" t="s">
        <v>16</v>
      </c>
      <c r="F143" s="129">
        <v>9</v>
      </c>
      <c r="G143" s="166">
        <v>2</v>
      </c>
      <c r="H143" s="167">
        <f t="shared" si="25"/>
        <v>2063.08</v>
      </c>
      <c r="I143" s="167">
        <f t="shared" si="39"/>
        <v>1999.9</v>
      </c>
      <c r="J143" s="168">
        <f t="shared" si="36"/>
        <v>3999.8</v>
      </c>
      <c r="K143" s="169">
        <f t="shared" si="41"/>
        <v>4126.16</v>
      </c>
      <c r="L143" s="170">
        <f t="shared" ref="L143:L153" si="43">+J143-K143</f>
        <v>-126.35999999999967</v>
      </c>
      <c r="M143" s="171">
        <f t="shared" si="26"/>
        <v>-10.152688359262179</v>
      </c>
      <c r="N143" s="172">
        <f t="shared" si="27"/>
        <v>-136.51268835926186</v>
      </c>
      <c r="O143" s="171">
        <v>0</v>
      </c>
      <c r="P143" s="171">
        <v>0</v>
      </c>
      <c r="Q143" s="171">
        <v>0</v>
      </c>
      <c r="R143" s="172">
        <f t="shared" si="28"/>
        <v>-136.51268835926186</v>
      </c>
    </row>
    <row r="144" spans="1:18" x14ac:dyDescent="0.25">
      <c r="A144" s="129">
        <v>5</v>
      </c>
      <c r="B144" s="164">
        <f t="shared" si="35"/>
        <v>45413</v>
      </c>
      <c r="C144" s="184">
        <f t="shared" si="42"/>
        <v>45448</v>
      </c>
      <c r="D144" s="184">
        <f t="shared" si="42"/>
        <v>45467</v>
      </c>
      <c r="E144" s="52" t="s">
        <v>16</v>
      </c>
      <c r="F144" s="129">
        <v>9</v>
      </c>
      <c r="G144" s="166">
        <v>4</v>
      </c>
      <c r="H144" s="167">
        <f t="shared" si="25"/>
        <v>2063.08</v>
      </c>
      <c r="I144" s="167">
        <f t="shared" si="39"/>
        <v>1999.9</v>
      </c>
      <c r="J144" s="168">
        <f t="shared" si="36"/>
        <v>7999.6</v>
      </c>
      <c r="K144" s="169">
        <f t="shared" si="41"/>
        <v>8252.32</v>
      </c>
      <c r="L144" s="170">
        <f t="shared" si="43"/>
        <v>-252.71999999999935</v>
      </c>
      <c r="M144" s="171">
        <f t="shared" si="26"/>
        <v>-20.305376718524357</v>
      </c>
      <c r="N144" s="172">
        <f t="shared" si="27"/>
        <v>-273.02537671852372</v>
      </c>
      <c r="O144" s="171">
        <v>0</v>
      </c>
      <c r="P144" s="171">
        <v>0</v>
      </c>
      <c r="Q144" s="171">
        <v>0</v>
      </c>
      <c r="R144" s="172">
        <f t="shared" si="28"/>
        <v>-273.02537671852372</v>
      </c>
    </row>
    <row r="145" spans="1:19" x14ac:dyDescent="0.25">
      <c r="A145" s="129">
        <v>6</v>
      </c>
      <c r="B145" s="164">
        <f t="shared" si="35"/>
        <v>45444</v>
      </c>
      <c r="C145" s="184">
        <f t="shared" si="42"/>
        <v>45476</v>
      </c>
      <c r="D145" s="184">
        <f t="shared" si="42"/>
        <v>45497</v>
      </c>
      <c r="E145" s="52" t="s">
        <v>16</v>
      </c>
      <c r="F145" s="129">
        <v>9</v>
      </c>
      <c r="G145" s="166">
        <v>4</v>
      </c>
      <c r="H145" s="167">
        <f t="shared" si="25"/>
        <v>2063.08</v>
      </c>
      <c r="I145" s="167">
        <f t="shared" si="39"/>
        <v>1999.9</v>
      </c>
      <c r="J145" s="168">
        <f t="shared" si="36"/>
        <v>7999.6</v>
      </c>
      <c r="K145" s="169">
        <f t="shared" si="41"/>
        <v>8252.32</v>
      </c>
      <c r="L145" s="174">
        <f t="shared" si="43"/>
        <v>-252.71999999999935</v>
      </c>
      <c r="M145" s="171">
        <f t="shared" si="26"/>
        <v>-20.305376718524357</v>
      </c>
      <c r="N145" s="172">
        <f t="shared" si="27"/>
        <v>-273.02537671852372</v>
      </c>
      <c r="O145" s="171">
        <v>0</v>
      </c>
      <c r="P145" s="171">
        <v>0</v>
      </c>
      <c r="Q145" s="171">
        <v>0</v>
      </c>
      <c r="R145" s="172">
        <f t="shared" si="28"/>
        <v>-273.02537671852372</v>
      </c>
    </row>
    <row r="146" spans="1:19" x14ac:dyDescent="0.25">
      <c r="A146" s="93">
        <v>7</v>
      </c>
      <c r="B146" s="164">
        <f t="shared" si="35"/>
        <v>45474</v>
      </c>
      <c r="C146" s="184">
        <f t="shared" si="42"/>
        <v>45509</v>
      </c>
      <c r="D146" s="184">
        <f t="shared" si="42"/>
        <v>45530</v>
      </c>
      <c r="E146" s="52" t="s">
        <v>16</v>
      </c>
      <c r="F146" s="129">
        <v>9</v>
      </c>
      <c r="G146" s="166">
        <v>6</v>
      </c>
      <c r="H146" s="167">
        <f t="shared" si="25"/>
        <v>2063.08</v>
      </c>
      <c r="I146" s="167">
        <f t="shared" si="39"/>
        <v>1999.9</v>
      </c>
      <c r="J146" s="168">
        <f t="shared" si="36"/>
        <v>11999.400000000001</v>
      </c>
      <c r="K146" s="175">
        <f t="shared" si="41"/>
        <v>12378.48</v>
      </c>
      <c r="L146" s="174">
        <f t="shared" si="43"/>
        <v>-379.07999999999811</v>
      </c>
      <c r="M146" s="171">
        <f t="shared" si="26"/>
        <v>-30.458065077786532</v>
      </c>
      <c r="N146" s="172">
        <f t="shared" si="27"/>
        <v>-409.53806507778467</v>
      </c>
      <c r="O146" s="171">
        <v>0</v>
      </c>
      <c r="P146" s="171">
        <v>0</v>
      </c>
      <c r="Q146" s="171">
        <v>0</v>
      </c>
      <c r="R146" s="172">
        <f t="shared" si="28"/>
        <v>-409.53806507778467</v>
      </c>
    </row>
    <row r="147" spans="1:19" x14ac:dyDescent="0.25">
      <c r="A147" s="129">
        <v>8</v>
      </c>
      <c r="B147" s="164">
        <f t="shared" si="35"/>
        <v>45505</v>
      </c>
      <c r="C147" s="184">
        <f t="shared" si="42"/>
        <v>45539</v>
      </c>
      <c r="D147" s="184">
        <f t="shared" si="42"/>
        <v>45559</v>
      </c>
      <c r="E147" s="52" t="s">
        <v>16</v>
      </c>
      <c r="F147" s="129">
        <v>9</v>
      </c>
      <c r="G147" s="166">
        <v>6</v>
      </c>
      <c r="H147" s="167">
        <f t="shared" si="25"/>
        <v>2063.08</v>
      </c>
      <c r="I147" s="167">
        <f t="shared" si="39"/>
        <v>1999.9</v>
      </c>
      <c r="J147" s="168">
        <f t="shared" si="36"/>
        <v>11999.400000000001</v>
      </c>
      <c r="K147" s="175">
        <f t="shared" si="41"/>
        <v>12378.48</v>
      </c>
      <c r="L147" s="174">
        <f t="shared" si="43"/>
        <v>-379.07999999999811</v>
      </c>
      <c r="M147" s="171">
        <f t="shared" si="26"/>
        <v>-30.458065077786532</v>
      </c>
      <c r="N147" s="172">
        <f t="shared" si="27"/>
        <v>-409.53806507778467</v>
      </c>
      <c r="O147" s="171">
        <v>0</v>
      </c>
      <c r="P147" s="171">
        <v>0</v>
      </c>
      <c r="Q147" s="171">
        <v>0</v>
      </c>
      <c r="R147" s="172">
        <f t="shared" si="28"/>
        <v>-409.53806507778467</v>
      </c>
    </row>
    <row r="148" spans="1:19" x14ac:dyDescent="0.25">
      <c r="A148" s="129">
        <v>9</v>
      </c>
      <c r="B148" s="164">
        <f t="shared" si="35"/>
        <v>45536</v>
      </c>
      <c r="C148" s="184">
        <f t="shared" si="42"/>
        <v>45568</v>
      </c>
      <c r="D148" s="184">
        <f t="shared" si="42"/>
        <v>45589</v>
      </c>
      <c r="E148" s="52" t="s">
        <v>16</v>
      </c>
      <c r="F148" s="129">
        <v>9</v>
      </c>
      <c r="G148" s="166">
        <v>3</v>
      </c>
      <c r="H148" s="167">
        <f t="shared" si="25"/>
        <v>2063.08</v>
      </c>
      <c r="I148" s="167">
        <f t="shared" ref="I148:I179" si="44">$J$3</f>
        <v>1999.9</v>
      </c>
      <c r="J148" s="168">
        <f t="shared" si="36"/>
        <v>5999.7000000000007</v>
      </c>
      <c r="K148" s="175">
        <f t="shared" si="41"/>
        <v>6189.24</v>
      </c>
      <c r="L148" s="174">
        <f t="shared" si="43"/>
        <v>-189.53999999999905</v>
      </c>
      <c r="M148" s="171">
        <f t="shared" si="26"/>
        <v>-15.229032538893266</v>
      </c>
      <c r="N148" s="172">
        <f t="shared" si="27"/>
        <v>-204.76903253889233</v>
      </c>
      <c r="O148" s="171">
        <v>0</v>
      </c>
      <c r="P148" s="171">
        <v>0</v>
      </c>
      <c r="Q148" s="171">
        <v>0</v>
      </c>
      <c r="R148" s="172">
        <f t="shared" si="28"/>
        <v>-204.76903253889233</v>
      </c>
    </row>
    <row r="149" spans="1:19" x14ac:dyDescent="0.25">
      <c r="A149" s="93">
        <v>10</v>
      </c>
      <c r="B149" s="164">
        <f t="shared" ref="B149:B211" si="45">DATE($R$1,A149,1)</f>
        <v>45566</v>
      </c>
      <c r="C149" s="184">
        <f t="shared" si="42"/>
        <v>45601</v>
      </c>
      <c r="D149" s="184">
        <f t="shared" si="42"/>
        <v>45621</v>
      </c>
      <c r="E149" s="52" t="s">
        <v>16</v>
      </c>
      <c r="F149" s="129">
        <v>9</v>
      </c>
      <c r="G149" s="166">
        <v>6</v>
      </c>
      <c r="H149" s="167">
        <f t="shared" ref="H149:H211" si="46">+$K$3</f>
        <v>2063.08</v>
      </c>
      <c r="I149" s="167">
        <f t="shared" si="44"/>
        <v>1999.9</v>
      </c>
      <c r="J149" s="168">
        <f t="shared" ref="J149:J211" si="47">+$G149*I149</f>
        <v>11999.400000000001</v>
      </c>
      <c r="K149" s="175">
        <f t="shared" si="41"/>
        <v>12378.48</v>
      </c>
      <c r="L149" s="174">
        <f t="shared" si="43"/>
        <v>-379.07999999999811</v>
      </c>
      <c r="M149" s="171">
        <f t="shared" ref="M149:M211" si="48">G149/$G$212*$M$14</f>
        <v>-30.458065077786532</v>
      </c>
      <c r="N149" s="172">
        <f t="shared" ref="N149:N211" si="49">SUM(L149:M149)</f>
        <v>-409.53806507778467</v>
      </c>
      <c r="O149" s="171">
        <v>0</v>
      </c>
      <c r="P149" s="171">
        <v>0</v>
      </c>
      <c r="Q149" s="171">
        <v>0</v>
      </c>
      <c r="R149" s="172">
        <f t="shared" ref="R149:R211" si="50">+N149-Q149</f>
        <v>-409.53806507778467</v>
      </c>
    </row>
    <row r="150" spans="1:19" x14ac:dyDescent="0.25">
      <c r="A150" s="129">
        <v>11</v>
      </c>
      <c r="B150" s="164">
        <f t="shared" si="45"/>
        <v>45597</v>
      </c>
      <c r="C150" s="184">
        <f t="shared" si="42"/>
        <v>45630</v>
      </c>
      <c r="D150" s="184">
        <f t="shared" si="42"/>
        <v>45650</v>
      </c>
      <c r="E150" s="52" t="s">
        <v>16</v>
      </c>
      <c r="F150" s="129">
        <v>9</v>
      </c>
      <c r="G150" s="166">
        <v>1</v>
      </c>
      <c r="H150" s="167">
        <f t="shared" si="46"/>
        <v>2063.08</v>
      </c>
      <c r="I150" s="167">
        <f t="shared" si="44"/>
        <v>1999.9</v>
      </c>
      <c r="J150" s="168">
        <f t="shared" si="47"/>
        <v>1999.9</v>
      </c>
      <c r="K150" s="175">
        <f t="shared" si="41"/>
        <v>2063.08</v>
      </c>
      <c r="L150" s="174">
        <f t="shared" si="43"/>
        <v>-63.179999999999836</v>
      </c>
      <c r="M150" s="171">
        <f t="shared" si="48"/>
        <v>-5.0763441796310893</v>
      </c>
      <c r="N150" s="172">
        <f t="shared" si="49"/>
        <v>-68.256344179630929</v>
      </c>
      <c r="O150" s="171">
        <v>0</v>
      </c>
      <c r="P150" s="171">
        <v>0</v>
      </c>
      <c r="Q150" s="171">
        <v>0</v>
      </c>
      <c r="R150" s="172">
        <f t="shared" si="50"/>
        <v>-68.256344179630929</v>
      </c>
    </row>
    <row r="151" spans="1:19" s="188" customFormat="1" x14ac:dyDescent="0.25">
      <c r="A151" s="129">
        <v>12</v>
      </c>
      <c r="B151" s="186">
        <f t="shared" si="45"/>
        <v>45627</v>
      </c>
      <c r="C151" s="184">
        <f t="shared" si="42"/>
        <v>45660</v>
      </c>
      <c r="D151" s="184">
        <f t="shared" si="42"/>
        <v>45681</v>
      </c>
      <c r="E151" s="187" t="s">
        <v>16</v>
      </c>
      <c r="F151" s="140">
        <v>9</v>
      </c>
      <c r="G151" s="166">
        <v>3</v>
      </c>
      <c r="H151" s="176">
        <f t="shared" si="46"/>
        <v>2063.08</v>
      </c>
      <c r="I151" s="176">
        <f t="shared" si="44"/>
        <v>1999.9</v>
      </c>
      <c r="J151" s="177">
        <f t="shared" si="47"/>
        <v>5999.7000000000007</v>
      </c>
      <c r="K151" s="178">
        <f t="shared" si="41"/>
        <v>6189.24</v>
      </c>
      <c r="L151" s="179">
        <f t="shared" si="43"/>
        <v>-189.53999999999905</v>
      </c>
      <c r="M151" s="171">
        <f t="shared" si="48"/>
        <v>-15.229032538893266</v>
      </c>
      <c r="N151" s="172">
        <f t="shared" si="49"/>
        <v>-204.76903253889233</v>
      </c>
      <c r="O151" s="171">
        <v>0</v>
      </c>
      <c r="P151" s="171">
        <v>0</v>
      </c>
      <c r="Q151" s="171">
        <v>0</v>
      </c>
      <c r="R151" s="172">
        <f t="shared" si="50"/>
        <v>-204.76903253889233</v>
      </c>
    </row>
    <row r="152" spans="1:19" x14ac:dyDescent="0.25">
      <c r="A152" s="93">
        <v>1</v>
      </c>
      <c r="B152" s="164">
        <f t="shared" si="45"/>
        <v>45292</v>
      </c>
      <c r="C152" s="181">
        <f t="shared" ref="C152:D171" si="51">+C140</f>
        <v>45327</v>
      </c>
      <c r="D152" s="181">
        <f t="shared" si="51"/>
        <v>45348</v>
      </c>
      <c r="E152" s="191" t="s">
        <v>54</v>
      </c>
      <c r="F152" s="93">
        <v>9</v>
      </c>
      <c r="G152" s="166">
        <v>145</v>
      </c>
      <c r="H152" s="167">
        <f t="shared" si="46"/>
        <v>2063.08</v>
      </c>
      <c r="I152" s="167">
        <f t="shared" si="44"/>
        <v>1999.9</v>
      </c>
      <c r="J152" s="168">
        <f t="shared" si="47"/>
        <v>289985.5</v>
      </c>
      <c r="K152" s="169">
        <f t="shared" si="41"/>
        <v>299146.59999999998</v>
      </c>
      <c r="L152" s="170">
        <f t="shared" si="43"/>
        <v>-9161.0999999999767</v>
      </c>
      <c r="M152" s="171">
        <f t="shared" si="48"/>
        <v>-736.06990604650787</v>
      </c>
      <c r="N152" s="172">
        <f t="shared" si="49"/>
        <v>-9897.1699060464853</v>
      </c>
      <c r="O152" s="171">
        <v>0</v>
      </c>
      <c r="P152" s="171">
        <v>0</v>
      </c>
      <c r="Q152" s="171">
        <v>0</v>
      </c>
      <c r="R152" s="172">
        <f t="shared" si="50"/>
        <v>-9897.1699060464853</v>
      </c>
    </row>
    <row r="153" spans="1:19" x14ac:dyDescent="0.25">
      <c r="A153" s="129">
        <v>2</v>
      </c>
      <c r="B153" s="164">
        <f t="shared" si="45"/>
        <v>45323</v>
      </c>
      <c r="C153" s="184">
        <f t="shared" si="51"/>
        <v>45356</v>
      </c>
      <c r="D153" s="184">
        <f t="shared" si="51"/>
        <v>45376</v>
      </c>
      <c r="E153" s="192" t="s">
        <v>54</v>
      </c>
      <c r="F153" s="129">
        <v>9</v>
      </c>
      <c r="G153" s="166">
        <v>100</v>
      </c>
      <c r="H153" s="167">
        <f t="shared" si="46"/>
        <v>2063.08</v>
      </c>
      <c r="I153" s="167">
        <f t="shared" si="44"/>
        <v>1999.9</v>
      </c>
      <c r="J153" s="168">
        <f t="shared" si="47"/>
        <v>199990</v>
      </c>
      <c r="K153" s="169">
        <f t="shared" si="41"/>
        <v>206308</v>
      </c>
      <c r="L153" s="170">
        <f t="shared" si="43"/>
        <v>-6318</v>
      </c>
      <c r="M153" s="171">
        <f t="shared" si="48"/>
        <v>-507.63441796310894</v>
      </c>
      <c r="N153" s="172">
        <f t="shared" si="49"/>
        <v>-6825.6344179631087</v>
      </c>
      <c r="O153" s="171">
        <v>0</v>
      </c>
      <c r="P153" s="171">
        <v>0</v>
      </c>
      <c r="Q153" s="171">
        <v>0</v>
      </c>
      <c r="R153" s="172">
        <f t="shared" si="50"/>
        <v>-6825.6344179631087</v>
      </c>
    </row>
    <row r="154" spans="1:19" x14ac:dyDescent="0.25">
      <c r="A154" s="129">
        <v>3</v>
      </c>
      <c r="B154" s="164">
        <f t="shared" si="45"/>
        <v>45352</v>
      </c>
      <c r="C154" s="184">
        <f t="shared" si="51"/>
        <v>45385</v>
      </c>
      <c r="D154" s="184">
        <f t="shared" si="51"/>
        <v>45406</v>
      </c>
      <c r="E154" s="192" t="s">
        <v>54</v>
      </c>
      <c r="F154" s="129">
        <v>9</v>
      </c>
      <c r="G154" s="166">
        <v>92</v>
      </c>
      <c r="H154" s="167">
        <f t="shared" si="46"/>
        <v>2063.08</v>
      </c>
      <c r="I154" s="167">
        <f t="shared" si="44"/>
        <v>1999.9</v>
      </c>
      <c r="J154" s="168">
        <f t="shared" si="47"/>
        <v>183990.80000000002</v>
      </c>
      <c r="K154" s="169">
        <f t="shared" si="41"/>
        <v>189803.36</v>
      </c>
      <c r="L154" s="170">
        <f>+J154-K154</f>
        <v>-5812.5599999999686</v>
      </c>
      <c r="M154" s="171">
        <f t="shared" si="48"/>
        <v>-467.02366452606014</v>
      </c>
      <c r="N154" s="172">
        <f t="shared" si="49"/>
        <v>-6279.5836645260288</v>
      </c>
      <c r="O154" s="171">
        <v>0</v>
      </c>
      <c r="P154" s="171">
        <v>0</v>
      </c>
      <c r="Q154" s="171">
        <v>0</v>
      </c>
      <c r="R154" s="172">
        <f t="shared" si="50"/>
        <v>-6279.5836645260288</v>
      </c>
    </row>
    <row r="155" spans="1:19" x14ac:dyDescent="0.25">
      <c r="A155" s="93">
        <v>4</v>
      </c>
      <c r="B155" s="164">
        <f t="shared" si="45"/>
        <v>45383</v>
      </c>
      <c r="C155" s="184">
        <f t="shared" si="51"/>
        <v>45415</v>
      </c>
      <c r="D155" s="184">
        <f t="shared" si="51"/>
        <v>45436</v>
      </c>
      <c r="E155" s="192" t="s">
        <v>54</v>
      </c>
      <c r="F155" s="129">
        <v>9</v>
      </c>
      <c r="G155" s="166">
        <v>101</v>
      </c>
      <c r="H155" s="167">
        <f t="shared" si="46"/>
        <v>2063.08</v>
      </c>
      <c r="I155" s="167">
        <f t="shared" si="44"/>
        <v>1999.9</v>
      </c>
      <c r="J155" s="168">
        <f t="shared" si="47"/>
        <v>201989.90000000002</v>
      </c>
      <c r="K155" s="169">
        <f t="shared" si="41"/>
        <v>208371.08</v>
      </c>
      <c r="L155" s="170">
        <f t="shared" ref="L155:L165" si="52">+J155-K155</f>
        <v>-6381.1799999999639</v>
      </c>
      <c r="M155" s="171">
        <f t="shared" si="48"/>
        <v>-512.71076214274001</v>
      </c>
      <c r="N155" s="172">
        <f t="shared" si="49"/>
        <v>-6893.8907621427043</v>
      </c>
      <c r="O155" s="171">
        <v>0</v>
      </c>
      <c r="P155" s="171">
        <v>0</v>
      </c>
      <c r="Q155" s="171">
        <v>0</v>
      </c>
      <c r="R155" s="172">
        <f t="shared" si="50"/>
        <v>-6893.8907621427043</v>
      </c>
    </row>
    <row r="156" spans="1:19" x14ac:dyDescent="0.25">
      <c r="A156" s="129">
        <v>5</v>
      </c>
      <c r="B156" s="164">
        <f t="shared" si="45"/>
        <v>45413</v>
      </c>
      <c r="C156" s="184">
        <f t="shared" si="51"/>
        <v>45448</v>
      </c>
      <c r="D156" s="184">
        <f t="shared" si="51"/>
        <v>45467</v>
      </c>
      <c r="E156" s="192" t="s">
        <v>54</v>
      </c>
      <c r="F156" s="129">
        <v>9</v>
      </c>
      <c r="G156" s="166">
        <v>118</v>
      </c>
      <c r="H156" s="167">
        <f t="shared" si="46"/>
        <v>2063.08</v>
      </c>
      <c r="I156" s="167">
        <f t="shared" si="44"/>
        <v>1999.9</v>
      </c>
      <c r="J156" s="168">
        <f t="shared" si="47"/>
        <v>235988.2</v>
      </c>
      <c r="K156" s="169">
        <f t="shared" si="41"/>
        <v>243443.44</v>
      </c>
      <c r="L156" s="170">
        <f t="shared" si="52"/>
        <v>-7455.2399999999907</v>
      </c>
      <c r="M156" s="171">
        <f t="shared" si="48"/>
        <v>-599.00861319646845</v>
      </c>
      <c r="N156" s="172">
        <f t="shared" si="49"/>
        <v>-8054.2486131964588</v>
      </c>
      <c r="O156" s="171">
        <v>0</v>
      </c>
      <c r="P156" s="171">
        <v>0</v>
      </c>
      <c r="Q156" s="171">
        <v>0</v>
      </c>
      <c r="R156" s="172">
        <f t="shared" si="50"/>
        <v>-8054.2486131964588</v>
      </c>
    </row>
    <row r="157" spans="1:19" x14ac:dyDescent="0.25">
      <c r="A157" s="129">
        <v>6</v>
      </c>
      <c r="B157" s="164">
        <f t="shared" si="45"/>
        <v>45444</v>
      </c>
      <c r="C157" s="184">
        <f t="shared" si="51"/>
        <v>45476</v>
      </c>
      <c r="D157" s="184">
        <f t="shared" si="51"/>
        <v>45497</v>
      </c>
      <c r="E157" s="192" t="s">
        <v>54</v>
      </c>
      <c r="F157" s="129">
        <v>9</v>
      </c>
      <c r="G157" s="166">
        <v>173</v>
      </c>
      <c r="H157" s="167">
        <f t="shared" si="46"/>
        <v>2063.08</v>
      </c>
      <c r="I157" s="167">
        <f t="shared" si="44"/>
        <v>1999.9</v>
      </c>
      <c r="J157" s="168">
        <f t="shared" si="47"/>
        <v>345982.7</v>
      </c>
      <c r="K157" s="169">
        <f t="shared" si="41"/>
        <v>356912.83999999997</v>
      </c>
      <c r="L157" s="174">
        <f t="shared" si="52"/>
        <v>-10930.139999999956</v>
      </c>
      <c r="M157" s="171">
        <f t="shared" si="48"/>
        <v>-878.20754307617835</v>
      </c>
      <c r="N157" s="172">
        <f t="shared" si="49"/>
        <v>-11808.347543076134</v>
      </c>
      <c r="O157" s="171">
        <v>0</v>
      </c>
      <c r="P157" s="171">
        <v>0</v>
      </c>
      <c r="Q157" s="171">
        <v>0</v>
      </c>
      <c r="R157" s="172">
        <f t="shared" si="50"/>
        <v>-11808.347543076134</v>
      </c>
    </row>
    <row r="158" spans="1:19" x14ac:dyDescent="0.25">
      <c r="A158" s="93">
        <v>7</v>
      </c>
      <c r="B158" s="164">
        <f t="shared" si="45"/>
        <v>45474</v>
      </c>
      <c r="C158" s="184">
        <f t="shared" si="51"/>
        <v>45509</v>
      </c>
      <c r="D158" s="184">
        <f t="shared" si="51"/>
        <v>45530</v>
      </c>
      <c r="E158" s="192" t="s">
        <v>54</v>
      </c>
      <c r="F158" s="129">
        <v>9</v>
      </c>
      <c r="G158" s="166">
        <v>164</v>
      </c>
      <c r="H158" s="167">
        <f t="shared" si="46"/>
        <v>2063.08</v>
      </c>
      <c r="I158" s="167">
        <f t="shared" si="44"/>
        <v>1999.9</v>
      </c>
      <c r="J158" s="168">
        <f t="shared" si="47"/>
        <v>327983.60000000003</v>
      </c>
      <c r="K158" s="175">
        <f t="shared" si="41"/>
        <v>338345.12</v>
      </c>
      <c r="L158" s="174">
        <f t="shared" si="52"/>
        <v>-10361.51999999996</v>
      </c>
      <c r="M158" s="171">
        <f t="shared" si="48"/>
        <v>-832.52044545949855</v>
      </c>
      <c r="N158" s="172">
        <f t="shared" si="49"/>
        <v>-11194.040445459459</v>
      </c>
      <c r="O158" s="171">
        <v>0</v>
      </c>
      <c r="P158" s="171">
        <v>0</v>
      </c>
      <c r="Q158" s="171">
        <v>0</v>
      </c>
      <c r="R158" s="172">
        <f t="shared" si="50"/>
        <v>-11194.040445459459</v>
      </c>
    </row>
    <row r="159" spans="1:19" x14ac:dyDescent="0.25">
      <c r="A159" s="129">
        <v>8</v>
      </c>
      <c r="B159" s="164">
        <f t="shared" si="45"/>
        <v>45505</v>
      </c>
      <c r="C159" s="184">
        <f t="shared" si="51"/>
        <v>45539</v>
      </c>
      <c r="D159" s="184">
        <f t="shared" si="51"/>
        <v>45559</v>
      </c>
      <c r="E159" s="192" t="s">
        <v>54</v>
      </c>
      <c r="F159" s="93">
        <v>9</v>
      </c>
      <c r="G159" s="166">
        <v>170</v>
      </c>
      <c r="H159" s="167">
        <f t="shared" si="46"/>
        <v>2063.08</v>
      </c>
      <c r="I159" s="167">
        <f t="shared" si="44"/>
        <v>1999.9</v>
      </c>
      <c r="J159" s="168">
        <f t="shared" si="47"/>
        <v>339983</v>
      </c>
      <c r="K159" s="175">
        <f t="shared" si="41"/>
        <v>350723.6</v>
      </c>
      <c r="L159" s="174">
        <f t="shared" si="52"/>
        <v>-10740.599999999977</v>
      </c>
      <c r="M159" s="171">
        <f t="shared" si="48"/>
        <v>-862.97851053728505</v>
      </c>
      <c r="N159" s="172">
        <f t="shared" si="49"/>
        <v>-11603.578510537262</v>
      </c>
      <c r="O159" s="171">
        <v>0</v>
      </c>
      <c r="P159" s="171">
        <v>0</v>
      </c>
      <c r="Q159" s="171">
        <v>0</v>
      </c>
      <c r="R159" s="172">
        <f t="shared" si="50"/>
        <v>-11603.578510537262</v>
      </c>
      <c r="S159" s="50"/>
    </row>
    <row r="160" spans="1:19" x14ac:dyDescent="0.25">
      <c r="A160" s="129">
        <v>9</v>
      </c>
      <c r="B160" s="164">
        <f t="shared" si="45"/>
        <v>45536</v>
      </c>
      <c r="C160" s="184">
        <f t="shared" si="51"/>
        <v>45568</v>
      </c>
      <c r="D160" s="184">
        <f t="shared" si="51"/>
        <v>45589</v>
      </c>
      <c r="E160" s="192" t="s">
        <v>54</v>
      </c>
      <c r="F160" s="93">
        <v>9</v>
      </c>
      <c r="G160" s="166">
        <v>156</v>
      </c>
      <c r="H160" s="167">
        <f t="shared" si="46"/>
        <v>2063.08</v>
      </c>
      <c r="I160" s="167">
        <f t="shared" si="44"/>
        <v>1999.9</v>
      </c>
      <c r="J160" s="168">
        <f t="shared" si="47"/>
        <v>311984.40000000002</v>
      </c>
      <c r="K160" s="175">
        <f t="shared" si="41"/>
        <v>321840.48</v>
      </c>
      <c r="L160" s="174">
        <f t="shared" si="52"/>
        <v>-9856.0799999999581</v>
      </c>
      <c r="M160" s="171">
        <f t="shared" si="48"/>
        <v>-791.9096920224498</v>
      </c>
      <c r="N160" s="172">
        <f t="shared" si="49"/>
        <v>-10647.989692022407</v>
      </c>
      <c r="O160" s="171">
        <v>0</v>
      </c>
      <c r="P160" s="171">
        <v>0</v>
      </c>
      <c r="Q160" s="171">
        <v>0</v>
      </c>
      <c r="R160" s="172">
        <f t="shared" si="50"/>
        <v>-10647.989692022407</v>
      </c>
    </row>
    <row r="161" spans="1:19" x14ac:dyDescent="0.25">
      <c r="A161" s="93">
        <v>10</v>
      </c>
      <c r="B161" s="164">
        <f t="shared" si="45"/>
        <v>45566</v>
      </c>
      <c r="C161" s="184">
        <f t="shared" si="51"/>
        <v>45601</v>
      </c>
      <c r="D161" s="184">
        <f t="shared" si="51"/>
        <v>45621</v>
      </c>
      <c r="E161" s="192" t="s">
        <v>54</v>
      </c>
      <c r="F161" s="93">
        <v>9</v>
      </c>
      <c r="G161" s="166">
        <v>139</v>
      </c>
      <c r="H161" s="167">
        <f t="shared" si="46"/>
        <v>2063.08</v>
      </c>
      <c r="I161" s="167">
        <f t="shared" si="44"/>
        <v>1999.9</v>
      </c>
      <c r="J161" s="168">
        <f t="shared" si="47"/>
        <v>277986.10000000003</v>
      </c>
      <c r="K161" s="175">
        <f t="shared" si="41"/>
        <v>286768.12</v>
      </c>
      <c r="L161" s="174">
        <f t="shared" si="52"/>
        <v>-8782.0199999999604</v>
      </c>
      <c r="M161" s="171">
        <f t="shared" si="48"/>
        <v>-705.61184096872137</v>
      </c>
      <c r="N161" s="172">
        <f t="shared" si="49"/>
        <v>-9487.631840968681</v>
      </c>
      <c r="O161" s="171">
        <v>0</v>
      </c>
      <c r="P161" s="171">
        <v>0</v>
      </c>
      <c r="Q161" s="171">
        <v>0</v>
      </c>
      <c r="R161" s="172">
        <f t="shared" si="50"/>
        <v>-9487.631840968681</v>
      </c>
    </row>
    <row r="162" spans="1:19" x14ac:dyDescent="0.25">
      <c r="A162" s="129">
        <v>11</v>
      </c>
      <c r="B162" s="164">
        <f t="shared" si="45"/>
        <v>45597</v>
      </c>
      <c r="C162" s="184">
        <f t="shared" si="51"/>
        <v>45630</v>
      </c>
      <c r="D162" s="184">
        <f t="shared" si="51"/>
        <v>45650</v>
      </c>
      <c r="E162" s="192" t="s">
        <v>54</v>
      </c>
      <c r="F162" s="93">
        <v>9</v>
      </c>
      <c r="G162" s="166">
        <v>90</v>
      </c>
      <c r="H162" s="167">
        <f t="shared" si="46"/>
        <v>2063.08</v>
      </c>
      <c r="I162" s="167">
        <f t="shared" si="44"/>
        <v>1999.9</v>
      </c>
      <c r="J162" s="168">
        <f t="shared" si="47"/>
        <v>179991</v>
      </c>
      <c r="K162" s="175">
        <f t="shared" si="41"/>
        <v>185677.19999999998</v>
      </c>
      <c r="L162" s="174">
        <f t="shared" si="52"/>
        <v>-5686.1999999999825</v>
      </c>
      <c r="M162" s="171">
        <f t="shared" si="48"/>
        <v>-456.87097616679802</v>
      </c>
      <c r="N162" s="172">
        <f t="shared" si="49"/>
        <v>-6143.0709761667804</v>
      </c>
      <c r="O162" s="171">
        <v>0</v>
      </c>
      <c r="P162" s="171">
        <v>0</v>
      </c>
      <c r="Q162" s="171">
        <v>0</v>
      </c>
      <c r="R162" s="172">
        <f t="shared" si="50"/>
        <v>-6143.0709761667804</v>
      </c>
    </row>
    <row r="163" spans="1:19" s="188" customFormat="1" x14ac:dyDescent="0.25">
      <c r="A163" s="129">
        <v>12</v>
      </c>
      <c r="B163" s="186">
        <f t="shared" si="45"/>
        <v>45627</v>
      </c>
      <c r="C163" s="184">
        <f t="shared" si="51"/>
        <v>45660</v>
      </c>
      <c r="D163" s="184">
        <f t="shared" si="51"/>
        <v>45681</v>
      </c>
      <c r="E163" s="193" t="s">
        <v>54</v>
      </c>
      <c r="F163" s="140">
        <v>9</v>
      </c>
      <c r="G163" s="166">
        <v>110</v>
      </c>
      <c r="H163" s="176">
        <f t="shared" si="46"/>
        <v>2063.08</v>
      </c>
      <c r="I163" s="176">
        <f t="shared" si="44"/>
        <v>1999.9</v>
      </c>
      <c r="J163" s="177">
        <f t="shared" si="47"/>
        <v>219989</v>
      </c>
      <c r="K163" s="178">
        <f t="shared" si="41"/>
        <v>226938.8</v>
      </c>
      <c r="L163" s="179">
        <f t="shared" si="52"/>
        <v>-6949.7999999999884</v>
      </c>
      <c r="M163" s="171">
        <f t="shared" si="48"/>
        <v>-558.3978597594197</v>
      </c>
      <c r="N163" s="172">
        <f t="shared" si="49"/>
        <v>-7508.1978597594079</v>
      </c>
      <c r="O163" s="171">
        <v>0</v>
      </c>
      <c r="P163" s="171">
        <v>0</v>
      </c>
      <c r="Q163" s="171">
        <v>0</v>
      </c>
      <c r="R163" s="172">
        <f t="shared" si="50"/>
        <v>-7508.1978597594079</v>
      </c>
    </row>
    <row r="164" spans="1:19" x14ac:dyDescent="0.25">
      <c r="A164" s="93">
        <v>1</v>
      </c>
      <c r="B164" s="164">
        <f t="shared" si="45"/>
        <v>45292</v>
      </c>
      <c r="C164" s="181">
        <f t="shared" si="51"/>
        <v>45327</v>
      </c>
      <c r="D164" s="181">
        <f t="shared" si="51"/>
        <v>45348</v>
      </c>
      <c r="E164" s="191" t="s">
        <v>55</v>
      </c>
      <c r="F164" s="93">
        <v>9</v>
      </c>
      <c r="G164" s="166">
        <v>9</v>
      </c>
      <c r="H164" s="167">
        <f t="shared" si="46"/>
        <v>2063.08</v>
      </c>
      <c r="I164" s="167">
        <f t="shared" si="44"/>
        <v>1999.9</v>
      </c>
      <c r="J164" s="168">
        <f t="shared" si="47"/>
        <v>17999.100000000002</v>
      </c>
      <c r="K164" s="169">
        <f t="shared" si="41"/>
        <v>18567.72</v>
      </c>
      <c r="L164" s="170">
        <f t="shared" si="52"/>
        <v>-568.61999999999898</v>
      </c>
      <c r="M164" s="171">
        <f t="shared" si="48"/>
        <v>-45.6870976166798</v>
      </c>
      <c r="N164" s="172">
        <f t="shared" si="49"/>
        <v>-614.30709761667879</v>
      </c>
      <c r="O164" s="171">
        <v>0</v>
      </c>
      <c r="P164" s="171">
        <v>0</v>
      </c>
      <c r="Q164" s="171">
        <v>0</v>
      </c>
      <c r="R164" s="172">
        <f t="shared" si="50"/>
        <v>-614.30709761667879</v>
      </c>
    </row>
    <row r="165" spans="1:19" x14ac:dyDescent="0.25">
      <c r="A165" s="129">
        <v>2</v>
      </c>
      <c r="B165" s="164">
        <f t="shared" si="45"/>
        <v>45323</v>
      </c>
      <c r="C165" s="184">
        <f t="shared" si="51"/>
        <v>45356</v>
      </c>
      <c r="D165" s="184">
        <f t="shared" si="51"/>
        <v>45376</v>
      </c>
      <c r="E165" s="192" t="s">
        <v>55</v>
      </c>
      <c r="F165" s="129">
        <v>9</v>
      </c>
      <c r="G165" s="166">
        <v>8</v>
      </c>
      <c r="H165" s="167">
        <f t="shared" si="46"/>
        <v>2063.08</v>
      </c>
      <c r="I165" s="167">
        <f t="shared" si="44"/>
        <v>1999.9</v>
      </c>
      <c r="J165" s="168">
        <f t="shared" si="47"/>
        <v>15999.2</v>
      </c>
      <c r="K165" s="169">
        <f t="shared" si="41"/>
        <v>16504.64</v>
      </c>
      <c r="L165" s="170">
        <f t="shared" si="52"/>
        <v>-505.43999999999869</v>
      </c>
      <c r="M165" s="171">
        <f t="shared" si="48"/>
        <v>-40.610753437048714</v>
      </c>
      <c r="N165" s="172">
        <f t="shared" si="49"/>
        <v>-546.05075343704743</v>
      </c>
      <c r="O165" s="171">
        <v>0</v>
      </c>
      <c r="P165" s="171">
        <v>0</v>
      </c>
      <c r="Q165" s="171">
        <v>0</v>
      </c>
      <c r="R165" s="172">
        <f t="shared" si="50"/>
        <v>-546.05075343704743</v>
      </c>
    </row>
    <row r="166" spans="1:19" x14ac:dyDescent="0.25">
      <c r="A166" s="129">
        <v>3</v>
      </c>
      <c r="B166" s="164">
        <f t="shared" si="45"/>
        <v>45352</v>
      </c>
      <c r="C166" s="184">
        <f t="shared" si="51"/>
        <v>45385</v>
      </c>
      <c r="D166" s="184">
        <f t="shared" si="51"/>
        <v>45406</v>
      </c>
      <c r="E166" s="192" t="s">
        <v>55</v>
      </c>
      <c r="F166" s="129">
        <v>9</v>
      </c>
      <c r="G166" s="166">
        <v>10</v>
      </c>
      <c r="H166" s="167">
        <f t="shared" si="46"/>
        <v>2063.08</v>
      </c>
      <c r="I166" s="167">
        <f t="shared" si="44"/>
        <v>1999.9</v>
      </c>
      <c r="J166" s="168">
        <f t="shared" si="47"/>
        <v>19999</v>
      </c>
      <c r="K166" s="169">
        <f t="shared" si="41"/>
        <v>20630.8</v>
      </c>
      <c r="L166" s="170">
        <f>+J166-K166</f>
        <v>-631.79999999999927</v>
      </c>
      <c r="M166" s="171">
        <f t="shared" si="48"/>
        <v>-50.763441796310893</v>
      </c>
      <c r="N166" s="172">
        <f t="shared" si="49"/>
        <v>-682.56344179631014</v>
      </c>
      <c r="O166" s="171">
        <v>0</v>
      </c>
      <c r="P166" s="171">
        <v>0</v>
      </c>
      <c r="Q166" s="171">
        <v>0</v>
      </c>
      <c r="R166" s="172">
        <f t="shared" si="50"/>
        <v>-682.56344179631014</v>
      </c>
    </row>
    <row r="167" spans="1:19" x14ac:dyDescent="0.25">
      <c r="A167" s="93">
        <v>4</v>
      </c>
      <c r="B167" s="164">
        <f t="shared" si="45"/>
        <v>45383</v>
      </c>
      <c r="C167" s="184">
        <f t="shared" si="51"/>
        <v>45415</v>
      </c>
      <c r="D167" s="184">
        <f t="shared" si="51"/>
        <v>45436</v>
      </c>
      <c r="E167" s="192" t="s">
        <v>55</v>
      </c>
      <c r="F167" s="129">
        <v>9</v>
      </c>
      <c r="G167" s="166">
        <v>7</v>
      </c>
      <c r="H167" s="167">
        <f t="shared" si="46"/>
        <v>2063.08</v>
      </c>
      <c r="I167" s="167">
        <f t="shared" si="44"/>
        <v>1999.9</v>
      </c>
      <c r="J167" s="168">
        <f t="shared" si="47"/>
        <v>13999.300000000001</v>
      </c>
      <c r="K167" s="169">
        <f t="shared" si="41"/>
        <v>14441.56</v>
      </c>
      <c r="L167" s="170">
        <f t="shared" ref="L167:L177" si="53">+J167-K167</f>
        <v>-442.2599999999984</v>
      </c>
      <c r="M167" s="171">
        <f t="shared" si="48"/>
        <v>-35.534409257417622</v>
      </c>
      <c r="N167" s="172">
        <f t="shared" si="49"/>
        <v>-477.79440925741602</v>
      </c>
      <c r="O167" s="171">
        <v>0</v>
      </c>
      <c r="P167" s="171">
        <v>0</v>
      </c>
      <c r="Q167" s="171">
        <v>0</v>
      </c>
      <c r="R167" s="172">
        <f t="shared" si="50"/>
        <v>-477.79440925741602</v>
      </c>
    </row>
    <row r="168" spans="1:19" x14ac:dyDescent="0.25">
      <c r="A168" s="129">
        <v>5</v>
      </c>
      <c r="B168" s="164">
        <f t="shared" si="45"/>
        <v>45413</v>
      </c>
      <c r="C168" s="184">
        <f t="shared" si="51"/>
        <v>45448</v>
      </c>
      <c r="D168" s="184">
        <f t="shared" si="51"/>
        <v>45467</v>
      </c>
      <c r="E168" s="192" t="s">
        <v>55</v>
      </c>
      <c r="F168" s="129">
        <v>9</v>
      </c>
      <c r="G168" s="166">
        <v>10</v>
      </c>
      <c r="H168" s="167">
        <f t="shared" si="46"/>
        <v>2063.08</v>
      </c>
      <c r="I168" s="167">
        <f t="shared" si="44"/>
        <v>1999.9</v>
      </c>
      <c r="J168" s="168">
        <f t="shared" si="47"/>
        <v>19999</v>
      </c>
      <c r="K168" s="169">
        <f t="shared" si="41"/>
        <v>20630.8</v>
      </c>
      <c r="L168" s="170">
        <f t="shared" si="53"/>
        <v>-631.79999999999927</v>
      </c>
      <c r="M168" s="171">
        <f t="shared" si="48"/>
        <v>-50.763441796310893</v>
      </c>
      <c r="N168" s="172">
        <f t="shared" si="49"/>
        <v>-682.56344179631014</v>
      </c>
      <c r="O168" s="171">
        <v>0</v>
      </c>
      <c r="P168" s="171">
        <v>0</v>
      </c>
      <c r="Q168" s="171">
        <v>0</v>
      </c>
      <c r="R168" s="172">
        <f t="shared" si="50"/>
        <v>-682.56344179631014</v>
      </c>
    </row>
    <row r="169" spans="1:19" x14ac:dyDescent="0.25">
      <c r="A169" s="129">
        <v>6</v>
      </c>
      <c r="B169" s="164">
        <f t="shared" si="45"/>
        <v>45444</v>
      </c>
      <c r="C169" s="184">
        <f t="shared" si="51"/>
        <v>45476</v>
      </c>
      <c r="D169" s="184">
        <f t="shared" si="51"/>
        <v>45497</v>
      </c>
      <c r="E169" s="192" t="s">
        <v>55</v>
      </c>
      <c r="F169" s="129">
        <v>9</v>
      </c>
      <c r="G169" s="166">
        <v>10</v>
      </c>
      <c r="H169" s="167">
        <f t="shared" si="46"/>
        <v>2063.08</v>
      </c>
      <c r="I169" s="167">
        <f t="shared" si="44"/>
        <v>1999.9</v>
      </c>
      <c r="J169" s="168">
        <f t="shared" si="47"/>
        <v>19999</v>
      </c>
      <c r="K169" s="169">
        <f t="shared" si="41"/>
        <v>20630.8</v>
      </c>
      <c r="L169" s="174">
        <f t="shared" si="53"/>
        <v>-631.79999999999927</v>
      </c>
      <c r="M169" s="171">
        <f t="shared" si="48"/>
        <v>-50.763441796310893</v>
      </c>
      <c r="N169" s="172">
        <f t="shared" si="49"/>
        <v>-682.56344179631014</v>
      </c>
      <c r="O169" s="171">
        <v>0</v>
      </c>
      <c r="P169" s="171">
        <v>0</v>
      </c>
      <c r="Q169" s="171">
        <v>0</v>
      </c>
      <c r="R169" s="172">
        <f t="shared" si="50"/>
        <v>-682.56344179631014</v>
      </c>
    </row>
    <row r="170" spans="1:19" x14ac:dyDescent="0.25">
      <c r="A170" s="93">
        <v>7</v>
      </c>
      <c r="B170" s="164">
        <f t="shared" si="45"/>
        <v>45474</v>
      </c>
      <c r="C170" s="184">
        <f t="shared" si="51"/>
        <v>45509</v>
      </c>
      <c r="D170" s="184">
        <f t="shared" si="51"/>
        <v>45530</v>
      </c>
      <c r="E170" s="192" t="s">
        <v>55</v>
      </c>
      <c r="F170" s="129">
        <v>9</v>
      </c>
      <c r="G170" s="166">
        <v>12</v>
      </c>
      <c r="H170" s="167">
        <f t="shared" si="46"/>
        <v>2063.08</v>
      </c>
      <c r="I170" s="167">
        <f t="shared" si="44"/>
        <v>1999.9</v>
      </c>
      <c r="J170" s="168">
        <f t="shared" si="47"/>
        <v>23998.800000000003</v>
      </c>
      <c r="K170" s="175">
        <f t="shared" si="41"/>
        <v>24756.959999999999</v>
      </c>
      <c r="L170" s="174">
        <f t="shared" si="53"/>
        <v>-758.15999999999622</v>
      </c>
      <c r="M170" s="171">
        <f t="shared" si="48"/>
        <v>-60.916130155573065</v>
      </c>
      <c r="N170" s="172">
        <f t="shared" si="49"/>
        <v>-819.07613015556933</v>
      </c>
      <c r="O170" s="171">
        <v>0</v>
      </c>
      <c r="P170" s="171">
        <v>0</v>
      </c>
      <c r="Q170" s="171">
        <v>0</v>
      </c>
      <c r="R170" s="172">
        <f t="shared" si="50"/>
        <v>-819.07613015556933</v>
      </c>
    </row>
    <row r="171" spans="1:19" x14ac:dyDescent="0.25">
      <c r="A171" s="129">
        <v>8</v>
      </c>
      <c r="B171" s="164">
        <f t="shared" si="45"/>
        <v>45505</v>
      </c>
      <c r="C171" s="184">
        <f t="shared" si="51"/>
        <v>45539</v>
      </c>
      <c r="D171" s="184">
        <f t="shared" si="51"/>
        <v>45559</v>
      </c>
      <c r="E171" s="192" t="s">
        <v>55</v>
      </c>
      <c r="F171" s="93">
        <v>9</v>
      </c>
      <c r="G171" s="166">
        <v>12</v>
      </c>
      <c r="H171" s="167">
        <f t="shared" si="46"/>
        <v>2063.08</v>
      </c>
      <c r="I171" s="167">
        <f t="shared" si="44"/>
        <v>1999.9</v>
      </c>
      <c r="J171" s="168">
        <f t="shared" si="47"/>
        <v>23998.800000000003</v>
      </c>
      <c r="K171" s="175">
        <f t="shared" si="41"/>
        <v>24756.959999999999</v>
      </c>
      <c r="L171" s="174">
        <f t="shared" si="53"/>
        <v>-758.15999999999622</v>
      </c>
      <c r="M171" s="171">
        <f t="shared" si="48"/>
        <v>-60.916130155573065</v>
      </c>
      <c r="N171" s="172">
        <f t="shared" si="49"/>
        <v>-819.07613015556933</v>
      </c>
      <c r="O171" s="171">
        <v>0</v>
      </c>
      <c r="P171" s="171">
        <v>0</v>
      </c>
      <c r="Q171" s="171">
        <v>0</v>
      </c>
      <c r="R171" s="172">
        <f t="shared" si="50"/>
        <v>-819.07613015556933</v>
      </c>
      <c r="S171" s="50"/>
    </row>
    <row r="172" spans="1:19" x14ac:dyDescent="0.25">
      <c r="A172" s="129">
        <v>9</v>
      </c>
      <c r="B172" s="164">
        <f t="shared" si="45"/>
        <v>45536</v>
      </c>
      <c r="C172" s="184">
        <f t="shared" ref="C172:D175" si="54">+C160</f>
        <v>45568</v>
      </c>
      <c r="D172" s="184">
        <f t="shared" si="54"/>
        <v>45589</v>
      </c>
      <c r="E172" s="192" t="s">
        <v>55</v>
      </c>
      <c r="F172" s="93">
        <v>9</v>
      </c>
      <c r="G172" s="166">
        <v>11</v>
      </c>
      <c r="H172" s="167">
        <f t="shared" si="46"/>
        <v>2063.08</v>
      </c>
      <c r="I172" s="167">
        <f t="shared" si="44"/>
        <v>1999.9</v>
      </c>
      <c r="J172" s="168">
        <f t="shared" si="47"/>
        <v>21998.9</v>
      </c>
      <c r="K172" s="175">
        <f t="shared" si="41"/>
        <v>22693.879999999997</v>
      </c>
      <c r="L172" s="174">
        <f t="shared" si="53"/>
        <v>-694.97999999999593</v>
      </c>
      <c r="M172" s="171">
        <f t="shared" si="48"/>
        <v>-55.839785975941972</v>
      </c>
      <c r="N172" s="172">
        <f t="shared" si="49"/>
        <v>-750.81978597593786</v>
      </c>
      <c r="O172" s="171">
        <v>0</v>
      </c>
      <c r="P172" s="171">
        <v>0</v>
      </c>
      <c r="Q172" s="171">
        <v>0</v>
      </c>
      <c r="R172" s="172">
        <f t="shared" si="50"/>
        <v>-750.81978597593786</v>
      </c>
    </row>
    <row r="173" spans="1:19" x14ac:dyDescent="0.25">
      <c r="A173" s="93">
        <v>10</v>
      </c>
      <c r="B173" s="164">
        <f t="shared" si="45"/>
        <v>45566</v>
      </c>
      <c r="C173" s="184">
        <f t="shared" si="54"/>
        <v>45601</v>
      </c>
      <c r="D173" s="184">
        <f t="shared" si="54"/>
        <v>45621</v>
      </c>
      <c r="E173" s="192" t="s">
        <v>55</v>
      </c>
      <c r="F173" s="93">
        <v>9</v>
      </c>
      <c r="G173" s="166">
        <v>10</v>
      </c>
      <c r="H173" s="167">
        <f t="shared" si="46"/>
        <v>2063.08</v>
      </c>
      <c r="I173" s="167">
        <f t="shared" si="44"/>
        <v>1999.9</v>
      </c>
      <c r="J173" s="168">
        <f t="shared" si="47"/>
        <v>19999</v>
      </c>
      <c r="K173" s="175">
        <f t="shared" si="41"/>
        <v>20630.8</v>
      </c>
      <c r="L173" s="174">
        <f t="shared" si="53"/>
        <v>-631.79999999999927</v>
      </c>
      <c r="M173" s="171">
        <f t="shared" si="48"/>
        <v>-50.763441796310893</v>
      </c>
      <c r="N173" s="172">
        <f t="shared" si="49"/>
        <v>-682.56344179631014</v>
      </c>
      <c r="O173" s="171">
        <v>0</v>
      </c>
      <c r="P173" s="171">
        <v>0</v>
      </c>
      <c r="Q173" s="171">
        <v>0</v>
      </c>
      <c r="R173" s="172">
        <f t="shared" si="50"/>
        <v>-682.56344179631014</v>
      </c>
    </row>
    <row r="174" spans="1:19" x14ac:dyDescent="0.25">
      <c r="A174" s="129">
        <v>11</v>
      </c>
      <c r="B174" s="164">
        <f t="shared" si="45"/>
        <v>45597</v>
      </c>
      <c r="C174" s="184">
        <f t="shared" si="54"/>
        <v>45630</v>
      </c>
      <c r="D174" s="184">
        <f t="shared" si="54"/>
        <v>45650</v>
      </c>
      <c r="E174" s="192" t="s">
        <v>55</v>
      </c>
      <c r="F174" s="93">
        <v>9</v>
      </c>
      <c r="G174" s="166">
        <v>10</v>
      </c>
      <c r="H174" s="167">
        <f t="shared" si="46"/>
        <v>2063.08</v>
      </c>
      <c r="I174" s="167">
        <f t="shared" si="44"/>
        <v>1999.9</v>
      </c>
      <c r="J174" s="168">
        <f t="shared" si="47"/>
        <v>19999</v>
      </c>
      <c r="K174" s="175">
        <f t="shared" si="41"/>
        <v>20630.8</v>
      </c>
      <c r="L174" s="174">
        <f t="shared" si="53"/>
        <v>-631.79999999999927</v>
      </c>
      <c r="M174" s="171">
        <f t="shared" si="48"/>
        <v>-50.763441796310893</v>
      </c>
      <c r="N174" s="172">
        <f t="shared" si="49"/>
        <v>-682.56344179631014</v>
      </c>
      <c r="O174" s="171">
        <v>0</v>
      </c>
      <c r="P174" s="171">
        <v>0</v>
      </c>
      <c r="Q174" s="171">
        <v>0</v>
      </c>
      <c r="R174" s="172">
        <f t="shared" si="50"/>
        <v>-682.56344179631014</v>
      </c>
    </row>
    <row r="175" spans="1:19" s="188" customFormat="1" x14ac:dyDescent="0.25">
      <c r="A175" s="129">
        <v>12</v>
      </c>
      <c r="B175" s="186">
        <f t="shared" si="45"/>
        <v>45627</v>
      </c>
      <c r="C175" s="184">
        <f t="shared" si="54"/>
        <v>45660</v>
      </c>
      <c r="D175" s="184">
        <f t="shared" si="54"/>
        <v>45681</v>
      </c>
      <c r="E175" s="193" t="s">
        <v>55</v>
      </c>
      <c r="F175" s="140">
        <v>9</v>
      </c>
      <c r="G175" s="166">
        <v>10</v>
      </c>
      <c r="H175" s="176">
        <f t="shared" si="46"/>
        <v>2063.08</v>
      </c>
      <c r="I175" s="176">
        <f t="shared" si="44"/>
        <v>1999.9</v>
      </c>
      <c r="J175" s="177">
        <f t="shared" si="47"/>
        <v>19999</v>
      </c>
      <c r="K175" s="178">
        <f t="shared" si="41"/>
        <v>20630.8</v>
      </c>
      <c r="L175" s="179">
        <f t="shared" si="53"/>
        <v>-631.79999999999927</v>
      </c>
      <c r="M175" s="171">
        <f t="shared" si="48"/>
        <v>-50.763441796310893</v>
      </c>
      <c r="N175" s="172">
        <f t="shared" si="49"/>
        <v>-682.56344179631014</v>
      </c>
      <c r="O175" s="171">
        <v>0</v>
      </c>
      <c r="P175" s="171">
        <v>0</v>
      </c>
      <c r="Q175" s="171">
        <v>0</v>
      </c>
      <c r="R175" s="172">
        <f t="shared" si="50"/>
        <v>-682.56344179631014</v>
      </c>
    </row>
    <row r="176" spans="1:19" x14ac:dyDescent="0.25">
      <c r="A176" s="93">
        <v>1</v>
      </c>
      <c r="B176" s="164">
        <f t="shared" si="45"/>
        <v>45292</v>
      </c>
      <c r="C176" s="181">
        <f t="shared" ref="C176:D187" si="55">+C152</f>
        <v>45327</v>
      </c>
      <c r="D176" s="181">
        <f t="shared" si="55"/>
        <v>45348</v>
      </c>
      <c r="E176" s="191" t="s">
        <v>56</v>
      </c>
      <c r="F176" s="129">
        <v>9</v>
      </c>
      <c r="G176" s="166">
        <v>26</v>
      </c>
      <c r="H176" s="167">
        <f t="shared" si="46"/>
        <v>2063.08</v>
      </c>
      <c r="I176" s="167">
        <f t="shared" si="44"/>
        <v>1999.9</v>
      </c>
      <c r="J176" s="168">
        <f t="shared" si="47"/>
        <v>51997.4</v>
      </c>
      <c r="K176" s="169">
        <f t="shared" si="41"/>
        <v>53640.08</v>
      </c>
      <c r="L176" s="170">
        <f t="shared" si="53"/>
        <v>-1642.6800000000003</v>
      </c>
      <c r="M176" s="171">
        <f t="shared" si="48"/>
        <v>-131.9849486704083</v>
      </c>
      <c r="N176" s="172">
        <f t="shared" si="49"/>
        <v>-1774.6649486704086</v>
      </c>
      <c r="O176" s="171">
        <v>0</v>
      </c>
      <c r="P176" s="171">
        <v>0</v>
      </c>
      <c r="Q176" s="171">
        <v>0</v>
      </c>
      <c r="R176" s="172">
        <f t="shared" si="50"/>
        <v>-1774.6649486704086</v>
      </c>
    </row>
    <row r="177" spans="1:18" x14ac:dyDescent="0.25">
      <c r="A177" s="129">
        <v>2</v>
      </c>
      <c r="B177" s="164">
        <f t="shared" si="45"/>
        <v>45323</v>
      </c>
      <c r="C177" s="184">
        <f t="shared" si="55"/>
        <v>45356</v>
      </c>
      <c r="D177" s="184">
        <f t="shared" si="55"/>
        <v>45376</v>
      </c>
      <c r="E177" s="52" t="s">
        <v>56</v>
      </c>
      <c r="F177" s="129">
        <v>9</v>
      </c>
      <c r="G177" s="166">
        <v>19</v>
      </c>
      <c r="H177" s="167">
        <f t="shared" si="46"/>
        <v>2063.08</v>
      </c>
      <c r="I177" s="167">
        <f t="shared" si="44"/>
        <v>1999.9</v>
      </c>
      <c r="J177" s="168">
        <f t="shared" si="47"/>
        <v>37998.1</v>
      </c>
      <c r="K177" s="169">
        <f t="shared" si="41"/>
        <v>39198.519999999997</v>
      </c>
      <c r="L177" s="170">
        <f t="shared" si="53"/>
        <v>-1200.4199999999983</v>
      </c>
      <c r="M177" s="171">
        <f t="shared" si="48"/>
        <v>-96.450539412990693</v>
      </c>
      <c r="N177" s="172">
        <f t="shared" si="49"/>
        <v>-1296.870539412989</v>
      </c>
      <c r="O177" s="171">
        <v>0</v>
      </c>
      <c r="P177" s="171">
        <v>0</v>
      </c>
      <c r="Q177" s="171">
        <v>0</v>
      </c>
      <c r="R177" s="172">
        <f t="shared" si="50"/>
        <v>-1296.870539412989</v>
      </c>
    </row>
    <row r="178" spans="1:18" x14ac:dyDescent="0.25">
      <c r="A178" s="129">
        <v>3</v>
      </c>
      <c r="B178" s="164">
        <f t="shared" si="45"/>
        <v>45352</v>
      </c>
      <c r="C178" s="184">
        <f t="shared" si="55"/>
        <v>45385</v>
      </c>
      <c r="D178" s="184">
        <f t="shared" si="55"/>
        <v>45406</v>
      </c>
      <c r="E178" s="52" t="s">
        <v>56</v>
      </c>
      <c r="F178" s="129">
        <v>9</v>
      </c>
      <c r="G178" s="166">
        <v>18</v>
      </c>
      <c r="H178" s="167">
        <f t="shared" si="46"/>
        <v>2063.08</v>
      </c>
      <c r="I178" s="167">
        <f t="shared" si="44"/>
        <v>1999.9</v>
      </c>
      <c r="J178" s="168">
        <f t="shared" si="47"/>
        <v>35998.200000000004</v>
      </c>
      <c r="K178" s="169">
        <f t="shared" si="41"/>
        <v>37135.440000000002</v>
      </c>
      <c r="L178" s="170">
        <f>+J178-K178</f>
        <v>-1137.239999999998</v>
      </c>
      <c r="M178" s="171">
        <f t="shared" si="48"/>
        <v>-91.3741952333596</v>
      </c>
      <c r="N178" s="172">
        <f t="shared" si="49"/>
        <v>-1228.6141952333576</v>
      </c>
      <c r="O178" s="171">
        <v>0</v>
      </c>
      <c r="P178" s="171">
        <v>0</v>
      </c>
      <c r="Q178" s="171">
        <v>0</v>
      </c>
      <c r="R178" s="172">
        <f t="shared" si="50"/>
        <v>-1228.6141952333576</v>
      </c>
    </row>
    <row r="179" spans="1:18" x14ac:dyDescent="0.25">
      <c r="A179" s="93">
        <v>4</v>
      </c>
      <c r="B179" s="164">
        <f t="shared" si="45"/>
        <v>45383</v>
      </c>
      <c r="C179" s="184">
        <f t="shared" si="55"/>
        <v>45415</v>
      </c>
      <c r="D179" s="184">
        <f t="shared" si="55"/>
        <v>45436</v>
      </c>
      <c r="E179" s="52" t="s">
        <v>56</v>
      </c>
      <c r="F179" s="129">
        <v>9</v>
      </c>
      <c r="G179" s="166">
        <v>22</v>
      </c>
      <c r="H179" s="167">
        <f t="shared" si="46"/>
        <v>2063.08</v>
      </c>
      <c r="I179" s="167">
        <f t="shared" si="44"/>
        <v>1999.9</v>
      </c>
      <c r="J179" s="168">
        <f t="shared" si="47"/>
        <v>43997.8</v>
      </c>
      <c r="K179" s="169">
        <f t="shared" si="41"/>
        <v>45387.759999999995</v>
      </c>
      <c r="L179" s="170">
        <f t="shared" ref="L179:L189" si="56">+J179-K179</f>
        <v>-1389.9599999999919</v>
      </c>
      <c r="M179" s="171">
        <f t="shared" si="48"/>
        <v>-111.67957195188394</v>
      </c>
      <c r="N179" s="172">
        <f t="shared" si="49"/>
        <v>-1501.6395719518757</v>
      </c>
      <c r="O179" s="171">
        <v>0</v>
      </c>
      <c r="P179" s="171">
        <v>0</v>
      </c>
      <c r="Q179" s="171">
        <v>0</v>
      </c>
      <c r="R179" s="172">
        <f t="shared" si="50"/>
        <v>-1501.6395719518757</v>
      </c>
    </row>
    <row r="180" spans="1:18" x14ac:dyDescent="0.25">
      <c r="A180" s="129">
        <v>5</v>
      </c>
      <c r="B180" s="164">
        <f t="shared" si="45"/>
        <v>45413</v>
      </c>
      <c r="C180" s="184">
        <f t="shared" si="55"/>
        <v>45448</v>
      </c>
      <c r="D180" s="184">
        <f t="shared" si="55"/>
        <v>45467</v>
      </c>
      <c r="E180" s="52" t="s">
        <v>56</v>
      </c>
      <c r="F180" s="129">
        <v>9</v>
      </c>
      <c r="G180" s="166">
        <v>31</v>
      </c>
      <c r="H180" s="167">
        <f t="shared" si="46"/>
        <v>2063.08</v>
      </c>
      <c r="I180" s="167">
        <f t="shared" ref="I180:I211" si="57">$J$3</f>
        <v>1999.9</v>
      </c>
      <c r="J180" s="168">
        <f t="shared" si="47"/>
        <v>61996.9</v>
      </c>
      <c r="K180" s="169">
        <f t="shared" si="41"/>
        <v>63955.479999999996</v>
      </c>
      <c r="L180" s="170">
        <f t="shared" si="56"/>
        <v>-1958.5799999999945</v>
      </c>
      <c r="M180" s="171">
        <f t="shared" si="48"/>
        <v>-157.36666956856374</v>
      </c>
      <c r="N180" s="172">
        <f t="shared" si="49"/>
        <v>-2115.9466695685583</v>
      </c>
      <c r="O180" s="171">
        <v>0</v>
      </c>
      <c r="P180" s="171">
        <v>0</v>
      </c>
      <c r="Q180" s="171">
        <v>0</v>
      </c>
      <c r="R180" s="172">
        <f t="shared" si="50"/>
        <v>-2115.9466695685583</v>
      </c>
    </row>
    <row r="181" spans="1:18" x14ac:dyDescent="0.25">
      <c r="A181" s="129">
        <v>6</v>
      </c>
      <c r="B181" s="164">
        <f t="shared" si="45"/>
        <v>45444</v>
      </c>
      <c r="C181" s="184">
        <f t="shared" si="55"/>
        <v>45476</v>
      </c>
      <c r="D181" s="184">
        <f t="shared" si="55"/>
        <v>45497</v>
      </c>
      <c r="E181" s="52" t="s">
        <v>56</v>
      </c>
      <c r="F181" s="129">
        <v>9</v>
      </c>
      <c r="G181" s="166">
        <v>36</v>
      </c>
      <c r="H181" s="167">
        <f t="shared" si="46"/>
        <v>2063.08</v>
      </c>
      <c r="I181" s="167">
        <f t="shared" si="57"/>
        <v>1999.9</v>
      </c>
      <c r="J181" s="168">
        <f t="shared" si="47"/>
        <v>71996.400000000009</v>
      </c>
      <c r="K181" s="169">
        <f t="shared" si="41"/>
        <v>74270.880000000005</v>
      </c>
      <c r="L181" s="174">
        <f t="shared" si="56"/>
        <v>-2274.4799999999959</v>
      </c>
      <c r="M181" s="171">
        <f t="shared" si="48"/>
        <v>-182.7483904667192</v>
      </c>
      <c r="N181" s="172">
        <f t="shared" si="49"/>
        <v>-2457.2283904667152</v>
      </c>
      <c r="O181" s="171">
        <v>0</v>
      </c>
      <c r="P181" s="171">
        <v>0</v>
      </c>
      <c r="Q181" s="171">
        <v>0</v>
      </c>
      <c r="R181" s="172">
        <f t="shared" si="50"/>
        <v>-2457.2283904667152</v>
      </c>
    </row>
    <row r="182" spans="1:18" x14ac:dyDescent="0.25">
      <c r="A182" s="93">
        <v>7</v>
      </c>
      <c r="B182" s="164">
        <f t="shared" si="45"/>
        <v>45474</v>
      </c>
      <c r="C182" s="184">
        <f t="shared" si="55"/>
        <v>45509</v>
      </c>
      <c r="D182" s="184">
        <f t="shared" si="55"/>
        <v>45530</v>
      </c>
      <c r="E182" s="52" t="s">
        <v>56</v>
      </c>
      <c r="F182" s="129">
        <v>9</v>
      </c>
      <c r="G182" s="166">
        <v>38</v>
      </c>
      <c r="H182" s="167">
        <f t="shared" si="46"/>
        <v>2063.08</v>
      </c>
      <c r="I182" s="167">
        <f t="shared" si="57"/>
        <v>1999.9</v>
      </c>
      <c r="J182" s="168">
        <f t="shared" si="47"/>
        <v>75996.2</v>
      </c>
      <c r="K182" s="175">
        <f t="shared" si="41"/>
        <v>78397.039999999994</v>
      </c>
      <c r="L182" s="174">
        <f t="shared" si="56"/>
        <v>-2400.8399999999965</v>
      </c>
      <c r="M182" s="171">
        <f t="shared" si="48"/>
        <v>-192.90107882598139</v>
      </c>
      <c r="N182" s="172">
        <f t="shared" si="49"/>
        <v>-2593.7410788259781</v>
      </c>
      <c r="O182" s="171">
        <v>0</v>
      </c>
      <c r="P182" s="171">
        <v>0</v>
      </c>
      <c r="Q182" s="171">
        <v>0</v>
      </c>
      <c r="R182" s="172">
        <f t="shared" si="50"/>
        <v>-2593.7410788259781</v>
      </c>
    </row>
    <row r="183" spans="1:18" x14ac:dyDescent="0.25">
      <c r="A183" s="129">
        <v>8</v>
      </c>
      <c r="B183" s="164">
        <f t="shared" si="45"/>
        <v>45505</v>
      </c>
      <c r="C183" s="184">
        <f t="shared" si="55"/>
        <v>45539</v>
      </c>
      <c r="D183" s="184">
        <f t="shared" si="55"/>
        <v>45559</v>
      </c>
      <c r="E183" s="52" t="s">
        <v>56</v>
      </c>
      <c r="F183" s="129">
        <v>9</v>
      </c>
      <c r="G183" s="166">
        <v>41</v>
      </c>
      <c r="H183" s="167">
        <f t="shared" si="46"/>
        <v>2063.08</v>
      </c>
      <c r="I183" s="167">
        <f t="shared" si="57"/>
        <v>1999.9</v>
      </c>
      <c r="J183" s="168">
        <f t="shared" si="47"/>
        <v>81995.900000000009</v>
      </c>
      <c r="K183" s="175">
        <f t="shared" si="41"/>
        <v>84586.28</v>
      </c>
      <c r="L183" s="174">
        <f t="shared" si="56"/>
        <v>-2590.3799999999901</v>
      </c>
      <c r="M183" s="171">
        <f t="shared" si="48"/>
        <v>-208.13011136487464</v>
      </c>
      <c r="N183" s="172">
        <f t="shared" si="49"/>
        <v>-2798.5101113648648</v>
      </c>
      <c r="O183" s="171">
        <v>0</v>
      </c>
      <c r="P183" s="171">
        <v>0</v>
      </c>
      <c r="Q183" s="171">
        <v>0</v>
      </c>
      <c r="R183" s="172">
        <f t="shared" si="50"/>
        <v>-2798.5101113648648</v>
      </c>
    </row>
    <row r="184" spans="1:18" x14ac:dyDescent="0.25">
      <c r="A184" s="129">
        <v>9</v>
      </c>
      <c r="B184" s="164">
        <f t="shared" si="45"/>
        <v>45536</v>
      </c>
      <c r="C184" s="184">
        <f t="shared" si="55"/>
        <v>45568</v>
      </c>
      <c r="D184" s="184">
        <f t="shared" si="55"/>
        <v>45589</v>
      </c>
      <c r="E184" s="52" t="s">
        <v>56</v>
      </c>
      <c r="F184" s="129">
        <v>9</v>
      </c>
      <c r="G184" s="166">
        <v>29</v>
      </c>
      <c r="H184" s="167">
        <f t="shared" si="46"/>
        <v>2063.08</v>
      </c>
      <c r="I184" s="167">
        <f t="shared" si="57"/>
        <v>1999.9</v>
      </c>
      <c r="J184" s="168">
        <f t="shared" si="47"/>
        <v>57997.100000000006</v>
      </c>
      <c r="K184" s="175">
        <f t="shared" si="41"/>
        <v>59829.32</v>
      </c>
      <c r="L184" s="174">
        <f t="shared" si="56"/>
        <v>-1832.2199999999939</v>
      </c>
      <c r="M184" s="171">
        <f t="shared" si="48"/>
        <v>-147.21398120930158</v>
      </c>
      <c r="N184" s="172">
        <f t="shared" si="49"/>
        <v>-1979.4339812092956</v>
      </c>
      <c r="O184" s="171">
        <v>0</v>
      </c>
      <c r="P184" s="171">
        <v>0</v>
      </c>
      <c r="Q184" s="171">
        <v>0</v>
      </c>
      <c r="R184" s="172">
        <f t="shared" si="50"/>
        <v>-1979.4339812092956</v>
      </c>
    </row>
    <row r="185" spans="1:18" x14ac:dyDescent="0.25">
      <c r="A185" s="93">
        <v>10</v>
      </c>
      <c r="B185" s="164">
        <f t="shared" si="45"/>
        <v>45566</v>
      </c>
      <c r="C185" s="184">
        <f t="shared" si="55"/>
        <v>45601</v>
      </c>
      <c r="D185" s="184">
        <f t="shared" si="55"/>
        <v>45621</v>
      </c>
      <c r="E185" s="52" t="s">
        <v>56</v>
      </c>
      <c r="F185" s="129">
        <v>9</v>
      </c>
      <c r="G185" s="166">
        <v>26</v>
      </c>
      <c r="H185" s="167">
        <f t="shared" si="46"/>
        <v>2063.08</v>
      </c>
      <c r="I185" s="167">
        <f t="shared" si="57"/>
        <v>1999.9</v>
      </c>
      <c r="J185" s="168">
        <f t="shared" si="47"/>
        <v>51997.4</v>
      </c>
      <c r="K185" s="175">
        <f t="shared" si="41"/>
        <v>53640.08</v>
      </c>
      <c r="L185" s="174">
        <f t="shared" si="56"/>
        <v>-1642.6800000000003</v>
      </c>
      <c r="M185" s="171">
        <f t="shared" si="48"/>
        <v>-131.9849486704083</v>
      </c>
      <c r="N185" s="172">
        <f t="shared" si="49"/>
        <v>-1774.6649486704086</v>
      </c>
      <c r="O185" s="171">
        <v>0</v>
      </c>
      <c r="P185" s="171">
        <v>0</v>
      </c>
      <c r="Q185" s="171">
        <v>0</v>
      </c>
      <c r="R185" s="172">
        <f t="shared" si="50"/>
        <v>-1774.6649486704086</v>
      </c>
    </row>
    <row r="186" spans="1:18" x14ac:dyDescent="0.25">
      <c r="A186" s="129">
        <v>11</v>
      </c>
      <c r="B186" s="164">
        <f t="shared" si="45"/>
        <v>45597</v>
      </c>
      <c r="C186" s="184">
        <f t="shared" si="55"/>
        <v>45630</v>
      </c>
      <c r="D186" s="184">
        <f t="shared" si="55"/>
        <v>45650</v>
      </c>
      <c r="E186" s="52" t="s">
        <v>56</v>
      </c>
      <c r="F186" s="129">
        <v>9</v>
      </c>
      <c r="G186" s="166">
        <v>22</v>
      </c>
      <c r="H186" s="167">
        <f t="shared" si="46"/>
        <v>2063.08</v>
      </c>
      <c r="I186" s="167">
        <f t="shared" si="57"/>
        <v>1999.9</v>
      </c>
      <c r="J186" s="168">
        <f t="shared" si="47"/>
        <v>43997.8</v>
      </c>
      <c r="K186" s="175">
        <f t="shared" si="41"/>
        <v>45387.759999999995</v>
      </c>
      <c r="L186" s="174">
        <f t="shared" si="56"/>
        <v>-1389.9599999999919</v>
      </c>
      <c r="M186" s="171">
        <f t="shared" si="48"/>
        <v>-111.67957195188394</v>
      </c>
      <c r="N186" s="172">
        <f t="shared" si="49"/>
        <v>-1501.6395719518757</v>
      </c>
      <c r="O186" s="171">
        <v>0</v>
      </c>
      <c r="P186" s="171">
        <v>0</v>
      </c>
      <c r="Q186" s="171">
        <v>0</v>
      </c>
      <c r="R186" s="172">
        <f t="shared" si="50"/>
        <v>-1501.6395719518757</v>
      </c>
    </row>
    <row r="187" spans="1:18" s="188" customFormat="1" x14ac:dyDescent="0.25">
      <c r="A187" s="129">
        <v>12</v>
      </c>
      <c r="B187" s="186">
        <f t="shared" si="45"/>
        <v>45627</v>
      </c>
      <c r="C187" s="184">
        <f t="shared" si="55"/>
        <v>45660</v>
      </c>
      <c r="D187" s="184">
        <f t="shared" si="55"/>
        <v>45681</v>
      </c>
      <c r="E187" s="187" t="s">
        <v>56</v>
      </c>
      <c r="F187" s="140">
        <v>9</v>
      </c>
      <c r="G187" s="166">
        <v>18</v>
      </c>
      <c r="H187" s="176">
        <f t="shared" si="46"/>
        <v>2063.08</v>
      </c>
      <c r="I187" s="176">
        <f t="shared" si="57"/>
        <v>1999.9</v>
      </c>
      <c r="J187" s="177">
        <f t="shared" si="47"/>
        <v>35998.200000000004</v>
      </c>
      <c r="K187" s="178">
        <f t="shared" si="41"/>
        <v>37135.440000000002</v>
      </c>
      <c r="L187" s="179">
        <f t="shared" si="56"/>
        <v>-1137.239999999998</v>
      </c>
      <c r="M187" s="171">
        <f t="shared" si="48"/>
        <v>-91.3741952333596</v>
      </c>
      <c r="N187" s="172">
        <f t="shared" si="49"/>
        <v>-1228.6141952333576</v>
      </c>
      <c r="O187" s="171">
        <v>0</v>
      </c>
      <c r="P187" s="171">
        <v>0</v>
      </c>
      <c r="Q187" s="171">
        <v>0</v>
      </c>
      <c r="R187" s="172">
        <f t="shared" si="50"/>
        <v>-1228.6141952333576</v>
      </c>
    </row>
    <row r="188" spans="1:18" x14ac:dyDescent="0.25">
      <c r="A188" s="93">
        <v>1</v>
      </c>
      <c r="B188" s="164">
        <f t="shared" si="45"/>
        <v>45292</v>
      </c>
      <c r="C188" s="181">
        <f t="shared" ref="C188:D211" si="58">+C176</f>
        <v>45327</v>
      </c>
      <c r="D188" s="181">
        <f t="shared" si="58"/>
        <v>45348</v>
      </c>
      <c r="E188" s="165" t="s">
        <v>57</v>
      </c>
      <c r="F188" s="93">
        <v>9</v>
      </c>
      <c r="G188" s="166">
        <v>34</v>
      </c>
      <c r="H188" s="167">
        <f t="shared" si="46"/>
        <v>2063.08</v>
      </c>
      <c r="I188" s="167">
        <f t="shared" si="57"/>
        <v>1999.9</v>
      </c>
      <c r="J188" s="168">
        <f t="shared" si="47"/>
        <v>67996.600000000006</v>
      </c>
      <c r="K188" s="169">
        <f t="shared" si="41"/>
        <v>70144.72</v>
      </c>
      <c r="L188" s="170">
        <f t="shared" si="56"/>
        <v>-2148.1199999999953</v>
      </c>
      <c r="M188" s="171">
        <f t="shared" si="48"/>
        <v>-172.59570210745702</v>
      </c>
      <c r="N188" s="172">
        <f t="shared" si="49"/>
        <v>-2320.7157021074522</v>
      </c>
      <c r="O188" s="171">
        <v>0</v>
      </c>
      <c r="P188" s="171">
        <v>0</v>
      </c>
      <c r="Q188" s="171">
        <v>0</v>
      </c>
      <c r="R188" s="172">
        <f t="shared" si="50"/>
        <v>-2320.7157021074522</v>
      </c>
    </row>
    <row r="189" spans="1:18" x14ac:dyDescent="0.25">
      <c r="A189" s="129">
        <v>2</v>
      </c>
      <c r="B189" s="164">
        <f t="shared" si="45"/>
        <v>45323</v>
      </c>
      <c r="C189" s="184">
        <f t="shared" si="58"/>
        <v>45356</v>
      </c>
      <c r="D189" s="184">
        <f t="shared" si="58"/>
        <v>45376</v>
      </c>
      <c r="E189" s="173" t="s">
        <v>57</v>
      </c>
      <c r="F189" s="129">
        <v>9</v>
      </c>
      <c r="G189" s="166">
        <v>32</v>
      </c>
      <c r="H189" s="167">
        <f t="shared" si="46"/>
        <v>2063.08</v>
      </c>
      <c r="I189" s="167">
        <f t="shared" si="57"/>
        <v>1999.9</v>
      </c>
      <c r="J189" s="168">
        <f t="shared" si="47"/>
        <v>63996.800000000003</v>
      </c>
      <c r="K189" s="169">
        <f t="shared" si="41"/>
        <v>66018.559999999998</v>
      </c>
      <c r="L189" s="170">
        <f t="shared" si="56"/>
        <v>-2021.7599999999948</v>
      </c>
      <c r="M189" s="171">
        <f t="shared" si="48"/>
        <v>-162.44301374819486</v>
      </c>
      <c r="N189" s="172">
        <f t="shared" si="49"/>
        <v>-2184.2030137481897</v>
      </c>
      <c r="O189" s="171">
        <v>0</v>
      </c>
      <c r="P189" s="171">
        <v>0</v>
      </c>
      <c r="Q189" s="171">
        <v>0</v>
      </c>
      <c r="R189" s="172">
        <f t="shared" si="50"/>
        <v>-2184.2030137481897</v>
      </c>
    </row>
    <row r="190" spans="1:18" x14ac:dyDescent="0.25">
      <c r="A190" s="129">
        <v>3</v>
      </c>
      <c r="B190" s="164">
        <f t="shared" si="45"/>
        <v>45352</v>
      </c>
      <c r="C190" s="184">
        <f t="shared" si="58"/>
        <v>45385</v>
      </c>
      <c r="D190" s="184">
        <f t="shared" si="58"/>
        <v>45406</v>
      </c>
      <c r="E190" s="173" t="s">
        <v>57</v>
      </c>
      <c r="F190" s="129">
        <v>9</v>
      </c>
      <c r="G190" s="166">
        <v>32</v>
      </c>
      <c r="H190" s="167">
        <f t="shared" si="46"/>
        <v>2063.08</v>
      </c>
      <c r="I190" s="167">
        <f t="shared" si="57"/>
        <v>1999.9</v>
      </c>
      <c r="J190" s="168">
        <f t="shared" si="47"/>
        <v>63996.800000000003</v>
      </c>
      <c r="K190" s="169">
        <f t="shared" si="41"/>
        <v>66018.559999999998</v>
      </c>
      <c r="L190" s="170">
        <f>+J190-K190</f>
        <v>-2021.7599999999948</v>
      </c>
      <c r="M190" s="171">
        <f t="shared" si="48"/>
        <v>-162.44301374819486</v>
      </c>
      <c r="N190" s="172">
        <f t="shared" si="49"/>
        <v>-2184.2030137481897</v>
      </c>
      <c r="O190" s="171">
        <v>0</v>
      </c>
      <c r="P190" s="171">
        <v>0</v>
      </c>
      <c r="Q190" s="171">
        <v>0</v>
      </c>
      <c r="R190" s="172">
        <f t="shared" si="50"/>
        <v>-2184.2030137481897</v>
      </c>
    </row>
    <row r="191" spans="1:18" x14ac:dyDescent="0.25">
      <c r="A191" s="93">
        <v>4</v>
      </c>
      <c r="B191" s="164">
        <f t="shared" si="45"/>
        <v>45383</v>
      </c>
      <c r="C191" s="184">
        <f t="shared" si="58"/>
        <v>45415</v>
      </c>
      <c r="D191" s="184">
        <f t="shared" si="58"/>
        <v>45436</v>
      </c>
      <c r="E191" s="52" t="s">
        <v>57</v>
      </c>
      <c r="F191" s="129">
        <v>9</v>
      </c>
      <c r="G191" s="166">
        <v>33</v>
      </c>
      <c r="H191" s="167">
        <f t="shared" si="46"/>
        <v>2063.08</v>
      </c>
      <c r="I191" s="167">
        <f t="shared" si="57"/>
        <v>1999.9</v>
      </c>
      <c r="J191" s="168">
        <f t="shared" si="47"/>
        <v>65996.7</v>
      </c>
      <c r="K191" s="169">
        <f t="shared" si="41"/>
        <v>68081.64</v>
      </c>
      <c r="L191" s="170">
        <f t="shared" ref="L191:L201" si="59">+J191-K191</f>
        <v>-2084.9400000000023</v>
      </c>
      <c r="M191" s="171">
        <f t="shared" si="48"/>
        <v>-167.51935792782592</v>
      </c>
      <c r="N191" s="172">
        <f t="shared" si="49"/>
        <v>-2252.459357927828</v>
      </c>
      <c r="O191" s="171">
        <v>0</v>
      </c>
      <c r="P191" s="171">
        <v>0</v>
      </c>
      <c r="Q191" s="171">
        <v>0</v>
      </c>
      <c r="R191" s="172">
        <f t="shared" si="50"/>
        <v>-2252.459357927828</v>
      </c>
    </row>
    <row r="192" spans="1:18" x14ac:dyDescent="0.25">
      <c r="A192" s="129">
        <v>5</v>
      </c>
      <c r="B192" s="164">
        <f t="shared" si="45"/>
        <v>45413</v>
      </c>
      <c r="C192" s="184">
        <f t="shared" si="58"/>
        <v>45448</v>
      </c>
      <c r="D192" s="184">
        <f t="shared" si="58"/>
        <v>45467</v>
      </c>
      <c r="E192" s="52" t="s">
        <v>57</v>
      </c>
      <c r="F192" s="129">
        <v>9</v>
      </c>
      <c r="G192" s="166">
        <v>40</v>
      </c>
      <c r="H192" s="167">
        <f t="shared" si="46"/>
        <v>2063.08</v>
      </c>
      <c r="I192" s="167">
        <f t="shared" si="57"/>
        <v>1999.9</v>
      </c>
      <c r="J192" s="168">
        <f t="shared" si="47"/>
        <v>79996</v>
      </c>
      <c r="K192" s="169">
        <f t="shared" si="41"/>
        <v>82523.199999999997</v>
      </c>
      <c r="L192" s="170">
        <f t="shared" si="59"/>
        <v>-2527.1999999999971</v>
      </c>
      <c r="M192" s="171">
        <f t="shared" si="48"/>
        <v>-203.05376718524357</v>
      </c>
      <c r="N192" s="172">
        <f t="shared" si="49"/>
        <v>-2730.2537671852406</v>
      </c>
      <c r="O192" s="171">
        <v>0</v>
      </c>
      <c r="P192" s="171">
        <v>0</v>
      </c>
      <c r="Q192" s="171">
        <v>0</v>
      </c>
      <c r="R192" s="172">
        <f t="shared" si="50"/>
        <v>-2730.2537671852406</v>
      </c>
    </row>
    <row r="193" spans="1:18" x14ac:dyDescent="0.25">
      <c r="A193" s="129">
        <v>6</v>
      </c>
      <c r="B193" s="164">
        <f t="shared" si="45"/>
        <v>45444</v>
      </c>
      <c r="C193" s="184">
        <f t="shared" si="58"/>
        <v>45476</v>
      </c>
      <c r="D193" s="184">
        <f t="shared" si="58"/>
        <v>45497</v>
      </c>
      <c r="E193" s="52" t="s">
        <v>57</v>
      </c>
      <c r="F193" s="129">
        <v>9</v>
      </c>
      <c r="G193" s="166">
        <v>47</v>
      </c>
      <c r="H193" s="167">
        <f t="shared" si="46"/>
        <v>2063.08</v>
      </c>
      <c r="I193" s="167">
        <f t="shared" si="57"/>
        <v>1999.9</v>
      </c>
      <c r="J193" s="168">
        <f t="shared" si="47"/>
        <v>93995.3</v>
      </c>
      <c r="K193" s="169">
        <f t="shared" si="41"/>
        <v>96964.76</v>
      </c>
      <c r="L193" s="174">
        <f t="shared" si="59"/>
        <v>-2969.4599999999919</v>
      </c>
      <c r="M193" s="171">
        <f t="shared" si="48"/>
        <v>-238.58817644266119</v>
      </c>
      <c r="N193" s="172">
        <f t="shared" si="49"/>
        <v>-3208.0481764426531</v>
      </c>
      <c r="O193" s="171">
        <v>0</v>
      </c>
      <c r="P193" s="171">
        <v>0</v>
      </c>
      <c r="Q193" s="171">
        <v>0</v>
      </c>
      <c r="R193" s="172">
        <f t="shared" si="50"/>
        <v>-3208.0481764426531</v>
      </c>
    </row>
    <row r="194" spans="1:18" x14ac:dyDescent="0.25">
      <c r="A194" s="93">
        <v>7</v>
      </c>
      <c r="B194" s="164">
        <f t="shared" si="45"/>
        <v>45474</v>
      </c>
      <c r="C194" s="184">
        <f t="shared" si="58"/>
        <v>45509</v>
      </c>
      <c r="D194" s="184">
        <f t="shared" si="58"/>
        <v>45530</v>
      </c>
      <c r="E194" s="52" t="s">
        <v>57</v>
      </c>
      <c r="F194" s="129">
        <v>9</v>
      </c>
      <c r="G194" s="166">
        <v>47</v>
      </c>
      <c r="H194" s="167">
        <f t="shared" si="46"/>
        <v>2063.08</v>
      </c>
      <c r="I194" s="167">
        <f t="shared" si="57"/>
        <v>1999.9</v>
      </c>
      <c r="J194" s="168">
        <f t="shared" si="47"/>
        <v>93995.3</v>
      </c>
      <c r="K194" s="175">
        <f t="shared" si="41"/>
        <v>96964.76</v>
      </c>
      <c r="L194" s="174">
        <f t="shared" si="59"/>
        <v>-2969.4599999999919</v>
      </c>
      <c r="M194" s="171">
        <f t="shared" si="48"/>
        <v>-238.58817644266119</v>
      </c>
      <c r="N194" s="172">
        <f t="shared" si="49"/>
        <v>-3208.0481764426531</v>
      </c>
      <c r="O194" s="171">
        <v>0</v>
      </c>
      <c r="P194" s="171">
        <v>0</v>
      </c>
      <c r="Q194" s="171">
        <v>0</v>
      </c>
      <c r="R194" s="172">
        <f t="shared" si="50"/>
        <v>-3208.0481764426531</v>
      </c>
    </row>
    <row r="195" spans="1:18" x14ac:dyDescent="0.25">
      <c r="A195" s="129">
        <v>8</v>
      </c>
      <c r="B195" s="164">
        <f t="shared" si="45"/>
        <v>45505</v>
      </c>
      <c r="C195" s="184">
        <f t="shared" si="58"/>
        <v>45539</v>
      </c>
      <c r="D195" s="184">
        <f t="shared" si="58"/>
        <v>45559</v>
      </c>
      <c r="E195" s="52" t="s">
        <v>57</v>
      </c>
      <c r="F195" s="129">
        <v>9</v>
      </c>
      <c r="G195" s="166">
        <v>51</v>
      </c>
      <c r="H195" s="167">
        <f t="shared" si="46"/>
        <v>2063.08</v>
      </c>
      <c r="I195" s="167">
        <f t="shared" si="57"/>
        <v>1999.9</v>
      </c>
      <c r="J195" s="168">
        <f t="shared" si="47"/>
        <v>101994.90000000001</v>
      </c>
      <c r="K195" s="175">
        <f t="shared" si="41"/>
        <v>105217.08</v>
      </c>
      <c r="L195" s="174">
        <f t="shared" si="59"/>
        <v>-3222.179999999993</v>
      </c>
      <c r="M195" s="171">
        <f t="shared" si="48"/>
        <v>-258.89355316118554</v>
      </c>
      <c r="N195" s="172">
        <f t="shared" si="49"/>
        <v>-3481.0735531611786</v>
      </c>
      <c r="O195" s="171">
        <v>0</v>
      </c>
      <c r="P195" s="171">
        <v>0</v>
      </c>
      <c r="Q195" s="171">
        <v>0</v>
      </c>
      <c r="R195" s="172">
        <f t="shared" si="50"/>
        <v>-3481.0735531611786</v>
      </c>
    </row>
    <row r="196" spans="1:18" x14ac:dyDescent="0.25">
      <c r="A196" s="129">
        <v>9</v>
      </c>
      <c r="B196" s="164">
        <f t="shared" si="45"/>
        <v>45536</v>
      </c>
      <c r="C196" s="184">
        <f t="shared" si="58"/>
        <v>45568</v>
      </c>
      <c r="D196" s="184">
        <f t="shared" si="58"/>
        <v>45589</v>
      </c>
      <c r="E196" s="52" t="s">
        <v>57</v>
      </c>
      <c r="F196" s="129">
        <v>9</v>
      </c>
      <c r="G196" s="166">
        <v>43</v>
      </c>
      <c r="H196" s="167">
        <f t="shared" si="46"/>
        <v>2063.08</v>
      </c>
      <c r="I196" s="167">
        <f t="shared" si="57"/>
        <v>1999.9</v>
      </c>
      <c r="J196" s="168">
        <f t="shared" si="47"/>
        <v>85995.7</v>
      </c>
      <c r="K196" s="175">
        <f t="shared" si="41"/>
        <v>88712.44</v>
      </c>
      <c r="L196" s="174">
        <f t="shared" si="59"/>
        <v>-2716.7400000000052</v>
      </c>
      <c r="M196" s="171">
        <f t="shared" si="48"/>
        <v>-218.28279972413682</v>
      </c>
      <c r="N196" s="172">
        <f t="shared" si="49"/>
        <v>-2935.0227997241423</v>
      </c>
      <c r="O196" s="171">
        <v>0</v>
      </c>
      <c r="P196" s="171">
        <v>0</v>
      </c>
      <c r="Q196" s="171">
        <v>0</v>
      </c>
      <c r="R196" s="172">
        <f t="shared" si="50"/>
        <v>-2935.0227997241423</v>
      </c>
    </row>
    <row r="197" spans="1:18" x14ac:dyDescent="0.25">
      <c r="A197" s="93">
        <v>10</v>
      </c>
      <c r="B197" s="164">
        <f t="shared" si="45"/>
        <v>45566</v>
      </c>
      <c r="C197" s="184">
        <f t="shared" si="58"/>
        <v>45601</v>
      </c>
      <c r="D197" s="184">
        <f t="shared" si="58"/>
        <v>45621</v>
      </c>
      <c r="E197" s="52" t="s">
        <v>57</v>
      </c>
      <c r="F197" s="129">
        <v>9</v>
      </c>
      <c r="G197" s="166">
        <v>37</v>
      </c>
      <c r="H197" s="167">
        <f t="shared" si="46"/>
        <v>2063.08</v>
      </c>
      <c r="I197" s="167">
        <f t="shared" si="57"/>
        <v>1999.9</v>
      </c>
      <c r="J197" s="168">
        <f t="shared" si="47"/>
        <v>73996.3</v>
      </c>
      <c r="K197" s="175">
        <f t="shared" si="41"/>
        <v>76333.959999999992</v>
      </c>
      <c r="L197" s="174">
        <f t="shared" si="59"/>
        <v>-2337.6599999999889</v>
      </c>
      <c r="M197" s="171">
        <f t="shared" si="48"/>
        <v>-187.82473464635029</v>
      </c>
      <c r="N197" s="172">
        <f t="shared" si="49"/>
        <v>-2525.4847346463393</v>
      </c>
      <c r="O197" s="171">
        <v>0</v>
      </c>
      <c r="P197" s="171">
        <v>0</v>
      </c>
      <c r="Q197" s="171">
        <v>0</v>
      </c>
      <c r="R197" s="172">
        <f t="shared" si="50"/>
        <v>-2525.4847346463393</v>
      </c>
    </row>
    <row r="198" spans="1:18" x14ac:dyDescent="0.25">
      <c r="A198" s="129">
        <v>11</v>
      </c>
      <c r="B198" s="164">
        <f t="shared" si="45"/>
        <v>45597</v>
      </c>
      <c r="C198" s="184">
        <f t="shared" si="58"/>
        <v>45630</v>
      </c>
      <c r="D198" s="184">
        <f t="shared" si="58"/>
        <v>45650</v>
      </c>
      <c r="E198" s="52" t="s">
        <v>57</v>
      </c>
      <c r="F198" s="129">
        <v>9</v>
      </c>
      <c r="G198" s="166">
        <v>34</v>
      </c>
      <c r="H198" s="167">
        <f t="shared" si="46"/>
        <v>2063.08</v>
      </c>
      <c r="I198" s="167">
        <f t="shared" si="57"/>
        <v>1999.9</v>
      </c>
      <c r="J198" s="168">
        <f t="shared" si="47"/>
        <v>67996.600000000006</v>
      </c>
      <c r="K198" s="175">
        <f t="shared" ref="K198:K209" si="60">+$G198*H198</f>
        <v>70144.72</v>
      </c>
      <c r="L198" s="174">
        <f t="shared" si="59"/>
        <v>-2148.1199999999953</v>
      </c>
      <c r="M198" s="171">
        <f t="shared" si="48"/>
        <v>-172.59570210745702</v>
      </c>
      <c r="N198" s="172">
        <f t="shared" si="49"/>
        <v>-2320.7157021074522</v>
      </c>
      <c r="O198" s="171">
        <v>0</v>
      </c>
      <c r="P198" s="171">
        <v>0</v>
      </c>
      <c r="Q198" s="171">
        <v>0</v>
      </c>
      <c r="R198" s="172">
        <f t="shared" si="50"/>
        <v>-2320.7157021074522</v>
      </c>
    </row>
    <row r="199" spans="1:18" s="188" customFormat="1" x14ac:dyDescent="0.25">
      <c r="A199" s="129">
        <v>12</v>
      </c>
      <c r="B199" s="186">
        <f t="shared" si="45"/>
        <v>45627</v>
      </c>
      <c r="C199" s="184">
        <f t="shared" si="58"/>
        <v>45660</v>
      </c>
      <c r="D199" s="184">
        <f t="shared" si="58"/>
        <v>45681</v>
      </c>
      <c r="E199" s="187" t="s">
        <v>57</v>
      </c>
      <c r="F199" s="140">
        <v>9</v>
      </c>
      <c r="G199" s="166">
        <v>32</v>
      </c>
      <c r="H199" s="176">
        <f t="shared" si="46"/>
        <v>2063.08</v>
      </c>
      <c r="I199" s="176">
        <f t="shared" si="57"/>
        <v>1999.9</v>
      </c>
      <c r="J199" s="177">
        <f t="shared" si="47"/>
        <v>63996.800000000003</v>
      </c>
      <c r="K199" s="178">
        <f t="shared" si="60"/>
        <v>66018.559999999998</v>
      </c>
      <c r="L199" s="179">
        <f t="shared" si="59"/>
        <v>-2021.7599999999948</v>
      </c>
      <c r="M199" s="171">
        <f t="shared" si="48"/>
        <v>-162.44301374819486</v>
      </c>
      <c r="N199" s="172">
        <f t="shared" si="49"/>
        <v>-2184.2030137481897</v>
      </c>
      <c r="O199" s="171">
        <v>0</v>
      </c>
      <c r="P199" s="171">
        <v>0</v>
      </c>
      <c r="Q199" s="171">
        <v>0</v>
      </c>
      <c r="R199" s="172">
        <f t="shared" si="50"/>
        <v>-2184.2030137481897</v>
      </c>
    </row>
    <row r="200" spans="1:18" x14ac:dyDescent="0.25">
      <c r="A200" s="93">
        <v>1</v>
      </c>
      <c r="B200" s="164">
        <f t="shared" si="45"/>
        <v>45292</v>
      </c>
      <c r="C200" s="181">
        <f t="shared" si="58"/>
        <v>45327</v>
      </c>
      <c r="D200" s="181">
        <f t="shared" si="58"/>
        <v>45348</v>
      </c>
      <c r="E200" s="165" t="s">
        <v>17</v>
      </c>
      <c r="F200" s="93">
        <v>9</v>
      </c>
      <c r="G200" s="166">
        <v>104</v>
      </c>
      <c r="H200" s="167">
        <f t="shared" si="46"/>
        <v>2063.08</v>
      </c>
      <c r="I200" s="167">
        <f t="shared" si="57"/>
        <v>1999.9</v>
      </c>
      <c r="J200" s="168">
        <f t="shared" si="47"/>
        <v>207989.6</v>
      </c>
      <c r="K200" s="169">
        <f t="shared" si="60"/>
        <v>214560.32</v>
      </c>
      <c r="L200" s="170">
        <f t="shared" si="59"/>
        <v>-6570.7200000000012</v>
      </c>
      <c r="M200" s="171">
        <f t="shared" si="48"/>
        <v>-527.9397946816332</v>
      </c>
      <c r="N200" s="172">
        <f t="shared" si="49"/>
        <v>-7098.6597946816346</v>
      </c>
      <c r="O200" s="171">
        <v>0</v>
      </c>
      <c r="P200" s="171">
        <v>0</v>
      </c>
      <c r="Q200" s="171">
        <v>0</v>
      </c>
      <c r="R200" s="172">
        <f t="shared" si="50"/>
        <v>-7098.6597946816346</v>
      </c>
    </row>
    <row r="201" spans="1:18" x14ac:dyDescent="0.25">
      <c r="A201" s="129">
        <v>2</v>
      </c>
      <c r="B201" s="164">
        <f t="shared" si="45"/>
        <v>45323</v>
      </c>
      <c r="C201" s="184">
        <f t="shared" si="58"/>
        <v>45356</v>
      </c>
      <c r="D201" s="184">
        <f t="shared" si="58"/>
        <v>45376</v>
      </c>
      <c r="E201" s="173" t="s">
        <v>17</v>
      </c>
      <c r="F201" s="129">
        <v>9</v>
      </c>
      <c r="G201" s="166">
        <v>99</v>
      </c>
      <c r="H201" s="167">
        <f t="shared" si="46"/>
        <v>2063.08</v>
      </c>
      <c r="I201" s="167">
        <f t="shared" si="57"/>
        <v>1999.9</v>
      </c>
      <c r="J201" s="168">
        <f t="shared" si="47"/>
        <v>197990.1</v>
      </c>
      <c r="K201" s="169">
        <f t="shared" si="60"/>
        <v>204244.91999999998</v>
      </c>
      <c r="L201" s="170">
        <f t="shared" si="59"/>
        <v>-6254.8199999999779</v>
      </c>
      <c r="M201" s="171">
        <f t="shared" si="48"/>
        <v>-502.55807378347777</v>
      </c>
      <c r="N201" s="172">
        <f t="shared" si="49"/>
        <v>-6757.3780737834559</v>
      </c>
      <c r="O201" s="171">
        <v>0</v>
      </c>
      <c r="P201" s="171">
        <v>0</v>
      </c>
      <c r="Q201" s="171">
        <v>0</v>
      </c>
      <c r="R201" s="172">
        <f t="shared" si="50"/>
        <v>-6757.3780737834559</v>
      </c>
    </row>
    <row r="202" spans="1:18" x14ac:dyDescent="0.25">
      <c r="A202" s="129">
        <v>3</v>
      </c>
      <c r="B202" s="164">
        <f t="shared" si="45"/>
        <v>45352</v>
      </c>
      <c r="C202" s="184">
        <f t="shared" si="58"/>
        <v>45385</v>
      </c>
      <c r="D202" s="184">
        <f t="shared" si="58"/>
        <v>45406</v>
      </c>
      <c r="E202" s="173" t="s">
        <v>17</v>
      </c>
      <c r="F202" s="129">
        <v>9</v>
      </c>
      <c r="G202" s="166">
        <v>99</v>
      </c>
      <c r="H202" s="167">
        <f t="shared" si="46"/>
        <v>2063.08</v>
      </c>
      <c r="I202" s="167">
        <f t="shared" si="57"/>
        <v>1999.9</v>
      </c>
      <c r="J202" s="168">
        <f t="shared" si="47"/>
        <v>197990.1</v>
      </c>
      <c r="K202" s="169">
        <f t="shared" si="60"/>
        <v>204244.91999999998</v>
      </c>
      <c r="L202" s="170">
        <f>+J202-K202</f>
        <v>-6254.8199999999779</v>
      </c>
      <c r="M202" s="171">
        <f t="shared" si="48"/>
        <v>-502.55807378347777</v>
      </c>
      <c r="N202" s="172">
        <f t="shared" si="49"/>
        <v>-6757.3780737834559</v>
      </c>
      <c r="O202" s="171">
        <v>0</v>
      </c>
      <c r="P202" s="171">
        <v>0</v>
      </c>
      <c r="Q202" s="171">
        <v>0</v>
      </c>
      <c r="R202" s="172">
        <f t="shared" si="50"/>
        <v>-6757.3780737834559</v>
      </c>
    </row>
    <row r="203" spans="1:18" x14ac:dyDescent="0.25">
      <c r="A203" s="93">
        <v>4</v>
      </c>
      <c r="B203" s="164">
        <f t="shared" si="45"/>
        <v>45383</v>
      </c>
      <c r="C203" s="184">
        <f t="shared" si="58"/>
        <v>45415</v>
      </c>
      <c r="D203" s="184">
        <f t="shared" si="58"/>
        <v>45436</v>
      </c>
      <c r="E203" s="173" t="s">
        <v>17</v>
      </c>
      <c r="F203" s="129">
        <v>9</v>
      </c>
      <c r="G203" s="166">
        <v>99</v>
      </c>
      <c r="H203" s="167">
        <f t="shared" si="46"/>
        <v>2063.08</v>
      </c>
      <c r="I203" s="167">
        <f t="shared" si="57"/>
        <v>1999.9</v>
      </c>
      <c r="J203" s="168">
        <f t="shared" si="47"/>
        <v>197990.1</v>
      </c>
      <c r="K203" s="169">
        <f t="shared" si="60"/>
        <v>204244.91999999998</v>
      </c>
      <c r="L203" s="170">
        <f t="shared" ref="L203:L211" si="61">+J203-K203</f>
        <v>-6254.8199999999779</v>
      </c>
      <c r="M203" s="171">
        <f t="shared" si="48"/>
        <v>-502.55807378347777</v>
      </c>
      <c r="N203" s="172">
        <f t="shared" si="49"/>
        <v>-6757.3780737834559</v>
      </c>
      <c r="O203" s="171">
        <v>0</v>
      </c>
      <c r="P203" s="171">
        <v>0</v>
      </c>
      <c r="Q203" s="171">
        <v>0</v>
      </c>
      <c r="R203" s="172">
        <f t="shared" si="50"/>
        <v>-6757.3780737834559</v>
      </c>
    </row>
    <row r="204" spans="1:18" x14ac:dyDescent="0.25">
      <c r="A204" s="129">
        <v>5</v>
      </c>
      <c r="B204" s="164">
        <f t="shared" si="45"/>
        <v>45413</v>
      </c>
      <c r="C204" s="184">
        <f t="shared" si="58"/>
        <v>45448</v>
      </c>
      <c r="D204" s="184">
        <f t="shared" si="58"/>
        <v>45467</v>
      </c>
      <c r="E204" s="52" t="s">
        <v>17</v>
      </c>
      <c r="F204" s="129">
        <v>9</v>
      </c>
      <c r="G204" s="166">
        <v>106</v>
      </c>
      <c r="H204" s="167">
        <f t="shared" si="46"/>
        <v>2063.08</v>
      </c>
      <c r="I204" s="167">
        <f t="shared" si="57"/>
        <v>1999.9</v>
      </c>
      <c r="J204" s="168">
        <f t="shared" si="47"/>
        <v>211989.40000000002</v>
      </c>
      <c r="K204" s="169">
        <f t="shared" si="60"/>
        <v>218686.47999999998</v>
      </c>
      <c r="L204" s="170">
        <f t="shared" si="61"/>
        <v>-6697.0799999999581</v>
      </c>
      <c r="M204" s="171">
        <f t="shared" si="48"/>
        <v>-538.09248304089544</v>
      </c>
      <c r="N204" s="172">
        <f t="shared" si="49"/>
        <v>-7235.1724830408539</v>
      </c>
      <c r="O204" s="171">
        <v>0</v>
      </c>
      <c r="P204" s="171">
        <v>0</v>
      </c>
      <c r="Q204" s="171">
        <v>0</v>
      </c>
      <c r="R204" s="172">
        <f t="shared" si="50"/>
        <v>-7235.1724830408539</v>
      </c>
    </row>
    <row r="205" spans="1:18" x14ac:dyDescent="0.25">
      <c r="A205" s="129">
        <v>6</v>
      </c>
      <c r="B205" s="164">
        <f t="shared" si="45"/>
        <v>45444</v>
      </c>
      <c r="C205" s="184">
        <f t="shared" si="58"/>
        <v>45476</v>
      </c>
      <c r="D205" s="184">
        <f t="shared" si="58"/>
        <v>45497</v>
      </c>
      <c r="E205" s="52" t="s">
        <v>17</v>
      </c>
      <c r="F205" s="129">
        <v>9</v>
      </c>
      <c r="G205" s="166">
        <v>120</v>
      </c>
      <c r="H205" s="167">
        <f t="shared" si="46"/>
        <v>2063.08</v>
      </c>
      <c r="I205" s="167">
        <f t="shared" si="57"/>
        <v>1999.9</v>
      </c>
      <c r="J205" s="168">
        <f t="shared" si="47"/>
        <v>239988</v>
      </c>
      <c r="K205" s="169">
        <f t="shared" si="60"/>
        <v>247569.59999999998</v>
      </c>
      <c r="L205" s="174">
        <f t="shared" si="61"/>
        <v>-7581.5999999999767</v>
      </c>
      <c r="M205" s="171">
        <f t="shared" si="48"/>
        <v>-609.16130155573069</v>
      </c>
      <c r="N205" s="172">
        <f t="shared" si="49"/>
        <v>-8190.7613015557072</v>
      </c>
      <c r="O205" s="171">
        <v>0</v>
      </c>
      <c r="P205" s="171">
        <v>0</v>
      </c>
      <c r="Q205" s="171">
        <v>0</v>
      </c>
      <c r="R205" s="172">
        <f t="shared" si="50"/>
        <v>-8190.7613015557072</v>
      </c>
    </row>
    <row r="206" spans="1:18" x14ac:dyDescent="0.25">
      <c r="A206" s="93">
        <v>7</v>
      </c>
      <c r="B206" s="164">
        <f t="shared" si="45"/>
        <v>45474</v>
      </c>
      <c r="C206" s="184">
        <f t="shared" si="58"/>
        <v>45509</v>
      </c>
      <c r="D206" s="184">
        <f t="shared" si="58"/>
        <v>45530</v>
      </c>
      <c r="E206" s="52" t="s">
        <v>17</v>
      </c>
      <c r="F206" s="129">
        <v>9</v>
      </c>
      <c r="G206" s="166">
        <v>117</v>
      </c>
      <c r="H206" s="167">
        <f t="shared" si="46"/>
        <v>2063.08</v>
      </c>
      <c r="I206" s="167">
        <f t="shared" si="57"/>
        <v>1999.9</v>
      </c>
      <c r="J206" s="168">
        <f t="shared" si="47"/>
        <v>233988.30000000002</v>
      </c>
      <c r="K206" s="175">
        <f t="shared" si="60"/>
        <v>241380.36</v>
      </c>
      <c r="L206" s="174">
        <f t="shared" si="61"/>
        <v>-7392.0599999999686</v>
      </c>
      <c r="M206" s="171">
        <f t="shared" si="48"/>
        <v>-593.93226901683738</v>
      </c>
      <c r="N206" s="172">
        <f t="shared" si="49"/>
        <v>-7985.9922690168059</v>
      </c>
      <c r="O206" s="171">
        <v>0</v>
      </c>
      <c r="P206" s="171">
        <v>0</v>
      </c>
      <c r="Q206" s="171">
        <v>0</v>
      </c>
      <c r="R206" s="172">
        <f t="shared" si="50"/>
        <v>-7985.9922690168059</v>
      </c>
    </row>
    <row r="207" spans="1:18" x14ac:dyDescent="0.25">
      <c r="A207" s="129">
        <v>8</v>
      </c>
      <c r="B207" s="164">
        <f t="shared" si="45"/>
        <v>45505</v>
      </c>
      <c r="C207" s="184">
        <f t="shared" si="58"/>
        <v>45539</v>
      </c>
      <c r="D207" s="184">
        <f t="shared" si="58"/>
        <v>45559</v>
      </c>
      <c r="E207" s="52" t="s">
        <v>17</v>
      </c>
      <c r="F207" s="129">
        <v>9</v>
      </c>
      <c r="G207" s="166">
        <v>118</v>
      </c>
      <c r="H207" s="167">
        <f t="shared" si="46"/>
        <v>2063.08</v>
      </c>
      <c r="I207" s="167">
        <f t="shared" si="57"/>
        <v>1999.9</v>
      </c>
      <c r="J207" s="168">
        <f t="shared" si="47"/>
        <v>235988.2</v>
      </c>
      <c r="K207" s="175">
        <f t="shared" si="60"/>
        <v>243443.44</v>
      </c>
      <c r="L207" s="174">
        <f t="shared" si="61"/>
        <v>-7455.2399999999907</v>
      </c>
      <c r="M207" s="171">
        <f t="shared" si="48"/>
        <v>-599.00861319646845</v>
      </c>
      <c r="N207" s="172">
        <f t="shared" si="49"/>
        <v>-8054.2486131964588</v>
      </c>
      <c r="O207" s="171">
        <v>0</v>
      </c>
      <c r="P207" s="171">
        <v>0</v>
      </c>
      <c r="Q207" s="171">
        <v>0</v>
      </c>
      <c r="R207" s="172">
        <f t="shared" si="50"/>
        <v>-8054.2486131964588</v>
      </c>
    </row>
    <row r="208" spans="1:18" x14ac:dyDescent="0.25">
      <c r="A208" s="129">
        <v>9</v>
      </c>
      <c r="B208" s="164">
        <f t="shared" si="45"/>
        <v>45536</v>
      </c>
      <c r="C208" s="184">
        <f t="shared" si="58"/>
        <v>45568</v>
      </c>
      <c r="D208" s="184">
        <f t="shared" si="58"/>
        <v>45589</v>
      </c>
      <c r="E208" s="52" t="s">
        <v>17</v>
      </c>
      <c r="F208" s="129">
        <v>9</v>
      </c>
      <c r="G208" s="166">
        <v>117</v>
      </c>
      <c r="H208" s="167">
        <f t="shared" si="46"/>
        <v>2063.08</v>
      </c>
      <c r="I208" s="167">
        <f t="shared" si="57"/>
        <v>1999.9</v>
      </c>
      <c r="J208" s="168">
        <f t="shared" si="47"/>
        <v>233988.30000000002</v>
      </c>
      <c r="K208" s="175">
        <f t="shared" si="60"/>
        <v>241380.36</v>
      </c>
      <c r="L208" s="174">
        <f t="shared" si="61"/>
        <v>-7392.0599999999686</v>
      </c>
      <c r="M208" s="171">
        <f t="shared" si="48"/>
        <v>-593.93226901683738</v>
      </c>
      <c r="N208" s="172">
        <f t="shared" si="49"/>
        <v>-7985.9922690168059</v>
      </c>
      <c r="O208" s="171">
        <v>0</v>
      </c>
      <c r="P208" s="171">
        <v>0</v>
      </c>
      <c r="Q208" s="171">
        <v>0</v>
      </c>
      <c r="R208" s="172">
        <f t="shared" si="50"/>
        <v>-7985.9922690168059</v>
      </c>
    </row>
    <row r="209" spans="1:18" x14ac:dyDescent="0.25">
      <c r="A209" s="93">
        <v>10</v>
      </c>
      <c r="B209" s="164">
        <f t="shared" si="45"/>
        <v>45566</v>
      </c>
      <c r="C209" s="184">
        <f t="shared" si="58"/>
        <v>45601</v>
      </c>
      <c r="D209" s="184">
        <f t="shared" si="58"/>
        <v>45621</v>
      </c>
      <c r="E209" s="52" t="s">
        <v>17</v>
      </c>
      <c r="F209" s="129">
        <v>9</v>
      </c>
      <c r="G209" s="166">
        <v>107</v>
      </c>
      <c r="H209" s="167">
        <f t="shared" si="46"/>
        <v>2063.08</v>
      </c>
      <c r="I209" s="167">
        <f t="shared" si="57"/>
        <v>1999.9</v>
      </c>
      <c r="J209" s="168">
        <f t="shared" si="47"/>
        <v>213989.30000000002</v>
      </c>
      <c r="K209" s="175">
        <f t="shared" si="60"/>
        <v>220749.56</v>
      </c>
      <c r="L209" s="174">
        <f t="shared" si="61"/>
        <v>-6760.2599999999802</v>
      </c>
      <c r="M209" s="171">
        <f t="shared" si="48"/>
        <v>-543.16882722052651</v>
      </c>
      <c r="N209" s="172">
        <f t="shared" si="49"/>
        <v>-7303.4288272205067</v>
      </c>
      <c r="O209" s="171">
        <v>0</v>
      </c>
      <c r="P209" s="171">
        <v>0</v>
      </c>
      <c r="Q209" s="171">
        <v>0</v>
      </c>
      <c r="R209" s="172">
        <f t="shared" si="50"/>
        <v>-7303.4288272205067</v>
      </c>
    </row>
    <row r="210" spans="1:18" x14ac:dyDescent="0.25">
      <c r="A210" s="129">
        <v>11</v>
      </c>
      <c r="B210" s="164">
        <f t="shared" si="45"/>
        <v>45597</v>
      </c>
      <c r="C210" s="184">
        <f t="shared" si="58"/>
        <v>45630</v>
      </c>
      <c r="D210" s="184">
        <f t="shared" si="58"/>
        <v>45650</v>
      </c>
      <c r="E210" s="52" t="s">
        <v>17</v>
      </c>
      <c r="F210" s="129">
        <v>9</v>
      </c>
      <c r="G210" s="166">
        <v>91</v>
      </c>
      <c r="H210" s="167">
        <f t="shared" si="46"/>
        <v>2063.08</v>
      </c>
      <c r="I210" s="167">
        <f t="shared" si="57"/>
        <v>1999.9</v>
      </c>
      <c r="J210" s="168">
        <f t="shared" si="47"/>
        <v>181990.9</v>
      </c>
      <c r="K210" s="175">
        <f>+$G210*H210</f>
        <v>187740.28</v>
      </c>
      <c r="L210" s="174">
        <f t="shared" si="61"/>
        <v>-5749.3800000000047</v>
      </c>
      <c r="M210" s="171">
        <f t="shared" si="48"/>
        <v>-461.94732034642914</v>
      </c>
      <c r="N210" s="172">
        <f t="shared" si="49"/>
        <v>-6211.3273203464341</v>
      </c>
      <c r="O210" s="171">
        <v>0</v>
      </c>
      <c r="P210" s="171">
        <v>0</v>
      </c>
      <c r="Q210" s="171">
        <v>0</v>
      </c>
      <c r="R210" s="172">
        <f t="shared" si="50"/>
        <v>-6211.3273203464341</v>
      </c>
    </row>
    <row r="211" spans="1:18" s="188" customFormat="1" x14ac:dyDescent="0.25">
      <c r="A211" s="129">
        <v>12</v>
      </c>
      <c r="B211" s="186">
        <f t="shared" si="45"/>
        <v>45627</v>
      </c>
      <c r="C211" s="189">
        <f t="shared" si="58"/>
        <v>45660</v>
      </c>
      <c r="D211" s="189">
        <f t="shared" si="58"/>
        <v>45681</v>
      </c>
      <c r="E211" s="187" t="s">
        <v>17</v>
      </c>
      <c r="F211" s="140">
        <v>9</v>
      </c>
      <c r="G211" s="166">
        <v>102</v>
      </c>
      <c r="H211" s="176">
        <f t="shared" si="46"/>
        <v>2063.08</v>
      </c>
      <c r="I211" s="176">
        <f t="shared" si="57"/>
        <v>1999.9</v>
      </c>
      <c r="J211" s="177">
        <f t="shared" si="47"/>
        <v>203989.80000000002</v>
      </c>
      <c r="K211" s="178">
        <f>+$G211*H211</f>
        <v>210434.16</v>
      </c>
      <c r="L211" s="179">
        <f t="shared" si="61"/>
        <v>-6444.359999999986</v>
      </c>
      <c r="M211" s="177">
        <f t="shared" si="48"/>
        <v>-517.78710632237107</v>
      </c>
      <c r="N211" s="172">
        <f t="shared" si="49"/>
        <v>-6962.1471063223571</v>
      </c>
      <c r="O211" s="171">
        <v>0</v>
      </c>
      <c r="P211" s="171">
        <v>0</v>
      </c>
      <c r="Q211" s="171">
        <v>0</v>
      </c>
      <c r="R211" s="172">
        <f t="shared" si="50"/>
        <v>-6962.1471063223571</v>
      </c>
    </row>
    <row r="212" spans="1:18" x14ac:dyDescent="0.25">
      <c r="G212" s="194">
        <f>SUM(G20:G211)</f>
        <v>101851</v>
      </c>
      <c r="H212" s="49"/>
      <c r="I212" s="49"/>
      <c r="J212" s="49">
        <f>SUM(J20:J211)</f>
        <v>203691814.90000021</v>
      </c>
      <c r="K212" s="49">
        <f>SUM(K20:K211)</f>
        <v>210126761.07999995</v>
      </c>
      <c r="L212" s="49">
        <f>SUM(L20:L211)</f>
        <v>-6434946.1799999829</v>
      </c>
      <c r="M212" s="49">
        <f>SUM(M20:M211)</f>
        <v>-517030.73103960545</v>
      </c>
      <c r="N212" s="49"/>
      <c r="O212" s="49"/>
      <c r="P212" s="49">
        <f>SUM(P20:P211)</f>
        <v>0</v>
      </c>
      <c r="Q212" s="49"/>
      <c r="R212" s="195">
        <f>SUM(R20:R211)</f>
        <v>-6951976.9110395815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5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06342d-ce85-4729-8251-347f0ba4f840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9C77599AAFD4B8FFD850D55630F3C" ma:contentTypeVersion="11" ma:contentTypeDescription="Create a new document." ma:contentTypeScope="" ma:versionID="ad751a9f435e1866f9f8a73a34278f13">
  <xsd:schema xmlns:xsd="http://www.w3.org/2001/XMLSchema" xmlns:xs="http://www.w3.org/2001/XMLSchema" xmlns:p="http://schemas.microsoft.com/office/2006/metadata/properties" xmlns:ns2="6a06342d-ce85-4729-8251-347f0ba4f840" xmlns:ns3="b6888f76-1100-40b0-929b-1efe9044426d" targetNamespace="http://schemas.microsoft.com/office/2006/metadata/properties" ma:root="true" ma:fieldsID="e425485e64401a05f4c6dac9240526dc" ns2:_="" ns3:_="">
    <xsd:import namespace="6a06342d-ce85-4729-8251-347f0ba4f840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6342d-ce85-4729-8251-347f0ba4f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To0M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To0NSBQTTwvRGF0ZVRpbWU+PExhYmVsU3RyaW5nPkFFUCBJbnRlcm5hbD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5DDD29E8-4F4E-4E59-9CA1-F3F8ED93E002}">
  <ds:schemaRefs>
    <ds:schemaRef ds:uri="http://schemas.microsoft.com/office/2006/metadata/properties"/>
    <ds:schemaRef ds:uri="http://schemas.microsoft.com/office/infopath/2007/PartnerControls"/>
    <ds:schemaRef ds:uri="6a06342d-ce85-4729-8251-347f0ba4f840"/>
    <ds:schemaRef ds:uri="b6888f76-1100-40b0-929b-1efe9044426d"/>
  </ds:schemaRefs>
</ds:datastoreItem>
</file>

<file path=customXml/itemProps2.xml><?xml version="1.0" encoding="utf-8"?>
<ds:datastoreItem xmlns:ds="http://schemas.openxmlformats.org/officeDocument/2006/customXml" ds:itemID="{49FBBD64-C511-461A-A63E-95D4D9EE12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C98EE9-FBE2-46C9-A8C2-5FC963188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06342d-ce85-4729-8251-347f0ba4f840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1D3D72-51E9-48CA-9B74-0431234350F1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F76C505D-8C8C-49BA-8B4C-7D5A569C5B8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20XX NOLC Refund Detail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2025-05-27T12:50:41Z</cp:lastPrinted>
  <dcterms:created xsi:type="dcterms:W3CDTF">2009-09-04T18:19:13Z</dcterms:created>
  <dcterms:modified xsi:type="dcterms:W3CDTF">2025-05-27T12:51:27Z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fe0e22d3-5569-41c2-9a0f-b7f0844f7669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{461D3D72-51E9-48CA-9B74-0431234350F1}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  <property fmtid="{D5CDD505-2E9C-101B-9397-08002B2CF9AE}" pid="13" name="ContentTypeId">
    <vt:lpwstr>0x0101002649C77599AAFD4B8FFD850D55630F3C</vt:lpwstr>
  </property>
  <property fmtid="{D5CDD505-2E9C-101B-9397-08002B2CF9AE}" pid="14" name="MediaServiceImageTags">
    <vt:lpwstr/>
  </property>
</Properties>
</file>