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Formula Rates/Transmission Formula Rates/West OpCos - SPP OATT Attach H-4/Rate Year 2024/True Up (ATRR)/As Filed/"/>
    </mc:Choice>
  </mc:AlternateContent>
  <xr:revisionPtr revIDLastSave="5" documentId="8_{4FFC10F1-BDB8-444B-92BE-5E1C8E2663B0}" xr6:coauthVersionLast="47" xr6:coauthVersionMax="47" xr10:uidLastSave="{0520B912-315D-4A83-97E0-EAB44DDAF4B8}"/>
  <bookViews>
    <workbookView xWindow="28680" yWindow="-120" windowWidth="24240" windowHeight="1302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Instructions!$A$1:$R$18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K1" i="18" l="1"/>
  <c r="B79" i="18"/>
  <c r="B78" i="18"/>
  <c r="B77" i="18"/>
  <c r="B76" i="18"/>
  <c r="B75" i="18"/>
  <c r="B74" i="18"/>
  <c r="B73" i="18"/>
  <c r="B72" i="18"/>
  <c r="B71" i="18"/>
  <c r="B70" i="18"/>
  <c r="B69" i="18"/>
  <c r="B68" i="18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63" i="18" s="1"/>
  <c r="C87" i="18" s="1"/>
  <c r="C99" i="18" s="1"/>
  <c r="C111" i="18" s="1"/>
  <c r="C123" i="18" s="1"/>
  <c r="C135" i="18" s="1"/>
  <c r="C147" i="18" s="1"/>
  <c r="C159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C49" i="18" s="1"/>
  <c r="B169" i="18"/>
  <c r="B168" i="18"/>
  <c r="B167" i="18"/>
  <c r="B166" i="18"/>
  <c r="C33" i="18"/>
  <c r="C45" i="18" s="1"/>
  <c r="B165" i="18"/>
  <c r="C32" i="18"/>
  <c r="C44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D55" i="18"/>
  <c r="G26" i="29"/>
  <c r="E29" i="29"/>
  <c r="E32" i="29"/>
  <c r="G36" i="29"/>
  <c r="H30" i="29"/>
  <c r="H31" i="29"/>
  <c r="G37" i="29"/>
  <c r="E21" i="29"/>
  <c r="G23" i="29"/>
  <c r="E31" i="29"/>
  <c r="H22" i="29"/>
  <c r="E30" i="29"/>
  <c r="H24" i="29"/>
  <c r="G31" i="29"/>
  <c r="D24" i="29"/>
  <c r="D25" i="29"/>
  <c r="G28" i="29"/>
  <c r="G27" i="29"/>
  <c r="E27" i="29"/>
  <c r="H28" i="29"/>
  <c r="E28" i="29"/>
  <c r="H33" i="29"/>
  <c r="H37" i="29"/>
  <c r="E35" i="29"/>
  <c r="G21" i="29"/>
  <c r="H21" i="29"/>
  <c r="G25" i="29"/>
  <c r="H32" i="29"/>
  <c r="E33" i="29"/>
  <c r="D37" i="29"/>
  <c r="D27" i="29"/>
  <c r="D30" i="29"/>
  <c r="H35" i="29"/>
  <c r="D36" i="29"/>
  <c r="H29" i="29"/>
  <c r="D26" i="29"/>
  <c r="G22" i="29"/>
  <c r="G29" i="29"/>
  <c r="E24" i="29"/>
  <c r="G30" i="29"/>
  <c r="H23" i="29"/>
  <c r="E23" i="29"/>
  <c r="E37" i="29"/>
  <c r="H26" i="29"/>
  <c r="D35" i="29"/>
  <c r="H36" i="29"/>
  <c r="G24" i="29"/>
  <c r="G32" i="29"/>
  <c r="H27" i="29"/>
  <c r="H25" i="29"/>
  <c r="E26" i="29"/>
  <c r="G35" i="29"/>
  <c r="E36" i="29"/>
  <c r="G33" i="29"/>
  <c r="E25" i="29"/>
  <c r="E22" i="29"/>
  <c r="D66" i="18" l="1"/>
  <c r="D78" i="18" s="1"/>
  <c r="C57" i="18"/>
  <c r="C81" i="18" s="1"/>
  <c r="C93" i="18" s="1"/>
  <c r="C105" i="18" s="1"/>
  <c r="C117" i="18" s="1"/>
  <c r="C129" i="18" s="1"/>
  <c r="C141" i="18" s="1"/>
  <c r="C153" i="18" s="1"/>
  <c r="C165" i="18" s="1"/>
  <c r="D79" i="18"/>
  <c r="D63" i="18"/>
  <c r="D87" i="18" s="1"/>
  <c r="D99" i="18" s="1"/>
  <c r="D111" i="18" s="1"/>
  <c r="D123" i="18" s="1"/>
  <c r="D135" i="18" s="1"/>
  <c r="D147" i="18" s="1"/>
  <c r="D159" i="18" s="1"/>
  <c r="D171" i="18" s="1"/>
  <c r="C51" i="18"/>
  <c r="C61" i="18"/>
  <c r="C73" i="18" s="1"/>
  <c r="D50" i="18"/>
  <c r="C64" i="18"/>
  <c r="C76" i="18" s="1"/>
  <c r="C56" i="18"/>
  <c r="C80" i="18" s="1"/>
  <c r="C92" i="18" s="1"/>
  <c r="C104" i="18" s="1"/>
  <c r="C116" i="18" s="1"/>
  <c r="C128" i="18" s="1"/>
  <c r="C140" i="18" s="1"/>
  <c r="C152" i="18" s="1"/>
  <c r="C164" i="18" s="1"/>
  <c r="C75" i="18"/>
  <c r="D53" i="18"/>
  <c r="C54" i="18"/>
  <c r="C53" i="18"/>
  <c r="D46" i="18"/>
  <c r="F10" i="29"/>
  <c r="D20" i="29"/>
  <c r="E20" i="29"/>
  <c r="C78" i="18"/>
  <c r="C90" i="18"/>
  <c r="C102" i="18" s="1"/>
  <c r="C114" i="18" s="1"/>
  <c r="C126" i="18" s="1"/>
  <c r="C138" i="18" s="1"/>
  <c r="C150" i="18" s="1"/>
  <c r="C162" i="18" s="1"/>
  <c r="C186" i="18" s="1"/>
  <c r="C198" i="18" s="1"/>
  <c r="C210" i="18" s="1"/>
  <c r="D57" i="18"/>
  <c r="D81" i="18" s="1"/>
  <c r="D93" i="18" s="1"/>
  <c r="D105" i="18" s="1"/>
  <c r="D117" i="18" s="1"/>
  <c r="D129" i="18" s="1"/>
  <c r="D141" i="18" s="1"/>
  <c r="D153" i="18" s="1"/>
  <c r="C72" i="18"/>
  <c r="C3" i="29"/>
  <c r="E10" i="29"/>
  <c r="O13" i="18"/>
  <c r="C67" i="18"/>
  <c r="C79" i="18" s="1"/>
  <c r="D77" i="18"/>
  <c r="D89" i="18"/>
  <c r="D101" i="18" s="1"/>
  <c r="D113" i="18" s="1"/>
  <c r="D125" i="18" s="1"/>
  <c r="D137" i="18" s="1"/>
  <c r="D149" i="18" s="1"/>
  <c r="D161" i="18" s="1"/>
  <c r="D173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D56" i="18"/>
  <c r="D80" i="18" s="1"/>
  <c r="D92" i="18" s="1"/>
  <c r="D104" i="18" s="1"/>
  <c r="D116" i="18" s="1"/>
  <c r="D128" i="18" s="1"/>
  <c r="D140" i="18" s="1"/>
  <c r="D152" i="18" s="1"/>
  <c r="F24" i="29"/>
  <c r="I24" i="29" s="1"/>
  <c r="F30" i="29"/>
  <c r="I30" i="29" s="1"/>
  <c r="H34" i="29"/>
  <c r="F37" i="29"/>
  <c r="I37" i="29" s="1"/>
  <c r="G34" i="29"/>
  <c r="F27" i="29"/>
  <c r="I27" i="29" s="1"/>
  <c r="E34" i="29"/>
  <c r="H38" i="29"/>
  <c r="F35" i="29"/>
  <c r="D38" i="29"/>
  <c r="F25" i="29"/>
  <c r="I25" i="29" s="1"/>
  <c r="E38" i="29"/>
  <c r="G38" i="29"/>
  <c r="F36" i="29"/>
  <c r="I36" i="29" s="1"/>
  <c r="F26" i="29"/>
  <c r="I26" i="29" s="1"/>
  <c r="C180" i="18"/>
  <c r="C192" i="18" s="1"/>
  <c r="C204" i="18" s="1"/>
  <c r="C168" i="18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64" i="18"/>
  <c r="D52" i="18"/>
  <c r="D23" i="29"/>
  <c r="D28" i="29"/>
  <c r="D31" i="29"/>
  <c r="D29" i="29"/>
  <c r="D33" i="29"/>
  <c r="D32" i="29"/>
  <c r="D22" i="29"/>
  <c r="D21" i="29"/>
  <c r="F23" i="29" l="1"/>
  <c r="I23" i="29" s="1"/>
  <c r="F32" i="29"/>
  <c r="I32" i="29" s="1"/>
  <c r="F31" i="29"/>
  <c r="I31" i="29" s="1"/>
  <c r="F29" i="29"/>
  <c r="I29" i="29" s="1"/>
  <c r="F21" i="29"/>
  <c r="I21" i="29" s="1"/>
  <c r="D34" i="29"/>
  <c r="D39" i="29" s="1"/>
  <c r="F33" i="29"/>
  <c r="I33" i="29" s="1"/>
  <c r="F28" i="29"/>
  <c r="I28" i="29" s="1"/>
  <c r="F22" i="29"/>
  <c r="I22" i="29" s="1"/>
  <c r="D183" i="18"/>
  <c r="D195" i="18" s="1"/>
  <c r="D207" i="18" s="1"/>
  <c r="C91" i="18"/>
  <c r="C103" i="18" s="1"/>
  <c r="C115" i="18" s="1"/>
  <c r="C127" i="18" s="1"/>
  <c r="C139" i="18" s="1"/>
  <c r="C151" i="18" s="1"/>
  <c r="C163" i="18" s="1"/>
  <c r="C175" i="18" s="1"/>
  <c r="D75" i="18"/>
  <c r="C69" i="18"/>
  <c r="C174" i="18"/>
  <c r="D90" i="18"/>
  <c r="D102" i="18" s="1"/>
  <c r="D114" i="18" s="1"/>
  <c r="D126" i="18" s="1"/>
  <c r="D138" i="18" s="1"/>
  <c r="D150" i="18" s="1"/>
  <c r="D162" i="18" s="1"/>
  <c r="D174" i="18" s="1"/>
  <c r="C176" i="18"/>
  <c r="C188" i="18" s="1"/>
  <c r="C200" i="18" s="1"/>
  <c r="C177" i="18"/>
  <c r="C189" i="18" s="1"/>
  <c r="C201" i="18" s="1"/>
  <c r="C68" i="18"/>
  <c r="C88" i="18"/>
  <c r="C100" i="18" s="1"/>
  <c r="C112" i="18" s="1"/>
  <c r="C124" i="18" s="1"/>
  <c r="C136" i="18" s="1"/>
  <c r="C148" i="18" s="1"/>
  <c r="C160" i="18" s="1"/>
  <c r="C172" i="18" s="1"/>
  <c r="C85" i="18"/>
  <c r="C97" i="18" s="1"/>
  <c r="C109" i="18" s="1"/>
  <c r="C121" i="18" s="1"/>
  <c r="C133" i="18" s="1"/>
  <c r="C145" i="18" s="1"/>
  <c r="C157" i="18" s="1"/>
  <c r="C181" i="18" s="1"/>
  <c r="C193" i="18" s="1"/>
  <c r="C205" i="18" s="1"/>
  <c r="D84" i="18"/>
  <c r="D96" i="18" s="1"/>
  <c r="D108" i="18" s="1"/>
  <c r="D120" i="18" s="1"/>
  <c r="D132" i="18" s="1"/>
  <c r="D144" i="18" s="1"/>
  <c r="D156" i="18" s="1"/>
  <c r="D168" i="18" s="1"/>
  <c r="D69" i="18"/>
  <c r="D185" i="18"/>
  <c r="D197" i="18" s="1"/>
  <c r="D209" i="18" s="1"/>
  <c r="D68" i="18"/>
  <c r="D182" i="18"/>
  <c r="D194" i="18" s="1"/>
  <c r="D206" i="18" s="1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I35" i="29"/>
  <c r="F38" i="29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E39" i="29"/>
  <c r="D88" i="18"/>
  <c r="D100" i="18" s="1"/>
  <c r="D112" i="18" s="1"/>
  <c r="D124" i="18" s="1"/>
  <c r="D136" i="18" s="1"/>
  <c r="D148" i="18" s="1"/>
  <c r="D160" i="18" s="1"/>
  <c r="D76" i="18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H39" i="29"/>
  <c r="F34" i="29" l="1"/>
  <c r="F39" i="29" s="1"/>
  <c r="C187" i="18"/>
  <c r="C199" i="18" s="1"/>
  <c r="C211" i="18" s="1"/>
  <c r="C169" i="18"/>
  <c r="D186" i="18"/>
  <c r="D198" i="18" s="1"/>
  <c r="D210" i="18" s="1"/>
  <c r="C184" i="18"/>
  <c r="C196" i="18" s="1"/>
  <c r="C208" i="18" s="1"/>
  <c r="D180" i="18"/>
  <c r="D192" i="18" s="1"/>
  <c r="D204" i="18" s="1"/>
  <c r="Q13" i="18"/>
  <c r="Q14" i="18"/>
  <c r="C170" i="18"/>
  <c r="C182" i="18"/>
  <c r="C194" i="18" s="1"/>
  <c r="C206" i="18" s="1"/>
  <c r="C178" i="18"/>
  <c r="C190" i="18" s="1"/>
  <c r="C202" i="18" s="1"/>
  <c r="C166" i="18"/>
  <c r="I34" i="29"/>
  <c r="I38" i="29"/>
  <c r="C167" i="18"/>
  <c r="C179" i="18"/>
  <c r="C191" i="18" s="1"/>
  <c r="C203" i="18" s="1"/>
  <c r="D184" i="18"/>
  <c r="D196" i="18" s="1"/>
  <c r="D208" i="18" s="1"/>
  <c r="D172" i="18"/>
  <c r="I39" i="29" l="1"/>
  <c r="E11" i="29" l="1"/>
  <c r="H101" i="18" l="1"/>
  <c r="H119" i="18"/>
  <c r="H32" i="18"/>
  <c r="H146" i="18"/>
  <c r="H132" i="18"/>
  <c r="H79" i="18"/>
  <c r="H172" i="18"/>
  <c r="H157" i="18"/>
  <c r="H155" i="18"/>
  <c r="H84" i="18"/>
  <c r="H51" i="18"/>
  <c r="H78" i="18"/>
  <c r="H120" i="18"/>
  <c r="H21" i="18"/>
  <c r="H90" i="18"/>
  <c r="H109" i="18"/>
  <c r="H170" i="18"/>
  <c r="H81" i="18"/>
  <c r="H125" i="18"/>
  <c r="H166" i="18"/>
  <c r="H89" i="18"/>
  <c r="H67" i="18"/>
  <c r="H127" i="18"/>
  <c r="H123" i="18"/>
  <c r="H134" i="18"/>
  <c r="H162" i="18"/>
  <c r="H31" i="18"/>
  <c r="H167" i="18"/>
  <c r="H24" i="18"/>
  <c r="H154" i="18"/>
  <c r="H23" i="18"/>
  <c r="H211" i="18"/>
  <c r="H139" i="18"/>
  <c r="H70" i="18"/>
  <c r="H64" i="18"/>
  <c r="H104" i="18"/>
  <c r="H30" i="18"/>
  <c r="H177" i="18"/>
  <c r="H185" i="18"/>
  <c r="H44" i="18"/>
  <c r="H206" i="18"/>
  <c r="H148" i="18"/>
  <c r="H196" i="18"/>
  <c r="H204" i="18"/>
  <c r="H86" i="18"/>
  <c r="H201" i="18"/>
  <c r="H83" i="18"/>
  <c r="H158" i="18"/>
  <c r="H33" i="18"/>
  <c r="H191" i="18"/>
  <c r="H92" i="18"/>
  <c r="H87" i="18"/>
  <c r="H80" i="18"/>
  <c r="H114" i="18"/>
  <c r="H181" i="18"/>
  <c r="H47" i="18"/>
  <c r="H141" i="18"/>
  <c r="H95" i="18"/>
  <c r="H59" i="18"/>
  <c r="H133" i="18"/>
  <c r="H178" i="18"/>
  <c r="H96" i="18"/>
  <c r="H97" i="18"/>
  <c r="H192" i="18"/>
  <c r="H136" i="18"/>
  <c r="H203" i="18"/>
  <c r="H138" i="18"/>
  <c r="H145" i="18"/>
  <c r="H199" i="18"/>
  <c r="H153" i="18"/>
  <c r="H27" i="18"/>
  <c r="H66" i="18"/>
  <c r="H117" i="18"/>
  <c r="H116" i="18"/>
  <c r="H94" i="18"/>
  <c r="H137" i="18"/>
  <c r="H76" i="18"/>
  <c r="H180" i="18"/>
  <c r="H25" i="18"/>
  <c r="H26" i="18"/>
  <c r="H75" i="18"/>
  <c r="H71" i="18"/>
  <c r="H56" i="18"/>
  <c r="H205" i="18"/>
  <c r="H175" i="18"/>
  <c r="H115" i="18"/>
  <c r="H63" i="18"/>
  <c r="H168" i="18"/>
  <c r="H195" i="18"/>
  <c r="H151" i="18"/>
  <c r="H210" i="18"/>
  <c r="H143" i="18"/>
  <c r="H52" i="18"/>
  <c r="H142" i="18"/>
  <c r="H197" i="18"/>
  <c r="H20" i="18"/>
  <c r="H38" i="18"/>
  <c r="H173" i="18"/>
  <c r="H34" i="18"/>
  <c r="H55" i="18"/>
  <c r="H144" i="18"/>
  <c r="H37" i="18"/>
  <c r="H124" i="18"/>
  <c r="H174" i="18"/>
  <c r="H131" i="18"/>
  <c r="H190" i="18"/>
  <c r="H122" i="18"/>
  <c r="H77" i="18"/>
  <c r="H82" i="18"/>
  <c r="H28" i="18"/>
  <c r="H46" i="18"/>
  <c r="H169" i="18"/>
  <c r="H113" i="18"/>
  <c r="H171" i="18"/>
  <c r="H106" i="18"/>
  <c r="H209" i="18"/>
  <c r="H102" i="18"/>
  <c r="H126" i="18"/>
  <c r="H208" i="18"/>
  <c r="H88" i="18"/>
  <c r="H110" i="18"/>
  <c r="H35" i="18"/>
  <c r="H72" i="18"/>
  <c r="H65" i="18"/>
  <c r="H188" i="18"/>
  <c r="H164" i="18"/>
  <c r="H74" i="18"/>
  <c r="H135" i="18"/>
  <c r="H184" i="18"/>
  <c r="H187" i="18"/>
  <c r="H112" i="18"/>
  <c r="H183" i="18"/>
  <c r="H69" i="18"/>
  <c r="H91" i="18"/>
  <c r="H176" i="18"/>
  <c r="E13" i="29"/>
  <c r="H62" i="18"/>
  <c r="H182" i="18"/>
  <c r="H60" i="18"/>
  <c r="H152" i="18"/>
  <c r="H93" i="18"/>
  <c r="H42" i="18"/>
  <c r="H130" i="18"/>
  <c r="H128" i="18"/>
  <c r="H54" i="18"/>
  <c r="H179" i="18"/>
  <c r="H165" i="18"/>
  <c r="H50" i="18"/>
  <c r="H41" i="18"/>
  <c r="H85" i="18"/>
  <c r="H29" i="18"/>
  <c r="H107" i="18"/>
  <c r="H48" i="18"/>
  <c r="H40" i="18"/>
  <c r="H103" i="18"/>
  <c r="H53" i="18"/>
  <c r="H36" i="18"/>
  <c r="H161" i="18"/>
  <c r="H49" i="18"/>
  <c r="H200" i="18"/>
  <c r="H189" i="18"/>
  <c r="H150" i="18"/>
  <c r="H121" i="18"/>
  <c r="H22" i="18"/>
  <c r="H207" i="18"/>
  <c r="H160" i="18"/>
  <c r="H58" i="18"/>
  <c r="H105" i="18"/>
  <c r="H100" i="18"/>
  <c r="H147" i="18"/>
  <c r="H111" i="18"/>
  <c r="H163" i="18"/>
  <c r="H159" i="18"/>
  <c r="H140" i="18"/>
  <c r="H156" i="18"/>
  <c r="H61" i="18"/>
  <c r="H118" i="18"/>
  <c r="H129" i="18"/>
  <c r="H73" i="18"/>
  <c r="H149" i="18"/>
  <c r="H194" i="18"/>
  <c r="H43" i="18"/>
  <c r="H39" i="18"/>
  <c r="H57" i="18"/>
  <c r="H68" i="18"/>
  <c r="H193" i="18"/>
  <c r="H45" i="18"/>
  <c r="H108" i="18"/>
  <c r="H98" i="18"/>
  <c r="H186" i="18"/>
  <c r="H202" i="18"/>
  <c r="H198" i="18"/>
  <c r="H99" i="18"/>
  <c r="K96" i="18" l="1"/>
  <c r="K152" i="18"/>
  <c r="K41" i="18"/>
  <c r="K73" i="18"/>
  <c r="K113" i="18"/>
  <c r="K145" i="18"/>
  <c r="K169" i="18"/>
  <c r="K201" i="18"/>
  <c r="K98" i="18"/>
  <c r="K27" i="18"/>
  <c r="K35" i="18"/>
  <c r="K43" i="18"/>
  <c r="K51" i="18"/>
  <c r="K59" i="18"/>
  <c r="K67" i="18"/>
  <c r="K75" i="18"/>
  <c r="K83" i="18"/>
  <c r="K91" i="18"/>
  <c r="K99" i="18"/>
  <c r="K107" i="18"/>
  <c r="K115" i="18"/>
  <c r="K123" i="18"/>
  <c r="K131" i="18"/>
  <c r="K139" i="18"/>
  <c r="K147" i="18"/>
  <c r="K155" i="18"/>
  <c r="K163" i="18"/>
  <c r="K171" i="18"/>
  <c r="K179" i="18"/>
  <c r="K187" i="18"/>
  <c r="K195" i="18"/>
  <c r="K203" i="18"/>
  <c r="K211" i="18"/>
  <c r="K24" i="18"/>
  <c r="K64" i="18"/>
  <c r="K88" i="18"/>
  <c r="K128" i="18"/>
  <c r="K160" i="18"/>
  <c r="K200" i="18"/>
  <c r="K25" i="18"/>
  <c r="K49" i="18"/>
  <c r="K81" i="18"/>
  <c r="K121" i="18"/>
  <c r="K177" i="18"/>
  <c r="K193" i="18"/>
  <c r="K42" i="18"/>
  <c r="K106" i="18"/>
  <c r="K146" i="18"/>
  <c r="K170" i="18"/>
  <c r="K194" i="18"/>
  <c r="K28" i="18"/>
  <c r="K36" i="18"/>
  <c r="K44" i="18"/>
  <c r="K52" i="18"/>
  <c r="K60" i="18"/>
  <c r="K68" i="18"/>
  <c r="K76" i="18"/>
  <c r="K84" i="18"/>
  <c r="K92" i="18"/>
  <c r="K100" i="18"/>
  <c r="K108" i="18"/>
  <c r="K116" i="18"/>
  <c r="K124" i="18"/>
  <c r="K132" i="18"/>
  <c r="K140" i="18"/>
  <c r="K148" i="18"/>
  <c r="K156" i="18"/>
  <c r="K164" i="18"/>
  <c r="K172" i="18"/>
  <c r="K180" i="18"/>
  <c r="K188" i="18"/>
  <c r="K196" i="18"/>
  <c r="K204" i="18"/>
  <c r="K32" i="18"/>
  <c r="K72" i="18"/>
  <c r="K120" i="18"/>
  <c r="K168" i="18"/>
  <c r="K184" i="18"/>
  <c r="K105" i="18"/>
  <c r="K34" i="18"/>
  <c r="K66" i="18"/>
  <c r="K82" i="18"/>
  <c r="K122" i="18"/>
  <c r="K154" i="18"/>
  <c r="K202" i="18"/>
  <c r="K21" i="18"/>
  <c r="K29" i="18"/>
  <c r="K37" i="18"/>
  <c r="K45" i="18"/>
  <c r="K53" i="18"/>
  <c r="K61" i="18"/>
  <c r="K69" i="18"/>
  <c r="K77" i="18"/>
  <c r="K85" i="18"/>
  <c r="K93" i="18"/>
  <c r="K101" i="18"/>
  <c r="K109" i="18"/>
  <c r="K117" i="18"/>
  <c r="K125" i="18"/>
  <c r="K133" i="18"/>
  <c r="K141" i="18"/>
  <c r="K149" i="18"/>
  <c r="K157" i="18"/>
  <c r="K165" i="18"/>
  <c r="K173" i="18"/>
  <c r="K181" i="18"/>
  <c r="K189" i="18"/>
  <c r="K197" i="18"/>
  <c r="K205" i="18"/>
  <c r="K48" i="18"/>
  <c r="K80" i="18"/>
  <c r="K112" i="18"/>
  <c r="K136" i="18"/>
  <c r="K176" i="18"/>
  <c r="K208" i="18"/>
  <c r="K57" i="18"/>
  <c r="K97" i="18"/>
  <c r="K137" i="18"/>
  <c r="K161" i="18"/>
  <c r="K209" i="18"/>
  <c r="K58" i="18"/>
  <c r="K114" i="18"/>
  <c r="K138" i="18"/>
  <c r="K178" i="18"/>
  <c r="K210" i="18"/>
  <c r="K22" i="18"/>
  <c r="K30" i="18"/>
  <c r="K38" i="18"/>
  <c r="K46" i="18"/>
  <c r="K54" i="18"/>
  <c r="K62" i="18"/>
  <c r="K70" i="18"/>
  <c r="K78" i="18"/>
  <c r="K86" i="18"/>
  <c r="K94" i="18"/>
  <c r="K102" i="18"/>
  <c r="K110" i="18"/>
  <c r="K118" i="18"/>
  <c r="K126" i="18"/>
  <c r="K134" i="18"/>
  <c r="K142" i="18"/>
  <c r="K150" i="18"/>
  <c r="K158" i="18"/>
  <c r="K166" i="18"/>
  <c r="K174" i="18"/>
  <c r="K182" i="18"/>
  <c r="K190" i="18"/>
  <c r="K198" i="18"/>
  <c r="K206" i="18"/>
  <c r="K56" i="18"/>
  <c r="K104" i="18"/>
  <c r="K144" i="18"/>
  <c r="K192" i="18"/>
  <c r="K33" i="18"/>
  <c r="K65" i="18"/>
  <c r="K89" i="18"/>
  <c r="K129" i="18"/>
  <c r="K153" i="18"/>
  <c r="K185" i="18"/>
  <c r="K26" i="18"/>
  <c r="K50" i="18"/>
  <c r="K74" i="18"/>
  <c r="K90" i="18"/>
  <c r="K130" i="18"/>
  <c r="K162" i="18"/>
  <c r="K186" i="18"/>
  <c r="K23" i="18"/>
  <c r="K31" i="18"/>
  <c r="K39" i="18"/>
  <c r="K47" i="18"/>
  <c r="K55" i="18"/>
  <c r="K63" i="18"/>
  <c r="K71" i="18"/>
  <c r="K79" i="18"/>
  <c r="K87" i="18"/>
  <c r="K95" i="18"/>
  <c r="K103" i="18"/>
  <c r="K111" i="18"/>
  <c r="K119" i="18"/>
  <c r="K127" i="18"/>
  <c r="K135" i="18"/>
  <c r="K143" i="18"/>
  <c r="K151" i="18"/>
  <c r="K159" i="18"/>
  <c r="K167" i="18"/>
  <c r="K175" i="18"/>
  <c r="K183" i="18"/>
  <c r="K191" i="18"/>
  <c r="K199" i="18"/>
  <c r="K207" i="18"/>
  <c r="K40" i="18"/>
  <c r="G212" i="18" l="1"/>
  <c r="K20" i="18"/>
  <c r="K14" i="18" s="1"/>
  <c r="K13" i="18"/>
  <c r="K212" i="18" l="1"/>
  <c r="F12" i="29" l="1"/>
  <c r="I155" i="18" l="1"/>
  <c r="J155" i="18" s="1"/>
  <c r="L155" i="18" s="1"/>
  <c r="I26" i="18"/>
  <c r="J26" i="18" s="1"/>
  <c r="L26" i="18" s="1"/>
  <c r="I44" i="18"/>
  <c r="J44" i="18" s="1"/>
  <c r="L44" i="18" s="1"/>
  <c r="I211" i="18"/>
  <c r="J211" i="18" s="1"/>
  <c r="L211" i="18" s="1"/>
  <c r="I120" i="18"/>
  <c r="J120" i="18" s="1"/>
  <c r="L120" i="18" s="1"/>
  <c r="I78" i="18"/>
  <c r="J78" i="18" s="1"/>
  <c r="L78" i="18" s="1"/>
  <c r="I29" i="18"/>
  <c r="J29" i="18" s="1"/>
  <c r="L29" i="18" s="1"/>
  <c r="I144" i="18"/>
  <c r="J144" i="18" s="1"/>
  <c r="L144" i="18" s="1"/>
  <c r="I68" i="18"/>
  <c r="J68" i="18" s="1"/>
  <c r="L68" i="18" s="1"/>
  <c r="I76" i="18"/>
  <c r="J76" i="18" s="1"/>
  <c r="L76" i="18" s="1"/>
  <c r="I177" i="18"/>
  <c r="J177" i="18" s="1"/>
  <c r="L177" i="18" s="1"/>
  <c r="I178" i="18"/>
  <c r="J178" i="18" s="1"/>
  <c r="L178" i="18" s="1"/>
  <c r="I30" i="18"/>
  <c r="J30" i="18" s="1"/>
  <c r="L30" i="18" s="1"/>
  <c r="I160" i="18"/>
  <c r="J160" i="18" s="1"/>
  <c r="L160" i="18" s="1"/>
  <c r="I67" i="18"/>
  <c r="J67" i="18" s="1"/>
  <c r="L67" i="18" s="1"/>
  <c r="I102" i="18"/>
  <c r="J102" i="18" s="1"/>
  <c r="L102" i="18" s="1"/>
  <c r="I107" i="18"/>
  <c r="J107" i="18" s="1"/>
  <c r="L107" i="18" s="1"/>
  <c r="I103" i="18"/>
  <c r="J103" i="18" s="1"/>
  <c r="L103" i="18" s="1"/>
  <c r="I114" i="18"/>
  <c r="J114" i="18" s="1"/>
  <c r="L114" i="18" s="1"/>
  <c r="I95" i="18"/>
  <c r="J95" i="18" s="1"/>
  <c r="L95" i="18" s="1"/>
  <c r="I59" i="18"/>
  <c r="J59" i="18" s="1"/>
  <c r="L59" i="18" s="1"/>
  <c r="I128" i="18"/>
  <c r="J128" i="18" s="1"/>
  <c r="L128" i="18" s="1"/>
  <c r="I207" i="18"/>
  <c r="J207" i="18" s="1"/>
  <c r="L207" i="18" s="1"/>
  <c r="I71" i="18"/>
  <c r="J71" i="18" s="1"/>
  <c r="L71" i="18" s="1"/>
  <c r="I162" i="18"/>
  <c r="J162" i="18" s="1"/>
  <c r="L162" i="18" s="1"/>
  <c r="I145" i="18"/>
  <c r="J145" i="18" s="1"/>
  <c r="L145" i="18" s="1"/>
  <c r="I91" i="18"/>
  <c r="J91" i="18" s="1"/>
  <c r="L91" i="18" s="1"/>
  <c r="I189" i="18"/>
  <c r="J189" i="18" s="1"/>
  <c r="L189" i="18" s="1"/>
  <c r="I34" i="18"/>
  <c r="J34" i="18" s="1"/>
  <c r="L34" i="18" s="1"/>
  <c r="I90" i="18"/>
  <c r="J90" i="18" s="1"/>
  <c r="L90" i="18" s="1"/>
  <c r="I109" i="18"/>
  <c r="J109" i="18" s="1"/>
  <c r="L109" i="18" s="1"/>
  <c r="I141" i="18"/>
  <c r="J141" i="18" s="1"/>
  <c r="L141" i="18" s="1"/>
  <c r="I92" i="18"/>
  <c r="J92" i="18" s="1"/>
  <c r="L92" i="18" s="1"/>
  <c r="I151" i="18"/>
  <c r="J151" i="18" s="1"/>
  <c r="L151" i="18" s="1"/>
  <c r="I35" i="18"/>
  <c r="J35" i="18" s="1"/>
  <c r="L35" i="18" s="1"/>
  <c r="I188" i="18"/>
  <c r="J188" i="18" s="1"/>
  <c r="L188" i="18" s="1"/>
  <c r="I113" i="18"/>
  <c r="J113" i="18" s="1"/>
  <c r="L113" i="18" s="1"/>
  <c r="I161" i="18"/>
  <c r="J161" i="18" s="1"/>
  <c r="L161" i="18" s="1"/>
  <c r="I134" i="18"/>
  <c r="J134" i="18" s="1"/>
  <c r="L134" i="18" s="1"/>
  <c r="I194" i="18"/>
  <c r="J194" i="18" s="1"/>
  <c r="L194" i="18" s="1"/>
  <c r="I132" i="18"/>
  <c r="J132" i="18" s="1"/>
  <c r="L132" i="18" s="1"/>
  <c r="I192" i="18"/>
  <c r="J192" i="18" s="1"/>
  <c r="L192" i="18" s="1"/>
  <c r="I198" i="18"/>
  <c r="J198" i="18" s="1"/>
  <c r="L198" i="18" s="1"/>
  <c r="I110" i="18"/>
  <c r="J110" i="18" s="1"/>
  <c r="L110" i="18" s="1"/>
  <c r="I82" i="18"/>
  <c r="J82" i="18" s="1"/>
  <c r="L82" i="18" s="1"/>
  <c r="I93" i="18"/>
  <c r="J93" i="18" s="1"/>
  <c r="L93" i="18" s="1"/>
  <c r="I28" i="18"/>
  <c r="J28" i="18" s="1"/>
  <c r="L28" i="18" s="1"/>
  <c r="I123" i="18"/>
  <c r="J123" i="18" s="1"/>
  <c r="L123" i="18" s="1"/>
  <c r="I23" i="18"/>
  <c r="J23" i="18" s="1"/>
  <c r="L23" i="18" s="1"/>
  <c r="I63" i="18"/>
  <c r="J63" i="18" s="1"/>
  <c r="L63" i="18" s="1"/>
  <c r="I111" i="18"/>
  <c r="J111" i="18" s="1"/>
  <c r="L111" i="18" s="1"/>
  <c r="I36" i="18"/>
  <c r="J36" i="18" s="1"/>
  <c r="L36" i="18" s="1"/>
  <c r="I55" i="18"/>
  <c r="J55" i="18" s="1"/>
  <c r="L55" i="18" s="1"/>
  <c r="I203" i="18"/>
  <c r="J203" i="18" s="1"/>
  <c r="L203" i="18" s="1"/>
  <c r="I85" i="18"/>
  <c r="J85" i="18" s="1"/>
  <c r="L85" i="18" s="1"/>
  <c r="I172" i="18"/>
  <c r="J172" i="18" s="1"/>
  <c r="L172" i="18" s="1"/>
  <c r="I83" i="18"/>
  <c r="J83" i="18" s="1"/>
  <c r="L83" i="18" s="1"/>
  <c r="I62" i="18"/>
  <c r="J62" i="18" s="1"/>
  <c r="L62" i="18" s="1"/>
  <c r="I39" i="18"/>
  <c r="J39" i="18" s="1"/>
  <c r="L39" i="18" s="1"/>
  <c r="I38" i="18"/>
  <c r="J38" i="18" s="1"/>
  <c r="L38" i="18" s="1"/>
  <c r="I176" i="18"/>
  <c r="J176" i="18" s="1"/>
  <c r="L176" i="18" s="1"/>
  <c r="I197" i="18"/>
  <c r="J197" i="18" s="1"/>
  <c r="L197" i="18" s="1"/>
  <c r="F14" i="29"/>
  <c r="I199" i="18"/>
  <c r="J199" i="18" s="1"/>
  <c r="L199" i="18" s="1"/>
  <c r="I168" i="18"/>
  <c r="J168" i="18" s="1"/>
  <c r="L168" i="18" s="1"/>
  <c r="I80" i="18"/>
  <c r="J80" i="18" s="1"/>
  <c r="L80" i="18" s="1"/>
  <c r="I202" i="18"/>
  <c r="J202" i="18" s="1"/>
  <c r="L202" i="18" s="1"/>
  <c r="I53" i="18"/>
  <c r="J53" i="18" s="1"/>
  <c r="L53" i="18" s="1"/>
  <c r="I94" i="18"/>
  <c r="J94" i="18" s="1"/>
  <c r="L94" i="18" s="1"/>
  <c r="I209" i="18"/>
  <c r="J209" i="18" s="1"/>
  <c r="L209" i="18" s="1"/>
  <c r="I88" i="18"/>
  <c r="J88" i="18" s="1"/>
  <c r="L88" i="18" s="1"/>
  <c r="I57" i="18"/>
  <c r="J57" i="18" s="1"/>
  <c r="L57" i="18" s="1"/>
  <c r="I72" i="18"/>
  <c r="J72" i="18" s="1"/>
  <c r="L72" i="18" s="1"/>
  <c r="I206" i="18"/>
  <c r="J206" i="18" s="1"/>
  <c r="L206" i="18" s="1"/>
  <c r="I142" i="18"/>
  <c r="J142" i="18" s="1"/>
  <c r="L142" i="18" s="1"/>
  <c r="I97" i="18"/>
  <c r="J97" i="18" s="1"/>
  <c r="L97" i="18" s="1"/>
  <c r="I187" i="18"/>
  <c r="J187" i="18" s="1"/>
  <c r="L187" i="18" s="1"/>
  <c r="I174" i="18"/>
  <c r="J174" i="18" s="1"/>
  <c r="L174" i="18" s="1"/>
  <c r="I20" i="18"/>
  <c r="J20" i="18" s="1"/>
  <c r="I184" i="18"/>
  <c r="J184" i="18" s="1"/>
  <c r="L184" i="18" s="1"/>
  <c r="I121" i="18"/>
  <c r="J121" i="18" s="1"/>
  <c r="L121" i="18" s="1"/>
  <c r="I84" i="18"/>
  <c r="J84" i="18" s="1"/>
  <c r="L84" i="18" s="1"/>
  <c r="I149" i="18"/>
  <c r="J149" i="18" s="1"/>
  <c r="L149" i="18" s="1"/>
  <c r="I148" i="18"/>
  <c r="J148" i="18" s="1"/>
  <c r="L148" i="18" s="1"/>
  <c r="I37" i="18"/>
  <c r="J37" i="18" s="1"/>
  <c r="L37" i="18" s="1"/>
  <c r="I21" i="18"/>
  <c r="J21" i="18" s="1"/>
  <c r="L21" i="18" s="1"/>
  <c r="I42" i="18"/>
  <c r="J42" i="18" s="1"/>
  <c r="L42" i="18" s="1"/>
  <c r="I190" i="18"/>
  <c r="J190" i="18" s="1"/>
  <c r="L190" i="18" s="1"/>
  <c r="I166" i="18"/>
  <c r="J166" i="18" s="1"/>
  <c r="L166" i="18" s="1"/>
  <c r="I45" i="18"/>
  <c r="J45" i="18" s="1"/>
  <c r="L45" i="18" s="1"/>
  <c r="I47" i="18"/>
  <c r="J47" i="18" s="1"/>
  <c r="L47" i="18" s="1"/>
  <c r="I122" i="18"/>
  <c r="J122" i="18" s="1"/>
  <c r="L122" i="18" s="1"/>
  <c r="I173" i="18"/>
  <c r="J173" i="18" s="1"/>
  <c r="L173" i="18" s="1"/>
  <c r="I64" i="18"/>
  <c r="J64" i="18" s="1"/>
  <c r="L64" i="18" s="1"/>
  <c r="I43" i="18"/>
  <c r="J43" i="18" s="1"/>
  <c r="L43" i="18" s="1"/>
  <c r="I108" i="18"/>
  <c r="J108" i="18" s="1"/>
  <c r="L108" i="18" s="1"/>
  <c r="I96" i="18"/>
  <c r="J96" i="18" s="1"/>
  <c r="L96" i="18" s="1"/>
  <c r="I119" i="18"/>
  <c r="J119" i="18" s="1"/>
  <c r="L119" i="18" s="1"/>
  <c r="I73" i="18"/>
  <c r="J73" i="18" s="1"/>
  <c r="L73" i="18" s="1"/>
  <c r="I196" i="18"/>
  <c r="J196" i="18" s="1"/>
  <c r="L196" i="18" s="1"/>
  <c r="I89" i="18"/>
  <c r="J89" i="18" s="1"/>
  <c r="L89" i="18" s="1"/>
  <c r="I137" i="18"/>
  <c r="J137" i="18" s="1"/>
  <c r="L137" i="18" s="1"/>
  <c r="I69" i="18"/>
  <c r="J69" i="18" s="1"/>
  <c r="L69" i="18" s="1"/>
  <c r="I75" i="18"/>
  <c r="J75" i="18" s="1"/>
  <c r="L75" i="18" s="1"/>
  <c r="I48" i="18"/>
  <c r="J48" i="18" s="1"/>
  <c r="L48" i="18" s="1"/>
  <c r="I158" i="18"/>
  <c r="J158" i="18" s="1"/>
  <c r="L158" i="18" s="1"/>
  <c r="I22" i="18"/>
  <c r="J22" i="18" s="1"/>
  <c r="L22" i="18" s="1"/>
  <c r="I54" i="18"/>
  <c r="J54" i="18" s="1"/>
  <c r="L54" i="18" s="1"/>
  <c r="I133" i="18"/>
  <c r="J133" i="18" s="1"/>
  <c r="L133" i="18" s="1"/>
  <c r="I87" i="18"/>
  <c r="J87" i="18" s="1"/>
  <c r="L87" i="18" s="1"/>
  <c r="I210" i="18"/>
  <c r="J210" i="18" s="1"/>
  <c r="L210" i="18" s="1"/>
  <c r="I179" i="18"/>
  <c r="J179" i="18" s="1"/>
  <c r="L179" i="18" s="1"/>
  <c r="I81" i="18"/>
  <c r="J81" i="18" s="1"/>
  <c r="L81" i="18" s="1"/>
  <c r="I139" i="18"/>
  <c r="J139" i="18" s="1"/>
  <c r="L139" i="18" s="1"/>
  <c r="I143" i="18"/>
  <c r="J143" i="18" s="1"/>
  <c r="L143" i="18" s="1"/>
  <c r="I27" i="18"/>
  <c r="J27" i="18" s="1"/>
  <c r="L27" i="18" s="1"/>
  <c r="I60" i="18"/>
  <c r="J60" i="18" s="1"/>
  <c r="L60" i="18" s="1"/>
  <c r="I146" i="18"/>
  <c r="J146" i="18" s="1"/>
  <c r="L146" i="18" s="1"/>
  <c r="I99" i="18"/>
  <c r="J99" i="18" s="1"/>
  <c r="L99" i="18" s="1"/>
  <c r="I147" i="18"/>
  <c r="J147" i="18" s="1"/>
  <c r="L147" i="18" s="1"/>
  <c r="I106" i="18"/>
  <c r="J106" i="18" s="1"/>
  <c r="L106" i="18" s="1"/>
  <c r="I32" i="18"/>
  <c r="J32" i="18" s="1"/>
  <c r="L32" i="18" s="1"/>
  <c r="I140" i="18"/>
  <c r="J140" i="18" s="1"/>
  <c r="L140" i="18" s="1"/>
  <c r="I152" i="18"/>
  <c r="J152" i="18" s="1"/>
  <c r="L152" i="18" s="1"/>
  <c r="I24" i="18"/>
  <c r="J24" i="18" s="1"/>
  <c r="L24" i="18" s="1"/>
  <c r="I118" i="18"/>
  <c r="J118" i="18" s="1"/>
  <c r="L118" i="18" s="1"/>
  <c r="I116" i="18"/>
  <c r="J116" i="18" s="1"/>
  <c r="L116" i="18" s="1"/>
  <c r="I41" i="18"/>
  <c r="J41" i="18" s="1"/>
  <c r="L41" i="18" s="1"/>
  <c r="I170" i="18"/>
  <c r="J170" i="18" s="1"/>
  <c r="L170" i="18" s="1"/>
  <c r="I100" i="18"/>
  <c r="J100" i="18" s="1"/>
  <c r="L100" i="18" s="1"/>
  <c r="I40" i="18"/>
  <c r="J40" i="18" s="1"/>
  <c r="L40" i="18" s="1"/>
  <c r="I186" i="18"/>
  <c r="J186" i="18" s="1"/>
  <c r="L186" i="18" s="1"/>
  <c r="I50" i="18"/>
  <c r="J50" i="18" s="1"/>
  <c r="L50" i="18" s="1"/>
  <c r="I105" i="18"/>
  <c r="J105" i="18" s="1"/>
  <c r="L105" i="18" s="1"/>
  <c r="I25" i="18"/>
  <c r="J25" i="18" s="1"/>
  <c r="L25" i="18" s="1"/>
  <c r="I115" i="18"/>
  <c r="J115" i="18" s="1"/>
  <c r="L115" i="18" s="1"/>
  <c r="I74" i="18"/>
  <c r="J74" i="18" s="1"/>
  <c r="L74" i="18" s="1"/>
  <c r="I124" i="18"/>
  <c r="J124" i="18" s="1"/>
  <c r="L124" i="18" s="1"/>
  <c r="I200" i="18"/>
  <c r="J200" i="18" s="1"/>
  <c r="L200" i="18" s="1"/>
  <c r="I49" i="18"/>
  <c r="J49" i="18" s="1"/>
  <c r="L49" i="18" s="1"/>
  <c r="I193" i="18"/>
  <c r="J193" i="18" s="1"/>
  <c r="L193" i="18" s="1"/>
  <c r="I204" i="18"/>
  <c r="J204" i="18" s="1"/>
  <c r="L204" i="18" s="1"/>
  <c r="I165" i="18"/>
  <c r="J165" i="18" s="1"/>
  <c r="L165" i="18" s="1"/>
  <c r="I208" i="18"/>
  <c r="J208" i="18" s="1"/>
  <c r="L208" i="18" s="1"/>
  <c r="I171" i="18"/>
  <c r="J171" i="18" s="1"/>
  <c r="L171" i="18" s="1"/>
  <c r="I131" i="18"/>
  <c r="J131" i="18" s="1"/>
  <c r="L131" i="18" s="1"/>
  <c r="I130" i="18"/>
  <c r="J130" i="18" s="1"/>
  <c r="L130" i="18" s="1"/>
  <c r="I167" i="18"/>
  <c r="J167" i="18" s="1"/>
  <c r="L167" i="18" s="1"/>
  <c r="I129" i="18"/>
  <c r="J129" i="18" s="1"/>
  <c r="L129" i="18" s="1"/>
  <c r="I175" i="18"/>
  <c r="J175" i="18" s="1"/>
  <c r="L175" i="18" s="1"/>
  <c r="I135" i="18"/>
  <c r="J135" i="18" s="1"/>
  <c r="L135" i="18" s="1"/>
  <c r="I183" i="18"/>
  <c r="J183" i="18" s="1"/>
  <c r="L183" i="18" s="1"/>
  <c r="I126" i="18"/>
  <c r="J126" i="18" s="1"/>
  <c r="L126" i="18" s="1"/>
  <c r="I125" i="18"/>
  <c r="J125" i="18" s="1"/>
  <c r="L125" i="18" s="1"/>
  <c r="I79" i="18"/>
  <c r="J79" i="18" s="1"/>
  <c r="L79" i="18" s="1"/>
  <c r="I156" i="18"/>
  <c r="J156" i="18" s="1"/>
  <c r="L156" i="18" s="1"/>
  <c r="I52" i="18"/>
  <c r="J52" i="18" s="1"/>
  <c r="L52" i="18" s="1"/>
  <c r="I65" i="18"/>
  <c r="J65" i="18" s="1"/>
  <c r="L65" i="18" s="1"/>
  <c r="I46" i="18"/>
  <c r="J46" i="18" s="1"/>
  <c r="L46" i="18" s="1"/>
  <c r="I58" i="18"/>
  <c r="J58" i="18" s="1"/>
  <c r="L58" i="18" s="1"/>
  <c r="I154" i="18"/>
  <c r="J154" i="18" s="1"/>
  <c r="L154" i="18" s="1"/>
  <c r="I195" i="18"/>
  <c r="J195" i="18" s="1"/>
  <c r="L195" i="18" s="1"/>
  <c r="I180" i="18"/>
  <c r="J180" i="18" s="1"/>
  <c r="L180" i="18" s="1"/>
  <c r="I56" i="18"/>
  <c r="J56" i="18" s="1"/>
  <c r="I86" i="18"/>
  <c r="J86" i="18" s="1"/>
  <c r="L86" i="18" s="1"/>
  <c r="I164" i="18"/>
  <c r="J164" i="18" s="1"/>
  <c r="L164" i="18" s="1"/>
  <c r="I98" i="18"/>
  <c r="J98" i="18" s="1"/>
  <c r="L98" i="18" s="1"/>
  <c r="I169" i="18"/>
  <c r="J169" i="18" s="1"/>
  <c r="L169" i="18" s="1"/>
  <c r="I201" i="18"/>
  <c r="J201" i="18" s="1"/>
  <c r="L201" i="18" s="1"/>
  <c r="I127" i="18"/>
  <c r="J127" i="18" s="1"/>
  <c r="L127" i="18" s="1"/>
  <c r="I51" i="18"/>
  <c r="J51" i="18" s="1"/>
  <c r="L51" i="18" s="1"/>
  <c r="I205" i="18"/>
  <c r="J205" i="18" s="1"/>
  <c r="L205" i="18" s="1"/>
  <c r="I138" i="18"/>
  <c r="J138" i="18" s="1"/>
  <c r="L138" i="18" s="1"/>
  <c r="I181" i="18"/>
  <c r="J181" i="18" s="1"/>
  <c r="L181" i="18" s="1"/>
  <c r="I185" i="18"/>
  <c r="J185" i="18" s="1"/>
  <c r="L185" i="18" s="1"/>
  <c r="I153" i="18"/>
  <c r="J153" i="18" s="1"/>
  <c r="L153" i="18" s="1"/>
  <c r="I77" i="18"/>
  <c r="J77" i="18" s="1"/>
  <c r="L77" i="18" s="1"/>
  <c r="I150" i="18"/>
  <c r="J150" i="18" s="1"/>
  <c r="L150" i="18" s="1"/>
  <c r="I163" i="18"/>
  <c r="J163" i="18" s="1"/>
  <c r="L163" i="18" s="1"/>
  <c r="I70" i="18"/>
  <c r="J70" i="18" s="1"/>
  <c r="L70" i="18" s="1"/>
  <c r="I101" i="18"/>
  <c r="J101" i="18" s="1"/>
  <c r="L101" i="18" s="1"/>
  <c r="I117" i="18"/>
  <c r="J117" i="18" s="1"/>
  <c r="L117" i="18" s="1"/>
  <c r="I31" i="18"/>
  <c r="J31" i="18" s="1"/>
  <c r="L31" i="18" s="1"/>
  <c r="I182" i="18"/>
  <c r="J182" i="18" s="1"/>
  <c r="L182" i="18" s="1"/>
  <c r="I159" i="18"/>
  <c r="J159" i="18" s="1"/>
  <c r="L159" i="18" s="1"/>
  <c r="I191" i="18"/>
  <c r="J191" i="18" s="1"/>
  <c r="L191" i="18" s="1"/>
  <c r="I104" i="18"/>
  <c r="J104" i="18" s="1"/>
  <c r="L104" i="18" s="1"/>
  <c r="I66" i="18"/>
  <c r="J66" i="18" s="1"/>
  <c r="L66" i="18" s="1"/>
  <c r="I33" i="18"/>
  <c r="J33" i="18" s="1"/>
  <c r="L33" i="18" s="1"/>
  <c r="I136" i="18"/>
  <c r="J136" i="18" s="1"/>
  <c r="L136" i="18" s="1"/>
  <c r="I112" i="18"/>
  <c r="J112" i="18" s="1"/>
  <c r="L112" i="18" s="1"/>
  <c r="I157" i="18"/>
  <c r="J157" i="18" s="1"/>
  <c r="L157" i="18" s="1"/>
  <c r="I61" i="18"/>
  <c r="J61" i="18" s="1"/>
  <c r="L61" i="18" s="1"/>
  <c r="L56" i="18" l="1"/>
  <c r="J13" i="18"/>
  <c r="J14" i="18"/>
  <c r="L20" i="18"/>
  <c r="J212" i="18"/>
  <c r="L14" i="18" l="1"/>
  <c r="L212" i="18"/>
  <c r="L13" i="18"/>
  <c r="M124" i="18" l="1"/>
  <c r="N124" i="18" s="1"/>
  <c r="R124" i="18" s="1"/>
  <c r="M161" i="18"/>
  <c r="N161" i="18" s="1"/>
  <c r="R161" i="18" s="1"/>
  <c r="M160" i="18"/>
  <c r="N160" i="18" s="1"/>
  <c r="R160" i="18" s="1"/>
  <c r="M78" i="18"/>
  <c r="N78" i="18" s="1"/>
  <c r="R78" i="18" s="1"/>
  <c r="M115" i="18"/>
  <c r="N115" i="18" s="1"/>
  <c r="R115" i="18" s="1"/>
  <c r="M54" i="18"/>
  <c r="N54" i="18" s="1"/>
  <c r="R54" i="18" s="1"/>
  <c r="M61" i="18"/>
  <c r="N61" i="18" s="1"/>
  <c r="R61" i="18" s="1"/>
  <c r="M158" i="18"/>
  <c r="N158" i="18" s="1"/>
  <c r="R158" i="18" s="1"/>
  <c r="M58" i="18"/>
  <c r="N58" i="18" s="1"/>
  <c r="R58" i="18" s="1"/>
  <c r="M123" i="18"/>
  <c r="N123" i="18" s="1"/>
  <c r="R123" i="18" s="1"/>
  <c r="M104" i="18"/>
  <c r="N104" i="18" s="1"/>
  <c r="R104" i="18" s="1"/>
  <c r="M92" i="18"/>
  <c r="N92" i="18" s="1"/>
  <c r="R92" i="18" s="1"/>
  <c r="M33" i="18"/>
  <c r="N33" i="18" s="1"/>
  <c r="R33" i="18" s="1"/>
  <c r="M31" i="18"/>
  <c r="N31" i="18" s="1"/>
  <c r="R31" i="18" s="1"/>
  <c r="M71" i="18"/>
  <c r="N71" i="18" s="1"/>
  <c r="R71" i="18" s="1"/>
  <c r="M83" i="18"/>
  <c r="N83" i="18" s="1"/>
  <c r="R83" i="18" s="1"/>
  <c r="M136" i="18"/>
  <c r="N136" i="18" s="1"/>
  <c r="R136" i="18" s="1"/>
  <c r="M201" i="18"/>
  <c r="N201" i="18" s="1"/>
  <c r="R201" i="18" s="1"/>
  <c r="M122" i="18"/>
  <c r="N122" i="18" s="1"/>
  <c r="R122" i="18" s="1"/>
  <c r="M87" i="18"/>
  <c r="N87" i="18" s="1"/>
  <c r="R87" i="18" s="1"/>
  <c r="M189" i="18"/>
  <c r="N189" i="18" s="1"/>
  <c r="R189" i="18" s="1"/>
  <c r="M79" i="18"/>
  <c r="N79" i="18" s="1"/>
  <c r="R79" i="18" s="1"/>
  <c r="M120" i="18"/>
  <c r="N120" i="18" s="1"/>
  <c r="R120" i="18" s="1"/>
  <c r="M108" i="18"/>
  <c r="N108" i="18" s="1"/>
  <c r="R108" i="18" s="1"/>
  <c r="M60" i="18"/>
  <c r="N60" i="18" s="1"/>
  <c r="R60" i="18" s="1"/>
  <c r="M39" i="18"/>
  <c r="N39" i="18" s="1"/>
  <c r="R39" i="18" s="1"/>
  <c r="M140" i="18"/>
  <c r="N140" i="18" s="1"/>
  <c r="R140" i="18" s="1"/>
  <c r="M197" i="18"/>
  <c r="N197" i="18" s="1"/>
  <c r="R197" i="18" s="1"/>
  <c r="M180" i="18"/>
  <c r="N180" i="18" s="1"/>
  <c r="R180" i="18" s="1"/>
  <c r="M175" i="18"/>
  <c r="N175" i="18" s="1"/>
  <c r="R175" i="18" s="1"/>
  <c r="M188" i="18"/>
  <c r="N188" i="18" s="1"/>
  <c r="R188" i="18" s="1"/>
  <c r="M146" i="18"/>
  <c r="N146" i="18" s="1"/>
  <c r="R146" i="18" s="1"/>
  <c r="M143" i="18"/>
  <c r="N143" i="18" s="1"/>
  <c r="R143" i="18" s="1"/>
  <c r="M119" i="18"/>
  <c r="N119" i="18" s="1"/>
  <c r="R119" i="18" s="1"/>
  <c r="M206" i="18"/>
  <c r="N206" i="18" s="1"/>
  <c r="R206" i="18" s="1"/>
  <c r="M114" i="18"/>
  <c r="N114" i="18" s="1"/>
  <c r="R114" i="18" s="1"/>
  <c r="M138" i="18"/>
  <c r="N138" i="18" s="1"/>
  <c r="R138" i="18" s="1"/>
  <c r="M113" i="18"/>
  <c r="N113" i="18" s="1"/>
  <c r="R113" i="18" s="1"/>
  <c r="M62" i="18"/>
  <c r="N62" i="18" s="1"/>
  <c r="R62" i="18" s="1"/>
  <c r="M77" i="18"/>
  <c r="N77" i="18" s="1"/>
  <c r="R77" i="18" s="1"/>
  <c r="M42" i="18"/>
  <c r="N42" i="18" s="1"/>
  <c r="R42" i="18" s="1"/>
  <c r="M156" i="18"/>
  <c r="N156" i="18" s="1"/>
  <c r="R156" i="18" s="1"/>
  <c r="M196" i="18"/>
  <c r="N196" i="18" s="1"/>
  <c r="R196" i="18" s="1"/>
  <c r="M43" i="18"/>
  <c r="N43" i="18" s="1"/>
  <c r="R43" i="18" s="1"/>
  <c r="M132" i="18"/>
  <c r="N132" i="18" s="1"/>
  <c r="R132" i="18" s="1"/>
  <c r="M66" i="18"/>
  <c r="N66" i="18" s="1"/>
  <c r="R66" i="18" s="1"/>
  <c r="M30" i="18"/>
  <c r="N30" i="18" s="1"/>
  <c r="R30" i="18" s="1"/>
  <c r="M162" i="18"/>
  <c r="N162" i="18" s="1"/>
  <c r="R162" i="18" s="1"/>
  <c r="M170" i="18"/>
  <c r="N170" i="18" s="1"/>
  <c r="R170" i="18" s="1"/>
  <c r="M90" i="18"/>
  <c r="N90" i="18" s="1"/>
  <c r="R90" i="18" s="1"/>
  <c r="M116" i="18"/>
  <c r="N116" i="18" s="1"/>
  <c r="R116" i="18" s="1"/>
  <c r="M26" i="18"/>
  <c r="N26" i="18" s="1"/>
  <c r="R26" i="18" s="1"/>
  <c r="M130" i="18"/>
  <c r="N130" i="18" s="1"/>
  <c r="R130" i="18" s="1"/>
  <c r="M127" i="18"/>
  <c r="N127" i="18" s="1"/>
  <c r="R127" i="18" s="1"/>
  <c r="M100" i="18"/>
  <c r="N100" i="18" s="1"/>
  <c r="R100" i="18" s="1"/>
  <c r="M65" i="18"/>
  <c r="N65" i="18" s="1"/>
  <c r="R65" i="18" s="1"/>
  <c r="M50" i="18"/>
  <c r="N50" i="18" s="1"/>
  <c r="R50" i="18" s="1"/>
  <c r="M55" i="18"/>
  <c r="N55" i="18" s="1"/>
  <c r="R55" i="18" s="1"/>
  <c r="M157" i="18"/>
  <c r="N157" i="18" s="1"/>
  <c r="R157" i="18" s="1"/>
  <c r="M57" i="18"/>
  <c r="N57" i="18" s="1"/>
  <c r="R57" i="18" s="1"/>
  <c r="M34" i="18"/>
  <c r="N34" i="18" s="1"/>
  <c r="R34" i="18" s="1"/>
  <c r="M47" i="18"/>
  <c r="N47" i="18" s="1"/>
  <c r="R47" i="18" s="1"/>
  <c r="M192" i="18"/>
  <c r="N192" i="18" s="1"/>
  <c r="R192" i="18" s="1"/>
  <c r="M145" i="18"/>
  <c r="N145" i="18" s="1"/>
  <c r="R145" i="18" s="1"/>
  <c r="M121" i="18"/>
  <c r="N121" i="18" s="1"/>
  <c r="R121" i="18" s="1"/>
  <c r="M38" i="18" l="1"/>
  <c r="N38" i="18" s="1"/>
  <c r="R38" i="18" s="1"/>
  <c r="M155" i="18"/>
  <c r="N155" i="18" s="1"/>
  <c r="R155" i="18" s="1"/>
  <c r="M81" i="18"/>
  <c r="N81" i="18" s="1"/>
  <c r="R81" i="18" s="1"/>
  <c r="M68" i="18"/>
  <c r="N68" i="18" s="1"/>
  <c r="R68" i="18" s="1"/>
  <c r="M44" i="18"/>
  <c r="N44" i="18" s="1"/>
  <c r="R44" i="18" s="1"/>
  <c r="M191" i="18"/>
  <c r="N191" i="18" s="1"/>
  <c r="R191" i="18" s="1"/>
  <c r="M183" i="18"/>
  <c r="N183" i="18" s="1"/>
  <c r="R183" i="18" s="1"/>
  <c r="M159" i="18"/>
  <c r="N159" i="18" s="1"/>
  <c r="R159" i="18" s="1"/>
  <c r="M126" i="18"/>
  <c r="N126" i="18" s="1"/>
  <c r="R126" i="18" s="1"/>
  <c r="M32" i="18"/>
  <c r="N32" i="18" s="1"/>
  <c r="R32" i="18" s="1"/>
  <c r="M117" i="18"/>
  <c r="N117" i="18" s="1"/>
  <c r="R117" i="18" s="1"/>
  <c r="M134" i="18"/>
  <c r="N134" i="18" s="1"/>
  <c r="R134" i="18" s="1"/>
  <c r="M208" i="18"/>
  <c r="N208" i="18" s="1"/>
  <c r="R208" i="18" s="1"/>
  <c r="M205" i="18"/>
  <c r="N205" i="18" s="1"/>
  <c r="R205" i="18" s="1"/>
  <c r="M190" i="18"/>
  <c r="N190" i="18" s="1"/>
  <c r="R190" i="18" s="1"/>
  <c r="M25" i="18"/>
  <c r="N25" i="18" s="1"/>
  <c r="R25" i="18" s="1"/>
  <c r="M24" i="18"/>
  <c r="N24" i="18" s="1"/>
  <c r="R24" i="18" s="1"/>
  <c r="M179" i="18"/>
  <c r="N179" i="18" s="1"/>
  <c r="R179" i="18" s="1"/>
  <c r="M187" i="18"/>
  <c r="N187" i="18" s="1"/>
  <c r="R187" i="18" s="1"/>
  <c r="M52" i="18"/>
  <c r="N52" i="18" s="1"/>
  <c r="R52" i="18" s="1"/>
  <c r="M148" i="18"/>
  <c r="N148" i="18" s="1"/>
  <c r="R148" i="18" s="1"/>
  <c r="M37" i="18"/>
  <c r="N37" i="18" s="1"/>
  <c r="R37" i="18" s="1"/>
  <c r="M56" i="18"/>
  <c r="N56" i="18" s="1"/>
  <c r="M211" i="18"/>
  <c r="N211" i="18" s="1"/>
  <c r="R211" i="18" s="1"/>
  <c r="M86" i="18"/>
  <c r="N86" i="18" s="1"/>
  <c r="R86" i="18" s="1"/>
  <c r="M184" i="18"/>
  <c r="N184" i="18" s="1"/>
  <c r="R184" i="18" s="1"/>
  <c r="M203" i="18"/>
  <c r="N203" i="18" s="1"/>
  <c r="R203" i="18" s="1"/>
  <c r="M129" i="18"/>
  <c r="N129" i="18" s="1"/>
  <c r="R129" i="18" s="1"/>
  <c r="M22" i="18"/>
  <c r="N22" i="18" s="1"/>
  <c r="R22" i="18" s="1"/>
  <c r="M207" i="18"/>
  <c r="N207" i="18" s="1"/>
  <c r="R207" i="18" s="1"/>
  <c r="M141" i="18"/>
  <c r="N141" i="18" s="1"/>
  <c r="R141" i="18" s="1"/>
  <c r="M63" i="18"/>
  <c r="N63" i="18" s="1"/>
  <c r="R63" i="18" s="1"/>
  <c r="M28" i="18"/>
  <c r="N28" i="18" s="1"/>
  <c r="R28" i="18" s="1"/>
  <c r="M153" i="18"/>
  <c r="N153" i="18" s="1"/>
  <c r="R153" i="18" s="1"/>
  <c r="M165" i="18"/>
  <c r="N165" i="18" s="1"/>
  <c r="R165" i="18" s="1"/>
  <c r="M176" i="18"/>
  <c r="N176" i="18" s="1"/>
  <c r="R176" i="18" s="1"/>
  <c r="M142" i="18"/>
  <c r="N142" i="18" s="1"/>
  <c r="R142" i="18" s="1"/>
  <c r="M167" i="18"/>
  <c r="N167" i="18" s="1"/>
  <c r="R167" i="18" s="1"/>
  <c r="M151" i="18"/>
  <c r="N151" i="18" s="1"/>
  <c r="R151" i="18" s="1"/>
  <c r="M48" i="18"/>
  <c r="N48" i="18" s="1"/>
  <c r="R48" i="18" s="1"/>
  <c r="M67" i="18"/>
  <c r="N67" i="18" s="1"/>
  <c r="R67" i="18" s="1"/>
  <c r="M186" i="18"/>
  <c r="N186" i="18" s="1"/>
  <c r="R186" i="18" s="1"/>
  <c r="M131" i="18"/>
  <c r="N131" i="18" s="1"/>
  <c r="R131" i="18" s="1"/>
  <c r="M35" i="18"/>
  <c r="N35" i="18" s="1"/>
  <c r="R35" i="18" s="1"/>
  <c r="M46" i="18"/>
  <c r="N46" i="18" s="1"/>
  <c r="R46" i="18" s="1"/>
  <c r="M88" i="18"/>
  <c r="N88" i="18" s="1"/>
  <c r="R88" i="18" s="1"/>
  <c r="M101" i="18"/>
  <c r="N101" i="18" s="1"/>
  <c r="R101" i="18" s="1"/>
  <c r="M147" i="18"/>
  <c r="N147" i="18" s="1"/>
  <c r="R147" i="18" s="1"/>
  <c r="M98" i="18"/>
  <c r="N98" i="18" s="1"/>
  <c r="R98" i="18" s="1"/>
  <c r="M102" i="18"/>
  <c r="N102" i="18" s="1"/>
  <c r="R102" i="18" s="1"/>
  <c r="M74" i="18"/>
  <c r="N74" i="18" s="1"/>
  <c r="R74" i="18" s="1"/>
  <c r="M128" i="18"/>
  <c r="N128" i="18" s="1"/>
  <c r="R128" i="18" s="1"/>
  <c r="M112" i="18"/>
  <c r="N112" i="18" s="1"/>
  <c r="R112" i="18" s="1"/>
  <c r="M82" i="18"/>
  <c r="N82" i="18" s="1"/>
  <c r="R82" i="18" s="1"/>
  <c r="M36" i="18"/>
  <c r="N36" i="18" s="1"/>
  <c r="R36" i="18" s="1"/>
  <c r="M154" i="18"/>
  <c r="N154" i="18" s="1"/>
  <c r="R154" i="18" s="1"/>
  <c r="M64" i="18"/>
  <c r="N64" i="18" s="1"/>
  <c r="R64" i="18" s="1"/>
  <c r="M107" i="18"/>
  <c r="N107" i="18" s="1"/>
  <c r="R107" i="18" s="1"/>
  <c r="M45" i="18"/>
  <c r="N45" i="18" s="1"/>
  <c r="R45" i="18" s="1"/>
  <c r="M51" i="18"/>
  <c r="N51" i="18" s="1"/>
  <c r="R51" i="18" s="1"/>
  <c r="M59" i="18"/>
  <c r="N59" i="18" s="1"/>
  <c r="R59" i="18" s="1"/>
  <c r="M109" i="18"/>
  <c r="N109" i="18" s="1"/>
  <c r="R109" i="18" s="1"/>
  <c r="M111" i="18"/>
  <c r="N111" i="18" s="1"/>
  <c r="R111" i="18" s="1"/>
  <c r="M41" i="18"/>
  <c r="N41" i="18" s="1"/>
  <c r="R41" i="18" s="1"/>
  <c r="M93" i="18"/>
  <c r="N93" i="18" s="1"/>
  <c r="R93" i="18" s="1"/>
  <c r="M195" i="18"/>
  <c r="N195" i="18" s="1"/>
  <c r="R195" i="18" s="1"/>
  <c r="M139" i="18"/>
  <c r="N139" i="18" s="1"/>
  <c r="R139" i="18" s="1"/>
  <c r="M125" i="18"/>
  <c r="N125" i="18" s="1"/>
  <c r="R125" i="18" s="1"/>
  <c r="M169" i="18"/>
  <c r="N169" i="18" s="1"/>
  <c r="R169" i="18" s="1"/>
  <c r="M53" i="18"/>
  <c r="N53" i="18" s="1"/>
  <c r="R53" i="18" s="1"/>
  <c r="M106" i="18"/>
  <c r="N106" i="18" s="1"/>
  <c r="R106" i="18" s="1"/>
  <c r="M49" i="18"/>
  <c r="N49" i="18" s="1"/>
  <c r="R49" i="18" s="1"/>
  <c r="M73" i="18"/>
  <c r="N73" i="18" s="1"/>
  <c r="R73" i="18" s="1"/>
  <c r="M178" i="18"/>
  <c r="N178" i="18" s="1"/>
  <c r="R178" i="18" s="1"/>
  <c r="M97" i="18"/>
  <c r="N97" i="18" s="1"/>
  <c r="R97" i="18" s="1"/>
  <c r="M193" i="18"/>
  <c r="N193" i="18" s="1"/>
  <c r="R193" i="18" s="1"/>
  <c r="M137" i="18"/>
  <c r="N137" i="18" s="1"/>
  <c r="R137" i="18" s="1"/>
  <c r="M177" i="18"/>
  <c r="N177" i="18" s="1"/>
  <c r="R177" i="18" s="1"/>
  <c r="M174" i="18"/>
  <c r="N174" i="18" s="1"/>
  <c r="R174" i="18" s="1"/>
  <c r="M194" i="18"/>
  <c r="N194" i="18" s="1"/>
  <c r="R194" i="18" s="1"/>
  <c r="M27" i="18"/>
  <c r="N27" i="18" s="1"/>
  <c r="R27" i="18" s="1"/>
  <c r="M99" i="18"/>
  <c r="N99" i="18" s="1"/>
  <c r="R99" i="18" s="1"/>
  <c r="M204" i="18"/>
  <c r="N204" i="18" s="1"/>
  <c r="R204" i="18" s="1"/>
  <c r="M202" i="18"/>
  <c r="N202" i="18" s="1"/>
  <c r="R202" i="18" s="1"/>
  <c r="M29" i="18"/>
  <c r="N29" i="18" s="1"/>
  <c r="R29" i="18" s="1"/>
  <c r="M69" i="18"/>
  <c r="N69" i="18" s="1"/>
  <c r="R69" i="18" s="1"/>
  <c r="M94" i="18"/>
  <c r="N94" i="18" s="1"/>
  <c r="R94" i="18" s="1"/>
  <c r="M96" i="18"/>
  <c r="N96" i="18" s="1"/>
  <c r="R96" i="18" s="1"/>
  <c r="M91" i="18"/>
  <c r="N91" i="18" s="1"/>
  <c r="R91" i="18" s="1"/>
  <c r="M118" i="18"/>
  <c r="N118" i="18" s="1"/>
  <c r="R118" i="18" s="1"/>
  <c r="M173" i="18"/>
  <c r="N173" i="18" s="1"/>
  <c r="R173" i="18" s="1"/>
  <c r="M84" i="18"/>
  <c r="N84" i="18" s="1"/>
  <c r="R84" i="18" s="1"/>
  <c r="M110" i="18"/>
  <c r="N110" i="18" s="1"/>
  <c r="R110" i="18" s="1"/>
  <c r="M144" i="18"/>
  <c r="N144" i="18" s="1"/>
  <c r="R144" i="18" s="1"/>
  <c r="M80" i="18"/>
  <c r="N80" i="18" s="1"/>
  <c r="R80" i="18" s="1"/>
  <c r="M164" i="18"/>
  <c r="N164" i="18" s="1"/>
  <c r="R164" i="18" s="1"/>
  <c r="M181" i="18"/>
  <c r="N181" i="18" s="1"/>
  <c r="R181" i="18" s="1"/>
  <c r="M149" i="18"/>
  <c r="N149" i="18" s="1"/>
  <c r="R149" i="18" s="1"/>
  <c r="M135" i="18"/>
  <c r="N135" i="18" s="1"/>
  <c r="R135" i="18" s="1"/>
  <c r="M105" i="18"/>
  <c r="N105" i="18" s="1"/>
  <c r="R105" i="18" s="1"/>
  <c r="M182" i="18"/>
  <c r="N182" i="18" s="1"/>
  <c r="R182" i="18" s="1"/>
  <c r="M40" i="18"/>
  <c r="N40" i="18" s="1"/>
  <c r="R40" i="18" s="1"/>
  <c r="M20" i="18"/>
  <c r="N20" i="18" s="1"/>
  <c r="M76" i="18"/>
  <c r="N76" i="18" s="1"/>
  <c r="R76" i="18" s="1"/>
  <c r="M21" i="18"/>
  <c r="N21" i="18" s="1"/>
  <c r="R21" i="18" s="1"/>
  <c r="M133" i="18"/>
  <c r="N133" i="18" s="1"/>
  <c r="R133" i="18" s="1"/>
  <c r="M168" i="18"/>
  <c r="N168" i="18" s="1"/>
  <c r="R168" i="18" s="1"/>
  <c r="M185" i="18"/>
  <c r="N185" i="18" s="1"/>
  <c r="R185" i="18" s="1"/>
  <c r="M199" i="18"/>
  <c r="N199" i="18" s="1"/>
  <c r="R199" i="18" s="1"/>
  <c r="M103" i="18"/>
  <c r="N103" i="18" s="1"/>
  <c r="R103" i="18" s="1"/>
  <c r="M72" i="18"/>
  <c r="N72" i="18" s="1"/>
  <c r="R72" i="18" s="1"/>
  <c r="M152" i="18"/>
  <c r="N152" i="18" s="1"/>
  <c r="R152" i="18" s="1"/>
  <c r="M198" i="18"/>
  <c r="N198" i="18" s="1"/>
  <c r="R198" i="18" s="1"/>
  <c r="M85" i="18"/>
  <c r="N85" i="18" s="1"/>
  <c r="R85" i="18" s="1"/>
  <c r="M171" i="18"/>
  <c r="N171" i="18" s="1"/>
  <c r="R171" i="18" s="1"/>
  <c r="M75" i="18"/>
  <c r="N75" i="18" s="1"/>
  <c r="R75" i="18" s="1"/>
  <c r="M200" i="18"/>
  <c r="N200" i="18" s="1"/>
  <c r="R200" i="18" s="1"/>
  <c r="M150" i="18"/>
  <c r="N150" i="18" s="1"/>
  <c r="R150" i="18" s="1"/>
  <c r="M89" i="18"/>
  <c r="N89" i="18" s="1"/>
  <c r="R89" i="18" s="1"/>
  <c r="M209" i="18"/>
  <c r="N209" i="18" s="1"/>
  <c r="R209" i="18" s="1"/>
  <c r="M210" i="18"/>
  <c r="N210" i="18" s="1"/>
  <c r="R210" i="18" s="1"/>
  <c r="M163" i="18"/>
  <c r="N163" i="18" s="1"/>
  <c r="R163" i="18" s="1"/>
  <c r="M172" i="18"/>
  <c r="N172" i="18" s="1"/>
  <c r="R172" i="18" s="1"/>
  <c r="M23" i="18"/>
  <c r="N23" i="18" s="1"/>
  <c r="R23" i="18" s="1"/>
  <c r="M95" i="18"/>
  <c r="N95" i="18" s="1"/>
  <c r="R95" i="18" s="1"/>
  <c r="M166" i="18"/>
  <c r="N166" i="18" s="1"/>
  <c r="R166" i="18" s="1"/>
  <c r="M70" i="18"/>
  <c r="N70" i="18" s="1"/>
  <c r="R70" i="18" s="1"/>
  <c r="M212" i="18" l="1"/>
  <c r="M13" i="18"/>
  <c r="R56" i="18"/>
  <c r="R13" i="18" s="1"/>
  <c r="N13" i="18"/>
  <c r="N14" i="18"/>
  <c r="R20" i="18"/>
  <c r="R14" i="18" l="1"/>
  <c r="R2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<sst xmlns="http://schemas.openxmlformats.org/spreadsheetml/2006/main" count="417" uniqueCount="100">
  <si>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</si>
  <si>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</si>
  <si>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</si>
  <si>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</si>
  <si>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</si>
  <si>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</si>
  <si>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</si>
  <si>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</si>
  <si>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</si>
  <si>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</si>
  <si>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</si>
  <si>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</si>
  <si>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</si>
  <si>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</si>
  <si>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</si>
  <si>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</si>
  <si>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</si>
  <si>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</si>
  <si>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</si>
  <si>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</si>
  <si>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</si>
  <si>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</si>
  <si>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</si>
  <si>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</si>
  <si>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</si>
  <si>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</si>
  <si>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</si>
  <si>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</si>
  <si>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</si>
  <si>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</si>
  <si>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</si>
  <si>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</si>
  <si>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</si>
  <si>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</si>
  <si>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</si>
  <si>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</si>
  <si>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</si>
  <si>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</si>
  <si>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</si>
  <si>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</si>
  <si>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</si>
  <si>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</si>
  <si>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</si>
  <si>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</si>
  <si>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</si>
  <si>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</si>
  <si>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</si>
  <si>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</si>
  <si>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</si>
  <si>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</si>
  <si>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</si>
  <si>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</si>
  <si>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</si>
  <si>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</si>
  <si>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</si>
  <si>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</si>
  <si>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</si>
  <si>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</si>
  <si>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</si>
  <si>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</si>
  <si>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</si>
  <si>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</si>
  <si>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</si>
  <si>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</si>
  <si>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</si>
  <si>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</si>
  <si>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</si>
  <si>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</si>
  <si>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</si>
  <si>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</si>
  <si>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</si>
  <si>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</si>
  <si>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</si>
  <si>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</si>
  <si>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</si>
  <si>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</si>
  <si>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</si>
  <si>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</si>
  <si>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</si>
  <si>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</si>
  <si>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</si>
  <si>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</si>
  <si>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</si>
  <si>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</si>
  <si>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</si>
  <si>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</si>
  <si>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</si>
  <si>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</si>
  <si>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</si>
  <si>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</si>
  <si>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</si>
  <si>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</si>
  <si>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</si>
  <si>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</si>
  <si>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AEPTCo Formula Rate -- FERC Docket ER18-195</t>
  </si>
  <si>
    <t>Network Customer True-Up (Schedule 1 charges)</t>
  </si>
  <si>
    <t>2023 True Up Including Interest</t>
  </si>
  <si>
    <r>
      <t>2024 True-Up
(</t>
    </r>
    <r>
      <rPr>
        <sz val="10"/>
        <rFont val="Arial"/>
        <family val="2"/>
      </rPr>
      <t>w/o Interest)</t>
    </r>
  </si>
  <si>
    <t>2024 Interest</t>
  </si>
  <si>
    <t>Total 2024
True-Up Surcharge / (Refund)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</si>
</sst>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6" xfId="2" applyNumberFormat="1" applyFont="1" applyBorder="1" applyProtection="1"/>
    <xf numFmtId="165" fontId="0" fillId="0" borderId="17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19" xfId="0" applyBorder="1" applyProtection="1"/>
    <xf numFmtId="0" fontId="9" fillId="3" borderId="20" xfId="0" quotePrefix="1" applyFont="1" applyFill="1" applyBorder="1" applyAlignment="1" applyProtection="1">
      <alignment horizontal="left" vertical="center" wrapText="1"/>
    </xf>
    <xf numFmtId="165" fontId="0" fillId="3" borderId="21" xfId="2" applyNumberFormat="1" applyFont="1" applyFill="1" applyBorder="1" applyAlignment="1" applyProtection="1">
      <alignment vertical="center"/>
    </xf>
    <xf numFmtId="165" fontId="0" fillId="3" borderId="22" xfId="2" applyNumberFormat="1" applyFont="1" applyFill="1" applyBorder="1" applyAlignment="1" applyProtection="1">
      <alignment vertical="center"/>
    </xf>
    <xf numFmtId="165" fontId="3" fillId="3" borderId="23" xfId="2" applyNumberFormat="1" applyFont="1" applyFill="1" applyBorder="1" applyAlignment="1" applyProtection="1">
      <alignment vertical="center"/>
    </xf>
    <xf numFmtId="0" fontId="0" fillId="0" borderId="25" xfId="0" quotePrefix="1" applyBorder="1" applyAlignment="1" applyProtection="1">
      <alignment horizontal="left"/>
    </xf>
    <xf numFmtId="0" fontId="0" fillId="0" borderId="18" xfId="0" applyBorder="1" applyProtection="1"/>
    <xf numFmtId="0" fontId="0" fillId="0" borderId="26" xfId="0" applyBorder="1" applyProtection="1"/>
    <xf numFmtId="0" fontId="9" fillId="0" borderId="20" xfId="0" quotePrefix="1" applyFont="1" applyFill="1" applyBorder="1" applyAlignment="1" applyProtection="1">
      <alignment horizontal="left" vertical="center" wrapText="1"/>
    </xf>
    <xf numFmtId="165" fontId="0" fillId="0" borderId="21" xfId="2" applyNumberFormat="1" applyFont="1" applyFill="1" applyBorder="1" applyAlignment="1" applyProtection="1">
      <alignment vertical="center"/>
    </xf>
    <xf numFmtId="165" fontId="0" fillId="0" borderId="22" xfId="2" applyNumberFormat="1" applyFont="1" applyFill="1" applyBorder="1" applyAlignment="1" applyProtection="1">
      <alignment vertical="center"/>
    </xf>
    <xf numFmtId="165" fontId="3" fillId="0" borderId="23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7" xfId="2" applyNumberFormat="1" applyFont="1" applyBorder="1" applyAlignment="1" applyProtection="1">
      <alignment vertical="center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5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0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0" xfId="0" quotePrefix="1" applyBorder="1" applyAlignment="1" applyProtection="1">
      <alignment horizontal="right"/>
    </xf>
    <xf numFmtId="0" fontId="0" fillId="0" borderId="22" xfId="0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164" fontId="3" fillId="0" borderId="24" xfId="0" applyNumberFormat="1" applyFont="1" applyBorder="1" applyAlignment="1" applyProtection="1">
      <alignment horizontal="right"/>
    </xf>
    <xf numFmtId="167" fontId="0" fillId="0" borderId="22" xfId="0" applyNumberFormat="1" applyBorder="1" applyAlignment="1" applyProtection="1">
      <alignment horizontal="center"/>
    </xf>
    <xf numFmtId="167" fontId="0" fillId="4" borderId="24" xfId="0" applyNumberFormat="1" applyFill="1" applyBorder="1" applyAlignment="1" applyProtection="1">
      <alignment horizontal="center"/>
    </xf>
    <xf numFmtId="167" fontId="0" fillId="0" borderId="31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4" fontId="1" fillId="0" borderId="16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0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0" xfId="0" applyNumberFormat="1" applyFont="1" applyBorder="1" applyAlignment="1" applyProtection="1">
      <alignment horizontal="center"/>
    </xf>
    <xf numFmtId="14" fontId="0" fillId="0" borderId="16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0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2" xfId="0" quotePrefix="1" applyFont="1" applyBorder="1" applyAlignment="1" applyProtection="1">
      <alignment horizontal="center"/>
    </xf>
    <xf numFmtId="164" fontId="4" fillId="0" borderId="21" xfId="0" quotePrefix="1" applyNumberFormat="1" applyFont="1" applyBorder="1" applyAlignment="1" applyProtection="1">
      <alignment horizontal="center" vertical="center" wrapText="1"/>
    </xf>
    <xf numFmtId="0" fontId="4" fillId="0" borderId="22" xfId="0" quotePrefix="1" applyFont="1" applyBorder="1" applyAlignment="1" applyProtection="1">
      <alignment horizontal="center" vertical="center" wrapText="1"/>
    </xf>
    <xf numFmtId="164" fontId="4" fillId="5" borderId="22" xfId="0" quotePrefix="1" applyNumberFormat="1" applyFont="1" applyFill="1" applyBorder="1" applyAlignment="1" applyProtection="1">
      <alignment horizontal="center" vertical="center" wrapText="1"/>
    </xf>
    <xf numFmtId="164" fontId="4" fillId="0" borderId="22" xfId="0" applyNumberFormat="1" applyFont="1" applyBorder="1" applyAlignment="1" applyProtection="1">
      <alignment horizontal="center" vertical="center" wrapText="1"/>
    </xf>
    <xf numFmtId="164" fontId="4" fillId="0" borderId="31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26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3" xfId="0" applyNumberFormat="1" applyBorder="1" applyAlignment="1" applyProtection="1">
      <alignment horizontal="center"/>
    </xf>
    <xf numFmtId="14" fontId="1" fillId="0" borderId="33" xfId="0" applyNumberFormat="1" applyFont="1" applyFill="1" applyBorder="1" applyProtection="1"/>
    <xf numFmtId="14" fontId="7" fillId="2" borderId="33" xfId="0" applyNumberFormat="1" applyFont="1" applyFill="1" applyBorder="1" applyAlignment="1" applyProtection="1">
      <alignment horizontal="left"/>
    </xf>
    <xf numFmtId="0" fontId="0" fillId="0" borderId="33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3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8" xfId="0" applyNumberForma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7" fontId="7" fillId="6" borderId="24" xfId="0" applyNumberFormat="1" applyFont="1" applyFill="1" applyBorder="1" applyAlignment="1" applyProtection="1">
      <alignment horizont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2" xfId="0" quotePrefix="1" applyFont="1" applyFill="1" applyBorder="1" applyAlignment="1" applyProtection="1">
      <alignment horizontal="center" vertic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2" xfId="0" quotePrefix="1" applyNumberFormat="1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/>
    </xf>
    <xf numFmtId="43" fontId="0" fillId="0" borderId="0" xfId="1" applyFont="1" applyProtection="1"/>
    <xf numFmtId="166" fontId="25" fillId="0" borderId="0" xfId="0" applyNumberFormat="1" applyFont="1" applyProtection="1"/>
    <xf numFmtId="0" fontId="0" fillId="0" borderId="34" xfId="0" applyBorder="1" applyProtection="1"/>
    <xf numFmtId="0" fontId="0" fillId="0" borderId="35" xfId="0" applyBorder="1" applyProtection="1"/>
    <xf numFmtId="0" fontId="0" fillId="0" borderId="34" xfId="0" pivotButton="1" applyBorder="1" applyProtection="1"/>
    <xf numFmtId="0" fontId="0" fillId="0" borderId="36" xfId="0" applyBorder="1" applyProtection="1"/>
    <xf numFmtId="17" fontId="0" fillId="0" borderId="34" xfId="0" applyNumberFormat="1" applyBorder="1" applyProtection="1"/>
    <xf numFmtId="17" fontId="0" fillId="0" borderId="37" xfId="0" applyNumberFormat="1" applyBorder="1" applyProtection="1"/>
    <xf numFmtId="17" fontId="0" fillId="0" borderId="38" xfId="0" applyNumberFormat="1" applyBorder="1" applyProtection="1"/>
    <xf numFmtId="166" fontId="0" fillId="0" borderId="34" xfId="0" applyNumberFormat="1" applyBorder="1" applyProtection="1"/>
    <xf numFmtId="166" fontId="0" fillId="0" borderId="37" xfId="0" applyNumberFormat="1" applyBorder="1" applyProtection="1"/>
    <xf numFmtId="166" fontId="0" fillId="0" borderId="38" xfId="0" applyNumberFormat="1" applyBorder="1" applyProtection="1"/>
    <xf numFmtId="0" fontId="0" fillId="0" borderId="39" xfId="0" applyBorder="1" applyProtection="1"/>
    <xf numFmtId="0" fontId="0" fillId="0" borderId="40" xfId="0" applyBorder="1" applyProtection="1"/>
    <xf numFmtId="166" fontId="25" fillId="0" borderId="40" xfId="0" applyNumberFormat="1" applyFont="1" applyBorder="1" applyProtection="1"/>
    <xf numFmtId="166" fontId="25" fillId="0" borderId="41" xfId="0" applyNumberFormat="1" applyFont="1" applyBorder="1" applyProtection="1"/>
    <xf numFmtId="166" fontId="0" fillId="0" borderId="40" xfId="0" applyNumberFormat="1" applyBorder="1" applyProtection="1"/>
    <xf numFmtId="166" fontId="0" fillId="0" borderId="41" xfId="0" applyNumberFormat="1" applyBorder="1" applyProtection="1"/>
    <xf numFmtId="166" fontId="25" fillId="0" borderId="34" xfId="0" applyNumberFormat="1" applyFont="1" applyBorder="1" applyProtection="1"/>
    <xf numFmtId="166" fontId="25" fillId="0" borderId="37" xfId="0" applyNumberFormat="1" applyFont="1" applyBorder="1" applyProtection="1"/>
    <xf numFmtId="166" fontId="25" fillId="0" borderId="38" xfId="0" applyNumberFormat="1" applyFont="1" applyBorder="1" applyProtection="1"/>
    <xf numFmtId="0" fontId="0" fillId="0" borderId="42" xfId="0" applyBorder="1" applyProtection="1"/>
    <xf numFmtId="0" fontId="0" fillId="0" borderId="43" xfId="0" applyBorder="1" applyProtection="1"/>
    <xf numFmtId="166" fontId="0" fillId="0" borderId="42" xfId="0" applyNumberFormat="1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800.471479745371" createdVersion="6" refreshedVersion="8" recordCount="192" xr:uid="{00000000-000A-0000-FFFF-FFFFDE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4-12-02T00:00:00" count="180"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3-01-01T00:00:00" u="1"/>
        <d v="2023-02-01T00:00:00" u="1"/>
        <d v="2023-03-01T00:00:00" u="1"/>
        <d v="2023-04-01T00:00:00" u="1"/>
        <d v="2023-05-01T00:00:00" u="1"/>
        <d v="2023-06-01T00:00:00" u="1"/>
        <d v="2023-07-01T00:00:00" u="1"/>
        <d v="2023-08-01T00:00:00" u="1"/>
        <d v="2023-09-01T00:00:00" u="1"/>
        <d v="2023-10-01T00:00:00" u="1"/>
        <d v="2023-11-01T00:00:00" u="1"/>
        <d v="2023-12-01T00:00:00" u="1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4-02-05T00:00:00" maxDate="2025-01-04T00:00:00"/>
    </cacheField>
    <cacheField name="Payment Received*" numFmtId="14">
      <sharedItems containsSemiMixedTypes="0" containsNonDate="0" containsDate="1" containsString="0" minDate="2024-02-26T00:00:00" maxDate="2025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151"/>
    </cacheField>
    <cacheField name="Projected Rate (as Invoiced)" numFmtId="164">
      <sharedItems containsSemiMixedTypes="0" containsString="0" containsNumber="1" minValue="11.985209729074265" maxValue="11.985209729074265"/>
    </cacheField>
    <cacheField name="Actual True-Up Rate" numFmtId="164">
      <sharedItems containsSemiMixedTypes="0" containsString="0" containsNumber="1" minValue="15.930479514192312" maxValue="15.930479514192312"/>
    </cacheField>
    <cacheField name="True-Up Charge" numFmtId="164">
      <sharedItems containsSemiMixedTypes="0" containsString="0" containsNumber="1" minValue="15.930479514192312" maxValue="66127.420463412287"/>
    </cacheField>
    <cacheField name="Invoiced*** Charge (proj.)" numFmtId="164">
      <sharedItems containsSemiMixedTypes="0" containsString="0" containsNumber="1" minValue="11.985209729074265" maxValue="49750.605585387275"/>
    </cacheField>
    <cacheField name="True-Up w/o Interest" numFmtId="164">
      <sharedItems containsSemiMixedTypes="0" containsString="0" containsNumber="1" minValue="3.9452697851180467" maxValue="16376.814878025012"/>
    </cacheField>
    <cacheField name="Interest" numFmtId="164">
      <sharedItems containsSemiMixedTypes="0" containsString="0" containsNumber="1" minValue="0.31698455887833626" maxValue="1315.8029039039739"/>
    </cacheField>
    <cacheField name="2023 True Up Including Interest" numFmtId="164">
      <sharedItems containsSemiMixedTypes="0" containsString="0" containsNumber="1" minValue="4.2622543439963829" maxValue="17692.617781928988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4.2622543439963829" maxValue="17692.6177819289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4-02-05T00:00:00"/>
    <d v="2024-02-26T00:00:00"/>
    <x v="0"/>
    <n v="9"/>
    <n v="3252"/>
    <n v="11.985209729074265"/>
    <n v="15.930479514192312"/>
    <n v="51805.919380153398"/>
    <n v="38975.902038949513"/>
    <n v="12830.017341203886"/>
    <n v="1030.8337854723495"/>
    <n v="13860.851126676236"/>
    <n v="0"/>
    <n v="0"/>
    <n v="0"/>
    <n v="13860.851126676236"/>
  </r>
  <r>
    <x v="1"/>
    <d v="2024-03-05T00:00:00"/>
    <d v="2024-03-25T00:00:00"/>
    <x v="0"/>
    <n v="9"/>
    <n v="2338"/>
    <n v="11.985209729074265"/>
    <n v="15.930479514192312"/>
    <n v="37245.461104181624"/>
    <n v="28021.420346575633"/>
    <n v="9224.0407576059915"/>
    <n v="741.10989865755016"/>
    <n v="9965.1506562635423"/>
    <n v="0"/>
    <n v="0"/>
    <n v="0"/>
    <n v="9965.1506562635423"/>
  </r>
  <r>
    <x v="2"/>
    <d v="2024-04-03T00:00:00"/>
    <d v="2024-04-24T00:00:00"/>
    <x v="0"/>
    <n v="9"/>
    <n v="2216"/>
    <n v="11.985209729074265"/>
    <n v="15.930479514192312"/>
    <n v="35301.942603450167"/>
    <n v="26559.224759628571"/>
    <n v="8742.717843821596"/>
    <n v="702.43778247439309"/>
    <n v="9445.1556262959894"/>
    <n v="0"/>
    <n v="0"/>
    <n v="0"/>
    <n v="9445.1556262959894"/>
  </r>
  <r>
    <x v="3"/>
    <d v="2024-05-03T00:00:00"/>
    <d v="2024-05-24T00:00:00"/>
    <x v="0"/>
    <n v="9"/>
    <n v="2777"/>
    <n v="11.985209729074265"/>
    <n v="15.930479514192312"/>
    <n v="44238.94161091205"/>
    <n v="33282.927417639236"/>
    <n v="10956.014193272815"/>
    <n v="880.26612000513978"/>
    <n v="11836.280313277955"/>
    <n v="0"/>
    <n v="0"/>
    <n v="0"/>
    <n v="11836.280313277955"/>
  </r>
  <r>
    <x v="4"/>
    <d v="2024-06-05T00:00:00"/>
    <d v="2024-06-24T00:00:00"/>
    <x v="0"/>
    <n v="9"/>
    <n v="3245"/>
    <n v="11.985209729074265"/>
    <n v="15.930479514192312"/>
    <n v="51694.406023554053"/>
    <n v="38892.005570845991"/>
    <n v="12802.400452708061"/>
    <n v="1028.6148935602012"/>
    <n v="13831.015346268263"/>
    <n v="0"/>
    <n v="0"/>
    <n v="0"/>
    <n v="13831.015346268263"/>
  </r>
  <r>
    <x v="5"/>
    <d v="2024-07-03T00:00:00"/>
    <d v="2024-07-24T00:00:00"/>
    <x v="0"/>
    <n v="9"/>
    <n v="4080"/>
    <n v="11.985209729074265"/>
    <n v="15.930479514192312"/>
    <n v="64996.35641790463"/>
    <n v="48899.655694623005"/>
    <n v="16096.700723281625"/>
    <n v="1293.2970002236118"/>
    <n v="17389.997723505236"/>
    <n v="0"/>
    <n v="0"/>
    <n v="0"/>
    <n v="17389.997723505236"/>
  </r>
  <r>
    <x v="6"/>
    <d v="2024-08-05T00:00:00"/>
    <d v="2024-08-26T00:00:00"/>
    <x v="0"/>
    <n v="9"/>
    <n v="4149"/>
    <n v="11.985209729074265"/>
    <n v="15.930479514192312"/>
    <n v="66095.559504383898"/>
    <n v="49726.635165929125"/>
    <n v="16368.924338454774"/>
    <n v="1315.1689347862171"/>
    <n v="17684.093273240989"/>
    <n v="0"/>
    <n v="0"/>
    <n v="0"/>
    <n v="17684.093273240989"/>
  </r>
  <r>
    <x v="7"/>
    <d v="2024-09-04T00:00:00"/>
    <d v="2024-09-24T00:00:00"/>
    <x v="0"/>
    <n v="9"/>
    <n v="4151"/>
    <n v="11.985209729074265"/>
    <n v="15.930479514192312"/>
    <n v="66127.420463412287"/>
    <n v="49750.605585387275"/>
    <n v="16376.814878025012"/>
    <n v="1315.8029039039739"/>
    <n v="17692.617781928988"/>
    <n v="0"/>
    <n v="0"/>
    <n v="0"/>
    <n v="17692.617781928988"/>
  </r>
  <r>
    <x v="8"/>
    <d v="2024-10-03T00:00:00"/>
    <d v="2024-10-24T00:00:00"/>
    <x v="0"/>
    <n v="9"/>
    <n v="3859"/>
    <n v="11.985209729074265"/>
    <n v="15.930479514192312"/>
    <n v="61475.720445268133"/>
    <n v="46250.924344497587"/>
    <n v="15224.796100770545"/>
    <n v="1223.2434127114996"/>
    <n v="16448.039513482046"/>
    <n v="0"/>
    <n v="0"/>
    <n v="0"/>
    <n v="16448.039513482046"/>
  </r>
  <r>
    <x v="9"/>
    <d v="2024-11-05T00:00:00"/>
    <d v="2024-11-25T00:00:00"/>
    <x v="0"/>
    <n v="9"/>
    <n v="3429"/>
    <n v="11.985209729074265"/>
    <n v="15.930479514192312"/>
    <n v="54625.614254165441"/>
    <n v="41097.284160995652"/>
    <n v="13528.330093169789"/>
    <n v="1086.940052393815"/>
    <n v="14615.270145563603"/>
    <n v="0"/>
    <n v="0"/>
    <n v="0"/>
    <n v="14615.270145563603"/>
  </r>
  <r>
    <x v="10"/>
    <d v="2024-12-04T00:00:00"/>
    <d v="2024-12-24T00:00:00"/>
    <x v="0"/>
    <n v="9"/>
    <n v="2220"/>
    <n v="11.985209729074265"/>
    <n v="15.930479514192312"/>
    <n v="35365.664521506929"/>
    <n v="26607.165598544867"/>
    <n v="8758.4989229620624"/>
    <n v="703.70572070990647"/>
    <n v="9462.2046436719684"/>
    <n v="0"/>
    <n v="0"/>
    <n v="0"/>
    <n v="9462.2046436719684"/>
  </r>
  <r>
    <x v="11"/>
    <d v="2025-01-03T00:00:00"/>
    <d v="2025-01-24T00:00:00"/>
    <x v="0"/>
    <n v="9"/>
    <n v="2569"/>
    <n v="11.985209729074265"/>
    <n v="15.930479514192312"/>
    <n v="40925.40187196005"/>
    <n v="30790.003793991786"/>
    <n v="10135.398077968264"/>
    <n v="814.33333175844575"/>
    <n v="10949.73140972671"/>
    <n v="0"/>
    <n v="0"/>
    <n v="0"/>
    <n v="10949.73140972671"/>
  </r>
  <r>
    <x v="0"/>
    <d v="2024-02-05T00:00:00"/>
    <d v="2024-02-26T00:00:00"/>
    <x v="1"/>
    <n v="9"/>
    <n v="3306"/>
    <n v="11.985209729074265"/>
    <n v="15.930479514192312"/>
    <n v="52666.165273919782"/>
    <n v="39623.103364319519"/>
    <n v="13043.061909600263"/>
    <n v="1047.9509516517796"/>
    <n v="14091.012861252042"/>
    <n v="0"/>
    <n v="0"/>
    <n v="0"/>
    <n v="14091.012861252042"/>
  </r>
  <r>
    <x v="1"/>
    <d v="2024-03-05T00:00:00"/>
    <d v="2024-03-25T00:00:00"/>
    <x v="1"/>
    <n v="9"/>
    <n v="2611"/>
    <n v="11.985209729074265"/>
    <n v="15.930479514192312"/>
    <n v="41594.482011556123"/>
    <n v="31293.382602612906"/>
    <n v="10301.099408943217"/>
    <n v="827.64668323133594"/>
    <n v="11128.746092174553"/>
    <n v="0"/>
    <n v="0"/>
    <n v="0"/>
    <n v="11128.746092174553"/>
  </r>
  <r>
    <x v="2"/>
    <d v="2024-04-03T00:00:00"/>
    <d v="2024-04-24T00:00:00"/>
    <x v="1"/>
    <n v="9"/>
    <n v="2302"/>
    <n v="11.985209729074265"/>
    <n v="15.930479514192312"/>
    <n v="36671.963841670702"/>
    <n v="27589.952796328958"/>
    <n v="9082.0110453417437"/>
    <n v="729.69845453793005"/>
    <n v="9811.7094998796747"/>
    <n v="0"/>
    <n v="0"/>
    <n v="0"/>
    <n v="9811.7094998796747"/>
  </r>
  <r>
    <x v="3"/>
    <d v="2024-05-03T00:00:00"/>
    <d v="2024-05-24T00:00:00"/>
    <x v="1"/>
    <n v="9"/>
    <n v="2486"/>
    <n v="11.985209729074265"/>
    <n v="15.930479514192312"/>
    <n v="39603.17207228209"/>
    <n v="29795.231386478623"/>
    <n v="9807.9406858034672"/>
    <n v="788.02361337154389"/>
    <n v="10595.964299175012"/>
    <n v="0"/>
    <n v="0"/>
    <n v="0"/>
    <n v="10595.964299175012"/>
  </r>
  <r>
    <x v="4"/>
    <d v="2024-06-05T00:00:00"/>
    <d v="2024-06-24T00:00:00"/>
    <x v="1"/>
    <n v="9"/>
    <n v="2970"/>
    <n v="11.985209729074265"/>
    <n v="15.930479514192312"/>
    <n v="47313.524157151165"/>
    <n v="35596.072895350568"/>
    <n v="11717.451261800597"/>
    <n v="941.44413986865868"/>
    <n v="12658.895401669257"/>
    <n v="0"/>
    <n v="0"/>
    <n v="0"/>
    <n v="12658.895401669257"/>
  </r>
  <r>
    <x v="5"/>
    <d v="2024-07-03T00:00:00"/>
    <d v="2024-07-24T00:00:00"/>
    <x v="1"/>
    <n v="9"/>
    <n v="3483"/>
    <n v="11.985209729074265"/>
    <n v="15.930479514192312"/>
    <n v="55485.860147931824"/>
    <n v="41744.485486365666"/>
    <n v="13741.374661566158"/>
    <n v="1104.0572185732451"/>
    <n v="14845.431880139404"/>
    <n v="0"/>
    <n v="0"/>
    <n v="0"/>
    <n v="14845.431880139404"/>
  </r>
  <r>
    <x v="6"/>
    <d v="2024-08-05T00:00:00"/>
    <d v="2024-08-26T00:00:00"/>
    <x v="1"/>
    <n v="9"/>
    <n v="3510"/>
    <n v="11.985209729074265"/>
    <n v="15.930479514192312"/>
    <n v="55915.983094815012"/>
    <n v="42068.086149050672"/>
    <n v="13847.89694576434"/>
    <n v="1112.6158016629602"/>
    <n v="14960.512747427299"/>
    <n v="0"/>
    <n v="0"/>
    <n v="0"/>
    <n v="14960.512747427299"/>
  </r>
  <r>
    <x v="7"/>
    <d v="2024-09-04T00:00:00"/>
    <d v="2024-09-24T00:00:00"/>
    <x v="1"/>
    <n v="9"/>
    <n v="3574"/>
    <n v="11.985209729074265"/>
    <n v="15.930479514192312"/>
    <n v="56935.533783723324"/>
    <n v="42835.139571711421"/>
    <n v="14100.394212011903"/>
    <n v="1132.9028134311739"/>
    <n v="15233.297025443077"/>
    <n v="0"/>
    <n v="0"/>
    <n v="0"/>
    <n v="15233.297025443077"/>
  </r>
  <r>
    <x v="8"/>
    <d v="2024-10-03T00:00:00"/>
    <d v="2024-10-24T00:00:00"/>
    <x v="1"/>
    <n v="9"/>
    <n v="3188"/>
    <n v="11.985209729074265"/>
    <n v="15.930479514192312"/>
    <n v="50786.368691245094"/>
    <n v="38208.848616288757"/>
    <n v="12577.520074956337"/>
    <n v="1010.5467737041359"/>
    <n v="13588.066848660474"/>
    <n v="0"/>
    <n v="0"/>
    <n v="0"/>
    <n v="13588.066848660474"/>
  </r>
  <r>
    <x v="9"/>
    <d v="2024-11-05T00:00:00"/>
    <d v="2024-11-25T00:00:00"/>
    <x v="1"/>
    <n v="9"/>
    <n v="2793"/>
    <n v="11.985209729074265"/>
    <n v="15.930479514192312"/>
    <n v="44493.82928313913"/>
    <n v="33474.690773304421"/>
    <n v="11019.138509834709"/>
    <n v="885.3378729471932"/>
    <n v="11904.476382781902"/>
    <n v="0"/>
    <n v="0"/>
    <n v="0"/>
    <n v="11904.476382781902"/>
  </r>
  <r>
    <x v="10"/>
    <d v="2024-12-04T00:00:00"/>
    <d v="2024-12-24T00:00:00"/>
    <x v="1"/>
    <n v="9"/>
    <n v="2339"/>
    <n v="11.985209729074265"/>
    <n v="15.930479514192312"/>
    <n v="37261.391583695819"/>
    <n v="28033.405556304708"/>
    <n v="9227.9860273911108"/>
    <n v="741.42688321642845"/>
    <n v="9969.4129106075397"/>
    <n v="0"/>
    <n v="0"/>
    <n v="0"/>
    <n v="9969.4129106075397"/>
  </r>
  <r>
    <x v="11"/>
    <d v="2025-01-03T00:00:00"/>
    <d v="2025-01-24T00:00:00"/>
    <x v="1"/>
    <n v="9"/>
    <n v="2520"/>
    <n v="11.985209729074265"/>
    <n v="15.930479514192312"/>
    <n v="40144.808375764624"/>
    <n v="30202.728517267147"/>
    <n v="9942.0798584974764"/>
    <n v="798.80108837340731"/>
    <n v="10740.880946870884"/>
    <n v="0"/>
    <n v="0"/>
    <n v="0"/>
    <n v="10740.880946870884"/>
  </r>
  <r>
    <x v="0"/>
    <d v="2024-02-05T00:00:00"/>
    <d v="2024-02-26T00:00:00"/>
    <x v="2"/>
    <n v="9"/>
    <n v="216"/>
    <n v="11.985209729074265"/>
    <n v="15.930479514192312"/>
    <n v="3440.9835750655393"/>
    <n v="2588.8053014800412"/>
    <n v="852.17827358549812"/>
    <n v="68.468664717720642"/>
    <n v="920.6469383032188"/>
    <n v="0"/>
    <n v="0"/>
    <n v="0"/>
    <n v="920.6469383032188"/>
  </r>
  <r>
    <x v="1"/>
    <d v="2024-03-05T00:00:00"/>
    <d v="2024-03-25T00:00:00"/>
    <x v="2"/>
    <n v="9"/>
    <n v="146"/>
    <n v="11.985209729074265"/>
    <n v="15.930479514192312"/>
    <n v="2325.8500090720777"/>
    <n v="1749.8406204448427"/>
    <n v="576.00938862723501"/>
    <n v="46.279745596237092"/>
    <n v="622.28913422347205"/>
    <n v="0"/>
    <n v="0"/>
    <n v="0"/>
    <n v="622.28913422347205"/>
  </r>
  <r>
    <x v="2"/>
    <d v="2024-04-03T00:00:00"/>
    <d v="2024-04-24T00:00:00"/>
    <x v="2"/>
    <n v="9"/>
    <n v="113"/>
    <n v="11.985209729074265"/>
    <n v="15.930479514192312"/>
    <n v="1800.1441851037312"/>
    <n v="1354.3286993853919"/>
    <n v="445.81548571833923"/>
    <n v="35.819255153251994"/>
    <n v="481.63474087159125"/>
    <n v="0"/>
    <n v="0"/>
    <n v="0"/>
    <n v="481.63474087159125"/>
  </r>
  <r>
    <x v="3"/>
    <d v="2024-05-03T00:00:00"/>
    <d v="2024-05-24T00:00:00"/>
    <x v="2"/>
    <n v="9"/>
    <n v="76"/>
    <n v="11.985209729074265"/>
    <n v="15.930479514192312"/>
    <n v="1210.7164430786156"/>
    <n v="910.87593940964416"/>
    <n v="299.84050366897145"/>
    <n v="24.090826474753555"/>
    <n v="323.93133014372501"/>
    <n v="0"/>
    <n v="0"/>
    <n v="0"/>
    <n v="323.93133014372501"/>
  </r>
  <r>
    <x v="4"/>
    <d v="2024-06-05T00:00:00"/>
    <d v="2024-06-24T00:00:00"/>
    <x v="2"/>
    <n v="9"/>
    <n v="120"/>
    <n v="11.985209729074265"/>
    <n v="15.930479514192312"/>
    <n v="1911.6575417030774"/>
    <n v="1438.2251674889119"/>
    <n v="473.43237421416552"/>
    <n v="38.038147065400352"/>
    <n v="511.4705212795659"/>
    <n v="0"/>
    <n v="0"/>
    <n v="0"/>
    <n v="511.4705212795659"/>
  </r>
  <r>
    <x v="5"/>
    <d v="2024-07-03T00:00:00"/>
    <d v="2024-07-24T00:00:00"/>
    <x v="2"/>
    <n v="9"/>
    <n v="147"/>
    <n v="11.985209729074265"/>
    <n v="15.930479514192312"/>
    <n v="2341.7804885862697"/>
    <n v="1761.825830173917"/>
    <n v="579.95465841235273"/>
    <n v="46.596730155115431"/>
    <n v="626.55138856746817"/>
    <n v="0"/>
    <n v="0"/>
    <n v="0"/>
    <n v="626.55138856746817"/>
  </r>
  <r>
    <x v="6"/>
    <d v="2024-08-05T00:00:00"/>
    <d v="2024-08-26T00:00:00"/>
    <x v="2"/>
    <n v="9"/>
    <n v="155"/>
    <n v="11.985209729074265"/>
    <n v="15.930479514192312"/>
    <n v="2469.2243246998082"/>
    <n v="1857.707508006511"/>
    <n v="611.51681669329719"/>
    <n v="49.13260662614212"/>
    <n v="660.64942331943928"/>
    <n v="0"/>
    <n v="0"/>
    <n v="0"/>
    <n v="660.64942331943928"/>
  </r>
  <r>
    <x v="7"/>
    <d v="2024-09-04T00:00:00"/>
    <d v="2024-09-24T00:00:00"/>
    <x v="2"/>
    <n v="9"/>
    <n v="157"/>
    <n v="11.985209729074265"/>
    <n v="15.930479514192312"/>
    <n v="2501.0852837281932"/>
    <n v="1881.6779274646597"/>
    <n v="619.40735626353353"/>
    <n v="49.766575743898791"/>
    <n v="669.17393200743231"/>
    <n v="0"/>
    <n v="0"/>
    <n v="0"/>
    <n v="669.17393200743231"/>
  </r>
  <r>
    <x v="8"/>
    <d v="2024-10-03T00:00:00"/>
    <d v="2024-10-24T00:00:00"/>
    <x v="2"/>
    <n v="9"/>
    <n v="126"/>
    <n v="11.985209729074265"/>
    <n v="15.930479514192312"/>
    <n v="2007.2404187882314"/>
    <n v="1510.1364258633573"/>
    <n v="497.10399292487409"/>
    <n v="39.940054418670364"/>
    <n v="537.04404734354443"/>
    <n v="0"/>
    <n v="0"/>
    <n v="0"/>
    <n v="537.04404734354443"/>
  </r>
  <r>
    <x v="9"/>
    <d v="2024-11-05T00:00:00"/>
    <d v="2024-11-25T00:00:00"/>
    <x v="2"/>
    <n v="9"/>
    <n v="112"/>
    <n v="11.985209729074265"/>
    <n v="15.930479514192312"/>
    <n v="1784.2137055895389"/>
    <n v="1342.3434896563176"/>
    <n v="441.87021593322129"/>
    <n v="35.502270594373663"/>
    <n v="477.37248652759496"/>
    <n v="0"/>
    <n v="0"/>
    <n v="0"/>
    <n v="477.37248652759496"/>
  </r>
  <r>
    <x v="10"/>
    <d v="2024-12-04T00:00:00"/>
    <d v="2024-12-24T00:00:00"/>
    <x v="2"/>
    <n v="9"/>
    <n v="93"/>
    <n v="11.985209729074265"/>
    <n v="15.930479514192312"/>
    <n v="1481.5345948198851"/>
    <n v="1114.6245048039066"/>
    <n v="366.91009001597854"/>
    <n v="29.47956397568527"/>
    <n v="396.38965399166381"/>
    <n v="0"/>
    <n v="0"/>
    <n v="0"/>
    <n v="396.38965399166381"/>
  </r>
  <r>
    <x v="11"/>
    <d v="2025-01-03T00:00:00"/>
    <d v="2025-01-24T00:00:00"/>
    <x v="2"/>
    <n v="9"/>
    <n v="128"/>
    <n v="11.985209729074265"/>
    <n v="15.930479514192312"/>
    <n v="2039.1013778166159"/>
    <n v="1534.1068453215059"/>
    <n v="504.99453249510998"/>
    <n v="40.574023536427042"/>
    <n v="545.56855603153701"/>
    <n v="0"/>
    <n v="0"/>
    <n v="0"/>
    <n v="545.56855603153701"/>
  </r>
  <r>
    <x v="0"/>
    <d v="2024-02-05T00:00:00"/>
    <d v="2024-02-26T00:00:00"/>
    <x v="3"/>
    <n v="9"/>
    <n v="1129"/>
    <n v="11.985209729074265"/>
    <n v="15.930479514192312"/>
    <n v="17985.51137152312"/>
    <n v="13531.301784124846"/>
    <n v="4454.2095873982744"/>
    <n v="357.87556697364164"/>
    <n v="4812.0851543719164"/>
    <n v="0"/>
    <n v="0"/>
    <n v="0"/>
    <n v="4812.0851543719164"/>
  </r>
  <r>
    <x v="1"/>
    <d v="2024-03-05T00:00:00"/>
    <d v="2024-03-25T00:00:00"/>
    <x v="3"/>
    <n v="9"/>
    <n v="739"/>
    <n v="11.985209729074265"/>
    <n v="15.930479514192312"/>
    <n v="11772.624360988118"/>
    <n v="8857.0699897858813"/>
    <n v="2915.5543712022372"/>
    <n v="234.25158901109049"/>
    <n v="3149.8059602133276"/>
    <n v="0"/>
    <n v="0"/>
    <n v="0"/>
    <n v="3149.8059602133276"/>
  </r>
  <r>
    <x v="2"/>
    <d v="2024-04-03T00:00:00"/>
    <d v="2024-04-24T00:00:00"/>
    <x v="3"/>
    <n v="9"/>
    <n v="642"/>
    <n v="11.985209729074265"/>
    <n v="15.930479514192312"/>
    <n v="10227.367848111464"/>
    <n v="7694.5046460656786"/>
    <n v="2532.8632020457853"/>
    <n v="203.50408679989187"/>
    <n v="2736.3672888456772"/>
    <n v="0"/>
    <n v="0"/>
    <n v="0"/>
    <n v="2736.3672888456772"/>
  </r>
  <r>
    <x v="3"/>
    <d v="2024-05-03T00:00:00"/>
    <d v="2024-05-24T00:00:00"/>
    <x v="3"/>
    <n v="9"/>
    <n v="581"/>
    <n v="11.985209729074265"/>
    <n v="15.930479514192312"/>
    <n v="9255.6085977457333"/>
    <n v="6963.4068525921484"/>
    <n v="2292.2017451535849"/>
    <n v="184.16802870831336"/>
    <n v="2476.369773861898"/>
    <n v="0"/>
    <n v="0"/>
    <n v="0"/>
    <n v="2476.369773861898"/>
  </r>
  <r>
    <x v="4"/>
    <d v="2024-06-05T00:00:00"/>
    <d v="2024-06-24T00:00:00"/>
    <x v="3"/>
    <n v="9"/>
    <n v="753"/>
    <n v="11.985209729074265"/>
    <n v="15.930479514192312"/>
    <n v="11995.651074186811"/>
    <n v="9024.8629259929221"/>
    <n v="2970.7881481938894"/>
    <n v="238.68937283538722"/>
    <n v="3209.4775210292764"/>
    <n v="0"/>
    <n v="0"/>
    <n v="0"/>
    <n v="3209.4775210292764"/>
  </r>
  <r>
    <x v="5"/>
    <d v="2024-07-03T00:00:00"/>
    <d v="2024-07-24T00:00:00"/>
    <x v="3"/>
    <n v="9"/>
    <n v="1001"/>
    <n v="11.985209729074265"/>
    <n v="15.930479514192312"/>
    <n v="15946.409993706504"/>
    <n v="11997.194938803339"/>
    <n v="3949.2150549031649"/>
    <n v="317.3015434372146"/>
    <n v="4266.5165983403795"/>
    <n v="0"/>
    <n v="0"/>
    <n v="0"/>
    <n v="4266.5165983403795"/>
  </r>
  <r>
    <x v="6"/>
    <d v="2024-08-05T00:00:00"/>
    <d v="2024-08-26T00:00:00"/>
    <x v="3"/>
    <n v="9"/>
    <n v="961"/>
    <n v="11.985209729074265"/>
    <n v="15.930479514192312"/>
    <n v="15309.190813138812"/>
    <n v="11517.786549640368"/>
    <n v="3791.4042634984435"/>
    <n v="304.62216108208111"/>
    <n v="4096.0264245805247"/>
    <n v="0"/>
    <n v="0"/>
    <n v="0"/>
    <n v="4096.0264245805247"/>
  </r>
  <r>
    <x v="7"/>
    <d v="2024-09-04T00:00:00"/>
    <d v="2024-09-24T00:00:00"/>
    <x v="3"/>
    <n v="9"/>
    <n v="1017"/>
    <n v="11.985209729074265"/>
    <n v="15.930479514192312"/>
    <n v="16201.297665933582"/>
    <n v="12188.958294468528"/>
    <n v="4012.3393714650538"/>
    <n v="322.37329637926797"/>
    <n v="4334.7126678443219"/>
    <n v="0"/>
    <n v="0"/>
    <n v="0"/>
    <n v="4334.7126678443219"/>
  </r>
  <r>
    <x v="8"/>
    <d v="2024-10-03T00:00:00"/>
    <d v="2024-10-24T00:00:00"/>
    <x v="3"/>
    <n v="9"/>
    <n v="856"/>
    <n v="11.985209729074265"/>
    <n v="15.930479514192312"/>
    <n v="13636.490464148619"/>
    <n v="10259.33952808757"/>
    <n v="3377.1509360610489"/>
    <n v="271.3387823998558"/>
    <n v="3648.4897184609049"/>
    <n v="0"/>
    <n v="0"/>
    <n v="0"/>
    <n v="3648.4897184609049"/>
  </r>
  <r>
    <x v="9"/>
    <d v="2024-11-05T00:00:00"/>
    <d v="2024-11-25T00:00:00"/>
    <x v="3"/>
    <n v="9"/>
    <n v="786"/>
    <n v="11.985209729074265"/>
    <n v="15.930479514192312"/>
    <n v="12521.356898155158"/>
    <n v="9420.3748470523733"/>
    <n v="3100.9820511027847"/>
    <n v="249.14986327837229"/>
    <n v="3350.131914381157"/>
    <n v="0"/>
    <n v="0"/>
    <n v="0"/>
    <n v="3350.131914381157"/>
  </r>
  <r>
    <x v="10"/>
    <d v="2024-12-04T00:00:00"/>
    <d v="2024-12-24T00:00:00"/>
    <x v="3"/>
    <n v="9"/>
    <n v="463"/>
    <n v="11.985209729074265"/>
    <n v="15.930479514192312"/>
    <n v="7375.8120150710402"/>
    <n v="5549.1521045613845"/>
    <n v="1826.6599105096557"/>
    <n v="146.7638507606697"/>
    <n v="1973.4237612703255"/>
    <n v="0"/>
    <n v="0"/>
    <n v="0"/>
    <n v="1973.4237612703255"/>
  </r>
  <r>
    <x v="11"/>
    <d v="2025-01-03T00:00:00"/>
    <d v="2025-01-24T00:00:00"/>
    <x v="3"/>
    <n v="9"/>
    <n v="725"/>
    <n v="11.985209729074265"/>
    <n v="15.930479514192312"/>
    <n v="11549.597647789426"/>
    <n v="8689.2770535788422"/>
    <n v="2860.3205942105833"/>
    <n v="229.81380518679379"/>
    <n v="3090.1343993973769"/>
    <n v="0"/>
    <n v="0"/>
    <n v="0"/>
    <n v="3090.1343993973769"/>
  </r>
  <r>
    <x v="0"/>
    <d v="2024-02-05T00:00:00"/>
    <d v="2024-02-26T00:00:00"/>
    <x v="4"/>
    <n v="9"/>
    <n v="58"/>
    <n v="11.985209729074265"/>
    <n v="15.930479514192312"/>
    <n v="923.96781182315408"/>
    <n v="695.14216428630743"/>
    <n v="228.82564753684665"/>
    <n v="18.385104414943502"/>
    <n v="247.21075195179014"/>
    <n v="0"/>
    <n v="0"/>
    <n v="0"/>
    <n v="247.21075195179014"/>
  </r>
  <r>
    <x v="1"/>
    <d v="2024-03-05T00:00:00"/>
    <d v="2024-03-25T00:00:00"/>
    <x v="4"/>
    <n v="9"/>
    <n v="36"/>
    <n v="11.985209729074265"/>
    <n v="15.930479514192312"/>
    <n v="573.49726251092318"/>
    <n v="431.46755024667357"/>
    <n v="142.02971226424961"/>
    <n v="11.411444119620105"/>
    <n v="153.44115638386972"/>
    <n v="0"/>
    <n v="0"/>
    <n v="0"/>
    <n v="153.44115638386972"/>
  </r>
  <r>
    <x v="2"/>
    <d v="2024-04-03T00:00:00"/>
    <d v="2024-04-24T00:00:00"/>
    <x v="4"/>
    <n v="9"/>
    <n v="29"/>
    <n v="11.985209729074265"/>
    <n v="15.930479514192312"/>
    <n v="461.98390591157704"/>
    <n v="347.57108214315372"/>
    <n v="114.41282376842332"/>
    <n v="9.1925522074717509"/>
    <n v="123.60537597589507"/>
    <n v="0"/>
    <n v="0"/>
    <n v="0"/>
    <n v="123.60537597589507"/>
  </r>
  <r>
    <x v="3"/>
    <d v="2024-05-03T00:00:00"/>
    <d v="2024-05-24T00:00:00"/>
    <x v="4"/>
    <n v="9"/>
    <n v="27"/>
    <n v="11.985209729074265"/>
    <n v="15.930479514192312"/>
    <n v="430.12294688319241"/>
    <n v="323.60066268500515"/>
    <n v="106.52228419818726"/>
    <n v="8.5585830897150803"/>
    <n v="115.08086728790235"/>
    <n v="0"/>
    <n v="0"/>
    <n v="0"/>
    <n v="115.08086728790235"/>
  </r>
  <r>
    <x v="4"/>
    <d v="2024-06-05T00:00:00"/>
    <d v="2024-06-24T00:00:00"/>
    <x v="4"/>
    <n v="9"/>
    <n v="36"/>
    <n v="11.985209729074265"/>
    <n v="15.930479514192312"/>
    <n v="573.49726251092318"/>
    <n v="431.46755024667357"/>
    <n v="142.02971226424961"/>
    <n v="11.411444119620105"/>
    <n v="153.44115638386972"/>
    <n v="0"/>
    <n v="0"/>
    <n v="0"/>
    <n v="153.44115638386972"/>
  </r>
  <r>
    <x v="5"/>
    <d v="2024-07-03T00:00:00"/>
    <d v="2024-07-24T00:00:00"/>
    <x v="4"/>
    <n v="9"/>
    <n v="53"/>
    <n v="11.985209729074265"/>
    <n v="15.930479514192312"/>
    <n v="844.31541425219257"/>
    <n v="635.2161156409361"/>
    <n v="209.09929861125647"/>
    <n v="16.800181620551822"/>
    <n v="225.8994802318083"/>
    <n v="0"/>
    <n v="0"/>
    <n v="0"/>
    <n v="225.8994802318083"/>
  </r>
  <r>
    <x v="6"/>
    <d v="2024-08-05T00:00:00"/>
    <d v="2024-08-26T00:00:00"/>
    <x v="4"/>
    <n v="9"/>
    <n v="53"/>
    <n v="11.985209729074265"/>
    <n v="15.930479514192312"/>
    <n v="844.31541425219257"/>
    <n v="635.2161156409361"/>
    <n v="209.09929861125647"/>
    <n v="16.800181620551822"/>
    <n v="225.8994802318083"/>
    <n v="0"/>
    <n v="0"/>
    <n v="0"/>
    <n v="225.8994802318083"/>
  </r>
  <r>
    <x v="7"/>
    <d v="2024-09-04T00:00:00"/>
    <d v="2024-09-24T00:00:00"/>
    <x v="4"/>
    <n v="9"/>
    <n v="54"/>
    <n v="11.985209729074265"/>
    <n v="15.930479514192312"/>
    <n v="860.24589376638482"/>
    <n v="647.2013253700103"/>
    <n v="213.04456839637453"/>
    <n v="17.117166179430161"/>
    <n v="230.1617345758047"/>
    <n v="0"/>
    <n v="0"/>
    <n v="0"/>
    <n v="230.1617345758047"/>
  </r>
  <r>
    <x v="8"/>
    <d v="2024-10-03T00:00:00"/>
    <d v="2024-10-24T00:00:00"/>
    <x v="4"/>
    <n v="9"/>
    <n v="48"/>
    <n v="11.985209729074265"/>
    <n v="15.930479514192312"/>
    <n v="764.66301668123094"/>
    <n v="575.29006699556476"/>
    <n v="189.37294968566619"/>
    <n v="15.21525882616014"/>
    <n v="204.58820851182634"/>
    <n v="0"/>
    <n v="0"/>
    <n v="0"/>
    <n v="204.58820851182634"/>
  </r>
  <r>
    <x v="9"/>
    <d v="2024-11-05T00:00:00"/>
    <d v="2024-11-25T00:00:00"/>
    <x v="4"/>
    <n v="9"/>
    <n v="41"/>
    <n v="11.985209729074265"/>
    <n v="15.930479514192312"/>
    <n v="653.1496600818848"/>
    <n v="491.39359889204485"/>
    <n v="161.75606118983995"/>
    <n v="12.996366914011787"/>
    <n v="174.75242810385174"/>
    <n v="0"/>
    <n v="0"/>
    <n v="0"/>
    <n v="174.75242810385174"/>
  </r>
  <r>
    <x v="10"/>
    <d v="2024-12-04T00:00:00"/>
    <d v="2024-12-24T00:00:00"/>
    <x v="4"/>
    <n v="9"/>
    <n v="22"/>
    <n v="11.985209729074265"/>
    <n v="15.930479514192312"/>
    <n v="350.47054931223084"/>
    <n v="263.67461403963381"/>
    <n v="86.795935272597035"/>
    <n v="6.9736602953233975"/>
    <n v="93.769595567920433"/>
    <n v="0"/>
    <n v="0"/>
    <n v="0"/>
    <n v="93.769595567920433"/>
  </r>
  <r>
    <x v="11"/>
    <d v="2025-01-03T00:00:00"/>
    <d v="2025-01-24T00:00:00"/>
    <x v="4"/>
    <n v="9"/>
    <n v="37"/>
    <n v="11.985209729074265"/>
    <n v="15.930479514192312"/>
    <n v="589.42774202511555"/>
    <n v="443.45275997574782"/>
    <n v="145.97498204936772"/>
    <n v="11.728428678498441"/>
    <n v="157.70341072786616"/>
    <n v="0"/>
    <n v="0"/>
    <n v="0"/>
    <n v="157.70341072786616"/>
  </r>
  <r>
    <x v="0"/>
    <d v="2024-02-05T00:00:00"/>
    <d v="2024-02-26T00:00:00"/>
    <x v="5"/>
    <n v="9"/>
    <n v="75"/>
    <n v="11.985209729074265"/>
    <n v="15.930479514192312"/>
    <n v="1194.7859635644234"/>
    <n v="898.89072968056985"/>
    <n v="295.89523388385351"/>
    <n v="23.77384191587522"/>
    <n v="319.66907579972872"/>
    <n v="0"/>
    <n v="0"/>
    <n v="0"/>
    <n v="319.66907579972872"/>
  </r>
  <r>
    <x v="1"/>
    <d v="2024-03-05T00:00:00"/>
    <d v="2024-03-25T00:00:00"/>
    <x v="5"/>
    <n v="9"/>
    <n v="54"/>
    <n v="11.985209729074265"/>
    <n v="15.930479514192312"/>
    <n v="860.24589376638482"/>
    <n v="647.2013253700103"/>
    <n v="213.04456839637453"/>
    <n v="17.117166179430161"/>
    <n v="230.1617345758047"/>
    <n v="0"/>
    <n v="0"/>
    <n v="0"/>
    <n v="230.1617345758047"/>
  </r>
  <r>
    <x v="2"/>
    <d v="2024-04-03T00:00:00"/>
    <d v="2024-04-24T00:00:00"/>
    <x v="5"/>
    <n v="9"/>
    <n v="49"/>
    <n v="11.985209729074265"/>
    <n v="15.930479514192312"/>
    <n v="780.59349619542331"/>
    <n v="587.27527672463896"/>
    <n v="193.31821947078436"/>
    <n v="15.532243385038477"/>
    <n v="208.85046285582283"/>
    <n v="0"/>
    <n v="0"/>
    <n v="0"/>
    <n v="208.85046285582283"/>
  </r>
  <r>
    <x v="3"/>
    <d v="2024-05-03T00:00:00"/>
    <d v="2024-05-24T00:00:00"/>
    <x v="5"/>
    <n v="9"/>
    <n v="43"/>
    <n v="11.985209729074265"/>
    <n v="15.930479514192312"/>
    <n v="685.01061911026943"/>
    <n v="515.36401835019342"/>
    <n v="169.64660076007601"/>
    <n v="13.63033603176846"/>
    <n v="183.27693679184446"/>
    <n v="0"/>
    <n v="0"/>
    <n v="0"/>
    <n v="183.27693679184446"/>
  </r>
  <r>
    <x v="4"/>
    <d v="2024-06-05T00:00:00"/>
    <d v="2024-06-24T00:00:00"/>
    <x v="5"/>
    <n v="9"/>
    <n v="50"/>
    <n v="11.985209729074265"/>
    <n v="15.930479514192312"/>
    <n v="796.52397570961557"/>
    <n v="599.26048645371327"/>
    <n v="197.2634892559023"/>
    <n v="15.849227943916814"/>
    <n v="213.11271719981912"/>
    <n v="0"/>
    <n v="0"/>
    <n v="0"/>
    <n v="213.11271719981912"/>
  </r>
  <r>
    <x v="5"/>
    <d v="2024-07-03T00:00:00"/>
    <d v="2024-07-24T00:00:00"/>
    <x v="5"/>
    <n v="9"/>
    <n v="59"/>
    <n v="11.985209729074265"/>
    <n v="15.930479514192312"/>
    <n v="939.89829133734645"/>
    <n v="707.12737401538163"/>
    <n v="232.77091732196482"/>
    <n v="18.702088973821837"/>
    <n v="251.47300629578666"/>
    <n v="0"/>
    <n v="0"/>
    <n v="0"/>
    <n v="251.47300629578666"/>
  </r>
  <r>
    <x v="6"/>
    <d v="2024-08-05T00:00:00"/>
    <d v="2024-08-26T00:00:00"/>
    <x v="5"/>
    <n v="9"/>
    <n v="60"/>
    <n v="11.985209729074265"/>
    <n v="15.930479514192312"/>
    <n v="955.82877085153871"/>
    <n v="719.11258374445595"/>
    <n v="236.71618710708276"/>
    <n v="19.019073532700176"/>
    <n v="255.73526063978295"/>
    <n v="0"/>
    <n v="0"/>
    <n v="0"/>
    <n v="255.73526063978295"/>
  </r>
  <r>
    <x v="7"/>
    <d v="2024-09-04T00:00:00"/>
    <d v="2024-09-24T00:00:00"/>
    <x v="5"/>
    <n v="9"/>
    <n v="56"/>
    <n v="11.985209729074265"/>
    <n v="15.930479514192312"/>
    <n v="892.10685279476945"/>
    <n v="671.17174482815881"/>
    <n v="220.93510796661064"/>
    <n v="17.751135297186831"/>
    <n v="238.68624326379748"/>
    <n v="0"/>
    <n v="0"/>
    <n v="0"/>
    <n v="238.68624326379748"/>
  </r>
  <r>
    <x v="8"/>
    <d v="2024-10-03T00:00:00"/>
    <d v="2024-10-24T00:00:00"/>
    <x v="5"/>
    <n v="9"/>
    <n v="55"/>
    <n v="11.985209729074265"/>
    <n v="15.930479514192312"/>
    <n v="876.1763732805772"/>
    <n v="659.18653509908461"/>
    <n v="216.98983818149259"/>
    <n v="17.434150738308492"/>
    <n v="234.42398891980108"/>
    <n v="0"/>
    <n v="0"/>
    <n v="0"/>
    <n v="234.42398891980108"/>
  </r>
  <r>
    <x v="9"/>
    <d v="2024-11-05T00:00:00"/>
    <d v="2024-11-25T00:00:00"/>
    <x v="5"/>
    <n v="9"/>
    <n v="51"/>
    <n v="11.985209729074265"/>
    <n v="15.930479514192312"/>
    <n v="812.45445522380794"/>
    <n v="611.24569618278747"/>
    <n v="201.20875904102047"/>
    <n v="16.166212502795148"/>
    <n v="217.3749715438156"/>
    <n v="0"/>
    <n v="0"/>
    <n v="0"/>
    <n v="217.3749715438156"/>
  </r>
  <r>
    <x v="10"/>
    <d v="2024-12-04T00:00:00"/>
    <d v="2024-12-24T00:00:00"/>
    <x v="5"/>
    <n v="9"/>
    <n v="40"/>
    <n v="11.985209729074265"/>
    <n v="15.930479514192312"/>
    <n v="637.21918056769243"/>
    <n v="479.40838916297059"/>
    <n v="157.81079140472184"/>
    <n v="12.67938235513345"/>
    <n v="170.49017375985528"/>
    <n v="0"/>
    <n v="0"/>
    <n v="0"/>
    <n v="170.49017375985528"/>
  </r>
  <r>
    <x v="11"/>
    <d v="2025-01-03T00:00:00"/>
    <d v="2025-01-24T00:00:00"/>
    <x v="5"/>
    <n v="9"/>
    <n v="51"/>
    <n v="11.985209729074265"/>
    <n v="15.930479514192312"/>
    <n v="812.45445522380794"/>
    <n v="611.24569618278747"/>
    <n v="201.20875904102047"/>
    <n v="16.166212502795148"/>
    <n v="217.3749715438156"/>
    <n v="0"/>
    <n v="0"/>
    <n v="0"/>
    <n v="217.3749715438156"/>
  </r>
  <r>
    <x v="0"/>
    <d v="2024-02-05T00:00:00"/>
    <d v="2024-02-26T00:00:00"/>
    <x v="6"/>
    <n v="9"/>
    <n v="94"/>
    <n v="11.985209729074265"/>
    <n v="15.930479514192312"/>
    <n v="1497.4650743340774"/>
    <n v="1126.6097145329809"/>
    <n v="370.85535980109648"/>
    <n v="29.796548534563609"/>
    <n v="400.6519083356601"/>
    <n v="0"/>
    <n v="0"/>
    <n v="0"/>
    <n v="400.6519083356601"/>
  </r>
  <r>
    <x v="1"/>
    <d v="2024-03-05T00:00:00"/>
    <d v="2024-03-25T00:00:00"/>
    <x v="6"/>
    <n v="9"/>
    <n v="62"/>
    <n v="11.985209729074265"/>
    <n v="15.930479514192312"/>
    <n v="987.68972987992333"/>
    <n v="743.08300320260446"/>
    <n v="244.60672667731887"/>
    <n v="19.653042650456847"/>
    <n v="264.2597693277757"/>
    <n v="0"/>
    <n v="0"/>
    <n v="0"/>
    <n v="264.2597693277757"/>
  </r>
  <r>
    <x v="2"/>
    <d v="2024-04-03T00:00:00"/>
    <d v="2024-04-24T00:00:00"/>
    <x v="6"/>
    <n v="9"/>
    <n v="60"/>
    <n v="11.985209729074265"/>
    <n v="15.930479514192312"/>
    <n v="955.82877085153871"/>
    <n v="719.11258374445595"/>
    <n v="236.71618710708276"/>
    <n v="19.019073532700176"/>
    <n v="255.73526063978295"/>
    <n v="0"/>
    <n v="0"/>
    <n v="0"/>
    <n v="255.73526063978295"/>
  </r>
  <r>
    <x v="3"/>
    <d v="2024-05-03T00:00:00"/>
    <d v="2024-05-24T00:00:00"/>
    <x v="6"/>
    <n v="9"/>
    <n v="92"/>
    <n v="11.985209729074265"/>
    <n v="15.930479514192312"/>
    <n v="1465.6041153056926"/>
    <n v="1102.6392950748325"/>
    <n v="362.96482023086014"/>
    <n v="29.162579416806935"/>
    <n v="392.12739964766706"/>
    <n v="0"/>
    <n v="0"/>
    <n v="0"/>
    <n v="392.12739964766706"/>
  </r>
  <r>
    <x v="4"/>
    <d v="2024-06-05T00:00:00"/>
    <d v="2024-06-24T00:00:00"/>
    <x v="6"/>
    <n v="9"/>
    <n v="118"/>
    <n v="11.985209729074265"/>
    <n v="15.930479514192312"/>
    <n v="1879.7965826746929"/>
    <n v="1414.2547480307633"/>
    <n v="465.54183464392963"/>
    <n v="37.404177947643674"/>
    <n v="502.94601259157332"/>
    <n v="0"/>
    <n v="0"/>
    <n v="0"/>
    <n v="502.94601259157332"/>
  </r>
  <r>
    <x v="5"/>
    <d v="2024-07-03T00:00:00"/>
    <d v="2024-07-24T00:00:00"/>
    <x v="6"/>
    <n v="9"/>
    <n v="143"/>
    <n v="11.985209729074265"/>
    <n v="15.930479514192312"/>
    <n v="2278.0585705295007"/>
    <n v="1713.88499125762"/>
    <n v="564.17357927188073"/>
    <n v="45.328791919602082"/>
    <n v="609.50237119148278"/>
    <n v="0"/>
    <n v="0"/>
    <n v="0"/>
    <n v="609.50237119148278"/>
  </r>
  <r>
    <x v="6"/>
    <d v="2024-08-05T00:00:00"/>
    <d v="2024-08-26T00:00:00"/>
    <x v="6"/>
    <n v="9"/>
    <n v="151"/>
    <n v="11.985209729074265"/>
    <n v="15.930479514192312"/>
    <n v="2405.5024066430392"/>
    <n v="1809.766669090214"/>
    <n v="595.73573755282519"/>
    <n v="47.864668390628772"/>
    <n v="643.60040594345401"/>
    <n v="0"/>
    <n v="0"/>
    <n v="0"/>
    <n v="643.60040594345401"/>
  </r>
  <r>
    <x v="7"/>
    <d v="2024-09-04T00:00:00"/>
    <d v="2024-09-24T00:00:00"/>
    <x v="6"/>
    <n v="9"/>
    <n v="157"/>
    <n v="11.985209729074265"/>
    <n v="15.930479514192312"/>
    <n v="2501.0852837281932"/>
    <n v="1881.6779274646597"/>
    <n v="619.40735626353353"/>
    <n v="49.766575743898791"/>
    <n v="669.17393200743231"/>
    <n v="0"/>
    <n v="0"/>
    <n v="0"/>
    <n v="669.17393200743231"/>
  </r>
  <r>
    <x v="8"/>
    <d v="2024-10-03T00:00:00"/>
    <d v="2024-10-24T00:00:00"/>
    <x v="6"/>
    <n v="9"/>
    <n v="146"/>
    <n v="11.985209729074265"/>
    <n v="15.930479514192312"/>
    <n v="2325.8500090720777"/>
    <n v="1749.8406204448427"/>
    <n v="576.00938862723501"/>
    <n v="46.279745596237092"/>
    <n v="622.28913422347205"/>
    <n v="0"/>
    <n v="0"/>
    <n v="0"/>
    <n v="622.28913422347205"/>
  </r>
  <r>
    <x v="9"/>
    <d v="2024-11-05T00:00:00"/>
    <d v="2024-11-25T00:00:00"/>
    <x v="6"/>
    <n v="9"/>
    <n v="116"/>
    <n v="11.985209729074265"/>
    <n v="15.930479514192312"/>
    <n v="1847.9356236463082"/>
    <n v="1390.2843285726149"/>
    <n v="457.65129507369329"/>
    <n v="36.770208829887004"/>
    <n v="494.42150390358029"/>
    <n v="0"/>
    <n v="0"/>
    <n v="0"/>
    <n v="494.42150390358029"/>
  </r>
  <r>
    <x v="10"/>
    <d v="2024-12-04T00:00:00"/>
    <d v="2024-12-24T00:00:00"/>
    <x v="6"/>
    <n v="9"/>
    <n v="62"/>
    <n v="11.985209729074265"/>
    <n v="15.930479514192312"/>
    <n v="987.68972987992333"/>
    <n v="743.08300320260446"/>
    <n v="244.60672667731887"/>
    <n v="19.653042650456847"/>
    <n v="264.2597693277757"/>
    <n v="0"/>
    <n v="0"/>
    <n v="0"/>
    <n v="264.2597693277757"/>
  </r>
  <r>
    <x v="11"/>
    <d v="2025-01-03T00:00:00"/>
    <d v="2025-01-24T00:00:00"/>
    <x v="6"/>
    <n v="9"/>
    <n v="77"/>
    <n v="11.985209729074265"/>
    <n v="15.930479514192312"/>
    <n v="1226.6469225928081"/>
    <n v="922.86114913871847"/>
    <n v="303.78577345408962"/>
    <n v="24.407811033631891"/>
    <n v="328.19358448772152"/>
    <n v="0"/>
    <n v="0"/>
    <n v="0"/>
    <n v="328.19358448772152"/>
  </r>
  <r>
    <x v="0"/>
    <d v="2024-02-05T00:00:00"/>
    <d v="2024-02-26T00:00:00"/>
    <x v="7"/>
    <n v="9"/>
    <n v="65"/>
    <n v="11.985209729074265"/>
    <n v="15.930479514192312"/>
    <n v="1035.4811684225003"/>
    <n v="779.03863238982728"/>
    <n v="256.44253603267305"/>
    <n v="20.60399632709186"/>
    <n v="277.04653235976491"/>
    <n v="0"/>
    <n v="0"/>
    <n v="0"/>
    <n v="277.04653235976491"/>
  </r>
  <r>
    <x v="1"/>
    <d v="2024-03-05T00:00:00"/>
    <d v="2024-03-25T00:00:00"/>
    <x v="7"/>
    <n v="9"/>
    <n v="65"/>
    <n v="11.985209729074265"/>
    <n v="15.930479514192312"/>
    <n v="1035.4811684225003"/>
    <n v="779.03863238982728"/>
    <n v="256.44253603267305"/>
    <n v="20.60399632709186"/>
    <n v="277.04653235976491"/>
    <n v="0"/>
    <n v="0"/>
    <n v="0"/>
    <n v="277.04653235976491"/>
  </r>
  <r>
    <x v="2"/>
    <d v="2024-04-03T00:00:00"/>
    <d v="2024-04-24T00:00:00"/>
    <x v="7"/>
    <n v="9"/>
    <n v="64"/>
    <n v="11.985209729074265"/>
    <n v="15.930479514192312"/>
    <n v="1019.550688908308"/>
    <n v="767.05342266075297"/>
    <n v="252.49726624755499"/>
    <n v="20.287011768213521"/>
    <n v="272.78427801576851"/>
    <n v="0"/>
    <n v="0"/>
    <n v="0"/>
    <n v="272.78427801576851"/>
  </r>
  <r>
    <x v="3"/>
    <d v="2024-05-03T00:00:00"/>
    <d v="2024-05-24T00:00:00"/>
    <x v="7"/>
    <n v="9"/>
    <n v="65"/>
    <n v="11.985209729074265"/>
    <n v="15.930479514192312"/>
    <n v="1035.4811684225003"/>
    <n v="779.03863238982728"/>
    <n v="256.44253603267305"/>
    <n v="20.60399632709186"/>
    <n v="277.04653235976491"/>
    <n v="0"/>
    <n v="0"/>
    <n v="0"/>
    <n v="277.04653235976491"/>
  </r>
  <r>
    <x v="4"/>
    <d v="2024-06-05T00:00:00"/>
    <d v="2024-06-24T00:00:00"/>
    <x v="7"/>
    <n v="9"/>
    <n v="51"/>
    <n v="11.985209729074265"/>
    <n v="15.930479514192312"/>
    <n v="812.45445522380794"/>
    <n v="611.24569618278747"/>
    <n v="201.20875904102047"/>
    <n v="16.166212502795148"/>
    <n v="217.3749715438156"/>
    <n v="0"/>
    <n v="0"/>
    <n v="0"/>
    <n v="217.3749715438156"/>
  </r>
  <r>
    <x v="5"/>
    <d v="2024-07-03T00:00:00"/>
    <d v="2024-07-24T00:00:00"/>
    <x v="7"/>
    <n v="9"/>
    <n v="59"/>
    <n v="11.985209729074265"/>
    <n v="15.930479514192312"/>
    <n v="939.89829133734645"/>
    <n v="707.12737401538163"/>
    <n v="232.77091732196482"/>
    <n v="18.702088973821837"/>
    <n v="251.47300629578666"/>
    <n v="0"/>
    <n v="0"/>
    <n v="0"/>
    <n v="251.47300629578666"/>
  </r>
  <r>
    <x v="6"/>
    <d v="2024-08-05T00:00:00"/>
    <d v="2024-08-26T00:00:00"/>
    <x v="7"/>
    <n v="9"/>
    <n v="67"/>
    <n v="11.985209729074265"/>
    <n v="15.930479514192312"/>
    <n v="1067.3421274508848"/>
    <n v="803.0090518479758"/>
    <n v="264.33307560290905"/>
    <n v="21.23796544484853"/>
    <n v="285.5710410477576"/>
    <n v="0"/>
    <n v="0"/>
    <n v="0"/>
    <n v="285.5710410477576"/>
  </r>
  <r>
    <x v="7"/>
    <d v="2024-09-04T00:00:00"/>
    <d v="2024-09-24T00:00:00"/>
    <x v="7"/>
    <n v="9"/>
    <n v="70"/>
    <n v="11.985209729074265"/>
    <n v="15.930479514192312"/>
    <n v="1115.1335659934618"/>
    <n v="838.96468103519851"/>
    <n v="276.16888495826333"/>
    <n v="22.188919121483536"/>
    <n v="298.35780407974687"/>
    <n v="0"/>
    <n v="0"/>
    <n v="0"/>
    <n v="298.35780407974687"/>
  </r>
  <r>
    <x v="8"/>
    <d v="2024-10-03T00:00:00"/>
    <d v="2024-10-24T00:00:00"/>
    <x v="7"/>
    <n v="9"/>
    <n v="72"/>
    <n v="11.985209729074265"/>
    <n v="15.930479514192312"/>
    <n v="1146.9945250218464"/>
    <n v="862.93510049334714"/>
    <n v="284.05942452849922"/>
    <n v="22.822888239240211"/>
    <n v="306.88231276773945"/>
    <n v="0"/>
    <n v="0"/>
    <n v="0"/>
    <n v="306.88231276773945"/>
  </r>
  <r>
    <x v="9"/>
    <d v="2024-11-05T00:00:00"/>
    <d v="2024-11-25T00:00:00"/>
    <x v="7"/>
    <n v="9"/>
    <n v="73"/>
    <n v="11.985209729074265"/>
    <n v="15.930479514192312"/>
    <n v="1162.9250045360388"/>
    <n v="874.92031022242134"/>
    <n v="288.00469431361751"/>
    <n v="23.139872798118546"/>
    <n v="311.14456711173602"/>
    <n v="0"/>
    <n v="0"/>
    <n v="0"/>
    <n v="311.14456711173602"/>
  </r>
  <r>
    <x v="10"/>
    <d v="2024-12-04T00:00:00"/>
    <d v="2024-12-24T00:00:00"/>
    <x v="7"/>
    <n v="9"/>
    <n v="72"/>
    <n v="11.985209729074265"/>
    <n v="15.930479514192312"/>
    <n v="1146.9945250218464"/>
    <n v="862.93510049334714"/>
    <n v="284.05942452849922"/>
    <n v="22.822888239240211"/>
    <n v="306.88231276773945"/>
    <n v="0"/>
    <n v="0"/>
    <n v="0"/>
    <n v="306.88231276773945"/>
  </r>
  <r>
    <x v="11"/>
    <d v="2025-01-03T00:00:00"/>
    <d v="2025-01-24T00:00:00"/>
    <x v="7"/>
    <n v="9"/>
    <n v="65"/>
    <n v="11.985209729074265"/>
    <n v="15.930479514192312"/>
    <n v="1035.4811684225003"/>
    <n v="779.03863238982728"/>
    <n v="256.44253603267305"/>
    <n v="20.60399632709186"/>
    <n v="277.04653235976491"/>
    <n v="0"/>
    <n v="0"/>
    <n v="0"/>
    <n v="277.04653235976491"/>
  </r>
  <r>
    <x v="0"/>
    <d v="2024-02-05T00:00:00"/>
    <d v="2024-02-26T00:00:00"/>
    <x v="8"/>
    <n v="9"/>
    <n v="1452"/>
    <n v="11.985209729074265"/>
    <n v="15.930479514192312"/>
    <n v="23131.056254607236"/>
    <n v="17402.524526615834"/>
    <n v="5728.5317279914016"/>
    <n v="460.26157949134426"/>
    <n v="6188.7933074827461"/>
    <n v="0"/>
    <n v="0"/>
    <n v="0"/>
    <n v="6188.7933074827461"/>
  </r>
  <r>
    <x v="1"/>
    <d v="2024-03-05T00:00:00"/>
    <d v="2024-03-25T00:00:00"/>
    <x v="8"/>
    <n v="9"/>
    <n v="966"/>
    <n v="11.985209729074265"/>
    <n v="15.930479514192312"/>
    <n v="15388.843210709772"/>
    <n v="11577.71259828574"/>
    <n v="3811.1306124240327"/>
    <n v="306.20708387647278"/>
    <n v="4117.3376963005057"/>
    <n v="0"/>
    <n v="0"/>
    <n v="0"/>
    <n v="4117.3376963005057"/>
  </r>
  <r>
    <x v="2"/>
    <d v="2024-04-03T00:00:00"/>
    <d v="2024-04-24T00:00:00"/>
    <x v="8"/>
    <n v="9"/>
    <n v="732"/>
    <n v="11.985209729074265"/>
    <n v="15.930479514192312"/>
    <n v="11661.111004388773"/>
    <n v="8773.1735216823618"/>
    <n v="2887.9374827064112"/>
    <n v="232.03269709894215"/>
    <n v="3119.9701798053534"/>
    <n v="0"/>
    <n v="0"/>
    <n v="0"/>
    <n v="3119.9701798053534"/>
  </r>
  <r>
    <x v="3"/>
    <d v="2024-05-03T00:00:00"/>
    <d v="2024-05-24T00:00:00"/>
    <x v="8"/>
    <n v="9"/>
    <n v="547"/>
    <n v="11.985209729074265"/>
    <n v="15.930479514192312"/>
    <n v="8713.9722942631943"/>
    <n v="6555.9097218036231"/>
    <n v="2158.0625724595711"/>
    <n v="173.39055370644994"/>
    <n v="2331.4531261660209"/>
    <n v="0"/>
    <n v="0"/>
    <n v="0"/>
    <n v="2331.4531261660209"/>
  </r>
  <r>
    <x v="4"/>
    <d v="2024-06-05T00:00:00"/>
    <d v="2024-06-24T00:00:00"/>
    <x v="8"/>
    <n v="9"/>
    <n v="747"/>
    <n v="11.985209729074265"/>
    <n v="15.930479514192312"/>
    <n v="11900.068197101657"/>
    <n v="8952.9516676184758"/>
    <n v="2947.1165294831808"/>
    <n v="236.7874654821172"/>
    <n v="3183.9039949652979"/>
    <n v="0"/>
    <n v="0"/>
    <n v="0"/>
    <n v="3183.9039949652979"/>
  </r>
  <r>
    <x v="5"/>
    <d v="2024-07-03T00:00:00"/>
    <d v="2024-07-24T00:00:00"/>
    <x v="8"/>
    <n v="9"/>
    <n v="917"/>
    <n v="11.985209729074265"/>
    <n v="15.930479514192312"/>
    <n v="14608.24971451435"/>
    <n v="10990.437321561101"/>
    <n v="3617.8123929532485"/>
    <n v="290.67484049143434"/>
    <n v="3908.4872334446827"/>
    <n v="0"/>
    <n v="0"/>
    <n v="0"/>
    <n v="3908.4872334446827"/>
  </r>
  <r>
    <x v="6"/>
    <d v="2024-08-05T00:00:00"/>
    <d v="2024-08-26T00:00:00"/>
    <x v="8"/>
    <n v="9"/>
    <n v="950"/>
    <n v="11.985209729074265"/>
    <n v="15.930479514192312"/>
    <n v="15133.955538482696"/>
    <n v="11385.949242620552"/>
    <n v="3748.0062958621438"/>
    <n v="301.13533093441947"/>
    <n v="4049.1416267965633"/>
    <n v="0"/>
    <n v="0"/>
    <n v="0"/>
    <n v="4049.1416267965633"/>
  </r>
  <r>
    <x v="7"/>
    <d v="2024-09-04T00:00:00"/>
    <d v="2024-09-24T00:00:00"/>
    <x v="8"/>
    <n v="9"/>
    <n v="940"/>
    <n v="11.985209729074265"/>
    <n v="15.930479514192312"/>
    <n v="14974.650743340773"/>
    <n v="11266.09714532981"/>
    <n v="3708.5535980109635"/>
    <n v="297.96548534563607"/>
    <n v="4006.5190833565994"/>
    <n v="0"/>
    <n v="0"/>
    <n v="0"/>
    <n v="4006.5190833565994"/>
  </r>
  <r>
    <x v="8"/>
    <d v="2024-10-03T00:00:00"/>
    <d v="2024-10-24T00:00:00"/>
    <x v="8"/>
    <n v="9"/>
    <n v="816"/>
    <n v="11.985209729074265"/>
    <n v="15.930479514192312"/>
    <n v="12999.271283580927"/>
    <n v="9779.9311389245995"/>
    <n v="3219.3401446563275"/>
    <n v="258.65940004472236"/>
    <n v="3477.9995447010497"/>
    <n v="0"/>
    <n v="0"/>
    <n v="0"/>
    <n v="3477.9995447010497"/>
  </r>
  <r>
    <x v="9"/>
    <d v="2024-11-05T00:00:00"/>
    <d v="2024-11-25T00:00:00"/>
    <x v="8"/>
    <n v="9"/>
    <n v="683"/>
    <n v="11.985209729074265"/>
    <n v="15.930479514192312"/>
    <n v="10880.517508193348"/>
    <n v="8185.8982449577234"/>
    <n v="2694.6192632356251"/>
    <n v="216.50045371390368"/>
    <n v="2911.119716949529"/>
    <n v="0"/>
    <n v="0"/>
    <n v="0"/>
    <n v="2911.119716949529"/>
  </r>
  <r>
    <x v="10"/>
    <d v="2024-12-04T00:00:00"/>
    <d v="2024-12-24T00:00:00"/>
    <x v="8"/>
    <n v="9"/>
    <n v="525"/>
    <n v="11.985209729074265"/>
    <n v="15.930479514192312"/>
    <n v="8363.5017449509633"/>
    <n v="6292.2351077639896"/>
    <n v="2071.2666371869736"/>
    <n v="166.41689341112655"/>
    <n v="2237.6835305981003"/>
    <n v="0"/>
    <n v="0"/>
    <n v="0"/>
    <n v="2237.6835305981003"/>
  </r>
  <r>
    <x v="11"/>
    <d v="2025-01-03T00:00:00"/>
    <d v="2025-01-24T00:00:00"/>
    <x v="8"/>
    <n v="9"/>
    <n v="863"/>
    <n v="11.985209729074265"/>
    <n v="15.930479514192312"/>
    <n v="13748.003820747965"/>
    <n v="10343.235996191092"/>
    <n v="3404.7678245568732"/>
    <n v="273.55767431200417"/>
    <n v="3678.3254988688773"/>
    <n v="0"/>
    <n v="0"/>
    <n v="0"/>
    <n v="3678.3254988688773"/>
  </r>
  <r>
    <x v="0"/>
    <d v="2024-02-05T00:00:00"/>
    <d v="2024-02-26T00:00:00"/>
    <x v="9"/>
    <n v="9"/>
    <n v="8"/>
    <n v="11.985209729074265"/>
    <n v="15.930479514192312"/>
    <n v="127.4438361135385"/>
    <n v="95.881677832594121"/>
    <n v="31.562158280944374"/>
    <n v="2.5358764710266901"/>
    <n v="34.098034751971063"/>
    <n v="0"/>
    <n v="0"/>
    <n v="0"/>
    <n v="34.098034751971063"/>
  </r>
  <r>
    <x v="1"/>
    <d v="2024-03-05T00:00:00"/>
    <d v="2024-03-25T00:00:00"/>
    <x v="9"/>
    <n v="9"/>
    <n v="5"/>
    <n v="11.985209729074265"/>
    <n v="15.930479514192312"/>
    <n v="79.652397570961554"/>
    <n v="59.926048645371324"/>
    <n v="19.72634892559023"/>
    <n v="1.5849227943916813"/>
    <n v="21.31127171998191"/>
    <n v="0"/>
    <n v="0"/>
    <n v="0"/>
    <n v="21.31127171998191"/>
  </r>
  <r>
    <x v="2"/>
    <d v="2024-04-03T00:00:00"/>
    <d v="2024-04-24T00:00:00"/>
    <x v="9"/>
    <n v="9"/>
    <n v="5"/>
    <n v="11.985209729074265"/>
    <n v="15.930479514192312"/>
    <n v="79.652397570961554"/>
    <n v="59.926048645371324"/>
    <n v="19.72634892559023"/>
    <n v="1.5849227943916813"/>
    <n v="21.31127171998191"/>
    <n v="0"/>
    <n v="0"/>
    <n v="0"/>
    <n v="21.31127171998191"/>
  </r>
  <r>
    <x v="3"/>
    <d v="2024-05-03T00:00:00"/>
    <d v="2024-05-24T00:00:00"/>
    <x v="9"/>
    <n v="9"/>
    <n v="6"/>
    <n v="11.985209729074265"/>
    <n v="15.930479514192312"/>
    <n v="95.582877085153868"/>
    <n v="71.911258374445595"/>
    <n v="23.671618710708273"/>
    <n v="1.9019073532700175"/>
    <n v="25.573526063978292"/>
    <n v="0"/>
    <n v="0"/>
    <n v="0"/>
    <n v="25.573526063978292"/>
  </r>
  <r>
    <x v="4"/>
    <d v="2024-06-05T00:00:00"/>
    <d v="2024-06-24T00:00:00"/>
    <x v="9"/>
    <n v="9"/>
    <n v="9"/>
    <n v="11.985209729074265"/>
    <n v="15.930479514192312"/>
    <n v="143.37431562773079"/>
    <n v="107.86688756166839"/>
    <n v="35.507428066062403"/>
    <n v="2.8528610299050263"/>
    <n v="38.360289095967431"/>
    <n v="0"/>
    <n v="0"/>
    <n v="0"/>
    <n v="38.360289095967431"/>
  </r>
  <r>
    <x v="5"/>
    <d v="2024-07-03T00:00:00"/>
    <d v="2024-07-24T00:00:00"/>
    <x v="9"/>
    <n v="9"/>
    <n v="14"/>
    <n v="11.985209729074265"/>
    <n v="15.930479514192312"/>
    <n v="223.02671319869236"/>
    <n v="167.7929362070397"/>
    <n v="55.233776991652661"/>
    <n v="4.4377838242967078"/>
    <n v="59.67156081594937"/>
    <n v="0"/>
    <n v="0"/>
    <n v="0"/>
    <n v="59.67156081594937"/>
  </r>
  <r>
    <x v="6"/>
    <d v="2024-08-05T00:00:00"/>
    <d v="2024-08-26T00:00:00"/>
    <x v="9"/>
    <n v="9"/>
    <n v="17"/>
    <n v="11.985209729074265"/>
    <n v="15.930479514192312"/>
    <n v="270.81815174126928"/>
    <n v="203.7485653942625"/>
    <n v="67.069586347006776"/>
    <n v="5.3887375009317164"/>
    <n v="72.458323847938487"/>
    <n v="0"/>
    <n v="0"/>
    <n v="0"/>
    <n v="72.458323847938487"/>
  </r>
  <r>
    <x v="7"/>
    <d v="2024-09-04T00:00:00"/>
    <d v="2024-09-24T00:00:00"/>
    <x v="9"/>
    <n v="9"/>
    <n v="19"/>
    <n v="11.985209729074265"/>
    <n v="15.930479514192312"/>
    <n v="302.6791107696539"/>
    <n v="227.71898485241104"/>
    <n v="74.960125917242863"/>
    <n v="6.0227066186883889"/>
    <n v="80.982832535931252"/>
    <n v="0"/>
    <n v="0"/>
    <n v="0"/>
    <n v="80.982832535931252"/>
  </r>
  <r>
    <x v="8"/>
    <d v="2024-10-03T00:00:00"/>
    <d v="2024-10-24T00:00:00"/>
    <x v="9"/>
    <n v="9"/>
    <n v="11"/>
    <n v="11.985209729074265"/>
    <n v="15.930479514192312"/>
    <n v="175.23527465611542"/>
    <n v="131.8373070198169"/>
    <n v="43.397967636298517"/>
    <n v="3.4868301476616987"/>
    <n v="46.884797783960217"/>
    <n v="0"/>
    <n v="0"/>
    <n v="0"/>
    <n v="46.884797783960217"/>
  </r>
  <r>
    <x v="9"/>
    <d v="2024-11-05T00:00:00"/>
    <d v="2024-11-25T00:00:00"/>
    <x v="9"/>
    <n v="9"/>
    <n v="6"/>
    <n v="11.985209729074265"/>
    <n v="15.930479514192312"/>
    <n v="95.582877085153868"/>
    <n v="71.911258374445595"/>
    <n v="23.671618710708273"/>
    <n v="1.9019073532700175"/>
    <n v="25.573526063978292"/>
    <n v="0"/>
    <n v="0"/>
    <n v="0"/>
    <n v="25.573526063978292"/>
  </r>
  <r>
    <x v="10"/>
    <d v="2024-12-04T00:00:00"/>
    <d v="2024-12-24T00:00:00"/>
    <x v="9"/>
    <n v="9"/>
    <n v="6"/>
    <n v="11.985209729074265"/>
    <n v="15.930479514192312"/>
    <n v="95.582877085153868"/>
    <n v="71.911258374445595"/>
    <n v="23.671618710708273"/>
    <n v="1.9019073532700175"/>
    <n v="25.573526063978292"/>
    <n v="0"/>
    <n v="0"/>
    <n v="0"/>
    <n v="25.573526063978292"/>
  </r>
  <r>
    <x v="11"/>
    <d v="2025-01-03T00:00:00"/>
    <d v="2025-01-24T00:00:00"/>
    <x v="9"/>
    <n v="9"/>
    <n v="6"/>
    <n v="11.985209729074265"/>
    <n v="15.930479514192312"/>
    <n v="95.582877085153868"/>
    <n v="71.911258374445595"/>
    <n v="23.671618710708273"/>
    <n v="1.9019073532700175"/>
    <n v="25.573526063978292"/>
    <n v="0"/>
    <n v="0"/>
    <n v="0"/>
    <n v="25.573526063978292"/>
  </r>
  <r>
    <x v="0"/>
    <d v="2024-02-05T00:00:00"/>
    <d v="2024-02-26T00:00:00"/>
    <x v="10"/>
    <n v="9"/>
    <n v="4"/>
    <n v="11.985209729074265"/>
    <n v="15.930479514192312"/>
    <n v="63.721918056769248"/>
    <n v="47.940838916297061"/>
    <n v="15.781079140472187"/>
    <n v="1.2679382355133451"/>
    <n v="17.049017375985532"/>
    <n v="0"/>
    <n v="0"/>
    <n v="0"/>
    <n v="17.049017375985532"/>
  </r>
  <r>
    <x v="1"/>
    <d v="2024-03-05T00:00:00"/>
    <d v="2024-03-25T00:00:00"/>
    <x v="10"/>
    <n v="9"/>
    <n v="3"/>
    <n v="11.985209729074265"/>
    <n v="15.930479514192312"/>
    <n v="47.791438542576934"/>
    <n v="35.955629187222797"/>
    <n v="11.835809355354137"/>
    <n v="0.95095367663500874"/>
    <n v="12.786763031989146"/>
    <n v="0"/>
    <n v="0"/>
    <n v="0"/>
    <n v="12.786763031989146"/>
  </r>
  <r>
    <x v="2"/>
    <d v="2024-04-03T00:00:00"/>
    <d v="2024-04-24T00:00:00"/>
    <x v="10"/>
    <n v="9"/>
    <n v="3"/>
    <n v="11.985209729074265"/>
    <n v="15.930479514192312"/>
    <n v="47.791438542576934"/>
    <n v="35.955629187222797"/>
    <n v="11.835809355354137"/>
    <n v="0.95095367663500874"/>
    <n v="12.786763031989146"/>
    <n v="0"/>
    <n v="0"/>
    <n v="0"/>
    <n v="12.786763031989146"/>
  </r>
  <r>
    <x v="3"/>
    <d v="2024-05-03T00:00:00"/>
    <d v="2024-05-24T00:00:00"/>
    <x v="10"/>
    <n v="9"/>
    <n v="2"/>
    <n v="11.985209729074265"/>
    <n v="15.930479514192312"/>
    <n v="31.860959028384624"/>
    <n v="23.97041945814853"/>
    <n v="7.8905395702360934"/>
    <n v="0.63396911775667253"/>
    <n v="8.5245086879927658"/>
    <n v="0"/>
    <n v="0"/>
    <n v="0"/>
    <n v="8.5245086879927658"/>
  </r>
  <r>
    <x v="4"/>
    <d v="2024-06-05T00:00:00"/>
    <d v="2024-06-24T00:00:00"/>
    <x v="10"/>
    <n v="9"/>
    <n v="4"/>
    <n v="11.985209729074265"/>
    <n v="15.930479514192312"/>
    <n v="63.721918056769248"/>
    <n v="47.940838916297061"/>
    <n v="15.781079140472187"/>
    <n v="1.2679382355133451"/>
    <n v="17.049017375985532"/>
    <n v="0"/>
    <n v="0"/>
    <n v="0"/>
    <n v="17.049017375985532"/>
  </r>
  <r>
    <x v="5"/>
    <d v="2024-07-03T00:00:00"/>
    <d v="2024-07-24T00:00:00"/>
    <x v="10"/>
    <n v="9"/>
    <n v="4"/>
    <n v="11.985209729074265"/>
    <n v="15.930479514192312"/>
    <n v="63.721918056769248"/>
    <n v="47.940838916297061"/>
    <n v="15.781079140472187"/>
    <n v="1.2679382355133451"/>
    <n v="17.049017375985532"/>
    <n v="0"/>
    <n v="0"/>
    <n v="0"/>
    <n v="17.049017375985532"/>
  </r>
  <r>
    <x v="6"/>
    <d v="2024-08-05T00:00:00"/>
    <d v="2024-08-26T00:00:00"/>
    <x v="10"/>
    <n v="9"/>
    <n v="6"/>
    <n v="11.985209729074265"/>
    <n v="15.930479514192312"/>
    <n v="95.582877085153868"/>
    <n v="71.911258374445595"/>
    <n v="23.671618710708273"/>
    <n v="1.9019073532700175"/>
    <n v="25.573526063978292"/>
    <n v="0"/>
    <n v="0"/>
    <n v="0"/>
    <n v="25.573526063978292"/>
  </r>
  <r>
    <x v="7"/>
    <d v="2024-09-04T00:00:00"/>
    <d v="2024-09-24T00:00:00"/>
    <x v="10"/>
    <n v="9"/>
    <n v="6"/>
    <n v="11.985209729074265"/>
    <n v="15.930479514192312"/>
    <n v="95.582877085153868"/>
    <n v="71.911258374445595"/>
    <n v="23.671618710708273"/>
    <n v="1.9019073532700175"/>
    <n v="25.573526063978292"/>
    <n v="0"/>
    <n v="0"/>
    <n v="0"/>
    <n v="25.573526063978292"/>
  </r>
  <r>
    <x v="8"/>
    <d v="2024-10-03T00:00:00"/>
    <d v="2024-10-24T00:00:00"/>
    <x v="10"/>
    <n v="9"/>
    <n v="3"/>
    <n v="11.985209729074265"/>
    <n v="15.930479514192312"/>
    <n v="47.791438542576934"/>
    <n v="35.955629187222797"/>
    <n v="11.835809355354137"/>
    <n v="0.95095367663500874"/>
    <n v="12.786763031989146"/>
    <n v="0"/>
    <n v="0"/>
    <n v="0"/>
    <n v="12.786763031989146"/>
  </r>
  <r>
    <x v="9"/>
    <d v="2024-11-05T00:00:00"/>
    <d v="2024-11-25T00:00:00"/>
    <x v="10"/>
    <n v="9"/>
    <n v="6"/>
    <n v="11.985209729074265"/>
    <n v="15.930479514192312"/>
    <n v="95.582877085153868"/>
    <n v="71.911258374445595"/>
    <n v="23.671618710708273"/>
    <n v="1.9019073532700175"/>
    <n v="25.573526063978292"/>
    <n v="0"/>
    <n v="0"/>
    <n v="0"/>
    <n v="25.573526063978292"/>
  </r>
  <r>
    <x v="10"/>
    <d v="2024-12-04T00:00:00"/>
    <d v="2024-12-24T00:00:00"/>
    <x v="10"/>
    <n v="9"/>
    <n v="1"/>
    <n v="11.985209729074265"/>
    <n v="15.930479514192312"/>
    <n v="15.930479514192312"/>
    <n v="11.985209729074265"/>
    <n v="3.9452697851180467"/>
    <n v="0.31698455887833626"/>
    <n v="4.2622543439963829"/>
    <n v="0"/>
    <n v="0"/>
    <n v="0"/>
    <n v="4.2622543439963829"/>
  </r>
  <r>
    <x v="11"/>
    <d v="2025-01-03T00:00:00"/>
    <d v="2025-01-24T00:00:00"/>
    <x v="10"/>
    <n v="9"/>
    <n v="3"/>
    <n v="11.985209729074265"/>
    <n v="15.930479514192312"/>
    <n v="47.791438542576934"/>
    <n v="35.955629187222797"/>
    <n v="11.835809355354137"/>
    <n v="0.95095367663500874"/>
    <n v="12.786763031989146"/>
    <n v="0"/>
    <n v="0"/>
    <n v="0"/>
    <n v="12.786763031989146"/>
  </r>
  <r>
    <x v="0"/>
    <d v="2024-02-05T00:00:00"/>
    <d v="2024-02-26T00:00:00"/>
    <x v="11"/>
    <n v="9"/>
    <n v="145"/>
    <n v="11.985209729074265"/>
    <n v="15.930479514192312"/>
    <n v="2309.9195295578852"/>
    <n v="1737.8554107157684"/>
    <n v="572.06411884211684"/>
    <n v="45.962761037358753"/>
    <n v="618.02687987947559"/>
    <n v="0"/>
    <n v="0"/>
    <n v="0"/>
    <n v="618.02687987947559"/>
  </r>
  <r>
    <x v="1"/>
    <d v="2024-03-05T00:00:00"/>
    <d v="2024-03-25T00:00:00"/>
    <x v="11"/>
    <n v="9"/>
    <n v="100"/>
    <n v="11.985209729074265"/>
    <n v="15.930479514192312"/>
    <n v="1593.0479514192311"/>
    <n v="1198.5209729074265"/>
    <n v="394.5269785118046"/>
    <n v="31.698455887833628"/>
    <n v="426.22543439963823"/>
    <n v="0"/>
    <n v="0"/>
    <n v="0"/>
    <n v="426.22543439963823"/>
  </r>
  <r>
    <x v="2"/>
    <d v="2024-04-03T00:00:00"/>
    <d v="2024-04-24T00:00:00"/>
    <x v="11"/>
    <n v="9"/>
    <n v="92"/>
    <n v="11.985209729074265"/>
    <n v="15.930479514192312"/>
    <n v="1465.6041153056926"/>
    <n v="1102.6392950748325"/>
    <n v="362.96482023086014"/>
    <n v="29.162579416806935"/>
    <n v="392.12739964766706"/>
    <n v="0"/>
    <n v="0"/>
    <n v="0"/>
    <n v="392.12739964766706"/>
  </r>
  <r>
    <x v="3"/>
    <d v="2024-05-03T00:00:00"/>
    <d v="2024-05-24T00:00:00"/>
    <x v="11"/>
    <n v="9"/>
    <n v="101"/>
    <n v="11.985209729074265"/>
    <n v="15.930479514192312"/>
    <n v="1608.9784309334234"/>
    <n v="1210.5061826365009"/>
    <n v="398.47224829692254"/>
    <n v="32.015440446711963"/>
    <n v="430.48768874363452"/>
    <n v="0"/>
    <n v="0"/>
    <n v="0"/>
    <n v="430.48768874363452"/>
  </r>
  <r>
    <x v="4"/>
    <d v="2024-06-05T00:00:00"/>
    <d v="2024-06-24T00:00:00"/>
    <x v="11"/>
    <n v="9"/>
    <n v="118"/>
    <n v="11.985209729074265"/>
    <n v="15.930479514192312"/>
    <n v="1879.7965826746929"/>
    <n v="1414.2547480307633"/>
    <n v="465.54183464392963"/>
    <n v="37.404177947643674"/>
    <n v="502.94601259157332"/>
    <n v="0"/>
    <n v="0"/>
    <n v="0"/>
    <n v="502.94601259157332"/>
  </r>
  <r>
    <x v="5"/>
    <d v="2024-07-03T00:00:00"/>
    <d v="2024-07-24T00:00:00"/>
    <x v="11"/>
    <n v="9"/>
    <n v="173"/>
    <n v="11.985209729074265"/>
    <n v="15.930479514192312"/>
    <n v="2755.9729559552698"/>
    <n v="2073.4412831298478"/>
    <n v="682.53167282542199"/>
    <n v="54.83832868595217"/>
    <n v="737.3700015113742"/>
    <n v="0"/>
    <n v="0"/>
    <n v="0"/>
    <n v="737.3700015113742"/>
  </r>
  <r>
    <x v="6"/>
    <d v="2024-08-05T00:00:00"/>
    <d v="2024-08-26T00:00:00"/>
    <x v="11"/>
    <n v="9"/>
    <n v="164"/>
    <n v="11.985209729074265"/>
    <n v="15.930479514192312"/>
    <n v="2612.5986403275392"/>
    <n v="1965.5743955681794"/>
    <n v="647.02424475935982"/>
    <n v="51.985467656047149"/>
    <n v="699.00971241540697"/>
    <n v="0"/>
    <n v="0"/>
    <n v="0"/>
    <n v="699.00971241540697"/>
  </r>
  <r>
    <x v="7"/>
    <d v="2024-09-04T00:00:00"/>
    <d v="2024-09-24T00:00:00"/>
    <x v="11"/>
    <n v="9"/>
    <n v="170"/>
    <n v="11.985209729074265"/>
    <n v="15.930479514192312"/>
    <n v="2708.1815174126932"/>
    <n v="2037.485653942625"/>
    <n v="670.69586347006816"/>
    <n v="53.887375009317161"/>
    <n v="724.58323847938527"/>
    <n v="0"/>
    <n v="0"/>
    <n v="0"/>
    <n v="724.58323847938527"/>
  </r>
  <r>
    <x v="8"/>
    <d v="2024-10-03T00:00:00"/>
    <d v="2024-10-24T00:00:00"/>
    <x v="11"/>
    <n v="9"/>
    <n v="156"/>
    <n v="11.985209729074265"/>
    <n v="15.930479514192312"/>
    <n v="2485.1548042140007"/>
    <n v="1869.6927177355853"/>
    <n v="615.46208647841536"/>
    <n v="49.449591185020452"/>
    <n v="664.91167766343585"/>
    <n v="0"/>
    <n v="0"/>
    <n v="0"/>
    <n v="664.91167766343585"/>
  </r>
  <r>
    <x v="9"/>
    <d v="2024-11-05T00:00:00"/>
    <d v="2024-11-25T00:00:00"/>
    <x v="11"/>
    <n v="9"/>
    <n v="139"/>
    <n v="11.985209729074265"/>
    <n v="15.930479514192312"/>
    <n v="2214.3366524727312"/>
    <n v="1665.9441523413229"/>
    <n v="548.39250013140827"/>
    <n v="44.060853684088741"/>
    <n v="592.45335381549705"/>
    <n v="0"/>
    <n v="0"/>
    <n v="0"/>
    <n v="592.45335381549705"/>
  </r>
  <r>
    <x v="10"/>
    <d v="2024-12-04T00:00:00"/>
    <d v="2024-12-24T00:00:00"/>
    <x v="11"/>
    <n v="9"/>
    <n v="90"/>
    <n v="11.985209729074265"/>
    <n v="15.930479514192312"/>
    <n v="1433.7431562773081"/>
    <n v="1078.6688756166839"/>
    <n v="355.07428066062425"/>
    <n v="28.528610299050264"/>
    <n v="383.60289095967454"/>
    <n v="0"/>
    <n v="0"/>
    <n v="0"/>
    <n v="383.60289095967454"/>
  </r>
  <r>
    <x v="11"/>
    <d v="2025-01-03T00:00:00"/>
    <d v="2025-01-24T00:00:00"/>
    <x v="11"/>
    <n v="9"/>
    <n v="110"/>
    <n v="11.985209729074265"/>
    <n v="15.930479514192312"/>
    <n v="1752.3527465611544"/>
    <n v="1318.3730701981692"/>
    <n v="433.97967636298517"/>
    <n v="34.868301476616985"/>
    <n v="468.84797783960215"/>
    <n v="0"/>
    <n v="0"/>
    <n v="0"/>
    <n v="468.84797783960215"/>
  </r>
  <r>
    <x v="0"/>
    <d v="2024-02-05T00:00:00"/>
    <d v="2024-02-26T00:00:00"/>
    <x v="12"/>
    <n v="9"/>
    <n v="9"/>
    <n v="11.985209729074265"/>
    <n v="15.930479514192312"/>
    <n v="143.37431562773079"/>
    <n v="107.86688756166839"/>
    <n v="35.507428066062403"/>
    <n v="2.8528610299050263"/>
    <n v="38.360289095967431"/>
    <n v="0"/>
    <n v="0"/>
    <n v="0"/>
    <n v="38.360289095967431"/>
  </r>
  <r>
    <x v="1"/>
    <d v="2024-03-05T00:00:00"/>
    <d v="2024-03-25T00:00:00"/>
    <x v="12"/>
    <n v="9"/>
    <n v="8"/>
    <n v="11.985209729074265"/>
    <n v="15.930479514192312"/>
    <n v="127.4438361135385"/>
    <n v="95.881677832594121"/>
    <n v="31.562158280944374"/>
    <n v="2.5358764710266901"/>
    <n v="34.098034751971063"/>
    <n v="0"/>
    <n v="0"/>
    <n v="0"/>
    <n v="34.098034751971063"/>
  </r>
  <r>
    <x v="2"/>
    <d v="2024-04-03T00:00:00"/>
    <d v="2024-04-24T00:00:00"/>
    <x v="12"/>
    <n v="9"/>
    <n v="10"/>
    <n v="11.985209729074265"/>
    <n v="15.930479514192312"/>
    <n v="159.30479514192311"/>
    <n v="119.85209729074265"/>
    <n v="39.45269785118046"/>
    <n v="3.1698455887833625"/>
    <n v="42.62254343996382"/>
    <n v="0"/>
    <n v="0"/>
    <n v="0"/>
    <n v="42.62254343996382"/>
  </r>
  <r>
    <x v="3"/>
    <d v="2024-05-03T00:00:00"/>
    <d v="2024-05-24T00:00:00"/>
    <x v="12"/>
    <n v="9"/>
    <n v="7"/>
    <n v="11.985209729074265"/>
    <n v="15.930479514192312"/>
    <n v="111.51335659934618"/>
    <n v="83.896468103519851"/>
    <n v="27.616888495826331"/>
    <n v="2.2188919121483539"/>
    <n v="29.835780407974685"/>
    <n v="0"/>
    <n v="0"/>
    <n v="0"/>
    <n v="29.835780407974685"/>
  </r>
  <r>
    <x v="4"/>
    <d v="2024-06-05T00:00:00"/>
    <d v="2024-06-24T00:00:00"/>
    <x v="12"/>
    <n v="9"/>
    <n v="10"/>
    <n v="11.985209729074265"/>
    <n v="15.930479514192312"/>
    <n v="159.30479514192311"/>
    <n v="119.85209729074265"/>
    <n v="39.45269785118046"/>
    <n v="3.1698455887833625"/>
    <n v="42.62254343996382"/>
    <n v="0"/>
    <n v="0"/>
    <n v="0"/>
    <n v="42.62254343996382"/>
  </r>
  <r>
    <x v="5"/>
    <d v="2024-07-03T00:00:00"/>
    <d v="2024-07-24T00:00:00"/>
    <x v="12"/>
    <n v="9"/>
    <n v="10"/>
    <n v="11.985209729074265"/>
    <n v="15.930479514192312"/>
    <n v="159.30479514192311"/>
    <n v="119.85209729074265"/>
    <n v="39.45269785118046"/>
    <n v="3.1698455887833625"/>
    <n v="42.62254343996382"/>
    <n v="0"/>
    <n v="0"/>
    <n v="0"/>
    <n v="42.62254343996382"/>
  </r>
  <r>
    <x v="6"/>
    <d v="2024-08-05T00:00:00"/>
    <d v="2024-08-26T00:00:00"/>
    <x v="12"/>
    <n v="9"/>
    <n v="12"/>
    <n v="11.985209729074265"/>
    <n v="15.930479514192312"/>
    <n v="191.16575417030774"/>
    <n v="143.82251674889119"/>
    <n v="47.343237421416546"/>
    <n v="3.803814706540035"/>
    <n v="51.147052127956584"/>
    <n v="0"/>
    <n v="0"/>
    <n v="0"/>
    <n v="51.147052127956584"/>
  </r>
  <r>
    <x v="7"/>
    <d v="2024-09-04T00:00:00"/>
    <d v="2024-09-24T00:00:00"/>
    <x v="12"/>
    <n v="9"/>
    <n v="12"/>
    <n v="11.985209729074265"/>
    <n v="15.930479514192312"/>
    <n v="191.16575417030774"/>
    <n v="143.82251674889119"/>
    <n v="47.343237421416546"/>
    <n v="3.803814706540035"/>
    <n v="51.147052127956584"/>
    <n v="0"/>
    <n v="0"/>
    <n v="0"/>
    <n v="51.147052127956584"/>
  </r>
  <r>
    <x v="8"/>
    <d v="2024-10-03T00:00:00"/>
    <d v="2024-10-24T00:00:00"/>
    <x v="12"/>
    <n v="9"/>
    <n v="11"/>
    <n v="11.985209729074265"/>
    <n v="15.930479514192312"/>
    <n v="175.23527465611542"/>
    <n v="131.8373070198169"/>
    <n v="43.397967636298517"/>
    <n v="3.4868301476616987"/>
    <n v="46.884797783960217"/>
    <n v="0"/>
    <n v="0"/>
    <n v="0"/>
    <n v="46.884797783960217"/>
  </r>
  <r>
    <x v="9"/>
    <d v="2024-11-05T00:00:00"/>
    <d v="2024-11-25T00:00:00"/>
    <x v="12"/>
    <n v="9"/>
    <n v="10"/>
    <n v="11.985209729074265"/>
    <n v="15.930479514192312"/>
    <n v="159.30479514192311"/>
    <n v="119.85209729074265"/>
    <n v="39.45269785118046"/>
    <n v="3.1698455887833625"/>
    <n v="42.62254343996382"/>
    <n v="0"/>
    <n v="0"/>
    <n v="0"/>
    <n v="42.62254343996382"/>
  </r>
  <r>
    <x v="10"/>
    <d v="2024-12-04T00:00:00"/>
    <d v="2024-12-24T00:00:00"/>
    <x v="12"/>
    <n v="9"/>
    <n v="10"/>
    <n v="11.985209729074265"/>
    <n v="15.930479514192312"/>
    <n v="159.30479514192311"/>
    <n v="119.85209729074265"/>
    <n v="39.45269785118046"/>
    <n v="3.1698455887833625"/>
    <n v="42.62254343996382"/>
    <n v="0"/>
    <n v="0"/>
    <n v="0"/>
    <n v="42.62254343996382"/>
  </r>
  <r>
    <x v="11"/>
    <d v="2025-01-03T00:00:00"/>
    <d v="2025-01-24T00:00:00"/>
    <x v="12"/>
    <n v="9"/>
    <n v="10"/>
    <n v="11.985209729074265"/>
    <n v="15.930479514192312"/>
    <n v="159.30479514192311"/>
    <n v="119.85209729074265"/>
    <n v="39.45269785118046"/>
    <n v="3.1698455887833625"/>
    <n v="42.62254343996382"/>
    <n v="0"/>
    <n v="0"/>
    <n v="0"/>
    <n v="42.62254343996382"/>
  </r>
  <r>
    <x v="0"/>
    <d v="2024-02-05T00:00:00"/>
    <d v="2024-02-26T00:00:00"/>
    <x v="13"/>
    <n v="9"/>
    <n v="26"/>
    <n v="11.985209729074265"/>
    <n v="15.930479514192312"/>
    <n v="414.1924673690001"/>
    <n v="311.61545295593089"/>
    <n v="102.57701441306921"/>
    <n v="8.2415985308367432"/>
    <n v="110.81861294390595"/>
    <n v="0"/>
    <n v="0"/>
    <n v="0"/>
    <n v="110.81861294390595"/>
  </r>
  <r>
    <x v="1"/>
    <d v="2024-03-05T00:00:00"/>
    <d v="2024-03-25T00:00:00"/>
    <x v="13"/>
    <n v="9"/>
    <n v="19"/>
    <n v="11.985209729074265"/>
    <n v="15.930479514192312"/>
    <n v="302.6791107696539"/>
    <n v="227.71898485241104"/>
    <n v="74.960125917242863"/>
    <n v="6.0227066186883889"/>
    <n v="80.982832535931252"/>
    <n v="0"/>
    <n v="0"/>
    <n v="0"/>
    <n v="80.982832535931252"/>
  </r>
  <r>
    <x v="2"/>
    <d v="2024-04-03T00:00:00"/>
    <d v="2024-04-24T00:00:00"/>
    <x v="13"/>
    <n v="9"/>
    <n v="18"/>
    <n v="11.985209729074265"/>
    <n v="15.930479514192312"/>
    <n v="286.74863125546159"/>
    <n v="215.73377512333678"/>
    <n v="71.014856132124805"/>
    <n v="5.7057220598100526"/>
    <n v="76.720578191934862"/>
    <n v="0"/>
    <n v="0"/>
    <n v="0"/>
    <n v="76.720578191934862"/>
  </r>
  <r>
    <x v="3"/>
    <d v="2024-05-03T00:00:00"/>
    <d v="2024-05-24T00:00:00"/>
    <x v="13"/>
    <n v="9"/>
    <n v="22"/>
    <n v="11.985209729074265"/>
    <n v="15.930479514192312"/>
    <n v="350.47054931223084"/>
    <n v="263.67461403963381"/>
    <n v="86.795935272597035"/>
    <n v="6.9736602953233975"/>
    <n v="93.769595567920433"/>
    <n v="0"/>
    <n v="0"/>
    <n v="0"/>
    <n v="93.769595567920433"/>
  </r>
  <r>
    <x v="4"/>
    <d v="2024-06-05T00:00:00"/>
    <d v="2024-06-24T00:00:00"/>
    <x v="13"/>
    <n v="9"/>
    <n v="31"/>
    <n v="11.985209729074265"/>
    <n v="15.930479514192312"/>
    <n v="493.84486493996167"/>
    <n v="371.54150160130223"/>
    <n v="122.30336333865944"/>
    <n v="9.8265213252284234"/>
    <n v="132.12988466388785"/>
    <n v="0"/>
    <n v="0"/>
    <n v="0"/>
    <n v="132.12988466388785"/>
  </r>
  <r>
    <x v="5"/>
    <d v="2024-07-03T00:00:00"/>
    <d v="2024-07-24T00:00:00"/>
    <x v="13"/>
    <n v="9"/>
    <n v="36"/>
    <n v="11.985209729074265"/>
    <n v="15.930479514192312"/>
    <n v="573.49726251092318"/>
    <n v="431.46755024667357"/>
    <n v="142.02971226424961"/>
    <n v="11.411444119620105"/>
    <n v="153.44115638386972"/>
    <n v="0"/>
    <n v="0"/>
    <n v="0"/>
    <n v="153.44115638386972"/>
  </r>
  <r>
    <x v="6"/>
    <d v="2024-08-05T00:00:00"/>
    <d v="2024-08-26T00:00:00"/>
    <x v="13"/>
    <n v="9"/>
    <n v="38"/>
    <n v="11.985209729074265"/>
    <n v="15.930479514192312"/>
    <n v="605.35822153930781"/>
    <n v="455.43796970482208"/>
    <n v="149.92025183448573"/>
    <n v="12.045413237376778"/>
    <n v="161.9656650718625"/>
    <n v="0"/>
    <n v="0"/>
    <n v="0"/>
    <n v="161.9656650718625"/>
  </r>
  <r>
    <x v="7"/>
    <d v="2024-09-04T00:00:00"/>
    <d v="2024-09-24T00:00:00"/>
    <x v="13"/>
    <n v="9"/>
    <n v="41"/>
    <n v="11.985209729074265"/>
    <n v="15.930479514192312"/>
    <n v="653.1496600818848"/>
    <n v="491.39359889204485"/>
    <n v="161.75606118983995"/>
    <n v="12.996366914011787"/>
    <n v="174.75242810385174"/>
    <n v="0"/>
    <n v="0"/>
    <n v="0"/>
    <n v="174.75242810385174"/>
  </r>
  <r>
    <x v="8"/>
    <d v="2024-10-03T00:00:00"/>
    <d v="2024-10-24T00:00:00"/>
    <x v="13"/>
    <n v="9"/>
    <n v="29"/>
    <n v="11.985209729074265"/>
    <n v="15.930479514192312"/>
    <n v="461.98390591157704"/>
    <n v="347.57108214315372"/>
    <n v="114.41282376842332"/>
    <n v="9.1925522074717509"/>
    <n v="123.60537597589507"/>
    <n v="0"/>
    <n v="0"/>
    <n v="0"/>
    <n v="123.60537597589507"/>
  </r>
  <r>
    <x v="9"/>
    <d v="2024-11-05T00:00:00"/>
    <d v="2024-11-25T00:00:00"/>
    <x v="13"/>
    <n v="9"/>
    <n v="26"/>
    <n v="11.985209729074265"/>
    <n v="15.930479514192312"/>
    <n v="414.1924673690001"/>
    <n v="311.61545295593089"/>
    <n v="102.57701441306921"/>
    <n v="8.2415985308367432"/>
    <n v="110.81861294390595"/>
    <n v="0"/>
    <n v="0"/>
    <n v="0"/>
    <n v="110.81861294390595"/>
  </r>
  <r>
    <x v="10"/>
    <d v="2024-12-04T00:00:00"/>
    <d v="2024-12-24T00:00:00"/>
    <x v="13"/>
    <n v="9"/>
    <n v="22"/>
    <n v="11.985209729074265"/>
    <n v="15.930479514192312"/>
    <n v="350.47054931223084"/>
    <n v="263.67461403963381"/>
    <n v="86.795935272597035"/>
    <n v="6.9736602953233975"/>
    <n v="93.769595567920433"/>
    <n v="0"/>
    <n v="0"/>
    <n v="0"/>
    <n v="93.769595567920433"/>
  </r>
  <r>
    <x v="11"/>
    <d v="2025-01-03T00:00:00"/>
    <d v="2025-01-24T00:00:00"/>
    <x v="13"/>
    <n v="9"/>
    <n v="18"/>
    <n v="11.985209729074265"/>
    <n v="15.930479514192312"/>
    <n v="286.74863125546159"/>
    <n v="215.73377512333678"/>
    <n v="71.014856132124805"/>
    <n v="5.7057220598100526"/>
    <n v="76.720578191934862"/>
    <n v="0"/>
    <n v="0"/>
    <n v="0"/>
    <n v="76.720578191934862"/>
  </r>
  <r>
    <x v="0"/>
    <d v="2024-02-05T00:00:00"/>
    <d v="2024-02-26T00:00:00"/>
    <x v="14"/>
    <n v="9"/>
    <n v="34"/>
    <n v="11.985209729074265"/>
    <n v="15.930479514192312"/>
    <n v="541.63630348253855"/>
    <n v="407.497130788525"/>
    <n v="134.13917269401355"/>
    <n v="10.777475001863433"/>
    <n v="144.91664769587697"/>
    <n v="0"/>
    <n v="0"/>
    <n v="0"/>
    <n v="144.91664769587697"/>
  </r>
  <r>
    <x v="1"/>
    <d v="2024-03-05T00:00:00"/>
    <d v="2024-03-25T00:00:00"/>
    <x v="14"/>
    <n v="9"/>
    <n v="32"/>
    <n v="11.985209729074265"/>
    <n v="15.930479514192312"/>
    <n v="509.77534445415398"/>
    <n v="383.52671133037649"/>
    <n v="126.24863312377749"/>
    <n v="10.14350588410676"/>
    <n v="136.39213900788425"/>
    <n v="0"/>
    <n v="0"/>
    <n v="0"/>
    <n v="136.39213900788425"/>
  </r>
  <r>
    <x v="2"/>
    <d v="2024-04-03T00:00:00"/>
    <d v="2024-04-24T00:00:00"/>
    <x v="14"/>
    <n v="9"/>
    <n v="32"/>
    <n v="11.985209729074265"/>
    <n v="15.930479514192312"/>
    <n v="509.77534445415398"/>
    <n v="383.52671133037649"/>
    <n v="126.24863312377749"/>
    <n v="10.14350588410676"/>
    <n v="136.39213900788425"/>
    <n v="0"/>
    <n v="0"/>
    <n v="0"/>
    <n v="136.39213900788425"/>
  </r>
  <r>
    <x v="3"/>
    <d v="2024-05-03T00:00:00"/>
    <d v="2024-05-24T00:00:00"/>
    <x v="14"/>
    <n v="9"/>
    <n v="33"/>
    <n v="11.985209729074265"/>
    <n v="15.930479514192312"/>
    <n v="525.70582396834629"/>
    <n v="395.51192105945074"/>
    <n v="130.19390290889555"/>
    <n v="10.460490442985096"/>
    <n v="140.65439335188066"/>
    <n v="0"/>
    <n v="0"/>
    <n v="0"/>
    <n v="140.65439335188066"/>
  </r>
  <r>
    <x v="4"/>
    <d v="2024-06-05T00:00:00"/>
    <d v="2024-06-24T00:00:00"/>
    <x v="14"/>
    <n v="9"/>
    <n v="40"/>
    <n v="11.985209729074265"/>
    <n v="15.930479514192312"/>
    <n v="637.21918056769243"/>
    <n v="479.40838916297059"/>
    <n v="157.81079140472184"/>
    <n v="12.67938235513345"/>
    <n v="170.49017375985528"/>
    <n v="0"/>
    <n v="0"/>
    <n v="0"/>
    <n v="170.49017375985528"/>
  </r>
  <r>
    <x v="5"/>
    <d v="2024-07-03T00:00:00"/>
    <d v="2024-07-24T00:00:00"/>
    <x v="14"/>
    <n v="9"/>
    <n v="47"/>
    <n v="11.985209729074265"/>
    <n v="15.930479514192312"/>
    <n v="748.73253716703869"/>
    <n v="563.30485726649044"/>
    <n v="185.42767990054824"/>
    <n v="14.898274267281804"/>
    <n v="200.32595416783005"/>
    <n v="0"/>
    <n v="0"/>
    <n v="0"/>
    <n v="200.32595416783005"/>
  </r>
  <r>
    <x v="6"/>
    <d v="2024-08-05T00:00:00"/>
    <d v="2024-08-26T00:00:00"/>
    <x v="14"/>
    <n v="9"/>
    <n v="47"/>
    <n v="11.985209729074265"/>
    <n v="15.930479514192312"/>
    <n v="748.73253716703869"/>
    <n v="563.30485726649044"/>
    <n v="185.42767990054824"/>
    <n v="14.898274267281804"/>
    <n v="200.32595416783005"/>
    <n v="0"/>
    <n v="0"/>
    <n v="0"/>
    <n v="200.32595416783005"/>
  </r>
  <r>
    <x v="7"/>
    <d v="2024-09-04T00:00:00"/>
    <d v="2024-09-24T00:00:00"/>
    <x v="14"/>
    <n v="9"/>
    <n v="51"/>
    <n v="11.985209729074265"/>
    <n v="15.930479514192312"/>
    <n v="812.45445522380794"/>
    <n v="611.24569618278747"/>
    <n v="201.20875904102047"/>
    <n v="16.166212502795148"/>
    <n v="217.3749715438156"/>
    <n v="0"/>
    <n v="0"/>
    <n v="0"/>
    <n v="217.3749715438156"/>
  </r>
  <r>
    <x v="8"/>
    <d v="2024-10-03T00:00:00"/>
    <d v="2024-10-24T00:00:00"/>
    <x v="14"/>
    <n v="9"/>
    <n v="43"/>
    <n v="11.985209729074265"/>
    <n v="15.930479514192312"/>
    <n v="685.01061911026943"/>
    <n v="515.36401835019342"/>
    <n v="169.64660076007601"/>
    <n v="13.63033603176846"/>
    <n v="183.27693679184446"/>
    <n v="0"/>
    <n v="0"/>
    <n v="0"/>
    <n v="183.27693679184446"/>
  </r>
  <r>
    <x v="9"/>
    <d v="2024-11-05T00:00:00"/>
    <d v="2024-11-25T00:00:00"/>
    <x v="14"/>
    <n v="9"/>
    <n v="37"/>
    <n v="11.985209729074265"/>
    <n v="15.930479514192312"/>
    <n v="589.42774202511555"/>
    <n v="443.45275997574782"/>
    <n v="145.97498204936772"/>
    <n v="11.728428678498441"/>
    <n v="157.70341072786616"/>
    <n v="0"/>
    <n v="0"/>
    <n v="0"/>
    <n v="157.70341072786616"/>
  </r>
  <r>
    <x v="10"/>
    <d v="2024-12-04T00:00:00"/>
    <d v="2024-12-24T00:00:00"/>
    <x v="14"/>
    <n v="9"/>
    <n v="34"/>
    <n v="11.985209729074265"/>
    <n v="15.930479514192312"/>
    <n v="541.63630348253855"/>
    <n v="407.497130788525"/>
    <n v="134.13917269401355"/>
    <n v="10.777475001863433"/>
    <n v="144.91664769587697"/>
    <n v="0"/>
    <n v="0"/>
    <n v="0"/>
    <n v="144.91664769587697"/>
  </r>
  <r>
    <x v="11"/>
    <d v="2025-01-03T00:00:00"/>
    <d v="2025-01-24T00:00:00"/>
    <x v="14"/>
    <n v="9"/>
    <n v="32"/>
    <n v="11.985209729074265"/>
    <n v="15.930479514192312"/>
    <n v="509.77534445415398"/>
    <n v="383.52671133037649"/>
    <n v="126.24863312377749"/>
    <n v="10.14350588410676"/>
    <n v="136.39213900788425"/>
    <n v="0"/>
    <n v="0"/>
    <n v="0"/>
    <n v="136.39213900788425"/>
  </r>
  <r>
    <x v="0"/>
    <d v="2024-02-05T00:00:00"/>
    <d v="2024-02-26T00:00:00"/>
    <x v="15"/>
    <n v="9"/>
    <n v="104"/>
    <n v="11.985209729074265"/>
    <n v="15.930479514192312"/>
    <n v="1656.7698694760004"/>
    <n v="1246.4618118237236"/>
    <n v="410.30805765227683"/>
    <n v="32.966394123346973"/>
    <n v="443.27445177562379"/>
    <n v="0"/>
    <n v="0"/>
    <n v="0"/>
    <n v="443.27445177562379"/>
  </r>
  <r>
    <x v="1"/>
    <d v="2024-03-05T00:00:00"/>
    <d v="2024-03-25T00:00:00"/>
    <x v="15"/>
    <n v="9"/>
    <n v="99"/>
    <n v="11.985209729074265"/>
    <n v="15.930479514192312"/>
    <n v="1577.1174719050389"/>
    <n v="1186.5357631783522"/>
    <n v="390.58170872668666"/>
    <n v="31.381471328955289"/>
    <n v="421.96318005564194"/>
    <n v="0"/>
    <n v="0"/>
    <n v="0"/>
    <n v="421.96318005564194"/>
  </r>
  <r>
    <x v="2"/>
    <d v="2024-04-03T00:00:00"/>
    <d v="2024-04-24T00:00:00"/>
    <x v="15"/>
    <n v="9"/>
    <n v="99"/>
    <n v="11.985209729074265"/>
    <n v="15.930479514192312"/>
    <n v="1577.1174719050389"/>
    <n v="1186.5357631783522"/>
    <n v="390.58170872668666"/>
    <n v="31.381471328955289"/>
    <n v="421.96318005564194"/>
    <n v="0"/>
    <n v="0"/>
    <n v="0"/>
    <n v="421.96318005564194"/>
  </r>
  <r>
    <x v="3"/>
    <d v="2024-05-03T00:00:00"/>
    <d v="2024-05-24T00:00:00"/>
    <x v="15"/>
    <n v="9"/>
    <n v="99"/>
    <n v="11.985209729074265"/>
    <n v="15.930479514192312"/>
    <n v="1577.1174719050389"/>
    <n v="1186.5357631783522"/>
    <n v="390.58170872668666"/>
    <n v="31.381471328955289"/>
    <n v="421.96318005564194"/>
    <n v="0"/>
    <n v="0"/>
    <n v="0"/>
    <n v="421.96318005564194"/>
  </r>
  <r>
    <x v="4"/>
    <d v="2024-06-05T00:00:00"/>
    <d v="2024-06-24T00:00:00"/>
    <x v="15"/>
    <n v="9"/>
    <n v="106"/>
    <n v="11.985209729074265"/>
    <n v="15.930479514192312"/>
    <n v="1688.6308285043851"/>
    <n v="1270.4322312818722"/>
    <n v="418.19859722251294"/>
    <n v="33.600363241103643"/>
    <n v="451.7989604636166"/>
    <n v="0"/>
    <n v="0"/>
    <n v="0"/>
    <n v="451.7989604636166"/>
  </r>
  <r>
    <x v="5"/>
    <d v="2024-07-03T00:00:00"/>
    <d v="2024-07-24T00:00:00"/>
    <x v="15"/>
    <n v="9"/>
    <n v="120"/>
    <n v="11.985209729074265"/>
    <n v="15.930479514192312"/>
    <n v="1911.6575417030774"/>
    <n v="1438.2251674889119"/>
    <n v="473.43237421416552"/>
    <n v="38.038147065400352"/>
    <n v="511.4705212795659"/>
    <n v="0"/>
    <n v="0"/>
    <n v="0"/>
    <n v="511.4705212795659"/>
  </r>
  <r>
    <x v="6"/>
    <d v="2024-08-05T00:00:00"/>
    <d v="2024-08-26T00:00:00"/>
    <x v="15"/>
    <n v="9"/>
    <n v="117"/>
    <n v="11.985209729074265"/>
    <n v="15.930479514192312"/>
    <n v="1863.8661031605004"/>
    <n v="1402.269538301689"/>
    <n v="461.59656485881146"/>
    <n v="37.087193388765343"/>
    <n v="498.6837582475768"/>
    <n v="0"/>
    <n v="0"/>
    <n v="0"/>
    <n v="498.6837582475768"/>
  </r>
  <r>
    <x v="7"/>
    <d v="2024-09-04T00:00:00"/>
    <d v="2024-09-24T00:00:00"/>
    <x v="15"/>
    <n v="9"/>
    <n v="118"/>
    <n v="11.985209729074265"/>
    <n v="15.930479514192312"/>
    <n v="1879.7965826746929"/>
    <n v="1414.2547480307633"/>
    <n v="465.54183464392963"/>
    <n v="37.404177947643674"/>
    <n v="502.94601259157332"/>
    <n v="0"/>
    <n v="0"/>
    <n v="0"/>
    <n v="502.94601259157332"/>
  </r>
  <r>
    <x v="8"/>
    <d v="2024-10-03T00:00:00"/>
    <d v="2024-10-24T00:00:00"/>
    <x v="15"/>
    <n v="9"/>
    <n v="117"/>
    <n v="11.985209729074265"/>
    <n v="15.930479514192312"/>
    <n v="1863.8661031605004"/>
    <n v="1402.269538301689"/>
    <n v="461.59656485881146"/>
    <n v="37.087193388765343"/>
    <n v="498.6837582475768"/>
    <n v="0"/>
    <n v="0"/>
    <n v="0"/>
    <n v="498.6837582475768"/>
  </r>
  <r>
    <x v="9"/>
    <d v="2024-11-05T00:00:00"/>
    <d v="2024-11-25T00:00:00"/>
    <x v="15"/>
    <n v="9"/>
    <n v="107"/>
    <n v="11.985209729074265"/>
    <n v="15.930479514192312"/>
    <n v="1704.5613080185774"/>
    <n v="1282.4174410109463"/>
    <n v="422.14386700763112"/>
    <n v="33.917347799981975"/>
    <n v="456.06121480761311"/>
    <n v="0"/>
    <n v="0"/>
    <n v="0"/>
    <n v="456.06121480761311"/>
  </r>
  <r>
    <x v="10"/>
    <d v="2024-12-04T00:00:00"/>
    <d v="2024-12-24T00:00:00"/>
    <x v="15"/>
    <n v="9"/>
    <n v="91"/>
    <n v="11.985209729074265"/>
    <n v="15.930479514192312"/>
    <n v="1449.6736357915004"/>
    <n v="1090.6540853457582"/>
    <n v="359.0195504457422"/>
    <n v="28.845594857928599"/>
    <n v="387.86514530367077"/>
    <n v="0"/>
    <n v="0"/>
    <n v="0"/>
    <n v="387.86514530367077"/>
  </r>
  <r>
    <x v="11"/>
    <d v="2025-01-03T00:00:00"/>
    <d v="2025-01-24T00:00:00"/>
    <x v="15"/>
    <n v="9"/>
    <n v="102"/>
    <n v="11.985209729074265"/>
    <n v="15.930479514192312"/>
    <n v="1624.9089104476159"/>
    <n v="1222.4913923655749"/>
    <n v="402.41751808204094"/>
    <n v="32.332425005590295"/>
    <n v="434.74994308763121"/>
    <n v="0"/>
    <n v="0"/>
    <n v="0"/>
    <n v="434.749943087631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81">
        <item m="1" x="81"/>
        <item m="1" x="105"/>
        <item m="1" x="129"/>
        <item m="1" x="153"/>
        <item m="1" x="177"/>
        <item m="1" x="57"/>
        <item m="1" x="92"/>
        <item m="1" x="116"/>
        <item m="1" x="140"/>
        <item m="1" x="164"/>
        <item m="1" x="44"/>
        <item m="1" x="68"/>
        <item m="1" x="82"/>
        <item m="1" x="106"/>
        <item m="1" x="130"/>
        <item m="1" x="154"/>
        <item m="1" x="178"/>
        <item m="1" x="58"/>
        <item m="1" x="94"/>
        <item m="1" x="118"/>
        <item m="1" x="142"/>
        <item m="1" x="166"/>
        <item m="1" x="46"/>
        <item m="1" x="70"/>
        <item m="1" x="83"/>
        <item m="1" x="107"/>
        <item m="1" x="131"/>
        <item m="1" x="155"/>
        <item m="1" x="179"/>
        <item m="1" x="59"/>
        <item m="1" x="95"/>
        <item m="1" x="119"/>
        <item m="1" x="143"/>
        <item m="1" x="167"/>
        <item m="1" x="47"/>
        <item m="1" x="71"/>
        <item m="1" x="84"/>
        <item m="1" x="108"/>
        <item m="1" x="132"/>
        <item m="1" x="156"/>
        <item m="1" x="36"/>
        <item m="1" x="60"/>
        <item m="1" x="96"/>
        <item m="1" x="120"/>
        <item m="1" x="144"/>
        <item m="1" x="168"/>
        <item m="1" x="48"/>
        <item m="1" x="72"/>
        <item m="1" x="85"/>
        <item m="1" x="109"/>
        <item m="1" x="133"/>
        <item m="1" x="157"/>
        <item m="1" x="37"/>
        <item m="1" x="61"/>
        <item m="1" x="97"/>
        <item m="1" x="121"/>
        <item m="1" x="145"/>
        <item m="1" x="169"/>
        <item m="1" x="49"/>
        <item m="1" x="73"/>
        <item m="1" x="86"/>
        <item m="1" x="110"/>
        <item m="1" x="134"/>
        <item m="1" x="158"/>
        <item m="1" x="38"/>
        <item m="1" x="62"/>
        <item m="1" x="98"/>
        <item m="1" x="122"/>
        <item m="1" x="146"/>
        <item m="1" x="170"/>
        <item m="1" x="50"/>
        <item m="1" x="74"/>
        <item m="1" x="87"/>
        <item m="1" x="111"/>
        <item m="1" x="135"/>
        <item m="1" x="159"/>
        <item m="1" x="39"/>
        <item m="1" x="63"/>
        <item m="1" x="99"/>
        <item m="1" x="123"/>
        <item m="1" x="147"/>
        <item m="1" x="171"/>
        <item m="1" x="51"/>
        <item m="1" x="75"/>
        <item m="1" x="88"/>
        <item m="1" x="112"/>
        <item m="1" x="136"/>
        <item m="1" x="160"/>
        <item m="1" x="40"/>
        <item m="1" x="64"/>
        <item m="1" x="100"/>
        <item m="1" x="124"/>
        <item m="1" x="148"/>
        <item m="1" x="172"/>
        <item m="1" x="52"/>
        <item m="1" x="76"/>
        <item m="1" x="89"/>
        <item m="1" x="113"/>
        <item m="1" x="137"/>
        <item m="1" x="161"/>
        <item m="1" x="41"/>
        <item m="1" x="65"/>
        <item m="1" x="101"/>
        <item m="1" x="125"/>
        <item m="1" x="149"/>
        <item m="1" x="173"/>
        <item m="1" x="53"/>
        <item m="1" x="77"/>
        <item m="1" x="90"/>
        <item m="1" x="114"/>
        <item m="1" x="138"/>
        <item m="1" x="162"/>
        <item m="1" x="42"/>
        <item m="1" x="66"/>
        <item m="1" x="102"/>
        <item m="1" x="126"/>
        <item m="1" x="150"/>
        <item m="1" x="174"/>
        <item m="1" x="54"/>
        <item m="1" x="78"/>
        <item m="1" x="91"/>
        <item m="1" x="115"/>
        <item m="1" x="139"/>
        <item m="1" x="163"/>
        <item m="1" x="43"/>
        <item m="1" x="67"/>
        <item m="1" x="103"/>
        <item m="1" x="127"/>
        <item m="1" x="151"/>
        <item m="1" x="175"/>
        <item m="1" x="55"/>
        <item m="1" x="79"/>
        <item m="1" x="93"/>
        <item m="1" x="117"/>
        <item m="1" x="141"/>
        <item m="1" x="165"/>
        <item m="1" x="45"/>
        <item m="1" x="69"/>
        <item m="1" x="104"/>
        <item m="1" x="128"/>
        <item m="1" x="152"/>
        <item m="1" x="176"/>
        <item m="1" x="56"/>
        <item m="1" x="80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R18" sqref="A1:R18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62</v>
      </c>
    </row>
    <row r="3" spans="1:2" x14ac:dyDescent="0.25">
      <c r="A3" s="2">
        <v>1</v>
      </c>
      <c r="B3" s="3" t="s">
        <v>64</v>
      </c>
    </row>
    <row r="4" spans="1:2" ht="13" x14ac:dyDescent="0.3">
      <c r="A4" s="2">
        <v>2</v>
      </c>
      <c r="B4" s="3" t="s">
        <v>63</v>
      </c>
    </row>
    <row r="5" spans="1:2" ht="13" x14ac:dyDescent="0.3">
      <c r="A5" s="2">
        <v>3</v>
      </c>
      <c r="B5" s="3" t="s">
        <v>65</v>
      </c>
    </row>
    <row r="6" spans="1:2" ht="13" x14ac:dyDescent="0.3">
      <c r="A6" s="2">
        <v>4</v>
      </c>
      <c r="B6" s="4" t="s">
        <v>79</v>
      </c>
    </row>
    <row r="7" spans="1:2" x14ac:dyDescent="0.25">
      <c r="A7" s="2">
        <v>5</v>
      </c>
      <c r="B7" s="3" t="s">
        <v>66</v>
      </c>
    </row>
    <row r="8" spans="1:2" x14ac:dyDescent="0.25">
      <c r="A8" s="2">
        <v>6</v>
      </c>
      <c r="B8" s="3" t="s">
        <v>67</v>
      </c>
    </row>
    <row r="9" spans="1:2" x14ac:dyDescent="0.25">
      <c r="A9" s="2">
        <v>7</v>
      </c>
      <c r="B9" s="5" t="s">
        <v>68</v>
      </c>
    </row>
    <row r="10" spans="1:2" ht="13" x14ac:dyDescent="0.3">
      <c r="A10" s="2">
        <v>8</v>
      </c>
      <c r="B10" s="3" t="s">
        <v>71</v>
      </c>
    </row>
    <row r="11" spans="1:2" x14ac:dyDescent="0.25">
      <c r="A11" s="2"/>
      <c r="B11" s="3" t="s">
        <v>72</v>
      </c>
    </row>
    <row r="12" spans="1:2" x14ac:dyDescent="0.25">
      <c r="A12" s="2"/>
      <c r="B12" s="5" t="s">
        <v>73</v>
      </c>
    </row>
    <row r="13" spans="1:2" x14ac:dyDescent="0.25">
      <c r="A13" s="2"/>
      <c r="B13" s="5" t="s">
        <v>74</v>
      </c>
    </row>
    <row r="14" spans="1:2" x14ac:dyDescent="0.25">
      <c r="A14" s="2">
        <v>9</v>
      </c>
      <c r="B14" s="3" t="s">
        <v>75</v>
      </c>
    </row>
    <row r="15" spans="1:2" x14ac:dyDescent="0.25">
      <c r="A15" s="2">
        <v>10</v>
      </c>
      <c r="B15" s="3" t="s">
        <v>77</v>
      </c>
    </row>
    <row r="16" spans="1:2" x14ac:dyDescent="0.25">
      <c r="A16" s="2">
        <v>11</v>
      </c>
      <c r="B16" s="3" t="s">
        <v>78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1"/>
  <sheetViews>
    <sheetView tabSelected="1" zoomScale="85" zoomScaleNormal="85" zoomScaleSheetLayoutView="100" workbookViewId="0">
      <selection activeCell="I11" sqref="I11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35" t="str">
        <f>+Transactions!B1</f>
        <v>AEPTCo Formula Rate -- FERC Docket ER18-195</v>
      </c>
      <c r="D1" s="235"/>
      <c r="E1" s="235"/>
      <c r="F1" s="235"/>
      <c r="G1" s="235"/>
      <c r="H1" s="235"/>
      <c r="I1" s="235"/>
      <c r="J1" s="6">
        <v>2024</v>
      </c>
    </row>
    <row r="2" spans="2:17" ht="13" x14ac:dyDescent="0.3">
      <c r="C2" s="235" t="s">
        <v>95</v>
      </c>
      <c r="D2" s="235"/>
      <c r="E2" s="235"/>
      <c r="F2" s="235"/>
      <c r="G2" s="235"/>
      <c r="H2" s="235"/>
      <c r="I2" s="235"/>
    </row>
    <row r="3" spans="2:17" ht="13" x14ac:dyDescent="0.3">
      <c r="C3" s="235" t="str">
        <f>"for period 01/01/"&amp;F8&amp;" - 12/31/"&amp;F8</f>
        <v>for period 01/01/2024 - 12/31/2024</v>
      </c>
      <c r="D3" s="235"/>
      <c r="E3" s="235"/>
      <c r="F3" s="235"/>
      <c r="G3" s="235"/>
      <c r="H3" s="235"/>
      <c r="I3" s="235"/>
    </row>
    <row r="4" spans="2:17" ht="13" x14ac:dyDescent="0.3">
      <c r="C4" s="235" t="s">
        <v>93</v>
      </c>
      <c r="D4" s="235"/>
      <c r="E4" s="235"/>
      <c r="F4" s="235"/>
      <c r="G4" s="235"/>
      <c r="H4" s="235"/>
      <c r="I4" s="235"/>
    </row>
    <row r="5" spans="2:17" x14ac:dyDescent="0.25">
      <c r="C5" s="7" t="str">
        <f>"Prepared:  May 24_, "&amp;J1+1&amp;""</f>
        <v>Prepared:  May 24_, 2025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2024</v>
      </c>
    </row>
    <row r="9" spans="2:17" ht="20.25" customHeight="1" x14ac:dyDescent="0.3">
      <c r="E9" s="12" t="s">
        <v>92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2024 Projections 2024)</v>
      </c>
      <c r="F10" s="18" t="str">
        <f>"(per "&amp;F8&amp;" Update of May "&amp;F8+1&amp;")"</f>
        <v>(per 2024 Update of May 2025)</v>
      </c>
      <c r="G10" s="19"/>
      <c r="H10" s="20"/>
    </row>
    <row r="11" spans="2:17" ht="21.75" customHeight="1" x14ac:dyDescent="0.25">
      <c r="B11" s="21"/>
      <c r="C11" s="22" t="s">
        <v>38</v>
      </c>
      <c r="D11" s="23" t="s">
        <v>36</v>
      </c>
      <c r="E11" s="24">
        <f>Transactions!K2</f>
        <v>1216594.6691788705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41</v>
      </c>
      <c r="E12" s="30"/>
      <c r="F12" s="31">
        <f>+Transactions!J2</f>
        <v>1622535.2690000013</v>
      </c>
      <c r="G12" s="32"/>
      <c r="H12" s="33"/>
    </row>
    <row r="13" spans="2:17" ht="21.75" customHeight="1" x14ac:dyDescent="0.25">
      <c r="B13" s="34"/>
      <c r="C13" s="35" t="s">
        <v>39</v>
      </c>
      <c r="D13" s="36" t="s">
        <v>37</v>
      </c>
      <c r="E13" s="37">
        <f>Transactions!K3</f>
        <v>11.985209729074265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40</v>
      </c>
      <c r="E14" s="42"/>
      <c r="F14" s="43">
        <f>+Transactions!J3</f>
        <v>15.930479514192312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91</v>
      </c>
      <c r="I19" s="54" t="s">
        <v>90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49</v>
      </c>
      <c r="D20" s="56" t="str">
        <f>"Actual Charge
("&amp;F8&amp;" True-Up)"</f>
        <v>Actual Charge
(2024 True-Up)</v>
      </c>
      <c r="E20" s="57" t="str">
        <f>"Invoiced for
CY"&amp;F8&amp;" Transmission Service"</f>
        <v>Invoiced for
CY2024 Transmission Service</v>
      </c>
      <c r="F20" s="56" t="s">
        <v>97</v>
      </c>
      <c r="G20" s="58" t="s">
        <v>98</v>
      </c>
      <c r="H20" s="58" t="s">
        <v>85</v>
      </c>
      <c r="I20" s="56" t="s">
        <v>99</v>
      </c>
      <c r="L20" s="50"/>
      <c r="M20" s="51"/>
      <c r="N20" s="51"/>
      <c r="O20" s="51"/>
      <c r="P20" s="51"/>
      <c r="Q20" s="51"/>
    </row>
    <row r="21" spans="2:17" x14ac:dyDescent="0.25">
      <c r="B21" s="59"/>
      <c r="C21" s="60" t="s">
        <v>14</v>
      </c>
      <c r="D21" s="61">
        <f>GETPIVOTDATA("Sum of "&amp;T(Transactions!$J$19),Pivot!$A$3,"Customer",C21)</f>
        <v>153776.91875049841</v>
      </c>
      <c r="E21" s="61">
        <f>GETPIVOTDATA("Sum of "&amp;T(Transactions!$K$19),Pivot!$A$3,"Customer",C21)</f>
        <v>115693.22951475388</v>
      </c>
      <c r="F21" s="61">
        <f>D21-E21</f>
        <v>38083.689235744532</v>
      </c>
      <c r="G21" s="51">
        <f>+GETPIVOTDATA("Sum of "&amp;T(Transactions!$M$19),Pivot!$A$3,"Customer","AECC")</f>
        <v>3059.8519468525801</v>
      </c>
      <c r="H21" s="51">
        <f>GETPIVOTDATA("Sum of "&amp;T(Transactions!$Q$19),Pivot!$A$3,"Customer","AECC")</f>
        <v>0</v>
      </c>
      <c r="I21" s="62">
        <f>F21+G21-H21</f>
        <v>41143.54118259711</v>
      </c>
      <c r="J21" s="59"/>
      <c r="L21" s="50"/>
      <c r="M21" s="51"/>
      <c r="N21" s="51"/>
      <c r="O21" s="51"/>
      <c r="P21" s="51"/>
      <c r="Q21" s="51"/>
    </row>
    <row r="22" spans="2:17" x14ac:dyDescent="0.25">
      <c r="B22" s="59"/>
      <c r="C22" s="63" t="s">
        <v>82</v>
      </c>
      <c r="D22" s="61">
        <f>GETPIVOTDATA("Sum of "&amp;T(Transactions!$J$19),Pivot!$A$3,"Customer",C22)</f>
        <v>7869.6568800110017</v>
      </c>
      <c r="E22" s="61">
        <f>GETPIVOTDATA("Sum of "&amp;T(Transactions!$K$19),Pivot!$A$3,"Customer",C22)</f>
        <v>5920.6936061626866</v>
      </c>
      <c r="F22" s="61">
        <f>D22-E22</f>
        <v>1948.9632738483151</v>
      </c>
      <c r="G22" s="51">
        <f>+GETPIVOTDATA("Sum of "&amp;T(Transactions!$M$19),Pivot!$A$3,"Customer","AECI")</f>
        <v>156.59037208589808</v>
      </c>
      <c r="H22" s="51">
        <f>GETPIVOTDATA("Sum of "&amp;T(Transactions!$Q$19),Pivot!$A$3,"Customer",C22)</f>
        <v>0</v>
      </c>
      <c r="I22" s="62">
        <f t="shared" ref="I22:I33" si="0">F22+G22-H22</f>
        <v>2105.5536459342134</v>
      </c>
      <c r="J22" s="59"/>
      <c r="L22" s="50"/>
      <c r="M22" s="51"/>
      <c r="N22" s="51"/>
      <c r="O22" s="51"/>
      <c r="P22" s="51"/>
      <c r="Q22" s="51"/>
    </row>
    <row r="23" spans="2:17" x14ac:dyDescent="0.25">
      <c r="B23" s="59"/>
      <c r="C23" s="63" t="s">
        <v>53</v>
      </c>
      <c r="D23" s="61">
        <f>GETPIVOTDATA("Sum of "&amp;T(Transactions!$J$19),Pivot!$A$3,"Customer",C23)</f>
        <v>24819.687083111625</v>
      </c>
      <c r="E23" s="61">
        <f>GETPIVOTDATA("Sum of "&amp;T(Transactions!$K$19),Pivot!$A$3,"Customer",C23)</f>
        <v>18672.956757897704</v>
      </c>
      <c r="F23" s="61">
        <f t="shared" ref="F23:F35" si="1">D23-E23</f>
        <v>6146.7303252139209</v>
      </c>
      <c r="G23" s="51">
        <f>+GETPIVOTDATA("Sum of "&amp;T(Transactions!$M$19),Pivot!$A$3,"Customer","Bentonville, AR")</f>
        <v>493.86194273244786</v>
      </c>
      <c r="H23" s="51">
        <f>GETPIVOTDATA("Sum of "&amp;T(Transactions!$Q$19),Pivot!$A$3,"Customer",C23)</f>
        <v>0</v>
      </c>
      <c r="I23" s="62">
        <f t="shared" si="0"/>
        <v>6640.5922679463683</v>
      </c>
      <c r="J23" s="59"/>
      <c r="L23" s="50"/>
      <c r="M23" s="51"/>
      <c r="N23" s="51"/>
      <c r="O23" s="51"/>
      <c r="P23" s="51"/>
      <c r="Q23" s="51"/>
    </row>
    <row r="24" spans="2:17" x14ac:dyDescent="0.25">
      <c r="B24" s="59"/>
      <c r="C24" s="60" t="s">
        <v>17</v>
      </c>
      <c r="D24" s="61">
        <f>GETPIVOTDATA("Sum of "&amp;T(Transactions!$J$19),Pivot!$A$3,"Customer",C24)</f>
        <v>20375.083298651967</v>
      </c>
      <c r="E24" s="61">
        <f>GETPIVOTDATA("Sum of "&amp;T(Transactions!$K$19),Pivot!$A$3,"Customer",C24)</f>
        <v>15329.083243485986</v>
      </c>
      <c r="F24" s="61">
        <f t="shared" si="1"/>
        <v>5046.0000551659814</v>
      </c>
      <c r="G24" s="51">
        <f>+GETPIVOTDATA("Sum of "&amp;T(Transactions!$M$19),Pivot!$A$3,"Customer","Coffeyville, KS")</f>
        <v>405.42325080539206</v>
      </c>
      <c r="H24" s="51">
        <f>GETPIVOTDATA("Sum of "&amp;T(Transactions!$Q$19),Pivot!$A$3,"Customer",C24)</f>
        <v>0</v>
      </c>
      <c r="I24" s="62">
        <f t="shared" si="0"/>
        <v>5451.4233059713733</v>
      </c>
      <c r="J24" s="59"/>
      <c r="L24" s="50"/>
      <c r="M24" s="51"/>
      <c r="N24" s="51"/>
      <c r="O24" s="51"/>
      <c r="P24" s="51"/>
      <c r="Q24" s="51"/>
    </row>
    <row r="25" spans="2:17" x14ac:dyDescent="0.25">
      <c r="B25" s="59"/>
      <c r="C25" s="63" t="s">
        <v>13</v>
      </c>
      <c r="D25" s="61">
        <f>GETPIVOTDATA("Sum of "&amp;T(Transactions!$J$19),Pivot!$A$3,"Customer",C25)</f>
        <v>161503.20131488165</v>
      </c>
      <c r="E25" s="61">
        <f>GETPIVOTDATA("Sum of "&amp;T(Transactions!$K$19),Pivot!$A$3,"Customer",C25)</f>
        <v>121506.0562333549</v>
      </c>
      <c r="F25" s="61">
        <f t="shared" si="1"/>
        <v>39997.145081526745</v>
      </c>
      <c r="G25" s="51">
        <f>+GETPIVOTDATA("Sum of "&amp;T(Transactions!$M$19),Pivot!$A$3,"Customer","ETEC")</f>
        <v>3213.589457908573</v>
      </c>
      <c r="H25" s="51">
        <f>GETPIVOTDATA("Sum of "&amp;T(Transactions!$Q$19),Pivot!$A$3,"Customer",C25)</f>
        <v>0</v>
      </c>
      <c r="I25" s="62">
        <f t="shared" si="0"/>
        <v>43210.734539435318</v>
      </c>
      <c r="J25" s="59"/>
      <c r="L25" s="52"/>
      <c r="M25" s="51"/>
      <c r="N25" s="51"/>
      <c r="O25" s="51"/>
      <c r="P25" s="51"/>
      <c r="Q25" s="51"/>
    </row>
    <row r="26" spans="2:17" x14ac:dyDescent="0.25">
      <c r="B26" s="59"/>
      <c r="C26" s="60" t="s">
        <v>15</v>
      </c>
      <c r="D26" s="61">
        <f>GETPIVOTDATA("Sum of "&amp;T(Transactions!$J$19),Pivot!$A$3,"Customer",C26)</f>
        <v>1784.2137055895387</v>
      </c>
      <c r="E26" s="61">
        <f>GETPIVOTDATA("Sum of "&amp;T(Transactions!$K$19),Pivot!$A$3,"Customer",C26)</f>
        <v>1342.3434896563178</v>
      </c>
      <c r="F26" s="61">
        <f t="shared" si="1"/>
        <v>441.87021593322083</v>
      </c>
      <c r="G26" s="51">
        <f>+GETPIVOTDATA("Sum of "&amp;T(Transactions!$M$19),Pivot!$A$3,"Customer","Greenbelt")</f>
        <v>35.502270594373663</v>
      </c>
      <c r="H26" s="51">
        <f>GETPIVOTDATA("Sum of "&amp;T(Transactions!$Q$19),Pivot!$A$3,"Customer",C26)</f>
        <v>0</v>
      </c>
      <c r="I26" s="62">
        <f t="shared" si="0"/>
        <v>477.3724865275945</v>
      </c>
      <c r="J26" s="59"/>
      <c r="K26" s="64"/>
      <c r="L26" s="64"/>
      <c r="M26" s="64"/>
      <c r="N26" s="64"/>
      <c r="O26" s="51"/>
      <c r="P26" s="51"/>
      <c r="Q26" s="51"/>
    </row>
    <row r="27" spans="2:17" x14ac:dyDescent="0.25">
      <c r="B27" s="59"/>
      <c r="C27" s="60" t="s">
        <v>56</v>
      </c>
      <c r="D27" s="61">
        <f>GETPIVOTDATA("Sum of "&amp;T(Transactions!$J$19),Pivot!$A$3,"Customer",C27)</f>
        <v>7359.8815355568477</v>
      </c>
      <c r="E27" s="61">
        <f>GETPIVOTDATA("Sum of "&amp;T(Transactions!$K$19),Pivot!$A$3,"Customer",C27)</f>
        <v>5537.1668948323104</v>
      </c>
      <c r="F27" s="61">
        <f t="shared" si="1"/>
        <v>1822.7146407245373</v>
      </c>
      <c r="G27" s="51">
        <f>+GETPIVOTDATA("Sum of "&amp;T(Transactions!$M$19),Pivot!$A$3,"Customer","Hope, AR")</f>
        <v>146.44686620179135</v>
      </c>
      <c r="H27" s="51">
        <f>GETPIVOTDATA("Sum of "&amp;T(Transactions!$Q$19),Pivot!$A$3,"Customer",C27)</f>
        <v>0</v>
      </c>
      <c r="I27" s="62">
        <f t="shared" si="0"/>
        <v>1969.1615069263287</v>
      </c>
      <c r="J27" s="59"/>
      <c r="K27" s="64"/>
      <c r="L27" s="64"/>
      <c r="M27" s="64"/>
      <c r="N27" s="64"/>
      <c r="O27" s="51"/>
      <c r="P27" s="51"/>
      <c r="Q27" s="51"/>
    </row>
    <row r="28" spans="2:17" x14ac:dyDescent="0.25">
      <c r="B28" s="59"/>
      <c r="C28" s="60" t="s">
        <v>16</v>
      </c>
      <c r="D28" s="61">
        <f>GETPIVOTDATA("Sum of "&amp;T(Transactions!$J$19),Pivot!$A$3,"Customer",C28)</f>
        <v>716.87157813865394</v>
      </c>
      <c r="E28" s="61">
        <f>GETPIVOTDATA("Sum of "&amp;T(Transactions!$K$19),Pivot!$A$3,"Customer",C28)</f>
        <v>539.33443780834193</v>
      </c>
      <c r="F28" s="61">
        <f t="shared" si="1"/>
        <v>177.53714033031201</v>
      </c>
      <c r="G28" s="51">
        <f>+GETPIVOTDATA("Sum of "&amp;T(Transactions!$M$19),Pivot!$A$3,"Customer","Lighthouse")</f>
        <v>14.264305149525134</v>
      </c>
      <c r="H28" s="51">
        <f>GETPIVOTDATA("Sum of "&amp;T(Transactions!$Q$19),Pivot!$A$3,"Customer",C28)</f>
        <v>0</v>
      </c>
      <c r="I28" s="62">
        <f t="shared" si="0"/>
        <v>191.80144547983716</v>
      </c>
      <c r="J28" s="59"/>
      <c r="L28" s="50"/>
      <c r="M28" s="51"/>
      <c r="N28" s="51"/>
      <c r="O28" s="51"/>
      <c r="P28" s="51"/>
      <c r="Q28" s="51"/>
    </row>
    <row r="29" spans="2:17" x14ac:dyDescent="0.25">
      <c r="B29" s="59"/>
      <c r="C29" s="63" t="s">
        <v>55</v>
      </c>
      <c r="D29" s="61">
        <f>GETPIVOTDATA("Sum of "&amp;T(Transactions!$J$19),Pivot!$A$3,"Customer",C29)</f>
        <v>5193.3363216266935</v>
      </c>
      <c r="E29" s="61">
        <f>GETPIVOTDATA("Sum of "&amp;T(Transactions!$K$19),Pivot!$A$3,"Customer",C29)</f>
        <v>3907.1783716782102</v>
      </c>
      <c r="F29" s="61">
        <f t="shared" si="1"/>
        <v>1286.1579499484833</v>
      </c>
      <c r="G29" s="51">
        <f>+GETPIVOTDATA("Sum of "&amp;T(Transactions!$M$19),Pivot!$A$3,"Customer","Minden, LA")</f>
        <v>103.33696619433762</v>
      </c>
      <c r="H29" s="51">
        <f>GETPIVOTDATA("Sum of "&amp;T(Transactions!$Q$19),Pivot!$A$3,"Customer",C29)</f>
        <v>0</v>
      </c>
      <c r="I29" s="62">
        <f t="shared" si="0"/>
        <v>1389.494916142821</v>
      </c>
      <c r="J29" s="59"/>
      <c r="L29" s="50"/>
      <c r="M29" s="51"/>
      <c r="N29" s="51"/>
      <c r="O29" s="51"/>
      <c r="P29" s="51"/>
      <c r="Q29" s="51"/>
    </row>
    <row r="30" spans="2:17" x14ac:dyDescent="0.25">
      <c r="B30" s="59"/>
      <c r="C30" s="63" t="s">
        <v>19</v>
      </c>
      <c r="D30" s="61">
        <f>GETPIVOTDATA("Sum of "&amp;T(Transactions!$J$19),Pivot!$A$3,"Customer",C30)</f>
        <v>12553.217857183541</v>
      </c>
      <c r="E30" s="61">
        <f>GETPIVOTDATA("Sum of "&amp;T(Transactions!$K$19),Pivot!$A$3,"Customer",C30)</f>
        <v>9444.3452665105215</v>
      </c>
      <c r="F30" s="61">
        <f t="shared" si="1"/>
        <v>3108.8725906730197</v>
      </c>
      <c r="G30" s="51">
        <f>+GETPIVOTDATA("Sum of "&amp;T(Transactions!$M$19),Pivot!$A$3,"Customer","OG&amp;E")</f>
        <v>249.78383239612896</v>
      </c>
      <c r="H30" s="51">
        <f>GETPIVOTDATA("Sum of "&amp;T(Transactions!$Q$19),Pivot!$A$3,"Customer",C30)</f>
        <v>0</v>
      </c>
      <c r="I30" s="62">
        <f t="shared" si="0"/>
        <v>3358.6564230691488</v>
      </c>
      <c r="J30" s="59"/>
    </row>
    <row r="31" spans="2:17" x14ac:dyDescent="0.25">
      <c r="B31" s="59"/>
      <c r="C31" s="60" t="s">
        <v>8</v>
      </c>
      <c r="D31" s="61">
        <f>GETPIVOTDATA("Sum of "&amp;T(Transactions!$J$19),Pivot!$A$3,"Customer",C31)</f>
        <v>20359.152819137777</v>
      </c>
      <c r="E31" s="61">
        <f>GETPIVOTDATA("Sum of "&amp;T(Transactions!$K$19),Pivot!$A$3,"Customer",C31)</f>
        <v>15317.098033756909</v>
      </c>
      <c r="F31" s="61">
        <f t="shared" si="1"/>
        <v>5042.0547853808675</v>
      </c>
      <c r="G31" s="51">
        <f>+GETPIVOTDATA("Sum of "&amp;T(Transactions!$M$19),Pivot!$A$3,"Customer","OMPA")</f>
        <v>405.10626624651371</v>
      </c>
      <c r="H31" s="51">
        <f>GETPIVOTDATA("Sum of "&amp;T(Transactions!$Q$19),Pivot!$A$3,"Customer",C31)</f>
        <v>0</v>
      </c>
      <c r="I31" s="62">
        <f t="shared" si="0"/>
        <v>5447.1610516273813</v>
      </c>
      <c r="J31" s="59"/>
    </row>
    <row r="32" spans="2:17" x14ac:dyDescent="0.25">
      <c r="B32" s="59"/>
      <c r="C32" s="60" t="s">
        <v>54</v>
      </c>
      <c r="D32" s="61">
        <f>GETPIVOTDATA("Sum of "&amp;T(Transactions!$J$19),Pivot!$A$3,"Customer",C32)</f>
        <v>1895.7270621888849</v>
      </c>
      <c r="E32" s="61">
        <f>GETPIVOTDATA("Sum of "&amp;T(Transactions!$K$19),Pivot!$A$3,"Customer",C32)</f>
        <v>1426.2399577598378</v>
      </c>
      <c r="F32" s="61">
        <f t="shared" si="1"/>
        <v>469.48710442904712</v>
      </c>
      <c r="G32" s="51">
        <f>+GETPIVOTDATA("Sum of "&amp;T(Transactions!$M$19),Pivot!$A$3,"Customer","Prescott, AR")</f>
        <v>37.721162506522013</v>
      </c>
      <c r="H32" s="51">
        <f>GETPIVOTDATA("Sum of "&amp;T(Transactions!$Q$19),Pivot!$A$3,"Customer",C32)</f>
        <v>0</v>
      </c>
      <c r="I32" s="62">
        <f t="shared" si="0"/>
        <v>507.20826693556916</v>
      </c>
      <c r="J32" s="59"/>
    </row>
    <row r="33" spans="2:11" x14ac:dyDescent="0.25">
      <c r="B33" s="59"/>
      <c r="C33" s="65" t="s">
        <v>9</v>
      </c>
      <c r="D33" s="61">
        <f>GETPIVOTDATA("Sum of "&amp;T(Transactions!$J$19),Pivot!$A$3,"Customer",C33)</f>
        <v>10243.298327625656</v>
      </c>
      <c r="E33" s="61">
        <f>GETPIVOTDATA("Sum of "&amp;T(Transactions!$K$19),Pivot!$A$3,"Customer",C33)</f>
        <v>7706.4898557947527</v>
      </c>
      <c r="F33" s="61">
        <f t="shared" si="1"/>
        <v>2536.8084718309037</v>
      </c>
      <c r="G33" s="51">
        <f>+GETPIVOTDATA("Sum of "&amp;T(Transactions!$M$19),Pivot!$A$3,"Customer","WFEC")</f>
        <v>203.82107135877015</v>
      </c>
      <c r="H33" s="51">
        <f>GETPIVOTDATA("Sum of "&amp;T(Transactions!$Q$19),Pivot!$A$3,"Customer",C33)</f>
        <v>0</v>
      </c>
      <c r="I33" s="62">
        <f t="shared" si="0"/>
        <v>2740.6295431896738</v>
      </c>
      <c r="J33" s="59"/>
    </row>
    <row r="34" spans="2:11" ht="23" x14ac:dyDescent="0.25">
      <c r="C34" s="66" t="s">
        <v>42</v>
      </c>
      <c r="D34" s="67">
        <f t="shared" ref="D34:I34" si="2">SUM(D21:D33)</f>
        <v>428450.24653420231</v>
      </c>
      <c r="E34" s="67">
        <f t="shared" si="2"/>
        <v>322342.2156634524</v>
      </c>
      <c r="F34" s="67">
        <f t="shared" si="2"/>
        <v>106108.03087074988</v>
      </c>
      <c r="G34" s="68">
        <f t="shared" si="2"/>
        <v>8525.2997110328542</v>
      </c>
      <c r="H34" s="68">
        <f t="shared" si="2"/>
        <v>0</v>
      </c>
      <c r="I34" s="69">
        <f t="shared" si="2"/>
        <v>114633.33058178275</v>
      </c>
    </row>
    <row r="35" spans="2:11" x14ac:dyDescent="0.25">
      <c r="C35" s="70" t="s">
        <v>21</v>
      </c>
      <c r="D35" s="61">
        <f>GETPIVOTDATA("Sum of "&amp;T(Transactions!$J$19),Pivot!$A$3,"Customer",C35)</f>
        <v>609898.40820085269</v>
      </c>
      <c r="E35" s="61">
        <f>GETPIVOTDATA("Sum of "&amp;T(Transactions!$K$19),Pivot!$A$3,"Customer",C35)</f>
        <v>458853.75447760819</v>
      </c>
      <c r="F35" s="61">
        <f t="shared" si="1"/>
        <v>151044.6537232445</v>
      </c>
      <c r="G35" s="51">
        <f>+GETPIVOTDATA("Sum of "&amp;T(Transactions!$M$19),Pivot!$A$3,"Customer","PSO")</f>
        <v>12135.753836657103</v>
      </c>
      <c r="H35" s="51">
        <f>GETPIVOTDATA("Sum of "&amp;T(Transactions!$Q$19),Pivot!$A$3,"Customer",C35)</f>
        <v>0</v>
      </c>
      <c r="I35" s="62">
        <f>F35+G35-H35</f>
        <v>163180.40755990159</v>
      </c>
    </row>
    <row r="36" spans="2:11" x14ac:dyDescent="0.25">
      <c r="C36" s="71" t="s">
        <v>22</v>
      </c>
      <c r="D36" s="61">
        <f>GETPIVOTDATA("Sum of "&amp;T(Transactions!$J$19),Pivot!$A$3,"Customer",C36)</f>
        <v>558873.08231689467</v>
      </c>
      <c r="E36" s="61">
        <f>GETPIVOTDATA("Sum of "&amp;T(Transactions!$K$19),Pivot!$A$3,"Customer",C36)</f>
        <v>420465.12771538342</v>
      </c>
      <c r="F36" s="61">
        <f>D36-E36</f>
        <v>138407.95460151124</v>
      </c>
      <c r="G36" s="51">
        <f>+GETPIVOTDATA("Sum of "&amp;T(Transactions!$M$19),Pivot!$A$3,"Customer","SWEPCO")</f>
        <v>11120.452294569794</v>
      </c>
      <c r="H36" s="51">
        <f>GETPIVOTDATA("Sum of "&amp;T(Transactions!$Q$19),Pivot!$A$3,"Customer",C36)</f>
        <v>0</v>
      </c>
      <c r="I36" s="62">
        <f>F36+G36-H36</f>
        <v>149528.40689608103</v>
      </c>
    </row>
    <row r="37" spans="2:11" x14ac:dyDescent="0.25">
      <c r="C37" s="72" t="s">
        <v>80</v>
      </c>
      <c r="D37" s="61">
        <f>GETPIVOTDATA("Sum of "&amp;T(Transactions!$J$19),Pivot!$A$3,"Customer",C37)</f>
        <v>25313.531948051586</v>
      </c>
      <c r="E37" s="61">
        <f>GETPIVOTDATA("Sum of "&amp;T(Transactions!$K$19),Pivot!$A$3,"Customer",C37)</f>
        <v>19044.498259499007</v>
      </c>
      <c r="F37" s="61">
        <f>D37-E37</f>
        <v>6269.0336885525794</v>
      </c>
      <c r="G37" s="51">
        <f>+GETPIVOTDATA("Sum of "&amp;T(Transactions!$M$19),Pivot!$A$3,"Customer","SWEPCO-Valley")</f>
        <v>503.68846405767624</v>
      </c>
      <c r="H37" s="51">
        <f>GETPIVOTDATA("Sum of "&amp;T(Transactions!$Q$19),Pivot!$A$3,"Customer",C37)</f>
        <v>0</v>
      </c>
      <c r="I37" s="62">
        <f>F37+G37-H37</f>
        <v>6772.7221526102558</v>
      </c>
    </row>
    <row r="38" spans="2:11" ht="23" x14ac:dyDescent="0.25">
      <c r="C38" s="73" t="s">
        <v>50</v>
      </c>
      <c r="D38" s="74">
        <f t="shared" ref="D38:I38" si="3">SUM(D35:D37)</f>
        <v>1194085.022465799</v>
      </c>
      <c r="E38" s="74">
        <f t="shared" si="3"/>
        <v>898363.38045249064</v>
      </c>
      <c r="F38" s="74">
        <f t="shared" si="3"/>
        <v>295721.6420133083</v>
      </c>
      <c r="G38" s="75">
        <f t="shared" si="3"/>
        <v>23759.894595284572</v>
      </c>
      <c r="H38" s="75">
        <f t="shared" si="3"/>
        <v>0</v>
      </c>
      <c r="I38" s="76">
        <f t="shared" si="3"/>
        <v>319481.5366085929</v>
      </c>
      <c r="K38" s="77"/>
    </row>
    <row r="39" spans="2:11" ht="23.25" customHeight="1" thickBot="1" x14ac:dyDescent="0.3">
      <c r="C39" s="78" t="s">
        <v>43</v>
      </c>
      <c r="D39" s="79">
        <f t="shared" ref="D39:I39" si="4">SUM(D34,D38)</f>
        <v>1622535.2690000013</v>
      </c>
      <c r="E39" s="80">
        <f t="shared" si="4"/>
        <v>1220705.596115943</v>
      </c>
      <c r="F39" s="79">
        <f t="shared" si="4"/>
        <v>401829.67288405821</v>
      </c>
      <c r="G39" s="80">
        <f t="shared" si="4"/>
        <v>32285.194306317426</v>
      </c>
      <c r="H39" s="80">
        <f t="shared" si="4"/>
        <v>0</v>
      </c>
      <c r="I39" s="81">
        <f t="shared" si="4"/>
        <v>434114.86719037563</v>
      </c>
      <c r="K39" s="77"/>
    </row>
    <row r="40" spans="2:11" x14ac:dyDescent="0.25">
      <c r="E40" s="50"/>
      <c r="F40" s="50"/>
      <c r="G40" s="50"/>
      <c r="H40" s="50"/>
    </row>
    <row r="41" spans="2:11" x14ac:dyDescent="0.25">
      <c r="I41" s="209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3"/>
  <sheetViews>
    <sheetView zoomScale="85" workbookViewId="0">
      <pane xSplit="2" ySplit="4" topLeftCell="F4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ColWidth="8.7265625" defaultRowHeight="12.5" x14ac:dyDescent="0.25"/>
  <cols>
    <col min="1" max="1" width="19.1796875" style="1" customWidth="1"/>
    <col min="2" max="2" width="28.54296875" style="1" bestFit="1" customWidth="1"/>
    <col min="3" max="14" width="15.453125" style="1" bestFit="1" customWidth="1"/>
    <col min="15" max="15" width="10.54296875" style="1" bestFit="1" customWidth="1"/>
    <col min="16" max="16384" width="8.7265625" style="1"/>
  </cols>
  <sheetData>
    <row r="3" spans="1:15" x14ac:dyDescent="0.25">
      <c r="A3" s="211"/>
      <c r="B3" s="212"/>
      <c r="C3" s="213" t="s">
        <v>52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4"/>
    </row>
    <row r="4" spans="1:15" x14ac:dyDescent="0.25">
      <c r="A4" s="213" t="s">
        <v>0</v>
      </c>
      <c r="B4" s="213" t="s">
        <v>24</v>
      </c>
      <c r="C4" s="215">
        <v>45292</v>
      </c>
      <c r="D4" s="216">
        <v>45323</v>
      </c>
      <c r="E4" s="216">
        <v>45352</v>
      </c>
      <c r="F4" s="216">
        <v>45383</v>
      </c>
      <c r="G4" s="216">
        <v>45413</v>
      </c>
      <c r="H4" s="216">
        <v>45444</v>
      </c>
      <c r="I4" s="216">
        <v>45474</v>
      </c>
      <c r="J4" s="216">
        <v>45505</v>
      </c>
      <c r="K4" s="216">
        <v>45536</v>
      </c>
      <c r="L4" s="216">
        <v>45566</v>
      </c>
      <c r="M4" s="216">
        <v>45597</v>
      </c>
      <c r="N4" s="216">
        <v>45627</v>
      </c>
      <c r="O4" s="217" t="s">
        <v>18</v>
      </c>
    </row>
    <row r="5" spans="1:15" x14ac:dyDescent="0.25">
      <c r="A5" s="211" t="s">
        <v>14</v>
      </c>
      <c r="B5" s="211" t="s">
        <v>69</v>
      </c>
      <c r="C5" s="218">
        <v>17985.51137152312</v>
      </c>
      <c r="D5" s="219">
        <v>11772.624360988118</v>
      </c>
      <c r="E5" s="219">
        <v>10227.367848111464</v>
      </c>
      <c r="F5" s="219">
        <v>9255.6085977457333</v>
      </c>
      <c r="G5" s="219">
        <v>11995.651074186811</v>
      </c>
      <c r="H5" s="219">
        <v>15946.409993706504</v>
      </c>
      <c r="I5" s="219">
        <v>15309.190813138812</v>
      </c>
      <c r="J5" s="219">
        <v>16201.297665933582</v>
      </c>
      <c r="K5" s="219">
        <v>13636.490464148619</v>
      </c>
      <c r="L5" s="219">
        <v>12521.356898155158</v>
      </c>
      <c r="M5" s="219">
        <v>7375.8120150710402</v>
      </c>
      <c r="N5" s="219">
        <v>11549.597647789426</v>
      </c>
      <c r="O5" s="220">
        <v>153776.91875049841</v>
      </c>
    </row>
    <row r="6" spans="1:15" ht="13" x14ac:dyDescent="0.3">
      <c r="A6" s="221"/>
      <c r="B6" s="222" t="s">
        <v>25</v>
      </c>
      <c r="C6" s="223">
        <v>4454.2095873982744</v>
      </c>
      <c r="D6" s="210">
        <v>2915.5543712022372</v>
      </c>
      <c r="E6" s="210">
        <v>2532.8632020457853</v>
      </c>
      <c r="F6" s="210">
        <v>2292.2017451535849</v>
      </c>
      <c r="G6" s="210">
        <v>2970.7881481938894</v>
      </c>
      <c r="H6" s="210">
        <v>3949.2150549031649</v>
      </c>
      <c r="I6" s="210">
        <v>3791.4042634984435</v>
      </c>
      <c r="J6" s="210">
        <v>4012.3393714650538</v>
      </c>
      <c r="K6" s="210">
        <v>3377.1509360610489</v>
      </c>
      <c r="L6" s="210">
        <v>3100.9820511027847</v>
      </c>
      <c r="M6" s="210">
        <v>1826.6599105096557</v>
      </c>
      <c r="N6" s="210">
        <v>2860.3205942105833</v>
      </c>
      <c r="O6" s="224">
        <v>38083.68923574451</v>
      </c>
    </row>
    <row r="7" spans="1:15" ht="13" x14ac:dyDescent="0.3">
      <c r="A7" s="221"/>
      <c r="B7" s="222" t="s">
        <v>26</v>
      </c>
      <c r="C7" s="223">
        <v>357.87556697364164</v>
      </c>
      <c r="D7" s="210">
        <v>234.25158901109049</v>
      </c>
      <c r="E7" s="210">
        <v>203.50408679989187</v>
      </c>
      <c r="F7" s="210">
        <v>184.16802870831336</v>
      </c>
      <c r="G7" s="210">
        <v>238.68937283538722</v>
      </c>
      <c r="H7" s="210">
        <v>317.3015434372146</v>
      </c>
      <c r="I7" s="210">
        <v>304.62216108208111</v>
      </c>
      <c r="J7" s="210">
        <v>322.37329637926797</v>
      </c>
      <c r="K7" s="210">
        <v>271.3387823998558</v>
      </c>
      <c r="L7" s="210">
        <v>249.14986327837229</v>
      </c>
      <c r="M7" s="210">
        <v>146.7638507606697</v>
      </c>
      <c r="N7" s="210">
        <v>229.81380518679379</v>
      </c>
      <c r="O7" s="224">
        <v>3059.8519468525801</v>
      </c>
    </row>
    <row r="8" spans="1:15" ht="13" x14ac:dyDescent="0.3">
      <c r="A8" s="221"/>
      <c r="B8" s="222" t="s">
        <v>27</v>
      </c>
      <c r="C8" s="223">
        <v>4812.0851543719164</v>
      </c>
      <c r="D8" s="210">
        <v>3149.8059602133276</v>
      </c>
      <c r="E8" s="210">
        <v>2736.3672888456772</v>
      </c>
      <c r="F8" s="210">
        <v>2476.369773861898</v>
      </c>
      <c r="G8" s="210">
        <v>3209.4775210292764</v>
      </c>
      <c r="H8" s="210">
        <v>4266.5165983403795</v>
      </c>
      <c r="I8" s="210">
        <v>4096.0264245805247</v>
      </c>
      <c r="J8" s="210">
        <v>4334.7126678443219</v>
      </c>
      <c r="K8" s="210">
        <v>3648.4897184609049</v>
      </c>
      <c r="L8" s="210">
        <v>3350.131914381157</v>
      </c>
      <c r="M8" s="210">
        <v>1973.4237612703255</v>
      </c>
      <c r="N8" s="210">
        <v>3090.1343993973769</v>
      </c>
      <c r="O8" s="224">
        <v>41143.541182597088</v>
      </c>
    </row>
    <row r="9" spans="1:15" x14ac:dyDescent="0.25">
      <c r="A9" s="221"/>
      <c r="B9" s="222" t="s">
        <v>48</v>
      </c>
      <c r="C9" s="225">
        <v>13531.301784124846</v>
      </c>
      <c r="D9" s="82">
        <v>8857.0699897858813</v>
      </c>
      <c r="E9" s="82">
        <v>7694.5046460656786</v>
      </c>
      <c r="F9" s="82">
        <v>6963.4068525921484</v>
      </c>
      <c r="G9" s="82">
        <v>9024.8629259929221</v>
      </c>
      <c r="H9" s="82">
        <v>11997.194938803339</v>
      </c>
      <c r="I9" s="82">
        <v>11517.786549640368</v>
      </c>
      <c r="J9" s="82">
        <v>12188.958294468528</v>
      </c>
      <c r="K9" s="82">
        <v>10259.33952808757</v>
      </c>
      <c r="L9" s="82">
        <v>9420.3748470523733</v>
      </c>
      <c r="M9" s="82">
        <v>5549.1521045613845</v>
      </c>
      <c r="N9" s="82">
        <v>8689.2770535788422</v>
      </c>
      <c r="O9" s="226">
        <v>115693.22951475388</v>
      </c>
    </row>
    <row r="10" spans="1:15" x14ac:dyDescent="0.25">
      <c r="A10" s="221"/>
      <c r="B10" s="222" t="s">
        <v>86</v>
      </c>
      <c r="C10" s="225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226">
        <v>0</v>
      </c>
    </row>
    <row r="11" spans="1:15" x14ac:dyDescent="0.25">
      <c r="A11" s="221"/>
      <c r="B11" s="222" t="s">
        <v>88</v>
      </c>
      <c r="C11" s="225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226">
        <v>0</v>
      </c>
    </row>
    <row r="12" spans="1:15" x14ac:dyDescent="0.25">
      <c r="A12" s="211" t="s">
        <v>17</v>
      </c>
      <c r="B12" s="211" t="s">
        <v>69</v>
      </c>
      <c r="C12" s="218">
        <v>1656.7698694760004</v>
      </c>
      <c r="D12" s="219">
        <v>1577.1174719050389</v>
      </c>
      <c r="E12" s="219">
        <v>1577.1174719050389</v>
      </c>
      <c r="F12" s="219">
        <v>1577.1174719050389</v>
      </c>
      <c r="G12" s="219">
        <v>1688.6308285043851</v>
      </c>
      <c r="H12" s="219">
        <v>1911.6575417030774</v>
      </c>
      <c r="I12" s="219">
        <v>1863.8661031605004</v>
      </c>
      <c r="J12" s="219">
        <v>1879.7965826746929</v>
      </c>
      <c r="K12" s="219">
        <v>1863.8661031605004</v>
      </c>
      <c r="L12" s="219">
        <v>1704.5613080185774</v>
      </c>
      <c r="M12" s="219">
        <v>1449.6736357915004</v>
      </c>
      <c r="N12" s="219">
        <v>1624.9089104476159</v>
      </c>
      <c r="O12" s="220">
        <v>20375.083298651967</v>
      </c>
    </row>
    <row r="13" spans="1:15" ht="13" x14ac:dyDescent="0.3">
      <c r="A13" s="221"/>
      <c r="B13" s="222" t="s">
        <v>25</v>
      </c>
      <c r="C13" s="223">
        <v>410.30805765227683</v>
      </c>
      <c r="D13" s="210">
        <v>390.58170872668666</v>
      </c>
      <c r="E13" s="210">
        <v>390.58170872668666</v>
      </c>
      <c r="F13" s="210">
        <v>390.58170872668666</v>
      </c>
      <c r="G13" s="210">
        <v>418.19859722251294</v>
      </c>
      <c r="H13" s="210">
        <v>473.43237421416552</v>
      </c>
      <c r="I13" s="210">
        <v>461.59656485881146</v>
      </c>
      <c r="J13" s="210">
        <v>465.54183464392963</v>
      </c>
      <c r="K13" s="210">
        <v>461.59656485881146</v>
      </c>
      <c r="L13" s="210">
        <v>422.14386700763112</v>
      </c>
      <c r="M13" s="210">
        <v>359.0195504457422</v>
      </c>
      <c r="N13" s="210">
        <v>402.41751808204094</v>
      </c>
      <c r="O13" s="224">
        <v>5046.0000551659823</v>
      </c>
    </row>
    <row r="14" spans="1:15" ht="13" x14ac:dyDescent="0.3">
      <c r="A14" s="221"/>
      <c r="B14" s="222" t="s">
        <v>26</v>
      </c>
      <c r="C14" s="223">
        <v>32.966394123346973</v>
      </c>
      <c r="D14" s="210">
        <v>31.381471328955289</v>
      </c>
      <c r="E14" s="210">
        <v>31.381471328955289</v>
      </c>
      <c r="F14" s="210">
        <v>31.381471328955289</v>
      </c>
      <c r="G14" s="210">
        <v>33.600363241103643</v>
      </c>
      <c r="H14" s="210">
        <v>38.038147065400352</v>
      </c>
      <c r="I14" s="210">
        <v>37.087193388765343</v>
      </c>
      <c r="J14" s="210">
        <v>37.404177947643674</v>
      </c>
      <c r="K14" s="210">
        <v>37.087193388765343</v>
      </c>
      <c r="L14" s="210">
        <v>33.917347799981975</v>
      </c>
      <c r="M14" s="210">
        <v>28.845594857928599</v>
      </c>
      <c r="N14" s="210">
        <v>32.332425005590295</v>
      </c>
      <c r="O14" s="224">
        <v>405.42325080539206</v>
      </c>
    </row>
    <row r="15" spans="1:15" ht="13" x14ac:dyDescent="0.3">
      <c r="A15" s="221"/>
      <c r="B15" s="222" t="s">
        <v>27</v>
      </c>
      <c r="C15" s="223">
        <v>443.27445177562379</v>
      </c>
      <c r="D15" s="210">
        <v>421.96318005564194</v>
      </c>
      <c r="E15" s="210">
        <v>421.96318005564194</v>
      </c>
      <c r="F15" s="210">
        <v>421.96318005564194</v>
      </c>
      <c r="G15" s="210">
        <v>451.7989604636166</v>
      </c>
      <c r="H15" s="210">
        <v>511.4705212795659</v>
      </c>
      <c r="I15" s="210">
        <v>498.6837582475768</v>
      </c>
      <c r="J15" s="210">
        <v>502.94601259157332</v>
      </c>
      <c r="K15" s="210">
        <v>498.6837582475768</v>
      </c>
      <c r="L15" s="210">
        <v>456.06121480761311</v>
      </c>
      <c r="M15" s="210">
        <v>387.86514530367077</v>
      </c>
      <c r="N15" s="210">
        <v>434.74994308763121</v>
      </c>
      <c r="O15" s="224">
        <v>5451.4233059713742</v>
      </c>
    </row>
    <row r="16" spans="1:15" x14ac:dyDescent="0.25">
      <c r="A16" s="221"/>
      <c r="B16" s="222" t="s">
        <v>48</v>
      </c>
      <c r="C16" s="225">
        <v>1246.4618118237236</v>
      </c>
      <c r="D16" s="82">
        <v>1186.5357631783522</v>
      </c>
      <c r="E16" s="82">
        <v>1186.5357631783522</v>
      </c>
      <c r="F16" s="82">
        <v>1186.5357631783522</v>
      </c>
      <c r="G16" s="82">
        <v>1270.4322312818722</v>
      </c>
      <c r="H16" s="82">
        <v>1438.2251674889119</v>
      </c>
      <c r="I16" s="82">
        <v>1402.269538301689</v>
      </c>
      <c r="J16" s="82">
        <v>1414.2547480307633</v>
      </c>
      <c r="K16" s="82">
        <v>1402.269538301689</v>
      </c>
      <c r="L16" s="82">
        <v>1282.4174410109463</v>
      </c>
      <c r="M16" s="82">
        <v>1090.6540853457582</v>
      </c>
      <c r="N16" s="82">
        <v>1222.4913923655749</v>
      </c>
      <c r="O16" s="226">
        <v>15329.083243485986</v>
      </c>
    </row>
    <row r="17" spans="1:15" x14ac:dyDescent="0.25">
      <c r="A17" s="221"/>
      <c r="B17" s="222" t="s">
        <v>86</v>
      </c>
      <c r="C17" s="225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226">
        <v>0</v>
      </c>
    </row>
    <row r="18" spans="1:15" x14ac:dyDescent="0.25">
      <c r="A18" s="221"/>
      <c r="B18" s="222" t="s">
        <v>88</v>
      </c>
      <c r="C18" s="225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226">
        <v>0</v>
      </c>
    </row>
    <row r="19" spans="1:15" x14ac:dyDescent="0.25">
      <c r="A19" s="211" t="s">
        <v>13</v>
      </c>
      <c r="B19" s="211" t="s">
        <v>69</v>
      </c>
      <c r="C19" s="218">
        <v>23131.056254607236</v>
      </c>
      <c r="D19" s="219">
        <v>15388.843210709772</v>
      </c>
      <c r="E19" s="219">
        <v>11661.111004388773</v>
      </c>
      <c r="F19" s="219">
        <v>8713.9722942631943</v>
      </c>
      <c r="G19" s="219">
        <v>11900.068197101657</v>
      </c>
      <c r="H19" s="219">
        <v>14608.24971451435</v>
      </c>
      <c r="I19" s="219">
        <v>15133.955538482696</v>
      </c>
      <c r="J19" s="219">
        <v>14974.650743340773</v>
      </c>
      <c r="K19" s="219">
        <v>12999.271283580927</v>
      </c>
      <c r="L19" s="219">
        <v>10880.517508193348</v>
      </c>
      <c r="M19" s="219">
        <v>8363.5017449509633</v>
      </c>
      <c r="N19" s="219">
        <v>13748.003820747965</v>
      </c>
      <c r="O19" s="220">
        <v>161503.20131488165</v>
      </c>
    </row>
    <row r="20" spans="1:15" ht="13" x14ac:dyDescent="0.3">
      <c r="A20" s="221"/>
      <c r="B20" s="222" t="s">
        <v>25</v>
      </c>
      <c r="C20" s="223">
        <v>5728.5317279914016</v>
      </c>
      <c r="D20" s="210">
        <v>3811.1306124240327</v>
      </c>
      <c r="E20" s="210">
        <v>2887.9374827064112</v>
      </c>
      <c r="F20" s="210">
        <v>2158.0625724595711</v>
      </c>
      <c r="G20" s="210">
        <v>2947.1165294831808</v>
      </c>
      <c r="H20" s="210">
        <v>3617.8123929532485</v>
      </c>
      <c r="I20" s="210">
        <v>3748.0062958621438</v>
      </c>
      <c r="J20" s="210">
        <v>3708.5535980109635</v>
      </c>
      <c r="K20" s="210">
        <v>3219.3401446563275</v>
      </c>
      <c r="L20" s="210">
        <v>2694.6192632356251</v>
      </c>
      <c r="M20" s="210">
        <v>2071.2666371869736</v>
      </c>
      <c r="N20" s="210">
        <v>3404.7678245568732</v>
      </c>
      <c r="O20" s="224">
        <v>39997.145081526753</v>
      </c>
    </row>
    <row r="21" spans="1:15" ht="13" x14ac:dyDescent="0.3">
      <c r="A21" s="221"/>
      <c r="B21" s="222" t="s">
        <v>26</v>
      </c>
      <c r="C21" s="223">
        <v>460.26157949134426</v>
      </c>
      <c r="D21" s="210">
        <v>306.20708387647278</v>
      </c>
      <c r="E21" s="210">
        <v>232.03269709894215</v>
      </c>
      <c r="F21" s="210">
        <v>173.39055370644994</v>
      </c>
      <c r="G21" s="210">
        <v>236.7874654821172</v>
      </c>
      <c r="H21" s="210">
        <v>290.67484049143434</v>
      </c>
      <c r="I21" s="210">
        <v>301.13533093441947</v>
      </c>
      <c r="J21" s="210">
        <v>297.96548534563607</v>
      </c>
      <c r="K21" s="210">
        <v>258.65940004472236</v>
      </c>
      <c r="L21" s="210">
        <v>216.50045371390368</v>
      </c>
      <c r="M21" s="210">
        <v>166.41689341112655</v>
      </c>
      <c r="N21" s="210">
        <v>273.55767431200417</v>
      </c>
      <c r="O21" s="224">
        <v>3213.589457908573</v>
      </c>
    </row>
    <row r="22" spans="1:15" ht="13" x14ac:dyDescent="0.3">
      <c r="A22" s="221"/>
      <c r="B22" s="222" t="s">
        <v>27</v>
      </c>
      <c r="C22" s="223">
        <v>6188.7933074827461</v>
      </c>
      <c r="D22" s="210">
        <v>4117.3376963005057</v>
      </c>
      <c r="E22" s="210">
        <v>3119.9701798053534</v>
      </c>
      <c r="F22" s="210">
        <v>2331.4531261660209</v>
      </c>
      <c r="G22" s="210">
        <v>3183.9039949652979</v>
      </c>
      <c r="H22" s="210">
        <v>3908.4872334446827</v>
      </c>
      <c r="I22" s="210">
        <v>4049.1416267965633</v>
      </c>
      <c r="J22" s="210">
        <v>4006.5190833565994</v>
      </c>
      <c r="K22" s="210">
        <v>3477.9995447010497</v>
      </c>
      <c r="L22" s="210">
        <v>2911.119716949529</v>
      </c>
      <c r="M22" s="210">
        <v>2237.6835305981003</v>
      </c>
      <c r="N22" s="210">
        <v>3678.3254988688773</v>
      </c>
      <c r="O22" s="224">
        <v>43210.734539435332</v>
      </c>
    </row>
    <row r="23" spans="1:15" x14ac:dyDescent="0.25">
      <c r="A23" s="221"/>
      <c r="B23" s="222" t="s">
        <v>48</v>
      </c>
      <c r="C23" s="225">
        <v>17402.524526615834</v>
      </c>
      <c r="D23" s="82">
        <v>11577.71259828574</v>
      </c>
      <c r="E23" s="82">
        <v>8773.1735216823618</v>
      </c>
      <c r="F23" s="82">
        <v>6555.9097218036231</v>
      </c>
      <c r="G23" s="82">
        <v>8952.9516676184758</v>
      </c>
      <c r="H23" s="82">
        <v>10990.437321561101</v>
      </c>
      <c r="I23" s="82">
        <v>11385.949242620552</v>
      </c>
      <c r="J23" s="82">
        <v>11266.09714532981</v>
      </c>
      <c r="K23" s="82">
        <v>9779.9311389245995</v>
      </c>
      <c r="L23" s="82">
        <v>8185.8982449577234</v>
      </c>
      <c r="M23" s="82">
        <v>6292.2351077639896</v>
      </c>
      <c r="N23" s="82">
        <v>10343.235996191092</v>
      </c>
      <c r="O23" s="226">
        <v>121506.0562333549</v>
      </c>
    </row>
    <row r="24" spans="1:15" x14ac:dyDescent="0.25">
      <c r="A24" s="221"/>
      <c r="B24" s="222" t="s">
        <v>86</v>
      </c>
      <c r="C24" s="225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226">
        <v>0</v>
      </c>
    </row>
    <row r="25" spans="1:15" x14ac:dyDescent="0.25">
      <c r="A25" s="221"/>
      <c r="B25" s="222" t="s">
        <v>88</v>
      </c>
      <c r="C25" s="225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226">
        <v>0</v>
      </c>
    </row>
    <row r="26" spans="1:15" x14ac:dyDescent="0.25">
      <c r="A26" s="211" t="s">
        <v>15</v>
      </c>
      <c r="B26" s="211" t="s">
        <v>69</v>
      </c>
      <c r="C26" s="218">
        <v>127.4438361135385</v>
      </c>
      <c r="D26" s="219">
        <v>79.652397570961554</v>
      </c>
      <c r="E26" s="219">
        <v>79.652397570961554</v>
      </c>
      <c r="F26" s="219">
        <v>95.582877085153868</v>
      </c>
      <c r="G26" s="219">
        <v>143.37431562773079</v>
      </c>
      <c r="H26" s="219">
        <v>223.02671319869236</v>
      </c>
      <c r="I26" s="219">
        <v>270.81815174126928</v>
      </c>
      <c r="J26" s="219">
        <v>302.6791107696539</v>
      </c>
      <c r="K26" s="219">
        <v>175.23527465611542</v>
      </c>
      <c r="L26" s="219">
        <v>95.582877085153868</v>
      </c>
      <c r="M26" s="219">
        <v>95.582877085153868</v>
      </c>
      <c r="N26" s="219">
        <v>95.582877085153868</v>
      </c>
      <c r="O26" s="220">
        <v>1784.2137055895387</v>
      </c>
    </row>
    <row r="27" spans="1:15" ht="13" x14ac:dyDescent="0.3">
      <c r="A27" s="221"/>
      <c r="B27" s="222" t="s">
        <v>25</v>
      </c>
      <c r="C27" s="223">
        <v>31.562158280944374</v>
      </c>
      <c r="D27" s="210">
        <v>19.72634892559023</v>
      </c>
      <c r="E27" s="210">
        <v>19.72634892559023</v>
      </c>
      <c r="F27" s="210">
        <v>23.671618710708273</v>
      </c>
      <c r="G27" s="210">
        <v>35.507428066062403</v>
      </c>
      <c r="H27" s="210">
        <v>55.233776991652661</v>
      </c>
      <c r="I27" s="210">
        <v>67.069586347006776</v>
      </c>
      <c r="J27" s="210">
        <v>74.960125917242863</v>
      </c>
      <c r="K27" s="210">
        <v>43.397967636298517</v>
      </c>
      <c r="L27" s="210">
        <v>23.671618710708273</v>
      </c>
      <c r="M27" s="210">
        <v>23.671618710708273</v>
      </c>
      <c r="N27" s="210">
        <v>23.671618710708273</v>
      </c>
      <c r="O27" s="224">
        <v>441.87021593322117</v>
      </c>
    </row>
    <row r="28" spans="1:15" ht="13" x14ac:dyDescent="0.3">
      <c r="A28" s="221"/>
      <c r="B28" s="222" t="s">
        <v>26</v>
      </c>
      <c r="C28" s="223">
        <v>2.5358764710266901</v>
      </c>
      <c r="D28" s="210">
        <v>1.5849227943916813</v>
      </c>
      <c r="E28" s="210">
        <v>1.5849227943916813</v>
      </c>
      <c r="F28" s="210">
        <v>1.9019073532700175</v>
      </c>
      <c r="G28" s="210">
        <v>2.8528610299050263</v>
      </c>
      <c r="H28" s="210">
        <v>4.4377838242967078</v>
      </c>
      <c r="I28" s="210">
        <v>5.3887375009317164</v>
      </c>
      <c r="J28" s="210">
        <v>6.0227066186883889</v>
      </c>
      <c r="K28" s="210">
        <v>3.4868301476616987</v>
      </c>
      <c r="L28" s="210">
        <v>1.9019073532700175</v>
      </c>
      <c r="M28" s="210">
        <v>1.9019073532700175</v>
      </c>
      <c r="N28" s="210">
        <v>1.9019073532700175</v>
      </c>
      <c r="O28" s="224">
        <v>35.502270594373663</v>
      </c>
    </row>
    <row r="29" spans="1:15" ht="13" x14ac:dyDescent="0.3">
      <c r="A29" s="221"/>
      <c r="B29" s="222" t="s">
        <v>27</v>
      </c>
      <c r="C29" s="223">
        <v>34.098034751971063</v>
      </c>
      <c r="D29" s="210">
        <v>21.31127171998191</v>
      </c>
      <c r="E29" s="210">
        <v>21.31127171998191</v>
      </c>
      <c r="F29" s="210">
        <v>25.573526063978292</v>
      </c>
      <c r="G29" s="210">
        <v>38.360289095967431</v>
      </c>
      <c r="H29" s="210">
        <v>59.67156081594937</v>
      </c>
      <c r="I29" s="210">
        <v>72.458323847938487</v>
      </c>
      <c r="J29" s="210">
        <v>80.982832535931252</v>
      </c>
      <c r="K29" s="210">
        <v>46.884797783960217</v>
      </c>
      <c r="L29" s="210">
        <v>25.573526063978292</v>
      </c>
      <c r="M29" s="210">
        <v>25.573526063978292</v>
      </c>
      <c r="N29" s="210">
        <v>25.573526063978292</v>
      </c>
      <c r="O29" s="224">
        <v>477.37248652759484</v>
      </c>
    </row>
    <row r="30" spans="1:15" x14ac:dyDescent="0.25">
      <c r="A30" s="221"/>
      <c r="B30" s="222" t="s">
        <v>48</v>
      </c>
      <c r="C30" s="225">
        <v>95.881677832594121</v>
      </c>
      <c r="D30" s="82">
        <v>59.926048645371324</v>
      </c>
      <c r="E30" s="82">
        <v>59.926048645371324</v>
      </c>
      <c r="F30" s="82">
        <v>71.911258374445595</v>
      </c>
      <c r="G30" s="82">
        <v>107.86688756166839</v>
      </c>
      <c r="H30" s="82">
        <v>167.7929362070397</v>
      </c>
      <c r="I30" s="82">
        <v>203.7485653942625</v>
      </c>
      <c r="J30" s="82">
        <v>227.71898485241104</v>
      </c>
      <c r="K30" s="82">
        <v>131.8373070198169</v>
      </c>
      <c r="L30" s="82">
        <v>71.911258374445595</v>
      </c>
      <c r="M30" s="82">
        <v>71.911258374445595</v>
      </c>
      <c r="N30" s="82">
        <v>71.911258374445595</v>
      </c>
      <c r="O30" s="226">
        <v>1342.3434896563178</v>
      </c>
    </row>
    <row r="31" spans="1:15" x14ac:dyDescent="0.25">
      <c r="A31" s="221"/>
      <c r="B31" s="222" t="s">
        <v>86</v>
      </c>
      <c r="C31" s="225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226">
        <v>0</v>
      </c>
    </row>
    <row r="32" spans="1:15" x14ac:dyDescent="0.25">
      <c r="A32" s="221"/>
      <c r="B32" s="222" t="s">
        <v>88</v>
      </c>
      <c r="C32" s="225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226">
        <v>0</v>
      </c>
    </row>
    <row r="33" spans="1:15" x14ac:dyDescent="0.25">
      <c r="A33" s="211" t="s">
        <v>16</v>
      </c>
      <c r="B33" s="211" t="s">
        <v>69</v>
      </c>
      <c r="C33" s="218">
        <v>63.721918056769248</v>
      </c>
      <c r="D33" s="219">
        <v>47.791438542576934</v>
      </c>
      <c r="E33" s="219">
        <v>47.791438542576934</v>
      </c>
      <c r="F33" s="219">
        <v>31.860959028384624</v>
      </c>
      <c r="G33" s="219">
        <v>63.721918056769248</v>
      </c>
      <c r="H33" s="219">
        <v>63.721918056769248</v>
      </c>
      <c r="I33" s="219">
        <v>95.582877085153868</v>
      </c>
      <c r="J33" s="219">
        <v>95.582877085153868</v>
      </c>
      <c r="K33" s="219">
        <v>47.791438542576934</v>
      </c>
      <c r="L33" s="219">
        <v>95.582877085153868</v>
      </c>
      <c r="M33" s="219">
        <v>15.930479514192312</v>
      </c>
      <c r="N33" s="219">
        <v>47.791438542576934</v>
      </c>
      <c r="O33" s="220">
        <v>716.87157813865394</v>
      </c>
    </row>
    <row r="34" spans="1:15" ht="13" x14ac:dyDescent="0.3">
      <c r="A34" s="221"/>
      <c r="B34" s="222" t="s">
        <v>25</v>
      </c>
      <c r="C34" s="223">
        <v>15.781079140472187</v>
      </c>
      <c r="D34" s="210">
        <v>11.835809355354137</v>
      </c>
      <c r="E34" s="210">
        <v>11.835809355354137</v>
      </c>
      <c r="F34" s="210">
        <v>7.8905395702360934</v>
      </c>
      <c r="G34" s="210">
        <v>15.781079140472187</v>
      </c>
      <c r="H34" s="210">
        <v>15.781079140472187</v>
      </c>
      <c r="I34" s="210">
        <v>23.671618710708273</v>
      </c>
      <c r="J34" s="210">
        <v>23.671618710708273</v>
      </c>
      <c r="K34" s="210">
        <v>11.835809355354137</v>
      </c>
      <c r="L34" s="210">
        <v>23.671618710708273</v>
      </c>
      <c r="M34" s="210">
        <v>3.9452697851180467</v>
      </c>
      <c r="N34" s="210">
        <v>11.835809355354137</v>
      </c>
      <c r="O34" s="224">
        <v>177.5371403303121</v>
      </c>
    </row>
    <row r="35" spans="1:15" ht="13" x14ac:dyDescent="0.3">
      <c r="A35" s="221"/>
      <c r="B35" s="222" t="s">
        <v>26</v>
      </c>
      <c r="C35" s="223">
        <v>1.2679382355133451</v>
      </c>
      <c r="D35" s="210">
        <v>0.95095367663500874</v>
      </c>
      <c r="E35" s="210">
        <v>0.95095367663500874</v>
      </c>
      <c r="F35" s="210">
        <v>0.63396911775667253</v>
      </c>
      <c r="G35" s="210">
        <v>1.2679382355133451</v>
      </c>
      <c r="H35" s="210">
        <v>1.2679382355133451</v>
      </c>
      <c r="I35" s="210">
        <v>1.9019073532700175</v>
      </c>
      <c r="J35" s="210">
        <v>1.9019073532700175</v>
      </c>
      <c r="K35" s="210">
        <v>0.95095367663500874</v>
      </c>
      <c r="L35" s="210">
        <v>1.9019073532700175</v>
      </c>
      <c r="M35" s="210">
        <v>0.31698455887833626</v>
      </c>
      <c r="N35" s="210">
        <v>0.95095367663500874</v>
      </c>
      <c r="O35" s="224">
        <v>14.264305149525134</v>
      </c>
    </row>
    <row r="36" spans="1:15" ht="13" x14ac:dyDescent="0.3">
      <c r="A36" s="221"/>
      <c r="B36" s="222" t="s">
        <v>27</v>
      </c>
      <c r="C36" s="223">
        <v>17.049017375985532</v>
      </c>
      <c r="D36" s="210">
        <v>12.786763031989146</v>
      </c>
      <c r="E36" s="210">
        <v>12.786763031989146</v>
      </c>
      <c r="F36" s="210">
        <v>8.5245086879927658</v>
      </c>
      <c r="G36" s="210">
        <v>17.049017375985532</v>
      </c>
      <c r="H36" s="210">
        <v>17.049017375985532</v>
      </c>
      <c r="I36" s="210">
        <v>25.573526063978292</v>
      </c>
      <c r="J36" s="210">
        <v>25.573526063978292</v>
      </c>
      <c r="K36" s="210">
        <v>12.786763031989146</v>
      </c>
      <c r="L36" s="210">
        <v>25.573526063978292</v>
      </c>
      <c r="M36" s="210">
        <v>4.2622543439963829</v>
      </c>
      <c r="N36" s="210">
        <v>12.786763031989146</v>
      </c>
      <c r="O36" s="224">
        <v>191.80144547983721</v>
      </c>
    </row>
    <row r="37" spans="1:15" x14ac:dyDescent="0.25">
      <c r="A37" s="221"/>
      <c r="B37" s="222" t="s">
        <v>48</v>
      </c>
      <c r="C37" s="225">
        <v>47.940838916297061</v>
      </c>
      <c r="D37" s="82">
        <v>35.955629187222797</v>
      </c>
      <c r="E37" s="82">
        <v>35.955629187222797</v>
      </c>
      <c r="F37" s="82">
        <v>23.97041945814853</v>
      </c>
      <c r="G37" s="82">
        <v>47.940838916297061</v>
      </c>
      <c r="H37" s="82">
        <v>47.940838916297061</v>
      </c>
      <c r="I37" s="82">
        <v>71.911258374445595</v>
      </c>
      <c r="J37" s="82">
        <v>71.911258374445595</v>
      </c>
      <c r="K37" s="82">
        <v>35.955629187222797</v>
      </c>
      <c r="L37" s="82">
        <v>71.911258374445595</v>
      </c>
      <c r="M37" s="82">
        <v>11.985209729074265</v>
      </c>
      <c r="N37" s="82">
        <v>35.955629187222797</v>
      </c>
      <c r="O37" s="226">
        <v>539.33443780834193</v>
      </c>
    </row>
    <row r="38" spans="1:15" x14ac:dyDescent="0.25">
      <c r="A38" s="221"/>
      <c r="B38" s="222" t="s">
        <v>86</v>
      </c>
      <c r="C38" s="225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226">
        <v>0</v>
      </c>
    </row>
    <row r="39" spans="1:15" x14ac:dyDescent="0.25">
      <c r="A39" s="221"/>
      <c r="B39" s="222" t="s">
        <v>88</v>
      </c>
      <c r="C39" s="225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226">
        <v>0</v>
      </c>
    </row>
    <row r="40" spans="1:15" x14ac:dyDescent="0.25">
      <c r="A40" s="211" t="s">
        <v>19</v>
      </c>
      <c r="B40" s="211" t="s">
        <v>69</v>
      </c>
      <c r="C40" s="218">
        <v>1035.4811684225003</v>
      </c>
      <c r="D40" s="219">
        <v>1035.4811684225003</v>
      </c>
      <c r="E40" s="219">
        <v>1019.550688908308</v>
      </c>
      <c r="F40" s="219">
        <v>1035.4811684225003</v>
      </c>
      <c r="G40" s="219">
        <v>812.45445522380794</v>
      </c>
      <c r="H40" s="219">
        <v>939.89829133734645</v>
      </c>
      <c r="I40" s="219">
        <v>1067.3421274508848</v>
      </c>
      <c r="J40" s="219">
        <v>1115.1335659934618</v>
      </c>
      <c r="K40" s="219">
        <v>1146.9945250218464</v>
      </c>
      <c r="L40" s="219">
        <v>1162.9250045360388</v>
      </c>
      <c r="M40" s="219">
        <v>1146.9945250218464</v>
      </c>
      <c r="N40" s="219">
        <v>1035.4811684225003</v>
      </c>
      <c r="O40" s="220">
        <v>12553.217857183541</v>
      </c>
    </row>
    <row r="41" spans="1:15" ht="13" x14ac:dyDescent="0.3">
      <c r="A41" s="221"/>
      <c r="B41" s="222" t="s">
        <v>25</v>
      </c>
      <c r="C41" s="223">
        <v>256.44253603267305</v>
      </c>
      <c r="D41" s="210">
        <v>256.44253603267305</v>
      </c>
      <c r="E41" s="210">
        <v>252.49726624755499</v>
      </c>
      <c r="F41" s="210">
        <v>256.44253603267305</v>
      </c>
      <c r="G41" s="210">
        <v>201.20875904102047</v>
      </c>
      <c r="H41" s="210">
        <v>232.77091732196482</v>
      </c>
      <c r="I41" s="210">
        <v>264.33307560290905</v>
      </c>
      <c r="J41" s="210">
        <v>276.16888495826333</v>
      </c>
      <c r="K41" s="210">
        <v>284.05942452849922</v>
      </c>
      <c r="L41" s="210">
        <v>288.00469431361751</v>
      </c>
      <c r="M41" s="210">
        <v>284.05942452849922</v>
      </c>
      <c r="N41" s="210">
        <v>256.44253603267305</v>
      </c>
      <c r="O41" s="224">
        <v>3108.872590673021</v>
      </c>
    </row>
    <row r="42" spans="1:15" ht="13" x14ac:dyDescent="0.3">
      <c r="A42" s="221"/>
      <c r="B42" s="222" t="s">
        <v>26</v>
      </c>
      <c r="C42" s="223">
        <v>20.60399632709186</v>
      </c>
      <c r="D42" s="210">
        <v>20.60399632709186</v>
      </c>
      <c r="E42" s="210">
        <v>20.287011768213521</v>
      </c>
      <c r="F42" s="210">
        <v>20.60399632709186</v>
      </c>
      <c r="G42" s="210">
        <v>16.166212502795148</v>
      </c>
      <c r="H42" s="210">
        <v>18.702088973821837</v>
      </c>
      <c r="I42" s="210">
        <v>21.23796544484853</v>
      </c>
      <c r="J42" s="210">
        <v>22.188919121483536</v>
      </c>
      <c r="K42" s="210">
        <v>22.822888239240211</v>
      </c>
      <c r="L42" s="210">
        <v>23.139872798118546</v>
      </c>
      <c r="M42" s="210">
        <v>22.822888239240211</v>
      </c>
      <c r="N42" s="210">
        <v>20.60399632709186</v>
      </c>
      <c r="O42" s="224">
        <v>249.78383239612896</v>
      </c>
    </row>
    <row r="43" spans="1:15" ht="13" x14ac:dyDescent="0.3">
      <c r="A43" s="221"/>
      <c r="B43" s="222" t="s">
        <v>27</v>
      </c>
      <c r="C43" s="223">
        <v>277.04653235976491</v>
      </c>
      <c r="D43" s="210">
        <v>277.04653235976491</v>
      </c>
      <c r="E43" s="210">
        <v>272.78427801576851</v>
      </c>
      <c r="F43" s="210">
        <v>277.04653235976491</v>
      </c>
      <c r="G43" s="210">
        <v>217.3749715438156</v>
      </c>
      <c r="H43" s="210">
        <v>251.47300629578666</v>
      </c>
      <c r="I43" s="210">
        <v>285.5710410477576</v>
      </c>
      <c r="J43" s="210">
        <v>298.35780407974687</v>
      </c>
      <c r="K43" s="210">
        <v>306.88231276773945</v>
      </c>
      <c r="L43" s="210">
        <v>311.14456711173602</v>
      </c>
      <c r="M43" s="210">
        <v>306.88231276773945</v>
      </c>
      <c r="N43" s="210">
        <v>277.04653235976491</v>
      </c>
      <c r="O43" s="224">
        <v>3358.6564230691506</v>
      </c>
    </row>
    <row r="44" spans="1:15" x14ac:dyDescent="0.25">
      <c r="A44" s="221"/>
      <c r="B44" s="222" t="s">
        <v>48</v>
      </c>
      <c r="C44" s="225">
        <v>779.03863238982728</v>
      </c>
      <c r="D44" s="82">
        <v>779.03863238982728</v>
      </c>
      <c r="E44" s="82">
        <v>767.05342266075297</v>
      </c>
      <c r="F44" s="82">
        <v>779.03863238982728</v>
      </c>
      <c r="G44" s="82">
        <v>611.24569618278747</v>
      </c>
      <c r="H44" s="82">
        <v>707.12737401538163</v>
      </c>
      <c r="I44" s="82">
        <v>803.0090518479758</v>
      </c>
      <c r="J44" s="82">
        <v>838.96468103519851</v>
      </c>
      <c r="K44" s="82">
        <v>862.93510049334714</v>
      </c>
      <c r="L44" s="82">
        <v>874.92031022242134</v>
      </c>
      <c r="M44" s="82">
        <v>862.93510049334714</v>
      </c>
      <c r="N44" s="82">
        <v>779.03863238982728</v>
      </c>
      <c r="O44" s="226">
        <v>9444.3452665105215</v>
      </c>
    </row>
    <row r="45" spans="1:15" x14ac:dyDescent="0.25">
      <c r="A45" s="221"/>
      <c r="B45" s="222" t="s">
        <v>86</v>
      </c>
      <c r="C45" s="225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226">
        <v>0</v>
      </c>
    </row>
    <row r="46" spans="1:15" x14ac:dyDescent="0.25">
      <c r="A46" s="221"/>
      <c r="B46" s="222" t="s">
        <v>88</v>
      </c>
      <c r="C46" s="225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226">
        <v>0</v>
      </c>
    </row>
    <row r="47" spans="1:15" x14ac:dyDescent="0.25">
      <c r="A47" s="211" t="s">
        <v>8</v>
      </c>
      <c r="B47" s="211" t="s">
        <v>69</v>
      </c>
      <c r="C47" s="218">
        <v>1497.4650743340774</v>
      </c>
      <c r="D47" s="219">
        <v>987.68972987992333</v>
      </c>
      <c r="E47" s="219">
        <v>955.82877085153871</v>
      </c>
      <c r="F47" s="219">
        <v>1465.6041153056926</v>
      </c>
      <c r="G47" s="219">
        <v>1879.7965826746929</v>
      </c>
      <c r="H47" s="219">
        <v>2278.0585705295007</v>
      </c>
      <c r="I47" s="219">
        <v>2405.5024066430392</v>
      </c>
      <c r="J47" s="219">
        <v>2501.0852837281932</v>
      </c>
      <c r="K47" s="219">
        <v>2325.8500090720777</v>
      </c>
      <c r="L47" s="219">
        <v>1847.9356236463082</v>
      </c>
      <c r="M47" s="219">
        <v>987.68972987992333</v>
      </c>
      <c r="N47" s="219">
        <v>1226.6469225928081</v>
      </c>
      <c r="O47" s="220">
        <v>20359.152819137777</v>
      </c>
    </row>
    <row r="48" spans="1:15" ht="13" x14ac:dyDescent="0.3">
      <c r="A48" s="221"/>
      <c r="B48" s="222" t="s">
        <v>25</v>
      </c>
      <c r="C48" s="223">
        <v>370.85535980109648</v>
      </c>
      <c r="D48" s="210">
        <v>244.60672667731887</v>
      </c>
      <c r="E48" s="210">
        <v>236.71618710708276</v>
      </c>
      <c r="F48" s="210">
        <v>362.96482023086014</v>
      </c>
      <c r="G48" s="210">
        <v>465.54183464392963</v>
      </c>
      <c r="H48" s="210">
        <v>564.17357927188073</v>
      </c>
      <c r="I48" s="210">
        <v>595.73573755282519</v>
      </c>
      <c r="J48" s="210">
        <v>619.40735626353353</v>
      </c>
      <c r="K48" s="210">
        <v>576.00938862723501</v>
      </c>
      <c r="L48" s="210">
        <v>457.65129507369329</v>
      </c>
      <c r="M48" s="210">
        <v>244.60672667731887</v>
      </c>
      <c r="N48" s="210">
        <v>303.78577345408962</v>
      </c>
      <c r="O48" s="224">
        <v>5042.0547853808639</v>
      </c>
    </row>
    <row r="49" spans="1:15" ht="13" x14ac:dyDescent="0.3">
      <c r="A49" s="221"/>
      <c r="B49" s="222" t="s">
        <v>26</v>
      </c>
      <c r="C49" s="223">
        <v>29.796548534563609</v>
      </c>
      <c r="D49" s="210">
        <v>19.653042650456847</v>
      </c>
      <c r="E49" s="210">
        <v>19.019073532700176</v>
      </c>
      <c r="F49" s="210">
        <v>29.162579416806935</v>
      </c>
      <c r="G49" s="210">
        <v>37.404177947643674</v>
      </c>
      <c r="H49" s="210">
        <v>45.328791919602082</v>
      </c>
      <c r="I49" s="210">
        <v>47.864668390628772</v>
      </c>
      <c r="J49" s="210">
        <v>49.766575743898791</v>
      </c>
      <c r="K49" s="210">
        <v>46.279745596237092</v>
      </c>
      <c r="L49" s="210">
        <v>36.770208829887004</v>
      </c>
      <c r="M49" s="210">
        <v>19.653042650456847</v>
      </c>
      <c r="N49" s="210">
        <v>24.407811033631891</v>
      </c>
      <c r="O49" s="224">
        <v>405.10626624651371</v>
      </c>
    </row>
    <row r="50" spans="1:15" ht="13" x14ac:dyDescent="0.3">
      <c r="A50" s="221"/>
      <c r="B50" s="222" t="s">
        <v>27</v>
      </c>
      <c r="C50" s="223">
        <v>400.6519083356601</v>
      </c>
      <c r="D50" s="210">
        <v>264.2597693277757</v>
      </c>
      <c r="E50" s="210">
        <v>255.73526063978295</v>
      </c>
      <c r="F50" s="210">
        <v>392.12739964766706</v>
      </c>
      <c r="G50" s="210">
        <v>502.94601259157332</v>
      </c>
      <c r="H50" s="210">
        <v>609.50237119148278</v>
      </c>
      <c r="I50" s="210">
        <v>643.60040594345401</v>
      </c>
      <c r="J50" s="210">
        <v>669.17393200743231</v>
      </c>
      <c r="K50" s="210">
        <v>622.28913422347205</v>
      </c>
      <c r="L50" s="210">
        <v>494.42150390358029</v>
      </c>
      <c r="M50" s="210">
        <v>264.2597693277757</v>
      </c>
      <c r="N50" s="210">
        <v>328.19358448772152</v>
      </c>
      <c r="O50" s="224">
        <v>5447.1610516273777</v>
      </c>
    </row>
    <row r="51" spans="1:15" x14ac:dyDescent="0.25">
      <c r="A51" s="221"/>
      <c r="B51" s="222" t="s">
        <v>48</v>
      </c>
      <c r="C51" s="225">
        <v>1126.6097145329809</v>
      </c>
      <c r="D51" s="82">
        <v>743.08300320260446</v>
      </c>
      <c r="E51" s="82">
        <v>719.11258374445595</v>
      </c>
      <c r="F51" s="82">
        <v>1102.6392950748325</v>
      </c>
      <c r="G51" s="82">
        <v>1414.2547480307633</v>
      </c>
      <c r="H51" s="82">
        <v>1713.88499125762</v>
      </c>
      <c r="I51" s="82">
        <v>1809.766669090214</v>
      </c>
      <c r="J51" s="82">
        <v>1881.6779274646597</v>
      </c>
      <c r="K51" s="82">
        <v>1749.8406204448427</v>
      </c>
      <c r="L51" s="82">
        <v>1390.2843285726149</v>
      </c>
      <c r="M51" s="82">
        <v>743.08300320260446</v>
      </c>
      <c r="N51" s="82">
        <v>922.86114913871847</v>
      </c>
      <c r="O51" s="226">
        <v>15317.098033756909</v>
      </c>
    </row>
    <row r="52" spans="1:15" x14ac:dyDescent="0.25">
      <c r="A52" s="221"/>
      <c r="B52" s="222" t="s">
        <v>86</v>
      </c>
      <c r="C52" s="225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226">
        <v>0</v>
      </c>
    </row>
    <row r="53" spans="1:15" x14ac:dyDescent="0.25">
      <c r="A53" s="221"/>
      <c r="B53" s="222" t="s">
        <v>88</v>
      </c>
      <c r="C53" s="225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226">
        <v>0</v>
      </c>
    </row>
    <row r="54" spans="1:15" x14ac:dyDescent="0.25">
      <c r="A54" s="211" t="s">
        <v>21</v>
      </c>
      <c r="B54" s="211" t="s">
        <v>69</v>
      </c>
      <c r="C54" s="218">
        <v>51805.919380153398</v>
      </c>
      <c r="D54" s="219">
        <v>37245.461104181624</v>
      </c>
      <c r="E54" s="219">
        <v>35301.942603450167</v>
      </c>
      <c r="F54" s="219">
        <v>44238.94161091205</v>
      </c>
      <c r="G54" s="219">
        <v>51694.406023554053</v>
      </c>
      <c r="H54" s="219">
        <v>64996.35641790463</v>
      </c>
      <c r="I54" s="219">
        <v>66095.559504383898</v>
      </c>
      <c r="J54" s="219">
        <v>66127.420463412287</v>
      </c>
      <c r="K54" s="219">
        <v>61475.720445268133</v>
      </c>
      <c r="L54" s="219">
        <v>54625.614254165441</v>
      </c>
      <c r="M54" s="219">
        <v>35365.664521506929</v>
      </c>
      <c r="N54" s="219">
        <v>40925.40187196005</v>
      </c>
      <c r="O54" s="220">
        <v>609898.40820085269</v>
      </c>
    </row>
    <row r="55" spans="1:15" ht="13" x14ac:dyDescent="0.3">
      <c r="A55" s="221"/>
      <c r="B55" s="222" t="s">
        <v>25</v>
      </c>
      <c r="C55" s="223">
        <v>12830.017341203886</v>
      </c>
      <c r="D55" s="210">
        <v>9224.0407576059915</v>
      </c>
      <c r="E55" s="210">
        <v>8742.717843821596</v>
      </c>
      <c r="F55" s="210">
        <v>10956.014193272815</v>
      </c>
      <c r="G55" s="210">
        <v>12802.400452708061</v>
      </c>
      <c r="H55" s="210">
        <v>16096.700723281625</v>
      </c>
      <c r="I55" s="210">
        <v>16368.924338454774</v>
      </c>
      <c r="J55" s="210">
        <v>16376.814878025012</v>
      </c>
      <c r="K55" s="210">
        <v>15224.796100770545</v>
      </c>
      <c r="L55" s="210">
        <v>13528.330093169789</v>
      </c>
      <c r="M55" s="210">
        <v>8758.4989229620624</v>
      </c>
      <c r="N55" s="210">
        <v>10135.398077968264</v>
      </c>
      <c r="O55" s="224">
        <v>151044.65372324444</v>
      </c>
    </row>
    <row r="56" spans="1:15" ht="13" x14ac:dyDescent="0.3">
      <c r="A56" s="221"/>
      <c r="B56" s="222" t="s">
        <v>26</v>
      </c>
      <c r="C56" s="223">
        <v>1030.8337854723495</v>
      </c>
      <c r="D56" s="210">
        <v>741.10989865755016</v>
      </c>
      <c r="E56" s="210">
        <v>702.43778247439309</v>
      </c>
      <c r="F56" s="210">
        <v>880.26612000513978</v>
      </c>
      <c r="G56" s="210">
        <v>1028.6148935602012</v>
      </c>
      <c r="H56" s="210">
        <v>1293.2970002236118</v>
      </c>
      <c r="I56" s="210">
        <v>1315.1689347862171</v>
      </c>
      <c r="J56" s="210">
        <v>1315.8029039039739</v>
      </c>
      <c r="K56" s="210">
        <v>1223.2434127114996</v>
      </c>
      <c r="L56" s="210">
        <v>1086.940052393815</v>
      </c>
      <c r="M56" s="210">
        <v>703.70572070990647</v>
      </c>
      <c r="N56" s="210">
        <v>814.33333175844575</v>
      </c>
      <c r="O56" s="224">
        <v>12135.753836657103</v>
      </c>
    </row>
    <row r="57" spans="1:15" ht="13" x14ac:dyDescent="0.3">
      <c r="A57" s="221"/>
      <c r="B57" s="222" t="s">
        <v>27</v>
      </c>
      <c r="C57" s="223">
        <v>13860.851126676236</v>
      </c>
      <c r="D57" s="210">
        <v>9965.1506562635423</v>
      </c>
      <c r="E57" s="210">
        <v>9445.1556262959894</v>
      </c>
      <c r="F57" s="210">
        <v>11836.280313277955</v>
      </c>
      <c r="G57" s="210">
        <v>13831.015346268263</v>
      </c>
      <c r="H57" s="210">
        <v>17389.997723505236</v>
      </c>
      <c r="I57" s="210">
        <v>17684.093273240989</v>
      </c>
      <c r="J57" s="210">
        <v>17692.617781928988</v>
      </c>
      <c r="K57" s="210">
        <v>16448.039513482046</v>
      </c>
      <c r="L57" s="210">
        <v>14615.270145563603</v>
      </c>
      <c r="M57" s="210">
        <v>9462.2046436719684</v>
      </c>
      <c r="N57" s="210">
        <v>10949.73140972671</v>
      </c>
      <c r="O57" s="224">
        <v>163180.40755990153</v>
      </c>
    </row>
    <row r="58" spans="1:15" x14ac:dyDescent="0.25">
      <c r="A58" s="221"/>
      <c r="B58" s="222" t="s">
        <v>48</v>
      </c>
      <c r="C58" s="225">
        <v>38975.902038949513</v>
      </c>
      <c r="D58" s="82">
        <v>28021.420346575633</v>
      </c>
      <c r="E58" s="82">
        <v>26559.224759628571</v>
      </c>
      <c r="F58" s="82">
        <v>33282.927417639236</v>
      </c>
      <c r="G58" s="82">
        <v>38892.005570845991</v>
      </c>
      <c r="H58" s="82">
        <v>48899.655694623005</v>
      </c>
      <c r="I58" s="82">
        <v>49726.635165929125</v>
      </c>
      <c r="J58" s="82">
        <v>49750.605585387275</v>
      </c>
      <c r="K58" s="82">
        <v>46250.924344497587</v>
      </c>
      <c r="L58" s="82">
        <v>41097.284160995652</v>
      </c>
      <c r="M58" s="82">
        <v>26607.165598544867</v>
      </c>
      <c r="N58" s="82">
        <v>30790.003793991786</v>
      </c>
      <c r="O58" s="226">
        <v>458853.75447760819</v>
      </c>
    </row>
    <row r="59" spans="1:15" x14ac:dyDescent="0.25">
      <c r="A59" s="221"/>
      <c r="B59" s="222" t="s">
        <v>86</v>
      </c>
      <c r="C59" s="225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226">
        <v>0</v>
      </c>
    </row>
    <row r="60" spans="1:15" x14ac:dyDescent="0.25">
      <c r="A60" s="221"/>
      <c r="B60" s="222" t="s">
        <v>88</v>
      </c>
      <c r="C60" s="225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226">
        <v>0</v>
      </c>
    </row>
    <row r="61" spans="1:15" x14ac:dyDescent="0.25">
      <c r="A61" s="211" t="s">
        <v>22</v>
      </c>
      <c r="B61" s="211" t="s">
        <v>69</v>
      </c>
      <c r="C61" s="218">
        <v>52666.165273919782</v>
      </c>
      <c r="D61" s="219">
        <v>41594.482011556123</v>
      </c>
      <c r="E61" s="219">
        <v>36671.963841670702</v>
      </c>
      <c r="F61" s="219">
        <v>39603.17207228209</v>
      </c>
      <c r="G61" s="219">
        <v>47313.524157151165</v>
      </c>
      <c r="H61" s="219">
        <v>55485.860147931824</v>
      </c>
      <c r="I61" s="219">
        <v>55915.983094815012</v>
      </c>
      <c r="J61" s="219">
        <v>56935.533783723324</v>
      </c>
      <c r="K61" s="219">
        <v>50786.368691245094</v>
      </c>
      <c r="L61" s="219">
        <v>44493.82928313913</v>
      </c>
      <c r="M61" s="219">
        <v>37261.391583695819</v>
      </c>
      <c r="N61" s="219">
        <v>40144.808375764624</v>
      </c>
      <c r="O61" s="220">
        <v>558873.08231689467</v>
      </c>
    </row>
    <row r="62" spans="1:15" ht="13" x14ac:dyDescent="0.3">
      <c r="A62" s="221"/>
      <c r="B62" s="222" t="s">
        <v>25</v>
      </c>
      <c r="C62" s="223">
        <v>13043.061909600263</v>
      </c>
      <c r="D62" s="210">
        <v>10301.099408943217</v>
      </c>
      <c r="E62" s="210">
        <v>9082.0110453417437</v>
      </c>
      <c r="F62" s="210">
        <v>9807.9406858034672</v>
      </c>
      <c r="G62" s="210">
        <v>11717.451261800597</v>
      </c>
      <c r="H62" s="210">
        <v>13741.374661566158</v>
      </c>
      <c r="I62" s="210">
        <v>13847.89694576434</v>
      </c>
      <c r="J62" s="210">
        <v>14100.394212011903</v>
      </c>
      <c r="K62" s="210">
        <v>12577.520074956337</v>
      </c>
      <c r="L62" s="210">
        <v>11019.138509834709</v>
      </c>
      <c r="M62" s="210">
        <v>9227.9860273911108</v>
      </c>
      <c r="N62" s="210">
        <v>9942.0798584974764</v>
      </c>
      <c r="O62" s="224">
        <v>138407.95460151133</v>
      </c>
    </row>
    <row r="63" spans="1:15" ht="13" x14ac:dyDescent="0.3">
      <c r="A63" s="221"/>
      <c r="B63" s="222" t="s">
        <v>26</v>
      </c>
      <c r="C63" s="223">
        <v>1047.9509516517796</v>
      </c>
      <c r="D63" s="210">
        <v>827.64668323133594</v>
      </c>
      <c r="E63" s="210">
        <v>729.69845453793005</v>
      </c>
      <c r="F63" s="210">
        <v>788.02361337154389</v>
      </c>
      <c r="G63" s="210">
        <v>941.44413986865868</v>
      </c>
      <c r="H63" s="210">
        <v>1104.0572185732451</v>
      </c>
      <c r="I63" s="210">
        <v>1112.6158016629602</v>
      </c>
      <c r="J63" s="210">
        <v>1132.9028134311739</v>
      </c>
      <c r="K63" s="210">
        <v>1010.5467737041359</v>
      </c>
      <c r="L63" s="210">
        <v>885.3378729471932</v>
      </c>
      <c r="M63" s="210">
        <v>741.42688321642845</v>
      </c>
      <c r="N63" s="210">
        <v>798.80108837340731</v>
      </c>
      <c r="O63" s="224">
        <v>11120.452294569794</v>
      </c>
    </row>
    <row r="64" spans="1:15" ht="13" x14ac:dyDescent="0.3">
      <c r="A64" s="221"/>
      <c r="B64" s="222" t="s">
        <v>27</v>
      </c>
      <c r="C64" s="223">
        <v>14091.012861252042</v>
      </c>
      <c r="D64" s="210">
        <v>11128.746092174553</v>
      </c>
      <c r="E64" s="210">
        <v>9811.7094998796747</v>
      </c>
      <c r="F64" s="210">
        <v>10595.964299175012</v>
      </c>
      <c r="G64" s="210">
        <v>12658.895401669257</v>
      </c>
      <c r="H64" s="210">
        <v>14845.431880139404</v>
      </c>
      <c r="I64" s="210">
        <v>14960.512747427299</v>
      </c>
      <c r="J64" s="210">
        <v>15233.297025443077</v>
      </c>
      <c r="K64" s="210">
        <v>13588.066848660474</v>
      </c>
      <c r="L64" s="210">
        <v>11904.476382781902</v>
      </c>
      <c r="M64" s="210">
        <v>9969.4129106075397</v>
      </c>
      <c r="N64" s="210">
        <v>10740.880946870884</v>
      </c>
      <c r="O64" s="224">
        <v>149528.40689608111</v>
      </c>
    </row>
    <row r="65" spans="1:15" x14ac:dyDescent="0.25">
      <c r="A65" s="221"/>
      <c r="B65" s="222" t="s">
        <v>48</v>
      </c>
      <c r="C65" s="225">
        <v>39623.103364319519</v>
      </c>
      <c r="D65" s="82">
        <v>31293.382602612906</v>
      </c>
      <c r="E65" s="82">
        <v>27589.952796328958</v>
      </c>
      <c r="F65" s="82">
        <v>29795.231386478623</v>
      </c>
      <c r="G65" s="82">
        <v>35596.072895350568</v>
      </c>
      <c r="H65" s="82">
        <v>41744.485486365666</v>
      </c>
      <c r="I65" s="82">
        <v>42068.086149050672</v>
      </c>
      <c r="J65" s="82">
        <v>42835.139571711421</v>
      </c>
      <c r="K65" s="82">
        <v>38208.848616288757</v>
      </c>
      <c r="L65" s="82">
        <v>33474.690773304421</v>
      </c>
      <c r="M65" s="82">
        <v>28033.405556304708</v>
      </c>
      <c r="N65" s="82">
        <v>30202.728517267147</v>
      </c>
      <c r="O65" s="226">
        <v>420465.12771538342</v>
      </c>
    </row>
    <row r="66" spans="1:15" x14ac:dyDescent="0.25">
      <c r="A66" s="221"/>
      <c r="B66" s="222" t="s">
        <v>86</v>
      </c>
      <c r="C66" s="225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226">
        <v>0</v>
      </c>
    </row>
    <row r="67" spans="1:15" x14ac:dyDescent="0.25">
      <c r="A67" s="221"/>
      <c r="B67" s="222" t="s">
        <v>88</v>
      </c>
      <c r="C67" s="225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226">
        <v>0</v>
      </c>
    </row>
    <row r="68" spans="1:15" x14ac:dyDescent="0.25">
      <c r="A68" s="211" t="s">
        <v>9</v>
      </c>
      <c r="B68" s="211" t="s">
        <v>69</v>
      </c>
      <c r="C68" s="218">
        <v>1194.7859635644234</v>
      </c>
      <c r="D68" s="219">
        <v>860.24589376638482</v>
      </c>
      <c r="E68" s="219">
        <v>780.59349619542331</v>
      </c>
      <c r="F68" s="219">
        <v>685.01061911026943</v>
      </c>
      <c r="G68" s="219">
        <v>796.52397570961557</v>
      </c>
      <c r="H68" s="219">
        <v>939.89829133734645</v>
      </c>
      <c r="I68" s="219">
        <v>955.82877085153871</v>
      </c>
      <c r="J68" s="219">
        <v>892.10685279476945</v>
      </c>
      <c r="K68" s="219">
        <v>876.1763732805772</v>
      </c>
      <c r="L68" s="219">
        <v>812.45445522380794</v>
      </c>
      <c r="M68" s="219">
        <v>637.21918056769243</v>
      </c>
      <c r="N68" s="219">
        <v>812.45445522380794</v>
      </c>
      <c r="O68" s="220">
        <v>10243.298327625656</v>
      </c>
    </row>
    <row r="69" spans="1:15" ht="13" x14ac:dyDescent="0.3">
      <c r="A69" s="221"/>
      <c r="B69" s="222" t="s">
        <v>25</v>
      </c>
      <c r="C69" s="223">
        <v>295.89523388385351</v>
      </c>
      <c r="D69" s="210">
        <v>213.04456839637453</v>
      </c>
      <c r="E69" s="210">
        <v>193.31821947078436</v>
      </c>
      <c r="F69" s="210">
        <v>169.64660076007601</v>
      </c>
      <c r="G69" s="210">
        <v>197.2634892559023</v>
      </c>
      <c r="H69" s="210">
        <v>232.77091732196482</v>
      </c>
      <c r="I69" s="210">
        <v>236.71618710708276</v>
      </c>
      <c r="J69" s="210">
        <v>220.93510796661064</v>
      </c>
      <c r="K69" s="210">
        <v>216.98983818149259</v>
      </c>
      <c r="L69" s="210">
        <v>201.20875904102047</v>
      </c>
      <c r="M69" s="210">
        <v>157.81079140472184</v>
      </c>
      <c r="N69" s="210">
        <v>201.20875904102047</v>
      </c>
      <c r="O69" s="224">
        <v>2536.8084718309042</v>
      </c>
    </row>
    <row r="70" spans="1:15" ht="13" x14ac:dyDescent="0.3">
      <c r="A70" s="221"/>
      <c r="B70" s="222" t="s">
        <v>26</v>
      </c>
      <c r="C70" s="223">
        <v>23.77384191587522</v>
      </c>
      <c r="D70" s="210">
        <v>17.117166179430161</v>
      </c>
      <c r="E70" s="210">
        <v>15.532243385038477</v>
      </c>
      <c r="F70" s="210">
        <v>13.63033603176846</v>
      </c>
      <c r="G70" s="210">
        <v>15.849227943916814</v>
      </c>
      <c r="H70" s="210">
        <v>18.702088973821837</v>
      </c>
      <c r="I70" s="210">
        <v>19.019073532700176</v>
      </c>
      <c r="J70" s="210">
        <v>17.751135297186831</v>
      </c>
      <c r="K70" s="210">
        <v>17.434150738308492</v>
      </c>
      <c r="L70" s="210">
        <v>16.166212502795148</v>
      </c>
      <c r="M70" s="210">
        <v>12.67938235513345</v>
      </c>
      <c r="N70" s="210">
        <v>16.166212502795148</v>
      </c>
      <c r="O70" s="224">
        <v>203.82107135877015</v>
      </c>
    </row>
    <row r="71" spans="1:15" ht="13" x14ac:dyDescent="0.3">
      <c r="A71" s="221"/>
      <c r="B71" s="222" t="s">
        <v>27</v>
      </c>
      <c r="C71" s="223">
        <v>319.66907579972872</v>
      </c>
      <c r="D71" s="210">
        <v>230.1617345758047</v>
      </c>
      <c r="E71" s="210">
        <v>208.85046285582283</v>
      </c>
      <c r="F71" s="210">
        <v>183.27693679184446</v>
      </c>
      <c r="G71" s="210">
        <v>213.11271719981912</v>
      </c>
      <c r="H71" s="210">
        <v>251.47300629578666</v>
      </c>
      <c r="I71" s="210">
        <v>255.73526063978295</v>
      </c>
      <c r="J71" s="210">
        <v>238.68624326379748</v>
      </c>
      <c r="K71" s="210">
        <v>234.42398891980108</v>
      </c>
      <c r="L71" s="210">
        <v>217.3749715438156</v>
      </c>
      <c r="M71" s="210">
        <v>170.49017375985528</v>
      </c>
      <c r="N71" s="210">
        <v>217.3749715438156</v>
      </c>
      <c r="O71" s="224">
        <v>2740.6295431896747</v>
      </c>
    </row>
    <row r="72" spans="1:15" x14ac:dyDescent="0.25">
      <c r="A72" s="221"/>
      <c r="B72" s="222" t="s">
        <v>48</v>
      </c>
      <c r="C72" s="225">
        <v>898.89072968056985</v>
      </c>
      <c r="D72" s="82">
        <v>647.2013253700103</v>
      </c>
      <c r="E72" s="82">
        <v>587.27527672463896</v>
      </c>
      <c r="F72" s="82">
        <v>515.36401835019342</v>
      </c>
      <c r="G72" s="82">
        <v>599.26048645371327</v>
      </c>
      <c r="H72" s="82">
        <v>707.12737401538163</v>
      </c>
      <c r="I72" s="82">
        <v>719.11258374445595</v>
      </c>
      <c r="J72" s="82">
        <v>671.17174482815881</v>
      </c>
      <c r="K72" s="82">
        <v>659.18653509908461</v>
      </c>
      <c r="L72" s="82">
        <v>611.24569618278747</v>
      </c>
      <c r="M72" s="82">
        <v>479.40838916297059</v>
      </c>
      <c r="N72" s="82">
        <v>611.24569618278747</v>
      </c>
      <c r="O72" s="226">
        <v>7706.4898557947527</v>
      </c>
    </row>
    <row r="73" spans="1:15" x14ac:dyDescent="0.25">
      <c r="A73" s="221"/>
      <c r="B73" s="222" t="s">
        <v>86</v>
      </c>
      <c r="C73" s="225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226">
        <v>0</v>
      </c>
    </row>
    <row r="74" spans="1:15" x14ac:dyDescent="0.25">
      <c r="A74" s="221"/>
      <c r="B74" s="222" t="s">
        <v>88</v>
      </c>
      <c r="C74" s="225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226">
        <v>0</v>
      </c>
    </row>
    <row r="75" spans="1:15" x14ac:dyDescent="0.25">
      <c r="A75" s="211" t="s">
        <v>53</v>
      </c>
      <c r="B75" s="211" t="s">
        <v>69</v>
      </c>
      <c r="C75" s="218">
        <v>2309.9195295578852</v>
      </c>
      <c r="D75" s="219">
        <v>1593.0479514192311</v>
      </c>
      <c r="E75" s="219">
        <v>1465.6041153056926</v>
      </c>
      <c r="F75" s="219">
        <v>1608.9784309334234</v>
      </c>
      <c r="G75" s="219">
        <v>1879.7965826746929</v>
      </c>
      <c r="H75" s="219">
        <v>2755.9729559552698</v>
      </c>
      <c r="I75" s="219">
        <v>2612.5986403275392</v>
      </c>
      <c r="J75" s="219">
        <v>2708.1815174126932</v>
      </c>
      <c r="K75" s="219">
        <v>2485.1548042140007</v>
      </c>
      <c r="L75" s="219">
        <v>2214.3366524727312</v>
      </c>
      <c r="M75" s="219">
        <v>1433.7431562773081</v>
      </c>
      <c r="N75" s="219">
        <v>1752.3527465611544</v>
      </c>
      <c r="O75" s="220">
        <v>24819.687083111625</v>
      </c>
    </row>
    <row r="76" spans="1:15" x14ac:dyDescent="0.25">
      <c r="A76" s="221"/>
      <c r="B76" s="222" t="s">
        <v>25</v>
      </c>
      <c r="C76" s="225">
        <v>572.06411884211684</v>
      </c>
      <c r="D76" s="82">
        <v>394.5269785118046</v>
      </c>
      <c r="E76" s="82">
        <v>362.96482023086014</v>
      </c>
      <c r="F76" s="82">
        <v>398.47224829692254</v>
      </c>
      <c r="G76" s="82">
        <v>465.54183464392963</v>
      </c>
      <c r="H76" s="82">
        <v>682.53167282542199</v>
      </c>
      <c r="I76" s="82">
        <v>647.02424475935982</v>
      </c>
      <c r="J76" s="82">
        <v>670.69586347006816</v>
      </c>
      <c r="K76" s="82">
        <v>615.46208647841536</v>
      </c>
      <c r="L76" s="82">
        <v>548.39250013140827</v>
      </c>
      <c r="M76" s="82">
        <v>355.07428066062425</v>
      </c>
      <c r="N76" s="82">
        <v>433.97967636298517</v>
      </c>
      <c r="O76" s="226">
        <v>6146.7303252139172</v>
      </c>
    </row>
    <row r="77" spans="1:15" x14ac:dyDescent="0.25">
      <c r="A77" s="221"/>
      <c r="B77" s="222" t="s">
        <v>26</v>
      </c>
      <c r="C77" s="225">
        <v>45.962761037358753</v>
      </c>
      <c r="D77" s="82">
        <v>31.698455887833628</v>
      </c>
      <c r="E77" s="82">
        <v>29.162579416806935</v>
      </c>
      <c r="F77" s="82">
        <v>32.015440446711963</v>
      </c>
      <c r="G77" s="82">
        <v>37.404177947643674</v>
      </c>
      <c r="H77" s="82">
        <v>54.83832868595217</v>
      </c>
      <c r="I77" s="82">
        <v>51.985467656047149</v>
      </c>
      <c r="J77" s="82">
        <v>53.887375009317161</v>
      </c>
      <c r="K77" s="82">
        <v>49.449591185020452</v>
      </c>
      <c r="L77" s="82">
        <v>44.060853684088741</v>
      </c>
      <c r="M77" s="82">
        <v>28.528610299050264</v>
      </c>
      <c r="N77" s="82">
        <v>34.868301476616985</v>
      </c>
      <c r="O77" s="226">
        <v>493.86194273244786</v>
      </c>
    </row>
    <row r="78" spans="1:15" x14ac:dyDescent="0.25">
      <c r="A78" s="221"/>
      <c r="B78" s="222" t="s">
        <v>27</v>
      </c>
      <c r="C78" s="225">
        <v>618.02687987947559</v>
      </c>
      <c r="D78" s="82">
        <v>426.22543439963823</v>
      </c>
      <c r="E78" s="82">
        <v>392.12739964766706</v>
      </c>
      <c r="F78" s="82">
        <v>430.48768874363452</v>
      </c>
      <c r="G78" s="82">
        <v>502.94601259157332</v>
      </c>
      <c r="H78" s="82">
        <v>737.3700015113742</v>
      </c>
      <c r="I78" s="82">
        <v>699.00971241540697</v>
      </c>
      <c r="J78" s="82">
        <v>724.58323847938527</v>
      </c>
      <c r="K78" s="82">
        <v>664.91167766343585</v>
      </c>
      <c r="L78" s="82">
        <v>592.45335381549705</v>
      </c>
      <c r="M78" s="82">
        <v>383.60289095967454</v>
      </c>
      <c r="N78" s="82">
        <v>468.84797783960215</v>
      </c>
      <c r="O78" s="226">
        <v>6640.5922679463647</v>
      </c>
    </row>
    <row r="79" spans="1:15" x14ac:dyDescent="0.25">
      <c r="A79" s="221"/>
      <c r="B79" s="222" t="s">
        <v>48</v>
      </c>
      <c r="C79" s="225">
        <v>1737.8554107157684</v>
      </c>
      <c r="D79" s="82">
        <v>1198.5209729074265</v>
      </c>
      <c r="E79" s="82">
        <v>1102.6392950748325</v>
      </c>
      <c r="F79" s="82">
        <v>1210.5061826365009</v>
      </c>
      <c r="G79" s="82">
        <v>1414.2547480307633</v>
      </c>
      <c r="H79" s="82">
        <v>2073.4412831298478</v>
      </c>
      <c r="I79" s="82">
        <v>1965.5743955681794</v>
      </c>
      <c r="J79" s="82">
        <v>2037.485653942625</v>
      </c>
      <c r="K79" s="82">
        <v>1869.6927177355853</v>
      </c>
      <c r="L79" s="82">
        <v>1665.9441523413229</v>
      </c>
      <c r="M79" s="82">
        <v>1078.6688756166839</v>
      </c>
      <c r="N79" s="82">
        <v>1318.3730701981692</v>
      </c>
      <c r="O79" s="226">
        <v>18672.956757897704</v>
      </c>
    </row>
    <row r="80" spans="1:15" x14ac:dyDescent="0.25">
      <c r="A80" s="221"/>
      <c r="B80" s="222" t="s">
        <v>86</v>
      </c>
      <c r="C80" s="225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226">
        <v>0</v>
      </c>
    </row>
    <row r="81" spans="1:15" x14ac:dyDescent="0.25">
      <c r="A81" s="221"/>
      <c r="B81" s="222" t="s">
        <v>88</v>
      </c>
      <c r="C81" s="225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226">
        <v>0</v>
      </c>
    </row>
    <row r="82" spans="1:15" x14ac:dyDescent="0.25">
      <c r="A82" s="211" t="s">
        <v>54</v>
      </c>
      <c r="B82" s="211" t="s">
        <v>69</v>
      </c>
      <c r="C82" s="218">
        <v>143.37431562773079</v>
      </c>
      <c r="D82" s="219">
        <v>127.4438361135385</v>
      </c>
      <c r="E82" s="219">
        <v>159.30479514192311</v>
      </c>
      <c r="F82" s="219">
        <v>111.51335659934618</v>
      </c>
      <c r="G82" s="219">
        <v>159.30479514192311</v>
      </c>
      <c r="H82" s="219">
        <v>159.30479514192311</v>
      </c>
      <c r="I82" s="219">
        <v>191.16575417030774</v>
      </c>
      <c r="J82" s="219">
        <v>191.16575417030774</v>
      </c>
      <c r="K82" s="219">
        <v>175.23527465611542</v>
      </c>
      <c r="L82" s="219">
        <v>159.30479514192311</v>
      </c>
      <c r="M82" s="219">
        <v>159.30479514192311</v>
      </c>
      <c r="N82" s="219">
        <v>159.30479514192311</v>
      </c>
      <c r="O82" s="220">
        <v>1895.7270621888849</v>
      </c>
    </row>
    <row r="83" spans="1:15" x14ac:dyDescent="0.25">
      <c r="A83" s="221"/>
      <c r="B83" s="222" t="s">
        <v>25</v>
      </c>
      <c r="C83" s="225">
        <v>35.507428066062403</v>
      </c>
      <c r="D83" s="82">
        <v>31.562158280944374</v>
      </c>
      <c r="E83" s="82">
        <v>39.45269785118046</v>
      </c>
      <c r="F83" s="82">
        <v>27.616888495826331</v>
      </c>
      <c r="G83" s="82">
        <v>39.45269785118046</v>
      </c>
      <c r="H83" s="82">
        <v>39.45269785118046</v>
      </c>
      <c r="I83" s="82">
        <v>47.343237421416546</v>
      </c>
      <c r="J83" s="82">
        <v>47.343237421416546</v>
      </c>
      <c r="K83" s="82">
        <v>43.397967636298517</v>
      </c>
      <c r="L83" s="82">
        <v>39.45269785118046</v>
      </c>
      <c r="M83" s="82">
        <v>39.45269785118046</v>
      </c>
      <c r="N83" s="82">
        <v>39.45269785118046</v>
      </c>
      <c r="O83" s="226">
        <v>469.48710442904746</v>
      </c>
    </row>
    <row r="84" spans="1:15" x14ac:dyDescent="0.25">
      <c r="A84" s="221"/>
      <c r="B84" s="222" t="s">
        <v>26</v>
      </c>
      <c r="C84" s="225">
        <v>2.8528610299050263</v>
      </c>
      <c r="D84" s="82">
        <v>2.5358764710266901</v>
      </c>
      <c r="E84" s="82">
        <v>3.1698455887833625</v>
      </c>
      <c r="F84" s="82">
        <v>2.2188919121483539</v>
      </c>
      <c r="G84" s="82">
        <v>3.1698455887833625</v>
      </c>
      <c r="H84" s="82">
        <v>3.1698455887833625</v>
      </c>
      <c r="I84" s="82">
        <v>3.803814706540035</v>
      </c>
      <c r="J84" s="82">
        <v>3.803814706540035</v>
      </c>
      <c r="K84" s="82">
        <v>3.4868301476616987</v>
      </c>
      <c r="L84" s="82">
        <v>3.1698455887833625</v>
      </c>
      <c r="M84" s="82">
        <v>3.1698455887833625</v>
      </c>
      <c r="N84" s="82">
        <v>3.1698455887833625</v>
      </c>
      <c r="O84" s="226">
        <v>37.721162506522013</v>
      </c>
    </row>
    <row r="85" spans="1:15" x14ac:dyDescent="0.25">
      <c r="A85" s="221"/>
      <c r="B85" s="222" t="s">
        <v>27</v>
      </c>
      <c r="C85" s="225">
        <v>38.360289095967431</v>
      </c>
      <c r="D85" s="82">
        <v>34.098034751971063</v>
      </c>
      <c r="E85" s="82">
        <v>42.62254343996382</v>
      </c>
      <c r="F85" s="82">
        <v>29.835780407974685</v>
      </c>
      <c r="G85" s="82">
        <v>42.62254343996382</v>
      </c>
      <c r="H85" s="82">
        <v>42.62254343996382</v>
      </c>
      <c r="I85" s="82">
        <v>51.147052127956584</v>
      </c>
      <c r="J85" s="82">
        <v>51.147052127956584</v>
      </c>
      <c r="K85" s="82">
        <v>46.884797783960217</v>
      </c>
      <c r="L85" s="82">
        <v>42.62254343996382</v>
      </c>
      <c r="M85" s="82">
        <v>42.62254343996382</v>
      </c>
      <c r="N85" s="82">
        <v>42.62254343996382</v>
      </c>
      <c r="O85" s="226">
        <v>507.2082669355695</v>
      </c>
    </row>
    <row r="86" spans="1:15" x14ac:dyDescent="0.25">
      <c r="A86" s="221"/>
      <c r="B86" s="222" t="s">
        <v>48</v>
      </c>
      <c r="C86" s="225">
        <v>107.86688756166839</v>
      </c>
      <c r="D86" s="82">
        <v>95.881677832594121</v>
      </c>
      <c r="E86" s="82">
        <v>119.85209729074265</v>
      </c>
      <c r="F86" s="82">
        <v>83.896468103519851</v>
      </c>
      <c r="G86" s="82">
        <v>119.85209729074265</v>
      </c>
      <c r="H86" s="82">
        <v>119.85209729074265</v>
      </c>
      <c r="I86" s="82">
        <v>143.82251674889119</v>
      </c>
      <c r="J86" s="82">
        <v>143.82251674889119</v>
      </c>
      <c r="K86" s="82">
        <v>131.8373070198169</v>
      </c>
      <c r="L86" s="82">
        <v>119.85209729074265</v>
      </c>
      <c r="M86" s="82">
        <v>119.85209729074265</v>
      </c>
      <c r="N86" s="82">
        <v>119.85209729074265</v>
      </c>
      <c r="O86" s="226">
        <v>1426.2399577598378</v>
      </c>
    </row>
    <row r="87" spans="1:15" x14ac:dyDescent="0.25">
      <c r="A87" s="221"/>
      <c r="B87" s="222" t="s">
        <v>86</v>
      </c>
      <c r="C87" s="225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226">
        <v>0</v>
      </c>
    </row>
    <row r="88" spans="1:15" x14ac:dyDescent="0.25">
      <c r="A88" s="221"/>
      <c r="B88" s="222" t="s">
        <v>88</v>
      </c>
      <c r="C88" s="225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82">
        <v>0</v>
      </c>
      <c r="O88" s="226">
        <v>0</v>
      </c>
    </row>
    <row r="89" spans="1:15" x14ac:dyDescent="0.25">
      <c r="A89" s="211" t="s">
        <v>55</v>
      </c>
      <c r="B89" s="211" t="s">
        <v>69</v>
      </c>
      <c r="C89" s="218">
        <v>414.1924673690001</v>
      </c>
      <c r="D89" s="219">
        <v>302.6791107696539</v>
      </c>
      <c r="E89" s="219">
        <v>286.74863125546159</v>
      </c>
      <c r="F89" s="219">
        <v>350.47054931223084</v>
      </c>
      <c r="G89" s="219">
        <v>493.84486493996167</v>
      </c>
      <c r="H89" s="219">
        <v>573.49726251092318</v>
      </c>
      <c r="I89" s="219">
        <v>605.35822153930781</v>
      </c>
      <c r="J89" s="219">
        <v>653.1496600818848</v>
      </c>
      <c r="K89" s="219">
        <v>461.98390591157704</v>
      </c>
      <c r="L89" s="219">
        <v>414.1924673690001</v>
      </c>
      <c r="M89" s="219">
        <v>350.47054931223084</v>
      </c>
      <c r="N89" s="219">
        <v>286.74863125546159</v>
      </c>
      <c r="O89" s="220">
        <v>5193.3363216266935</v>
      </c>
    </row>
    <row r="90" spans="1:15" x14ac:dyDescent="0.25">
      <c r="A90" s="221"/>
      <c r="B90" s="222" t="s">
        <v>25</v>
      </c>
      <c r="C90" s="225">
        <v>102.57701441306921</v>
      </c>
      <c r="D90" s="82">
        <v>74.960125917242863</v>
      </c>
      <c r="E90" s="82">
        <v>71.014856132124805</v>
      </c>
      <c r="F90" s="82">
        <v>86.795935272597035</v>
      </c>
      <c r="G90" s="82">
        <v>122.30336333865944</v>
      </c>
      <c r="H90" s="82">
        <v>142.02971226424961</v>
      </c>
      <c r="I90" s="82">
        <v>149.92025183448573</v>
      </c>
      <c r="J90" s="82">
        <v>161.75606118983995</v>
      </c>
      <c r="K90" s="82">
        <v>114.41282376842332</v>
      </c>
      <c r="L90" s="82">
        <v>102.57701441306921</v>
      </c>
      <c r="M90" s="82">
        <v>86.795935272597035</v>
      </c>
      <c r="N90" s="82">
        <v>71.014856132124805</v>
      </c>
      <c r="O90" s="226">
        <v>1286.1579499484831</v>
      </c>
    </row>
    <row r="91" spans="1:15" x14ac:dyDescent="0.25">
      <c r="A91" s="221"/>
      <c r="B91" s="222" t="s">
        <v>26</v>
      </c>
      <c r="C91" s="225">
        <v>8.2415985308367432</v>
      </c>
      <c r="D91" s="82">
        <v>6.0227066186883889</v>
      </c>
      <c r="E91" s="82">
        <v>5.7057220598100526</v>
      </c>
      <c r="F91" s="82">
        <v>6.9736602953233975</v>
      </c>
      <c r="G91" s="82">
        <v>9.8265213252284234</v>
      </c>
      <c r="H91" s="82">
        <v>11.411444119620105</v>
      </c>
      <c r="I91" s="82">
        <v>12.045413237376778</v>
      </c>
      <c r="J91" s="82">
        <v>12.996366914011787</v>
      </c>
      <c r="K91" s="82">
        <v>9.1925522074717509</v>
      </c>
      <c r="L91" s="82">
        <v>8.2415985308367432</v>
      </c>
      <c r="M91" s="82">
        <v>6.9736602953233975</v>
      </c>
      <c r="N91" s="82">
        <v>5.7057220598100526</v>
      </c>
      <c r="O91" s="226">
        <v>103.33696619433762</v>
      </c>
    </row>
    <row r="92" spans="1:15" x14ac:dyDescent="0.25">
      <c r="A92" s="221"/>
      <c r="B92" s="222" t="s">
        <v>27</v>
      </c>
      <c r="C92" s="225">
        <v>110.81861294390595</v>
      </c>
      <c r="D92" s="82">
        <v>80.982832535931252</v>
      </c>
      <c r="E92" s="82">
        <v>76.720578191934862</v>
      </c>
      <c r="F92" s="82">
        <v>93.769595567920433</v>
      </c>
      <c r="G92" s="82">
        <v>132.12988466388785</v>
      </c>
      <c r="H92" s="82">
        <v>153.44115638386972</v>
      </c>
      <c r="I92" s="82">
        <v>161.9656650718625</v>
      </c>
      <c r="J92" s="82">
        <v>174.75242810385174</v>
      </c>
      <c r="K92" s="82">
        <v>123.60537597589507</v>
      </c>
      <c r="L92" s="82">
        <v>110.81861294390595</v>
      </c>
      <c r="M92" s="82">
        <v>93.769595567920433</v>
      </c>
      <c r="N92" s="82">
        <v>76.720578191934862</v>
      </c>
      <c r="O92" s="226">
        <v>1389.4949161428206</v>
      </c>
    </row>
    <row r="93" spans="1:15" x14ac:dyDescent="0.25">
      <c r="A93" s="221"/>
      <c r="B93" s="222" t="s">
        <v>48</v>
      </c>
      <c r="C93" s="225">
        <v>311.61545295593089</v>
      </c>
      <c r="D93" s="82">
        <v>227.71898485241104</v>
      </c>
      <c r="E93" s="82">
        <v>215.73377512333678</v>
      </c>
      <c r="F93" s="82">
        <v>263.67461403963381</v>
      </c>
      <c r="G93" s="82">
        <v>371.54150160130223</v>
      </c>
      <c r="H93" s="82">
        <v>431.46755024667357</v>
      </c>
      <c r="I93" s="82">
        <v>455.43796970482208</v>
      </c>
      <c r="J93" s="82">
        <v>491.39359889204485</v>
      </c>
      <c r="K93" s="82">
        <v>347.57108214315372</v>
      </c>
      <c r="L93" s="82">
        <v>311.61545295593089</v>
      </c>
      <c r="M93" s="82">
        <v>263.67461403963381</v>
      </c>
      <c r="N93" s="82">
        <v>215.73377512333678</v>
      </c>
      <c r="O93" s="226">
        <v>3907.1783716782102</v>
      </c>
    </row>
    <row r="94" spans="1:15" x14ac:dyDescent="0.25">
      <c r="A94" s="221"/>
      <c r="B94" s="222" t="s">
        <v>86</v>
      </c>
      <c r="C94" s="225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82">
        <v>0</v>
      </c>
      <c r="L94" s="82">
        <v>0</v>
      </c>
      <c r="M94" s="82">
        <v>0</v>
      </c>
      <c r="N94" s="82">
        <v>0</v>
      </c>
      <c r="O94" s="226">
        <v>0</v>
      </c>
    </row>
    <row r="95" spans="1:15" x14ac:dyDescent="0.25">
      <c r="A95" s="221"/>
      <c r="B95" s="222" t="s">
        <v>88</v>
      </c>
      <c r="C95" s="225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226">
        <v>0</v>
      </c>
    </row>
    <row r="96" spans="1:15" x14ac:dyDescent="0.25">
      <c r="A96" s="211" t="s">
        <v>56</v>
      </c>
      <c r="B96" s="211" t="s">
        <v>69</v>
      </c>
      <c r="C96" s="218">
        <v>541.63630348253855</v>
      </c>
      <c r="D96" s="219">
        <v>509.77534445415398</v>
      </c>
      <c r="E96" s="219">
        <v>509.77534445415398</v>
      </c>
      <c r="F96" s="219">
        <v>525.70582396834629</v>
      </c>
      <c r="G96" s="219">
        <v>637.21918056769243</v>
      </c>
      <c r="H96" s="219">
        <v>748.73253716703869</v>
      </c>
      <c r="I96" s="219">
        <v>748.73253716703869</v>
      </c>
      <c r="J96" s="219">
        <v>812.45445522380794</v>
      </c>
      <c r="K96" s="219">
        <v>685.01061911026943</v>
      </c>
      <c r="L96" s="219">
        <v>589.42774202511555</v>
      </c>
      <c r="M96" s="219">
        <v>541.63630348253855</v>
      </c>
      <c r="N96" s="219">
        <v>509.77534445415398</v>
      </c>
      <c r="O96" s="220">
        <v>7359.8815355568477</v>
      </c>
    </row>
    <row r="97" spans="1:15" x14ac:dyDescent="0.25">
      <c r="A97" s="221"/>
      <c r="B97" s="222" t="s">
        <v>25</v>
      </c>
      <c r="C97" s="225">
        <v>134.13917269401355</v>
      </c>
      <c r="D97" s="82">
        <v>126.24863312377749</v>
      </c>
      <c r="E97" s="82">
        <v>126.24863312377749</v>
      </c>
      <c r="F97" s="82">
        <v>130.19390290889555</v>
      </c>
      <c r="G97" s="82">
        <v>157.81079140472184</v>
      </c>
      <c r="H97" s="82">
        <v>185.42767990054824</v>
      </c>
      <c r="I97" s="82">
        <v>185.42767990054824</v>
      </c>
      <c r="J97" s="82">
        <v>201.20875904102047</v>
      </c>
      <c r="K97" s="82">
        <v>169.64660076007601</v>
      </c>
      <c r="L97" s="82">
        <v>145.97498204936772</v>
      </c>
      <c r="M97" s="82">
        <v>134.13917269401355</v>
      </c>
      <c r="N97" s="82">
        <v>126.24863312377749</v>
      </c>
      <c r="O97" s="226">
        <v>1822.7146407245377</v>
      </c>
    </row>
    <row r="98" spans="1:15" x14ac:dyDescent="0.25">
      <c r="A98" s="221"/>
      <c r="B98" s="222" t="s">
        <v>26</v>
      </c>
      <c r="C98" s="225">
        <v>10.777475001863433</v>
      </c>
      <c r="D98" s="82">
        <v>10.14350588410676</v>
      </c>
      <c r="E98" s="82">
        <v>10.14350588410676</v>
      </c>
      <c r="F98" s="82">
        <v>10.460490442985096</v>
      </c>
      <c r="G98" s="82">
        <v>12.67938235513345</v>
      </c>
      <c r="H98" s="82">
        <v>14.898274267281804</v>
      </c>
      <c r="I98" s="82">
        <v>14.898274267281804</v>
      </c>
      <c r="J98" s="82">
        <v>16.166212502795148</v>
      </c>
      <c r="K98" s="82">
        <v>13.63033603176846</v>
      </c>
      <c r="L98" s="82">
        <v>11.728428678498441</v>
      </c>
      <c r="M98" s="82">
        <v>10.777475001863433</v>
      </c>
      <c r="N98" s="82">
        <v>10.14350588410676</v>
      </c>
      <c r="O98" s="226">
        <v>146.44686620179135</v>
      </c>
    </row>
    <row r="99" spans="1:15" x14ac:dyDescent="0.25">
      <c r="A99" s="221"/>
      <c r="B99" s="222" t="s">
        <v>27</v>
      </c>
      <c r="C99" s="225">
        <v>144.91664769587697</v>
      </c>
      <c r="D99" s="82">
        <v>136.39213900788425</v>
      </c>
      <c r="E99" s="82">
        <v>136.39213900788425</v>
      </c>
      <c r="F99" s="82">
        <v>140.65439335188066</v>
      </c>
      <c r="G99" s="82">
        <v>170.49017375985528</v>
      </c>
      <c r="H99" s="82">
        <v>200.32595416783005</v>
      </c>
      <c r="I99" s="82">
        <v>200.32595416783005</v>
      </c>
      <c r="J99" s="82">
        <v>217.3749715438156</v>
      </c>
      <c r="K99" s="82">
        <v>183.27693679184446</v>
      </c>
      <c r="L99" s="82">
        <v>157.70341072786616</v>
      </c>
      <c r="M99" s="82">
        <v>144.91664769587697</v>
      </c>
      <c r="N99" s="82">
        <v>136.39213900788425</v>
      </c>
      <c r="O99" s="226">
        <v>1969.1615069263291</v>
      </c>
    </row>
    <row r="100" spans="1:15" x14ac:dyDescent="0.25">
      <c r="A100" s="221"/>
      <c r="B100" s="222" t="s">
        <v>48</v>
      </c>
      <c r="C100" s="225">
        <v>407.497130788525</v>
      </c>
      <c r="D100" s="82">
        <v>383.52671133037649</v>
      </c>
      <c r="E100" s="82">
        <v>383.52671133037649</v>
      </c>
      <c r="F100" s="82">
        <v>395.51192105945074</v>
      </c>
      <c r="G100" s="82">
        <v>479.40838916297059</v>
      </c>
      <c r="H100" s="82">
        <v>563.30485726649044</v>
      </c>
      <c r="I100" s="82">
        <v>563.30485726649044</v>
      </c>
      <c r="J100" s="82">
        <v>611.24569618278747</v>
      </c>
      <c r="K100" s="82">
        <v>515.36401835019342</v>
      </c>
      <c r="L100" s="82">
        <v>443.45275997574782</v>
      </c>
      <c r="M100" s="82">
        <v>407.497130788525</v>
      </c>
      <c r="N100" s="82">
        <v>383.52671133037649</v>
      </c>
      <c r="O100" s="226">
        <v>5537.1668948323104</v>
      </c>
    </row>
    <row r="101" spans="1:15" x14ac:dyDescent="0.25">
      <c r="A101" s="221"/>
      <c r="B101" s="222" t="s">
        <v>86</v>
      </c>
      <c r="C101" s="225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226">
        <v>0</v>
      </c>
    </row>
    <row r="102" spans="1:15" x14ac:dyDescent="0.25">
      <c r="A102" s="221"/>
      <c r="B102" s="222" t="s">
        <v>88</v>
      </c>
      <c r="C102" s="225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226">
        <v>0</v>
      </c>
    </row>
    <row r="103" spans="1:15" x14ac:dyDescent="0.25">
      <c r="A103" s="211" t="s">
        <v>80</v>
      </c>
      <c r="B103" s="211" t="s">
        <v>69</v>
      </c>
      <c r="C103" s="218">
        <v>3440.9835750655393</v>
      </c>
      <c r="D103" s="219">
        <v>2325.8500090720777</v>
      </c>
      <c r="E103" s="219">
        <v>1800.1441851037312</v>
      </c>
      <c r="F103" s="219">
        <v>1210.7164430786156</v>
      </c>
      <c r="G103" s="219">
        <v>1911.6575417030774</v>
      </c>
      <c r="H103" s="219">
        <v>2341.7804885862697</v>
      </c>
      <c r="I103" s="219">
        <v>2469.2243246998082</v>
      </c>
      <c r="J103" s="219">
        <v>2501.0852837281932</v>
      </c>
      <c r="K103" s="219">
        <v>2007.2404187882314</v>
      </c>
      <c r="L103" s="219">
        <v>1784.2137055895389</v>
      </c>
      <c r="M103" s="219">
        <v>1481.5345948198851</v>
      </c>
      <c r="N103" s="219">
        <v>2039.1013778166159</v>
      </c>
      <c r="O103" s="220">
        <v>25313.531948051586</v>
      </c>
    </row>
    <row r="104" spans="1:15" x14ac:dyDescent="0.25">
      <c r="A104" s="221"/>
      <c r="B104" s="222" t="s">
        <v>25</v>
      </c>
      <c r="C104" s="225">
        <v>852.17827358549812</v>
      </c>
      <c r="D104" s="82">
        <v>576.00938862723501</v>
      </c>
      <c r="E104" s="82">
        <v>445.81548571833923</v>
      </c>
      <c r="F104" s="82">
        <v>299.84050366897145</v>
      </c>
      <c r="G104" s="82">
        <v>473.43237421416552</v>
      </c>
      <c r="H104" s="82">
        <v>579.95465841235273</v>
      </c>
      <c r="I104" s="82">
        <v>611.51681669329719</v>
      </c>
      <c r="J104" s="82">
        <v>619.40735626353353</v>
      </c>
      <c r="K104" s="82">
        <v>497.10399292487409</v>
      </c>
      <c r="L104" s="82">
        <v>441.87021593322129</v>
      </c>
      <c r="M104" s="82">
        <v>366.91009001597854</v>
      </c>
      <c r="N104" s="82">
        <v>504.99453249510998</v>
      </c>
      <c r="O104" s="226">
        <v>6269.0336885525758</v>
      </c>
    </row>
    <row r="105" spans="1:15" x14ac:dyDescent="0.25">
      <c r="A105" s="221"/>
      <c r="B105" s="222" t="s">
        <v>26</v>
      </c>
      <c r="C105" s="225">
        <v>68.468664717720642</v>
      </c>
      <c r="D105" s="82">
        <v>46.279745596237092</v>
      </c>
      <c r="E105" s="82">
        <v>35.819255153251994</v>
      </c>
      <c r="F105" s="82">
        <v>24.090826474753555</v>
      </c>
      <c r="G105" s="82">
        <v>38.038147065400352</v>
      </c>
      <c r="H105" s="82">
        <v>46.596730155115431</v>
      </c>
      <c r="I105" s="82">
        <v>49.13260662614212</v>
      </c>
      <c r="J105" s="82">
        <v>49.766575743898791</v>
      </c>
      <c r="K105" s="82">
        <v>39.940054418670364</v>
      </c>
      <c r="L105" s="82">
        <v>35.502270594373663</v>
      </c>
      <c r="M105" s="82">
        <v>29.47956397568527</v>
      </c>
      <c r="N105" s="82">
        <v>40.574023536427042</v>
      </c>
      <c r="O105" s="226">
        <v>503.68846405767624</v>
      </c>
    </row>
    <row r="106" spans="1:15" x14ac:dyDescent="0.25">
      <c r="A106" s="221"/>
      <c r="B106" s="222" t="s">
        <v>27</v>
      </c>
      <c r="C106" s="225">
        <v>920.6469383032188</v>
      </c>
      <c r="D106" s="82">
        <v>622.28913422347205</v>
      </c>
      <c r="E106" s="82">
        <v>481.63474087159125</v>
      </c>
      <c r="F106" s="82">
        <v>323.93133014372501</v>
      </c>
      <c r="G106" s="82">
        <v>511.4705212795659</v>
      </c>
      <c r="H106" s="82">
        <v>626.55138856746817</v>
      </c>
      <c r="I106" s="82">
        <v>660.64942331943928</v>
      </c>
      <c r="J106" s="82">
        <v>669.17393200743231</v>
      </c>
      <c r="K106" s="82">
        <v>537.04404734354443</v>
      </c>
      <c r="L106" s="82">
        <v>477.37248652759496</v>
      </c>
      <c r="M106" s="82">
        <v>396.38965399166381</v>
      </c>
      <c r="N106" s="82">
        <v>545.56855603153701</v>
      </c>
      <c r="O106" s="226">
        <v>6772.722152610253</v>
      </c>
    </row>
    <row r="107" spans="1:15" x14ac:dyDescent="0.25">
      <c r="A107" s="221"/>
      <c r="B107" s="222" t="s">
        <v>48</v>
      </c>
      <c r="C107" s="225">
        <v>2588.8053014800412</v>
      </c>
      <c r="D107" s="82">
        <v>1749.8406204448427</v>
      </c>
      <c r="E107" s="82">
        <v>1354.3286993853919</v>
      </c>
      <c r="F107" s="82">
        <v>910.87593940964416</v>
      </c>
      <c r="G107" s="82">
        <v>1438.2251674889119</v>
      </c>
      <c r="H107" s="82">
        <v>1761.825830173917</v>
      </c>
      <c r="I107" s="82">
        <v>1857.707508006511</v>
      </c>
      <c r="J107" s="82">
        <v>1881.6779274646597</v>
      </c>
      <c r="K107" s="82">
        <v>1510.1364258633573</v>
      </c>
      <c r="L107" s="82">
        <v>1342.3434896563176</v>
      </c>
      <c r="M107" s="82">
        <v>1114.6245048039066</v>
      </c>
      <c r="N107" s="82">
        <v>1534.1068453215059</v>
      </c>
      <c r="O107" s="226">
        <v>19044.498259499007</v>
      </c>
    </row>
    <row r="108" spans="1:15" x14ac:dyDescent="0.25">
      <c r="A108" s="221"/>
      <c r="B108" s="222" t="s">
        <v>86</v>
      </c>
      <c r="C108" s="225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226">
        <v>0</v>
      </c>
    </row>
    <row r="109" spans="1:15" x14ac:dyDescent="0.25">
      <c r="A109" s="221"/>
      <c r="B109" s="222" t="s">
        <v>88</v>
      </c>
      <c r="C109" s="225">
        <v>0</v>
      </c>
      <c r="D109" s="82">
        <v>0</v>
      </c>
      <c r="E109" s="82">
        <v>0</v>
      </c>
      <c r="F109" s="82">
        <v>0</v>
      </c>
      <c r="G109" s="82">
        <v>0</v>
      </c>
      <c r="H109" s="82">
        <v>0</v>
      </c>
      <c r="I109" s="82">
        <v>0</v>
      </c>
      <c r="J109" s="82">
        <v>0</v>
      </c>
      <c r="K109" s="82">
        <v>0</v>
      </c>
      <c r="L109" s="82">
        <v>0</v>
      </c>
      <c r="M109" s="82">
        <v>0</v>
      </c>
      <c r="N109" s="82">
        <v>0</v>
      </c>
      <c r="O109" s="226">
        <v>0</v>
      </c>
    </row>
    <row r="110" spans="1:15" x14ac:dyDescent="0.25">
      <c r="A110" s="211" t="s">
        <v>82</v>
      </c>
      <c r="B110" s="211" t="s">
        <v>69</v>
      </c>
      <c r="C110" s="218">
        <v>923.96781182315408</v>
      </c>
      <c r="D110" s="219">
        <v>573.49726251092318</v>
      </c>
      <c r="E110" s="219">
        <v>461.98390591157704</v>
      </c>
      <c r="F110" s="219">
        <v>430.12294688319241</v>
      </c>
      <c r="G110" s="219">
        <v>573.49726251092318</v>
      </c>
      <c r="H110" s="219">
        <v>844.31541425219257</v>
      </c>
      <c r="I110" s="219">
        <v>844.31541425219257</v>
      </c>
      <c r="J110" s="219">
        <v>860.24589376638482</v>
      </c>
      <c r="K110" s="219">
        <v>764.66301668123094</v>
      </c>
      <c r="L110" s="219">
        <v>653.1496600818848</v>
      </c>
      <c r="M110" s="219">
        <v>350.47054931223084</v>
      </c>
      <c r="N110" s="219">
        <v>589.42774202511555</v>
      </c>
      <c r="O110" s="220">
        <v>7869.6568800110017</v>
      </c>
    </row>
    <row r="111" spans="1:15" x14ac:dyDescent="0.25">
      <c r="A111" s="221"/>
      <c r="B111" s="222" t="s">
        <v>25</v>
      </c>
      <c r="C111" s="225">
        <v>228.82564753684665</v>
      </c>
      <c r="D111" s="82">
        <v>142.02971226424961</v>
      </c>
      <c r="E111" s="82">
        <v>114.41282376842332</v>
      </c>
      <c r="F111" s="82">
        <v>106.52228419818726</v>
      </c>
      <c r="G111" s="82">
        <v>142.02971226424961</v>
      </c>
      <c r="H111" s="82">
        <v>209.09929861125647</v>
      </c>
      <c r="I111" s="82">
        <v>209.09929861125647</v>
      </c>
      <c r="J111" s="82">
        <v>213.04456839637453</v>
      </c>
      <c r="K111" s="82">
        <v>189.37294968566619</v>
      </c>
      <c r="L111" s="82">
        <v>161.75606118983995</v>
      </c>
      <c r="M111" s="82">
        <v>86.795935272597035</v>
      </c>
      <c r="N111" s="82">
        <v>145.97498204936772</v>
      </c>
      <c r="O111" s="226">
        <v>1948.9632738483151</v>
      </c>
    </row>
    <row r="112" spans="1:15" x14ac:dyDescent="0.25">
      <c r="A112" s="221"/>
      <c r="B112" s="222" t="s">
        <v>26</v>
      </c>
      <c r="C112" s="225">
        <v>18.385104414943502</v>
      </c>
      <c r="D112" s="82">
        <v>11.411444119620105</v>
      </c>
      <c r="E112" s="82">
        <v>9.1925522074717509</v>
      </c>
      <c r="F112" s="82">
        <v>8.5585830897150803</v>
      </c>
      <c r="G112" s="82">
        <v>11.411444119620105</v>
      </c>
      <c r="H112" s="82">
        <v>16.800181620551822</v>
      </c>
      <c r="I112" s="82">
        <v>16.800181620551822</v>
      </c>
      <c r="J112" s="82">
        <v>17.117166179430161</v>
      </c>
      <c r="K112" s="82">
        <v>15.21525882616014</v>
      </c>
      <c r="L112" s="82">
        <v>12.996366914011787</v>
      </c>
      <c r="M112" s="82">
        <v>6.9736602953233975</v>
      </c>
      <c r="N112" s="82">
        <v>11.728428678498441</v>
      </c>
      <c r="O112" s="226">
        <v>156.59037208589808</v>
      </c>
    </row>
    <row r="113" spans="1:15" x14ac:dyDescent="0.25">
      <c r="A113" s="221"/>
      <c r="B113" s="222" t="s">
        <v>27</v>
      </c>
      <c r="C113" s="225">
        <v>247.21075195179014</v>
      </c>
      <c r="D113" s="82">
        <v>153.44115638386972</v>
      </c>
      <c r="E113" s="82">
        <v>123.60537597589507</v>
      </c>
      <c r="F113" s="82">
        <v>115.08086728790235</v>
      </c>
      <c r="G113" s="82">
        <v>153.44115638386972</v>
      </c>
      <c r="H113" s="82">
        <v>225.8994802318083</v>
      </c>
      <c r="I113" s="82">
        <v>225.8994802318083</v>
      </c>
      <c r="J113" s="82">
        <v>230.1617345758047</v>
      </c>
      <c r="K113" s="82">
        <v>204.58820851182634</v>
      </c>
      <c r="L113" s="82">
        <v>174.75242810385174</v>
      </c>
      <c r="M113" s="82">
        <v>93.769595567920433</v>
      </c>
      <c r="N113" s="82">
        <v>157.70341072786616</v>
      </c>
      <c r="O113" s="226">
        <v>2105.5536459342129</v>
      </c>
    </row>
    <row r="114" spans="1:15" x14ac:dyDescent="0.25">
      <c r="A114" s="221"/>
      <c r="B114" s="222" t="s">
        <v>48</v>
      </c>
      <c r="C114" s="225">
        <v>695.14216428630743</v>
      </c>
      <c r="D114" s="82">
        <v>431.46755024667357</v>
      </c>
      <c r="E114" s="82">
        <v>347.57108214315372</v>
      </c>
      <c r="F114" s="82">
        <v>323.60066268500515</v>
      </c>
      <c r="G114" s="82">
        <v>431.46755024667357</v>
      </c>
      <c r="H114" s="82">
        <v>635.2161156409361</v>
      </c>
      <c r="I114" s="82">
        <v>635.2161156409361</v>
      </c>
      <c r="J114" s="82">
        <v>647.2013253700103</v>
      </c>
      <c r="K114" s="82">
        <v>575.29006699556476</v>
      </c>
      <c r="L114" s="82">
        <v>491.39359889204485</v>
      </c>
      <c r="M114" s="82">
        <v>263.67461403963381</v>
      </c>
      <c r="N114" s="82">
        <v>443.45275997574782</v>
      </c>
      <c r="O114" s="226">
        <v>5920.6936061626866</v>
      </c>
    </row>
    <row r="115" spans="1:15" x14ac:dyDescent="0.25">
      <c r="A115" s="221"/>
      <c r="B115" s="222" t="s">
        <v>86</v>
      </c>
      <c r="C115" s="225">
        <v>0</v>
      </c>
      <c r="D115" s="82">
        <v>0</v>
      </c>
      <c r="E115" s="82">
        <v>0</v>
      </c>
      <c r="F115" s="82">
        <v>0</v>
      </c>
      <c r="G115" s="82">
        <v>0</v>
      </c>
      <c r="H115" s="82">
        <v>0</v>
      </c>
      <c r="I115" s="82">
        <v>0</v>
      </c>
      <c r="J115" s="82">
        <v>0</v>
      </c>
      <c r="K115" s="82">
        <v>0</v>
      </c>
      <c r="L115" s="82">
        <v>0</v>
      </c>
      <c r="M115" s="82">
        <v>0</v>
      </c>
      <c r="N115" s="82">
        <v>0</v>
      </c>
      <c r="O115" s="226">
        <v>0</v>
      </c>
    </row>
    <row r="116" spans="1:15" x14ac:dyDescent="0.25">
      <c r="A116" s="221"/>
      <c r="B116" s="222" t="s">
        <v>88</v>
      </c>
      <c r="C116" s="225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226">
        <v>0</v>
      </c>
    </row>
    <row r="117" spans="1:15" x14ac:dyDescent="0.25">
      <c r="A117" s="211" t="s">
        <v>70</v>
      </c>
      <c r="B117" s="212"/>
      <c r="C117" s="218">
        <v>158938.3941130967</v>
      </c>
      <c r="D117" s="219">
        <v>116021.68230186259</v>
      </c>
      <c r="E117" s="219">
        <v>103006.4805387675</v>
      </c>
      <c r="F117" s="219">
        <v>110939.85933683524</v>
      </c>
      <c r="G117" s="219">
        <v>133943.471755329</v>
      </c>
      <c r="H117" s="219">
        <v>164816.74105383363</v>
      </c>
      <c r="I117" s="219">
        <v>166585.024279909</v>
      </c>
      <c r="J117" s="219">
        <v>168751.56949383914</v>
      </c>
      <c r="K117" s="219">
        <v>151913.05264733793</v>
      </c>
      <c r="L117" s="219">
        <v>134054.98511192831</v>
      </c>
      <c r="M117" s="219">
        <v>97016.620241431185</v>
      </c>
      <c r="N117" s="219">
        <v>116547.38812583096</v>
      </c>
      <c r="O117" s="220">
        <v>1622535.2690000013</v>
      </c>
    </row>
    <row r="118" spans="1:15" ht="13" x14ac:dyDescent="0.3">
      <c r="A118" s="211" t="s">
        <v>28</v>
      </c>
      <c r="B118" s="212"/>
      <c r="C118" s="227">
        <v>39361.956646122744</v>
      </c>
      <c r="D118" s="228">
        <v>28733.399845014726</v>
      </c>
      <c r="E118" s="228">
        <v>25510.1144305733</v>
      </c>
      <c r="F118" s="228">
        <v>27474.858783562082</v>
      </c>
      <c r="G118" s="228">
        <v>33171.82835327254</v>
      </c>
      <c r="H118" s="228">
        <v>40817.761196831299</v>
      </c>
      <c r="I118" s="228">
        <v>41255.686142979408</v>
      </c>
      <c r="J118" s="228">
        <v>41792.242833755474</v>
      </c>
      <c r="K118" s="228">
        <v>37622.092670885708</v>
      </c>
      <c r="L118" s="228">
        <v>33199.445241768371</v>
      </c>
      <c r="M118" s="228">
        <v>24026.692991368902</v>
      </c>
      <c r="N118" s="228">
        <v>28863.593747923635</v>
      </c>
      <c r="O118" s="229">
        <v>401829.67288405821</v>
      </c>
    </row>
    <row r="119" spans="1:15" ht="13" x14ac:dyDescent="0.3">
      <c r="A119" s="211" t="s">
        <v>29</v>
      </c>
      <c r="B119" s="212"/>
      <c r="C119" s="227">
        <v>3162.5549439291608</v>
      </c>
      <c r="D119" s="228">
        <v>2308.5985423109232</v>
      </c>
      <c r="E119" s="228">
        <v>2049.6221577073225</v>
      </c>
      <c r="F119" s="228">
        <v>2207.4804680287339</v>
      </c>
      <c r="G119" s="228">
        <v>2665.2061710490516</v>
      </c>
      <c r="H119" s="228">
        <v>3279.5222461552671</v>
      </c>
      <c r="I119" s="228">
        <v>3314.7075321907619</v>
      </c>
      <c r="J119" s="228">
        <v>3357.8174321982165</v>
      </c>
      <c r="K119" s="228">
        <v>3022.764753463814</v>
      </c>
      <c r="L119" s="228">
        <v>2667.4250629611997</v>
      </c>
      <c r="M119" s="228">
        <v>1930.435963569068</v>
      </c>
      <c r="N119" s="228">
        <v>2319.0590327539076</v>
      </c>
      <c r="O119" s="229">
        <v>32285.194306317422</v>
      </c>
    </row>
    <row r="120" spans="1:15" ht="13" x14ac:dyDescent="0.3">
      <c r="A120" s="211" t="s">
        <v>30</v>
      </c>
      <c r="B120" s="212"/>
      <c r="C120" s="227">
        <v>42524.511590051909</v>
      </c>
      <c r="D120" s="228">
        <v>31041.998387325657</v>
      </c>
      <c r="E120" s="228">
        <v>27559.736588280615</v>
      </c>
      <c r="F120" s="228">
        <v>29682.339251590813</v>
      </c>
      <c r="G120" s="228">
        <v>35837.034524321585</v>
      </c>
      <c r="H120" s="228">
        <v>44097.283442986562</v>
      </c>
      <c r="I120" s="228">
        <v>44570.393675170162</v>
      </c>
      <c r="J120" s="228">
        <v>45150.060265953689</v>
      </c>
      <c r="K120" s="228">
        <v>40644.857424349517</v>
      </c>
      <c r="L120" s="228">
        <v>35866.870304729564</v>
      </c>
      <c r="M120" s="228">
        <v>25957.128954937969</v>
      </c>
      <c r="N120" s="228">
        <v>31182.652780677541</v>
      </c>
      <c r="O120" s="229">
        <v>434114.86719037557</v>
      </c>
    </row>
    <row r="121" spans="1:15" x14ac:dyDescent="0.25">
      <c r="A121" s="211" t="s">
        <v>60</v>
      </c>
      <c r="B121" s="212"/>
      <c r="C121" s="218">
        <v>119576.43746697393</v>
      </c>
      <c r="D121" s="219">
        <v>87288.282456847883</v>
      </c>
      <c r="E121" s="219">
        <v>77496.366108194197</v>
      </c>
      <c r="F121" s="219">
        <v>83465.000553273174</v>
      </c>
      <c r="G121" s="219">
        <v>100771.64340205642</v>
      </c>
      <c r="H121" s="219">
        <v>123998.97985700234</v>
      </c>
      <c r="I121" s="219">
        <v>125329.3381369296</v>
      </c>
      <c r="J121" s="219">
        <v>126959.32666008367</v>
      </c>
      <c r="K121" s="219">
        <v>114290.9599764522</v>
      </c>
      <c r="L121" s="219">
        <v>100855.53987015992</v>
      </c>
      <c r="M121" s="219">
        <v>72989.927250062276</v>
      </c>
      <c r="N121" s="219">
        <v>87683.79437790731</v>
      </c>
      <c r="O121" s="220">
        <v>1220705.5961159428</v>
      </c>
    </row>
    <row r="122" spans="1:15" x14ac:dyDescent="0.25">
      <c r="A122" s="211" t="s">
        <v>87</v>
      </c>
      <c r="B122" s="212"/>
      <c r="C122" s="218">
        <v>0</v>
      </c>
      <c r="D122" s="219">
        <v>0</v>
      </c>
      <c r="E122" s="219">
        <v>0</v>
      </c>
      <c r="F122" s="219">
        <v>0</v>
      </c>
      <c r="G122" s="219">
        <v>0</v>
      </c>
      <c r="H122" s="219">
        <v>0</v>
      </c>
      <c r="I122" s="219">
        <v>0</v>
      </c>
      <c r="J122" s="219">
        <v>0</v>
      </c>
      <c r="K122" s="219">
        <v>0</v>
      </c>
      <c r="L122" s="219">
        <v>0</v>
      </c>
      <c r="M122" s="219">
        <v>0</v>
      </c>
      <c r="N122" s="219">
        <v>0</v>
      </c>
      <c r="O122" s="220">
        <v>0</v>
      </c>
    </row>
    <row r="123" spans="1:15" x14ac:dyDescent="0.25">
      <c r="A123" s="230" t="s">
        <v>89</v>
      </c>
      <c r="B123" s="231"/>
      <c r="C123" s="232">
        <v>0</v>
      </c>
      <c r="D123" s="233">
        <v>0</v>
      </c>
      <c r="E123" s="233">
        <v>0</v>
      </c>
      <c r="F123" s="233">
        <v>0</v>
      </c>
      <c r="G123" s="233">
        <v>0</v>
      </c>
      <c r="H123" s="233">
        <v>0</v>
      </c>
      <c r="I123" s="233">
        <v>0</v>
      </c>
      <c r="J123" s="233">
        <v>0</v>
      </c>
      <c r="K123" s="233">
        <v>0</v>
      </c>
      <c r="L123" s="233">
        <v>0</v>
      </c>
      <c r="M123" s="233">
        <v>0</v>
      </c>
      <c r="N123" s="233">
        <v>0</v>
      </c>
      <c r="O123" s="234">
        <v>0</v>
      </c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I11" sqref="I11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29" customWidth="1"/>
    <col min="5" max="5" width="24.26953125" style="1" customWidth="1"/>
    <col min="6" max="6" width="7.7265625" style="129" customWidth="1"/>
    <col min="7" max="7" width="7.453125" style="129" customWidth="1"/>
    <col min="8" max="8" width="11.1796875" style="129" bestFit="1" customWidth="1"/>
    <col min="9" max="9" width="11.26953125" style="130" customWidth="1"/>
    <col min="10" max="10" width="14.81640625" style="129" bestFit="1" customWidth="1"/>
    <col min="11" max="11" width="14.81640625" style="131" bestFit="1" customWidth="1"/>
    <col min="12" max="12" width="14.7265625" style="129" customWidth="1"/>
    <col min="13" max="13" width="13.453125" style="93" bestFit="1" customWidth="1"/>
    <col min="14" max="15" width="13.453125" style="93" customWidth="1"/>
    <col min="16" max="16" width="14.81640625" style="93" bestFit="1" customWidth="1"/>
    <col min="17" max="17" width="13.453125" style="93" customWidth="1"/>
    <col min="18" max="18" width="15.54296875" style="196" customWidth="1"/>
    <col min="19" max="16384" width="8.7265625" style="1"/>
  </cols>
  <sheetData>
    <row r="1" spans="2:18" ht="21.5" x14ac:dyDescent="0.3">
      <c r="B1" s="10" t="s">
        <v>94</v>
      </c>
      <c r="C1" s="83"/>
      <c r="D1" s="84"/>
      <c r="E1" s="83"/>
      <c r="F1" s="85" t="s">
        <v>12</v>
      </c>
      <c r="G1" s="86"/>
      <c r="H1" s="87"/>
      <c r="I1" s="88"/>
      <c r="J1" s="199" t="str">
        <f>"True-Up ARR
(CY"&amp;R1&amp;")"</f>
        <v>True-Up ARR
(CY2024)</v>
      </c>
      <c r="K1" s="199" t="str">
        <f>"Projected ARR
(Jan'"&amp;RIGHT(R$1,2)&amp;" - Dec'"&amp;RIGHT(R$1,2)&amp;")"</f>
        <v>Projected ARR
(Jan'24 - Dec'24)</v>
      </c>
      <c r="L1" s="89" t="s">
        <v>44</v>
      </c>
      <c r="M1" s="90"/>
      <c r="N1" s="50"/>
      <c r="O1" s="50"/>
      <c r="P1" s="50"/>
      <c r="Q1" s="50"/>
      <c r="R1" s="91">
        <v>2024</v>
      </c>
    </row>
    <row r="2" spans="2:18" ht="13" x14ac:dyDescent="0.3">
      <c r="B2" s="10" t="s">
        <v>51</v>
      </c>
      <c r="C2" s="83"/>
      <c r="D2" s="84"/>
      <c r="E2" s="83"/>
      <c r="F2" s="92">
        <v>1</v>
      </c>
      <c r="G2" s="236"/>
      <c r="H2" s="236"/>
      <c r="I2" s="94" t="s">
        <v>6</v>
      </c>
      <c r="J2" s="95">
        <v>1622535.2690000013</v>
      </c>
      <c r="K2" s="95">
        <v>1216594.6691788705</v>
      </c>
      <c r="L2" s="205"/>
      <c r="M2" s="97"/>
      <c r="N2" s="50"/>
      <c r="O2" s="50"/>
      <c r="P2" s="50"/>
      <c r="Q2" s="50"/>
      <c r="R2" s="1"/>
    </row>
    <row r="3" spans="2:18" ht="13" x14ac:dyDescent="0.3">
      <c r="B3" s="10" t="str">
        <f>"for CY"&amp;R1&amp;" SPP Network Transmission Service"</f>
        <v>for CY2024 SPP Network Transmission Service</v>
      </c>
      <c r="C3" s="83"/>
      <c r="D3" s="84"/>
      <c r="E3" s="83"/>
      <c r="F3" s="92"/>
      <c r="G3" s="236"/>
      <c r="H3" s="236"/>
      <c r="I3" s="94" t="s">
        <v>10</v>
      </c>
      <c r="J3" s="98">
        <v>15.930479514192312</v>
      </c>
      <c r="K3" s="98">
        <v>11.985209729074265</v>
      </c>
      <c r="L3" s="118" t="str">
        <f>"Inv. Jan-Dec'"&amp;RIGHT(R1,2)</f>
        <v>Inv. Jan-Dec'24</v>
      </c>
      <c r="M3" s="97"/>
      <c r="N3" s="50"/>
      <c r="O3" s="50"/>
      <c r="P3" s="50"/>
      <c r="Q3" s="50"/>
      <c r="R3" s="1"/>
    </row>
    <row r="4" spans="2:18" ht="13" x14ac:dyDescent="0.3">
      <c r="B4" s="9"/>
      <c r="C4" s="83"/>
      <c r="D4" s="84"/>
      <c r="E4" s="83"/>
      <c r="F4" s="92"/>
      <c r="G4" s="93"/>
      <c r="H4" s="93"/>
      <c r="I4" s="49"/>
      <c r="J4" s="93"/>
      <c r="K4" s="99"/>
      <c r="L4" s="116"/>
      <c r="M4" s="100"/>
      <c r="R4" s="1"/>
    </row>
    <row r="5" spans="2:18" ht="13" x14ac:dyDescent="0.3">
      <c r="B5" s="9"/>
      <c r="C5" s="83"/>
      <c r="D5" s="84"/>
      <c r="E5" s="83"/>
      <c r="F5" s="92"/>
      <c r="G5" s="93"/>
      <c r="H5" s="93"/>
      <c r="I5" s="94"/>
      <c r="J5" s="93"/>
      <c r="K5" s="95">
        <v>0</v>
      </c>
      <c r="L5" s="96"/>
      <c r="M5" s="101"/>
      <c r="N5" s="102"/>
      <c r="O5" s="102"/>
      <c r="P5" s="102"/>
      <c r="Q5" s="102"/>
      <c r="R5" s="103"/>
    </row>
    <row r="6" spans="2:18" ht="13" x14ac:dyDescent="0.3">
      <c r="B6" s="10" t="s">
        <v>23</v>
      </c>
      <c r="D6" s="84"/>
      <c r="E6" s="83"/>
      <c r="F6" s="104"/>
      <c r="G6" s="105"/>
      <c r="H6" s="106"/>
      <c r="I6" s="107"/>
      <c r="J6" s="108"/>
      <c r="K6" s="98">
        <v>0</v>
      </c>
      <c r="L6" s="197"/>
      <c r="M6" s="101"/>
      <c r="N6" s="102"/>
      <c r="O6" s="102"/>
      <c r="P6" s="102"/>
      <c r="Q6" s="102"/>
      <c r="R6" s="1"/>
    </row>
    <row r="7" spans="2:18" ht="13" x14ac:dyDescent="0.3">
      <c r="B7" s="9" t="s">
        <v>76</v>
      </c>
      <c r="D7" s="84"/>
      <c r="E7" s="83"/>
      <c r="F7" s="92"/>
      <c r="G7" s="237"/>
      <c r="H7" s="236"/>
      <c r="I7" s="94"/>
      <c r="J7" s="109"/>
      <c r="K7" s="96"/>
      <c r="L7" s="96"/>
      <c r="M7" s="110"/>
      <c r="N7" s="111"/>
      <c r="O7" s="111"/>
      <c r="P7" s="111"/>
      <c r="Q7" s="111"/>
      <c r="R7" s="1"/>
    </row>
    <row r="8" spans="2:18" ht="13" x14ac:dyDescent="0.3">
      <c r="B8" s="10"/>
      <c r="C8" s="83"/>
      <c r="D8" s="84"/>
      <c r="E8" s="83"/>
      <c r="F8" s="92"/>
      <c r="G8" s="236"/>
      <c r="H8" s="236"/>
      <c r="I8" s="94"/>
      <c r="J8" s="112"/>
      <c r="K8" s="96"/>
      <c r="L8" s="113"/>
      <c r="M8" s="97"/>
      <c r="N8" s="50"/>
      <c r="O8" s="50"/>
      <c r="P8" s="50"/>
      <c r="Q8" s="50"/>
      <c r="R8" s="103"/>
    </row>
    <row r="9" spans="2:18" ht="13" x14ac:dyDescent="0.3">
      <c r="B9" s="114"/>
      <c r="C9" s="83"/>
      <c r="D9" s="84"/>
      <c r="E9" s="83"/>
      <c r="F9" s="92"/>
      <c r="G9" s="93"/>
      <c r="H9" s="93"/>
      <c r="I9" s="115"/>
      <c r="J9" s="116"/>
      <c r="K9" s="117"/>
      <c r="L9" s="118"/>
      <c r="M9" s="97"/>
      <c r="N9" s="50"/>
      <c r="O9" s="50"/>
      <c r="P9" s="50"/>
      <c r="Q9" s="50"/>
      <c r="R9" s="103"/>
    </row>
    <row r="10" spans="2:18" ht="13.5" thickBot="1" x14ac:dyDescent="0.35">
      <c r="B10" s="9"/>
      <c r="D10" s="1"/>
      <c r="E10" s="119"/>
      <c r="F10" s="120"/>
      <c r="G10" s="121"/>
      <c r="H10" s="122"/>
      <c r="I10" s="123"/>
      <c r="J10" s="124"/>
      <c r="K10" s="124"/>
      <c r="L10" s="125"/>
      <c r="M10" s="126"/>
      <c r="R10" s="127"/>
    </row>
    <row r="11" spans="2:18" ht="13" x14ac:dyDescent="0.3">
      <c r="B11" s="128"/>
      <c r="E11" s="119"/>
      <c r="L11" s="132"/>
      <c r="M11" s="1"/>
      <c r="N11" s="1"/>
      <c r="O11" s="1"/>
      <c r="P11" s="1"/>
      <c r="Q11" s="1"/>
      <c r="R11" s="103"/>
    </row>
    <row r="12" spans="2:18" x14ac:dyDescent="0.25">
      <c r="E12" s="119"/>
      <c r="L12" s="132"/>
      <c r="R12" s="133" t="s">
        <v>59</v>
      </c>
    </row>
    <row r="13" spans="2:18" ht="13" x14ac:dyDescent="0.3">
      <c r="E13" s="119"/>
      <c r="F13" s="134"/>
      <c r="G13" s="135"/>
      <c r="H13" s="135"/>
      <c r="I13" s="136" t="s">
        <v>57</v>
      </c>
      <c r="J13" s="137">
        <f t="shared" ref="J13:R13" si="0">SUM(J56:J211)</f>
        <v>428450.24653420219</v>
      </c>
      <c r="K13" s="137">
        <f t="shared" si="0"/>
        <v>322342.21566345246</v>
      </c>
      <c r="L13" s="138">
        <f t="shared" si="0"/>
        <v>106108.03087074992</v>
      </c>
      <c r="M13" s="139">
        <f t="shared" si="0"/>
        <v>8525.2997110328579</v>
      </c>
      <c r="N13" s="137">
        <f t="shared" si="0"/>
        <v>114633.33058178275</v>
      </c>
      <c r="O13" s="137">
        <f t="shared" si="0"/>
        <v>0</v>
      </c>
      <c r="P13" s="137">
        <f t="shared" si="0"/>
        <v>0</v>
      </c>
      <c r="Q13" s="137">
        <f t="shared" si="0"/>
        <v>0</v>
      </c>
      <c r="R13" s="138">
        <f t="shared" si="0"/>
        <v>114633.33058178275</v>
      </c>
    </row>
    <row r="14" spans="2:18" ht="13" x14ac:dyDescent="0.3">
      <c r="E14" s="119"/>
      <c r="F14" s="140"/>
      <c r="G14" s="140"/>
      <c r="H14" s="140"/>
      <c r="I14" s="141" t="s">
        <v>58</v>
      </c>
      <c r="J14" s="137">
        <f>SUM(J20:J211)</f>
        <v>1622535.2690000003</v>
      </c>
      <c r="K14" s="137">
        <f>SUM(K20:K211)</f>
        <v>1220705.5961159414</v>
      </c>
      <c r="L14" s="138">
        <f>SUM(L20:L211)</f>
        <v>401829.67288405827</v>
      </c>
      <c r="M14" s="198">
        <v>32285.194306317426</v>
      </c>
      <c r="N14" s="137">
        <f>SUM(N20:N211)</f>
        <v>434114.86719037581</v>
      </c>
      <c r="O14" s="137">
        <f>SUM(O20:O211)</f>
        <v>0</v>
      </c>
      <c r="P14" s="137">
        <f>SUM(P20:P211)</f>
        <v>0</v>
      </c>
      <c r="Q14" s="137">
        <f>SUM(Q20:Q211)</f>
        <v>0</v>
      </c>
      <c r="R14" s="138">
        <f>SUM(R20:R211)</f>
        <v>434114.86719037581</v>
      </c>
    </row>
    <row r="15" spans="2:18" x14ac:dyDescent="0.25">
      <c r="B15" s="142" t="s">
        <v>81</v>
      </c>
      <c r="E15" s="119"/>
      <c r="J15" s="130"/>
      <c r="L15" s="132"/>
      <c r="M15" s="206"/>
      <c r="N15" s="143"/>
      <c r="O15" s="143"/>
      <c r="P15" s="143"/>
      <c r="Q15" s="143"/>
      <c r="R15" s="144" t="s">
        <v>20</v>
      </c>
    </row>
    <row r="16" spans="2:18" x14ac:dyDescent="0.25">
      <c r="B16" s="145" t="str">
        <f>"** Actual Trued-Up CY"&amp;R1&amp;" Charge reflects "&amp;R1&amp;" True-UP Rate x MW"</f>
        <v>** Actual Trued-Up CY2024 Charge reflects 2024 True-UP Rate x MW</v>
      </c>
      <c r="E16" s="119"/>
      <c r="F16" s="93"/>
      <c r="G16" s="5"/>
      <c r="J16" s="146"/>
      <c r="L16" s="147" t="s">
        <v>11</v>
      </c>
      <c r="M16" s="143"/>
      <c r="N16" s="143"/>
      <c r="O16" s="143"/>
      <c r="P16" s="143"/>
      <c r="Q16" s="143"/>
      <c r="R16" s="148"/>
    </row>
    <row r="17" spans="1:18" x14ac:dyDescent="0.25">
      <c r="B17" s="149" t="s">
        <v>61</v>
      </c>
      <c r="E17" s="119"/>
      <c r="I17" s="150"/>
      <c r="J17" s="151"/>
      <c r="K17" s="152"/>
      <c r="L17" s="152"/>
      <c r="M17" s="152"/>
      <c r="N17" s="152"/>
      <c r="O17" s="152"/>
      <c r="P17" s="152"/>
      <c r="Q17" s="152"/>
      <c r="R17" s="153"/>
    </row>
    <row r="18" spans="1:18" ht="3.65" customHeight="1" x14ac:dyDescent="0.25">
      <c r="I18" s="154"/>
      <c r="J18" s="151"/>
      <c r="K18" s="154"/>
      <c r="L18" s="154"/>
      <c r="M18" s="155"/>
      <c r="N18" s="155"/>
      <c r="O18" s="155"/>
      <c r="P18" s="155"/>
      <c r="Q18" s="155"/>
      <c r="R18" s="156"/>
    </row>
    <row r="19" spans="1:18" ht="38.25" customHeight="1" x14ac:dyDescent="0.25">
      <c r="B19" s="157" t="s">
        <v>52</v>
      </c>
      <c r="C19" s="207" t="s">
        <v>4</v>
      </c>
      <c r="D19" s="207" t="s">
        <v>5</v>
      </c>
      <c r="E19" s="200" t="s">
        <v>0</v>
      </c>
      <c r="F19" s="201" t="s">
        <v>12</v>
      </c>
      <c r="G19" s="208" t="s">
        <v>1</v>
      </c>
      <c r="H19" s="158" t="s">
        <v>47</v>
      </c>
      <c r="I19" s="158" t="s">
        <v>45</v>
      </c>
      <c r="J19" s="159" t="str">
        <f>"True-Up Charge"</f>
        <v>True-Up Charge</v>
      </c>
      <c r="K19" s="159" t="s">
        <v>46</v>
      </c>
      <c r="L19" s="160" t="s">
        <v>3</v>
      </c>
      <c r="M19" s="161" t="s">
        <v>7</v>
      </c>
      <c r="N19" s="162" t="s">
        <v>96</v>
      </c>
      <c r="O19" s="162" t="s">
        <v>83</v>
      </c>
      <c r="P19" s="162" t="s">
        <v>84</v>
      </c>
      <c r="Q19" s="162" t="s">
        <v>85</v>
      </c>
      <c r="R19" s="163" t="s">
        <v>2</v>
      </c>
    </row>
    <row r="20" spans="1:18" s="50" customFormat="1" ht="12.75" customHeight="1" x14ac:dyDescent="0.25">
      <c r="A20" s="93">
        <v>1</v>
      </c>
      <c r="B20" s="164">
        <f>DATE($R$1,A20,1)</f>
        <v>45292</v>
      </c>
      <c r="C20" s="202">
        <v>45327</v>
      </c>
      <c r="D20" s="202">
        <v>45348</v>
      </c>
      <c r="E20" s="165" t="s">
        <v>21</v>
      </c>
      <c r="F20" s="93">
        <v>9</v>
      </c>
      <c r="G20" s="166">
        <v>3252</v>
      </c>
      <c r="H20" s="167">
        <f>+$K$3</f>
        <v>11.985209729074265</v>
      </c>
      <c r="I20" s="167">
        <f t="shared" ref="I20:I63" si="1">$J$3</f>
        <v>15.930479514192312</v>
      </c>
      <c r="J20" s="168">
        <f t="shared" ref="J20:J108" si="2">+$G20*I20</f>
        <v>51805.919380153398</v>
      </c>
      <c r="K20" s="169">
        <f>+$G20*H20</f>
        <v>38975.902038949513</v>
      </c>
      <c r="L20" s="170">
        <f t="shared" ref="L20:L34" si="3">+J20-K20</f>
        <v>12830.017341203886</v>
      </c>
      <c r="M20" s="171">
        <f>G20/$G$212*$M$14</f>
        <v>1030.8337854723495</v>
      </c>
      <c r="N20" s="172">
        <f>SUM(L20:M20)</f>
        <v>13860.851126676236</v>
      </c>
      <c r="O20" s="171">
        <v>0</v>
      </c>
      <c r="P20" s="171">
        <v>0</v>
      </c>
      <c r="Q20" s="171">
        <v>0</v>
      </c>
      <c r="R20" s="172">
        <f>+N20-Q20</f>
        <v>13860.851126676236</v>
      </c>
    </row>
    <row r="21" spans="1:18" x14ac:dyDescent="0.25">
      <c r="A21" s="129">
        <v>2</v>
      </c>
      <c r="B21" s="164">
        <f t="shared" ref="B21:B108" si="4">DATE($R$1,A21,1)</f>
        <v>45323</v>
      </c>
      <c r="C21" s="202">
        <v>45356</v>
      </c>
      <c r="D21" s="202">
        <v>45376</v>
      </c>
      <c r="E21" s="173" t="s">
        <v>21</v>
      </c>
      <c r="F21" s="129">
        <v>9</v>
      </c>
      <c r="G21" s="166">
        <v>2338</v>
      </c>
      <c r="H21" s="167">
        <f t="shared" ref="H21:H84" si="5">+$K$3</f>
        <v>11.985209729074265</v>
      </c>
      <c r="I21" s="167">
        <f t="shared" si="1"/>
        <v>15.930479514192312</v>
      </c>
      <c r="J21" s="168">
        <f t="shared" si="2"/>
        <v>37245.461104181624</v>
      </c>
      <c r="K21" s="169">
        <f t="shared" ref="K21:K33" si="6">+$G21*H21</f>
        <v>28021.420346575633</v>
      </c>
      <c r="L21" s="170">
        <f t="shared" si="3"/>
        <v>9224.0407576059915</v>
      </c>
      <c r="M21" s="171">
        <f t="shared" ref="M21:M84" si="7">G21/$G$212*$M$14</f>
        <v>741.10989865755016</v>
      </c>
      <c r="N21" s="172">
        <f t="shared" ref="N21:N84" si="8">SUM(L21:M21)</f>
        <v>9965.1506562635423</v>
      </c>
      <c r="O21" s="171">
        <v>0</v>
      </c>
      <c r="P21" s="171">
        <v>0</v>
      </c>
      <c r="Q21" s="171">
        <v>0</v>
      </c>
      <c r="R21" s="172">
        <f t="shared" ref="R21:R84" si="9">+N21-Q21</f>
        <v>9965.1506562635423</v>
      </c>
    </row>
    <row r="22" spans="1:18" x14ac:dyDescent="0.25">
      <c r="A22" s="129">
        <v>3</v>
      </c>
      <c r="B22" s="164">
        <f t="shared" si="4"/>
        <v>45352</v>
      </c>
      <c r="C22" s="202">
        <v>45385</v>
      </c>
      <c r="D22" s="202">
        <v>45406</v>
      </c>
      <c r="E22" s="173" t="s">
        <v>21</v>
      </c>
      <c r="F22" s="129">
        <v>9</v>
      </c>
      <c r="G22" s="166">
        <v>2216</v>
      </c>
      <c r="H22" s="167">
        <f t="shared" si="5"/>
        <v>11.985209729074265</v>
      </c>
      <c r="I22" s="167">
        <f t="shared" si="1"/>
        <v>15.930479514192312</v>
      </c>
      <c r="J22" s="168">
        <f t="shared" si="2"/>
        <v>35301.942603450167</v>
      </c>
      <c r="K22" s="169">
        <f t="shared" si="6"/>
        <v>26559.224759628571</v>
      </c>
      <c r="L22" s="170">
        <f t="shared" si="3"/>
        <v>8742.717843821596</v>
      </c>
      <c r="M22" s="171">
        <f t="shared" si="7"/>
        <v>702.43778247439309</v>
      </c>
      <c r="N22" s="172">
        <f t="shared" si="8"/>
        <v>9445.1556262959894</v>
      </c>
      <c r="O22" s="171">
        <v>0</v>
      </c>
      <c r="P22" s="171">
        <v>0</v>
      </c>
      <c r="Q22" s="171">
        <v>0</v>
      </c>
      <c r="R22" s="172">
        <f t="shared" si="9"/>
        <v>9445.1556262959894</v>
      </c>
    </row>
    <row r="23" spans="1:18" x14ac:dyDescent="0.25">
      <c r="A23" s="93">
        <v>4</v>
      </c>
      <c r="B23" s="164">
        <f t="shared" si="4"/>
        <v>45383</v>
      </c>
      <c r="C23" s="202">
        <v>45415</v>
      </c>
      <c r="D23" s="202">
        <v>45436</v>
      </c>
      <c r="E23" s="173" t="s">
        <v>21</v>
      </c>
      <c r="F23" s="129">
        <v>9</v>
      </c>
      <c r="G23" s="166">
        <v>2777</v>
      </c>
      <c r="H23" s="167">
        <f t="shared" si="5"/>
        <v>11.985209729074265</v>
      </c>
      <c r="I23" s="167">
        <f t="shared" si="1"/>
        <v>15.930479514192312</v>
      </c>
      <c r="J23" s="168">
        <f t="shared" si="2"/>
        <v>44238.94161091205</v>
      </c>
      <c r="K23" s="169">
        <f t="shared" si="6"/>
        <v>33282.927417639236</v>
      </c>
      <c r="L23" s="170">
        <f t="shared" si="3"/>
        <v>10956.014193272815</v>
      </c>
      <c r="M23" s="171">
        <f t="shared" si="7"/>
        <v>880.26612000513978</v>
      </c>
      <c r="N23" s="172">
        <f t="shared" si="8"/>
        <v>11836.280313277955</v>
      </c>
      <c r="O23" s="171">
        <v>0</v>
      </c>
      <c r="P23" s="171">
        <v>0</v>
      </c>
      <c r="Q23" s="171">
        <v>0</v>
      </c>
      <c r="R23" s="172">
        <f t="shared" si="9"/>
        <v>11836.280313277955</v>
      </c>
    </row>
    <row r="24" spans="1:18" ht="12" customHeight="1" x14ac:dyDescent="0.25">
      <c r="A24" s="129">
        <v>5</v>
      </c>
      <c r="B24" s="164">
        <f t="shared" si="4"/>
        <v>45413</v>
      </c>
      <c r="C24" s="202">
        <v>45448</v>
      </c>
      <c r="D24" s="202">
        <v>45467</v>
      </c>
      <c r="E24" s="52" t="s">
        <v>21</v>
      </c>
      <c r="F24" s="129">
        <v>9</v>
      </c>
      <c r="G24" s="166">
        <v>3245</v>
      </c>
      <c r="H24" s="167">
        <f t="shared" si="5"/>
        <v>11.985209729074265</v>
      </c>
      <c r="I24" s="167">
        <f t="shared" si="1"/>
        <v>15.930479514192312</v>
      </c>
      <c r="J24" s="168">
        <f t="shared" si="2"/>
        <v>51694.406023554053</v>
      </c>
      <c r="K24" s="169">
        <f t="shared" si="6"/>
        <v>38892.005570845991</v>
      </c>
      <c r="L24" s="170">
        <f t="shared" si="3"/>
        <v>12802.400452708061</v>
      </c>
      <c r="M24" s="171">
        <f t="shared" si="7"/>
        <v>1028.6148935602012</v>
      </c>
      <c r="N24" s="172">
        <f t="shared" si="8"/>
        <v>13831.015346268263</v>
      </c>
      <c r="O24" s="171">
        <v>0</v>
      </c>
      <c r="P24" s="171">
        <v>0</v>
      </c>
      <c r="Q24" s="171">
        <v>0</v>
      </c>
      <c r="R24" s="172">
        <f t="shared" si="9"/>
        <v>13831.015346268263</v>
      </c>
    </row>
    <row r="25" spans="1:18" x14ac:dyDescent="0.25">
      <c r="A25" s="129">
        <v>6</v>
      </c>
      <c r="B25" s="164">
        <f t="shared" si="4"/>
        <v>45444</v>
      </c>
      <c r="C25" s="202">
        <v>45476</v>
      </c>
      <c r="D25" s="202">
        <v>45497</v>
      </c>
      <c r="E25" s="52" t="s">
        <v>21</v>
      </c>
      <c r="F25" s="129">
        <v>9</v>
      </c>
      <c r="G25" s="166">
        <v>4080</v>
      </c>
      <c r="H25" s="167">
        <f t="shared" si="5"/>
        <v>11.985209729074265</v>
      </c>
      <c r="I25" s="167">
        <f t="shared" si="1"/>
        <v>15.930479514192312</v>
      </c>
      <c r="J25" s="168">
        <f t="shared" si="2"/>
        <v>64996.35641790463</v>
      </c>
      <c r="K25" s="169">
        <f t="shared" si="6"/>
        <v>48899.655694623005</v>
      </c>
      <c r="L25" s="174">
        <f t="shared" si="3"/>
        <v>16096.700723281625</v>
      </c>
      <c r="M25" s="171">
        <f t="shared" si="7"/>
        <v>1293.2970002236118</v>
      </c>
      <c r="N25" s="172">
        <f t="shared" si="8"/>
        <v>17389.997723505236</v>
      </c>
      <c r="O25" s="171">
        <v>0</v>
      </c>
      <c r="P25" s="171">
        <v>0</v>
      </c>
      <c r="Q25" s="171">
        <v>0</v>
      </c>
      <c r="R25" s="172">
        <f t="shared" si="9"/>
        <v>17389.997723505236</v>
      </c>
    </row>
    <row r="26" spans="1:18" x14ac:dyDescent="0.25">
      <c r="A26" s="93">
        <v>7</v>
      </c>
      <c r="B26" s="164">
        <f t="shared" si="4"/>
        <v>45474</v>
      </c>
      <c r="C26" s="202">
        <v>45509</v>
      </c>
      <c r="D26" s="202">
        <v>45530</v>
      </c>
      <c r="E26" s="52" t="s">
        <v>21</v>
      </c>
      <c r="F26" s="129">
        <v>9</v>
      </c>
      <c r="G26" s="166">
        <v>4149</v>
      </c>
      <c r="H26" s="167">
        <f t="shared" si="5"/>
        <v>11.985209729074265</v>
      </c>
      <c r="I26" s="167">
        <f t="shared" si="1"/>
        <v>15.930479514192312</v>
      </c>
      <c r="J26" s="168">
        <f t="shared" si="2"/>
        <v>66095.559504383898</v>
      </c>
      <c r="K26" s="175">
        <f t="shared" si="6"/>
        <v>49726.635165929125</v>
      </c>
      <c r="L26" s="174">
        <f t="shared" si="3"/>
        <v>16368.924338454774</v>
      </c>
      <c r="M26" s="171">
        <f t="shared" si="7"/>
        <v>1315.1689347862171</v>
      </c>
      <c r="N26" s="172">
        <f t="shared" si="8"/>
        <v>17684.093273240989</v>
      </c>
      <c r="O26" s="171">
        <v>0</v>
      </c>
      <c r="P26" s="171">
        <v>0</v>
      </c>
      <c r="Q26" s="171">
        <v>0</v>
      </c>
      <c r="R26" s="172">
        <f t="shared" si="9"/>
        <v>17684.093273240989</v>
      </c>
    </row>
    <row r="27" spans="1:18" x14ac:dyDescent="0.25">
      <c r="A27" s="129">
        <v>8</v>
      </c>
      <c r="B27" s="164">
        <f t="shared" si="4"/>
        <v>45505</v>
      </c>
      <c r="C27" s="202">
        <v>45539</v>
      </c>
      <c r="D27" s="202">
        <v>45559</v>
      </c>
      <c r="E27" s="52" t="s">
        <v>21</v>
      </c>
      <c r="F27" s="129">
        <v>9</v>
      </c>
      <c r="G27" s="166">
        <v>4151</v>
      </c>
      <c r="H27" s="167">
        <f t="shared" si="5"/>
        <v>11.985209729074265</v>
      </c>
      <c r="I27" s="167">
        <f t="shared" si="1"/>
        <v>15.930479514192312</v>
      </c>
      <c r="J27" s="168">
        <f t="shared" si="2"/>
        <v>66127.420463412287</v>
      </c>
      <c r="K27" s="175">
        <f t="shared" si="6"/>
        <v>49750.605585387275</v>
      </c>
      <c r="L27" s="174">
        <f t="shared" si="3"/>
        <v>16376.814878025012</v>
      </c>
      <c r="M27" s="171">
        <f t="shared" si="7"/>
        <v>1315.8029039039739</v>
      </c>
      <c r="N27" s="172">
        <f t="shared" si="8"/>
        <v>17692.617781928988</v>
      </c>
      <c r="O27" s="171">
        <v>0</v>
      </c>
      <c r="P27" s="171">
        <v>0</v>
      </c>
      <c r="Q27" s="171">
        <v>0</v>
      </c>
      <c r="R27" s="172">
        <f t="shared" si="9"/>
        <v>17692.617781928988</v>
      </c>
    </row>
    <row r="28" spans="1:18" x14ac:dyDescent="0.25">
      <c r="A28" s="129">
        <v>9</v>
      </c>
      <c r="B28" s="164">
        <f t="shared" si="4"/>
        <v>45536</v>
      </c>
      <c r="C28" s="202">
        <v>45568</v>
      </c>
      <c r="D28" s="202">
        <v>45589</v>
      </c>
      <c r="E28" s="52" t="s">
        <v>21</v>
      </c>
      <c r="F28" s="129">
        <v>9</v>
      </c>
      <c r="G28" s="166">
        <v>3859</v>
      </c>
      <c r="H28" s="167">
        <f t="shared" si="5"/>
        <v>11.985209729074265</v>
      </c>
      <c r="I28" s="167">
        <f t="shared" si="1"/>
        <v>15.930479514192312</v>
      </c>
      <c r="J28" s="168">
        <f t="shared" si="2"/>
        <v>61475.720445268133</v>
      </c>
      <c r="K28" s="175">
        <f t="shared" si="6"/>
        <v>46250.924344497587</v>
      </c>
      <c r="L28" s="174">
        <f t="shared" si="3"/>
        <v>15224.796100770545</v>
      </c>
      <c r="M28" s="171">
        <f t="shared" si="7"/>
        <v>1223.2434127114996</v>
      </c>
      <c r="N28" s="172">
        <f t="shared" si="8"/>
        <v>16448.039513482046</v>
      </c>
      <c r="O28" s="171">
        <v>0</v>
      </c>
      <c r="P28" s="171">
        <v>0</v>
      </c>
      <c r="Q28" s="171">
        <v>0</v>
      </c>
      <c r="R28" s="172">
        <f t="shared" si="9"/>
        <v>16448.039513482046</v>
      </c>
    </row>
    <row r="29" spans="1:18" x14ac:dyDescent="0.25">
      <c r="A29" s="93">
        <v>10</v>
      </c>
      <c r="B29" s="164">
        <f t="shared" si="4"/>
        <v>45566</v>
      </c>
      <c r="C29" s="202">
        <v>45601</v>
      </c>
      <c r="D29" s="202">
        <v>45621</v>
      </c>
      <c r="E29" s="52" t="s">
        <v>21</v>
      </c>
      <c r="F29" s="129">
        <v>9</v>
      </c>
      <c r="G29" s="166">
        <v>3429</v>
      </c>
      <c r="H29" s="167">
        <f t="shared" si="5"/>
        <v>11.985209729074265</v>
      </c>
      <c r="I29" s="167">
        <f t="shared" si="1"/>
        <v>15.930479514192312</v>
      </c>
      <c r="J29" s="168">
        <f t="shared" si="2"/>
        <v>54625.614254165441</v>
      </c>
      <c r="K29" s="175">
        <f t="shared" si="6"/>
        <v>41097.284160995652</v>
      </c>
      <c r="L29" s="174">
        <f t="shared" si="3"/>
        <v>13528.330093169789</v>
      </c>
      <c r="M29" s="171">
        <f t="shared" si="7"/>
        <v>1086.940052393815</v>
      </c>
      <c r="N29" s="172">
        <f t="shared" si="8"/>
        <v>14615.270145563603</v>
      </c>
      <c r="O29" s="171">
        <v>0</v>
      </c>
      <c r="P29" s="171">
        <v>0</v>
      </c>
      <c r="Q29" s="171">
        <v>0</v>
      </c>
      <c r="R29" s="172">
        <f t="shared" si="9"/>
        <v>14615.270145563603</v>
      </c>
    </row>
    <row r="30" spans="1:18" x14ac:dyDescent="0.25">
      <c r="A30" s="129">
        <v>11</v>
      </c>
      <c r="B30" s="164">
        <f t="shared" si="4"/>
        <v>45597</v>
      </c>
      <c r="C30" s="202">
        <v>45630</v>
      </c>
      <c r="D30" s="202">
        <v>45650</v>
      </c>
      <c r="E30" s="52" t="s">
        <v>21</v>
      </c>
      <c r="F30" s="129">
        <v>9</v>
      </c>
      <c r="G30" s="166">
        <v>2220</v>
      </c>
      <c r="H30" s="167">
        <f t="shared" si="5"/>
        <v>11.985209729074265</v>
      </c>
      <c r="I30" s="167">
        <f t="shared" si="1"/>
        <v>15.930479514192312</v>
      </c>
      <c r="J30" s="168">
        <f t="shared" si="2"/>
        <v>35365.664521506929</v>
      </c>
      <c r="K30" s="175">
        <f t="shared" si="6"/>
        <v>26607.165598544867</v>
      </c>
      <c r="L30" s="174">
        <f t="shared" si="3"/>
        <v>8758.4989229620624</v>
      </c>
      <c r="M30" s="171">
        <f t="shared" si="7"/>
        <v>703.70572070990647</v>
      </c>
      <c r="N30" s="172">
        <f t="shared" si="8"/>
        <v>9462.2046436719684</v>
      </c>
      <c r="O30" s="171">
        <v>0</v>
      </c>
      <c r="P30" s="171">
        <v>0</v>
      </c>
      <c r="Q30" s="171">
        <v>0</v>
      </c>
      <c r="R30" s="172">
        <f t="shared" si="9"/>
        <v>9462.2046436719684</v>
      </c>
    </row>
    <row r="31" spans="1:18" x14ac:dyDescent="0.25">
      <c r="A31" s="129">
        <v>12</v>
      </c>
      <c r="B31" s="164">
        <f t="shared" si="4"/>
        <v>45627</v>
      </c>
      <c r="C31" s="203">
        <v>45660</v>
      </c>
      <c r="D31" s="204">
        <v>45681</v>
      </c>
      <c r="E31" s="52" t="s">
        <v>21</v>
      </c>
      <c r="F31" s="129">
        <v>9</v>
      </c>
      <c r="G31" s="166">
        <v>2569</v>
      </c>
      <c r="H31" s="176">
        <f t="shared" si="5"/>
        <v>11.985209729074265</v>
      </c>
      <c r="I31" s="176">
        <f t="shared" si="1"/>
        <v>15.930479514192312</v>
      </c>
      <c r="J31" s="177">
        <f t="shared" si="2"/>
        <v>40925.40187196005</v>
      </c>
      <c r="K31" s="178">
        <f t="shared" si="6"/>
        <v>30790.003793991786</v>
      </c>
      <c r="L31" s="179">
        <f t="shared" si="3"/>
        <v>10135.398077968264</v>
      </c>
      <c r="M31" s="171">
        <f t="shared" si="7"/>
        <v>814.33333175844575</v>
      </c>
      <c r="N31" s="172">
        <f t="shared" si="8"/>
        <v>10949.73140972671</v>
      </c>
      <c r="O31" s="171">
        <v>0</v>
      </c>
      <c r="P31" s="171">
        <v>0</v>
      </c>
      <c r="Q31" s="171">
        <v>0</v>
      </c>
      <c r="R31" s="172">
        <f t="shared" si="9"/>
        <v>10949.73140972671</v>
      </c>
    </row>
    <row r="32" spans="1:18" x14ac:dyDescent="0.25">
      <c r="A32" s="93">
        <v>1</v>
      </c>
      <c r="B32" s="180">
        <f t="shared" si="4"/>
        <v>45292</v>
      </c>
      <c r="C32" s="181">
        <f t="shared" ref="C32:D43" si="10">+C20</f>
        <v>45327</v>
      </c>
      <c r="D32" s="181">
        <f t="shared" si="10"/>
        <v>45348</v>
      </c>
      <c r="E32" s="182" t="s">
        <v>22</v>
      </c>
      <c r="F32" s="183">
        <v>9</v>
      </c>
      <c r="G32" s="166">
        <v>3306</v>
      </c>
      <c r="H32" s="167">
        <f t="shared" si="5"/>
        <v>11.985209729074265</v>
      </c>
      <c r="I32" s="167">
        <f t="shared" si="1"/>
        <v>15.930479514192312</v>
      </c>
      <c r="J32" s="168">
        <f t="shared" si="2"/>
        <v>52666.165273919782</v>
      </c>
      <c r="K32" s="169">
        <f t="shared" si="6"/>
        <v>39623.103364319519</v>
      </c>
      <c r="L32" s="170">
        <f t="shared" si="3"/>
        <v>13043.061909600263</v>
      </c>
      <c r="M32" s="171">
        <f t="shared" si="7"/>
        <v>1047.9509516517796</v>
      </c>
      <c r="N32" s="172">
        <f t="shared" si="8"/>
        <v>14091.012861252042</v>
      </c>
      <c r="O32" s="171">
        <v>0</v>
      </c>
      <c r="P32" s="171">
        <v>0</v>
      </c>
      <c r="Q32" s="171">
        <v>0</v>
      </c>
      <c r="R32" s="172">
        <f t="shared" si="9"/>
        <v>14091.012861252042</v>
      </c>
    </row>
    <row r="33" spans="1:18" x14ac:dyDescent="0.25">
      <c r="A33" s="129">
        <v>2</v>
      </c>
      <c r="B33" s="164">
        <f t="shared" si="4"/>
        <v>45323</v>
      </c>
      <c r="C33" s="184">
        <f t="shared" si="10"/>
        <v>45356</v>
      </c>
      <c r="D33" s="184">
        <f t="shared" si="10"/>
        <v>45376</v>
      </c>
      <c r="E33" s="173" t="s">
        <v>22</v>
      </c>
      <c r="F33" s="129">
        <v>9</v>
      </c>
      <c r="G33" s="166">
        <v>2611</v>
      </c>
      <c r="H33" s="167">
        <f t="shared" si="5"/>
        <v>11.985209729074265</v>
      </c>
      <c r="I33" s="167">
        <f t="shared" si="1"/>
        <v>15.930479514192312</v>
      </c>
      <c r="J33" s="168">
        <f t="shared" si="2"/>
        <v>41594.482011556123</v>
      </c>
      <c r="K33" s="169">
        <f t="shared" si="6"/>
        <v>31293.382602612906</v>
      </c>
      <c r="L33" s="170">
        <f t="shared" si="3"/>
        <v>10301.099408943217</v>
      </c>
      <c r="M33" s="171">
        <f t="shared" si="7"/>
        <v>827.64668323133594</v>
      </c>
      <c r="N33" s="172">
        <f t="shared" si="8"/>
        <v>11128.746092174553</v>
      </c>
      <c r="O33" s="171">
        <v>0</v>
      </c>
      <c r="P33" s="171">
        <v>0</v>
      </c>
      <c r="Q33" s="171">
        <v>0</v>
      </c>
      <c r="R33" s="172">
        <f t="shared" si="9"/>
        <v>11128.746092174553</v>
      </c>
    </row>
    <row r="34" spans="1:18" x14ac:dyDescent="0.25">
      <c r="A34" s="129">
        <v>3</v>
      </c>
      <c r="B34" s="164">
        <f t="shared" si="4"/>
        <v>45352</v>
      </c>
      <c r="C34" s="184">
        <f t="shared" si="10"/>
        <v>45385</v>
      </c>
      <c r="D34" s="184">
        <f t="shared" si="10"/>
        <v>45406</v>
      </c>
      <c r="E34" s="173" t="s">
        <v>22</v>
      </c>
      <c r="F34" s="129">
        <v>9</v>
      </c>
      <c r="G34" s="166">
        <v>2302</v>
      </c>
      <c r="H34" s="167">
        <f t="shared" si="5"/>
        <v>11.985209729074265</v>
      </c>
      <c r="I34" s="167">
        <f t="shared" si="1"/>
        <v>15.930479514192312</v>
      </c>
      <c r="J34" s="168">
        <f t="shared" si="2"/>
        <v>36671.963841670702</v>
      </c>
      <c r="K34" s="169">
        <f t="shared" ref="K34:K93" si="11">+$G34*H34</f>
        <v>27589.952796328958</v>
      </c>
      <c r="L34" s="170">
        <f t="shared" si="3"/>
        <v>9082.0110453417437</v>
      </c>
      <c r="M34" s="171">
        <f t="shared" si="7"/>
        <v>729.69845453793005</v>
      </c>
      <c r="N34" s="172">
        <f t="shared" si="8"/>
        <v>9811.7094998796747</v>
      </c>
      <c r="O34" s="171">
        <v>0</v>
      </c>
      <c r="P34" s="171">
        <v>0</v>
      </c>
      <c r="Q34" s="171">
        <v>0</v>
      </c>
      <c r="R34" s="172">
        <f t="shared" si="9"/>
        <v>9811.7094998796747</v>
      </c>
    </row>
    <row r="35" spans="1:18" x14ac:dyDescent="0.25">
      <c r="A35" s="93">
        <v>4</v>
      </c>
      <c r="B35" s="164">
        <f t="shared" si="4"/>
        <v>45383</v>
      </c>
      <c r="C35" s="184">
        <f t="shared" si="10"/>
        <v>45415</v>
      </c>
      <c r="D35" s="184">
        <f t="shared" si="10"/>
        <v>45436</v>
      </c>
      <c r="E35" s="173" t="s">
        <v>22</v>
      </c>
      <c r="F35" s="129">
        <v>9</v>
      </c>
      <c r="G35" s="166">
        <v>2486</v>
      </c>
      <c r="H35" s="167">
        <f t="shared" si="5"/>
        <v>11.985209729074265</v>
      </c>
      <c r="I35" s="167">
        <f t="shared" si="1"/>
        <v>15.930479514192312</v>
      </c>
      <c r="J35" s="168">
        <f t="shared" si="2"/>
        <v>39603.17207228209</v>
      </c>
      <c r="K35" s="169">
        <f t="shared" si="11"/>
        <v>29795.231386478623</v>
      </c>
      <c r="L35" s="170">
        <f t="shared" ref="L35:L57" si="12">+J35-K35</f>
        <v>9807.9406858034672</v>
      </c>
      <c r="M35" s="171">
        <f t="shared" si="7"/>
        <v>788.02361337154389</v>
      </c>
      <c r="N35" s="172">
        <f t="shared" si="8"/>
        <v>10595.964299175012</v>
      </c>
      <c r="O35" s="171">
        <v>0</v>
      </c>
      <c r="P35" s="171">
        <v>0</v>
      </c>
      <c r="Q35" s="171">
        <v>0</v>
      </c>
      <c r="R35" s="172">
        <f t="shared" si="9"/>
        <v>10595.964299175012</v>
      </c>
    </row>
    <row r="36" spans="1:18" x14ac:dyDescent="0.25">
      <c r="A36" s="129">
        <v>5</v>
      </c>
      <c r="B36" s="164">
        <f t="shared" si="4"/>
        <v>45413</v>
      </c>
      <c r="C36" s="184">
        <f t="shared" si="10"/>
        <v>45448</v>
      </c>
      <c r="D36" s="184">
        <f t="shared" si="10"/>
        <v>45467</v>
      </c>
      <c r="E36" s="52" t="s">
        <v>22</v>
      </c>
      <c r="F36" s="129">
        <v>9</v>
      </c>
      <c r="G36" s="166">
        <v>2970</v>
      </c>
      <c r="H36" s="167">
        <f t="shared" si="5"/>
        <v>11.985209729074265</v>
      </c>
      <c r="I36" s="167">
        <f t="shared" si="1"/>
        <v>15.930479514192312</v>
      </c>
      <c r="J36" s="168">
        <f t="shared" si="2"/>
        <v>47313.524157151165</v>
      </c>
      <c r="K36" s="169">
        <f t="shared" si="11"/>
        <v>35596.072895350568</v>
      </c>
      <c r="L36" s="170">
        <f t="shared" si="12"/>
        <v>11717.451261800597</v>
      </c>
      <c r="M36" s="171">
        <f t="shared" si="7"/>
        <v>941.44413986865868</v>
      </c>
      <c r="N36" s="172">
        <f t="shared" si="8"/>
        <v>12658.895401669257</v>
      </c>
      <c r="O36" s="171">
        <v>0</v>
      </c>
      <c r="P36" s="171">
        <v>0</v>
      </c>
      <c r="Q36" s="171">
        <v>0</v>
      </c>
      <c r="R36" s="172">
        <f t="shared" si="9"/>
        <v>12658.895401669257</v>
      </c>
    </row>
    <row r="37" spans="1:18" x14ac:dyDescent="0.25">
      <c r="A37" s="129">
        <v>6</v>
      </c>
      <c r="B37" s="164">
        <f t="shared" si="4"/>
        <v>45444</v>
      </c>
      <c r="C37" s="184">
        <f t="shared" si="10"/>
        <v>45476</v>
      </c>
      <c r="D37" s="184">
        <f t="shared" si="10"/>
        <v>45497</v>
      </c>
      <c r="E37" s="52" t="s">
        <v>22</v>
      </c>
      <c r="F37" s="129">
        <v>9</v>
      </c>
      <c r="G37" s="166">
        <v>3483</v>
      </c>
      <c r="H37" s="167">
        <f t="shared" si="5"/>
        <v>11.985209729074265</v>
      </c>
      <c r="I37" s="167">
        <f t="shared" si="1"/>
        <v>15.930479514192312</v>
      </c>
      <c r="J37" s="168">
        <f t="shared" si="2"/>
        <v>55485.860147931824</v>
      </c>
      <c r="K37" s="169">
        <f t="shared" si="11"/>
        <v>41744.485486365666</v>
      </c>
      <c r="L37" s="174">
        <f t="shared" si="12"/>
        <v>13741.374661566158</v>
      </c>
      <c r="M37" s="171">
        <f t="shared" si="7"/>
        <v>1104.0572185732451</v>
      </c>
      <c r="N37" s="172">
        <f t="shared" si="8"/>
        <v>14845.431880139404</v>
      </c>
      <c r="O37" s="171">
        <v>0</v>
      </c>
      <c r="P37" s="171">
        <v>0</v>
      </c>
      <c r="Q37" s="171">
        <v>0</v>
      </c>
      <c r="R37" s="172">
        <f t="shared" si="9"/>
        <v>14845.431880139404</v>
      </c>
    </row>
    <row r="38" spans="1:18" x14ac:dyDescent="0.25">
      <c r="A38" s="93">
        <v>7</v>
      </c>
      <c r="B38" s="164">
        <f t="shared" si="4"/>
        <v>45474</v>
      </c>
      <c r="C38" s="184">
        <f t="shared" si="10"/>
        <v>45509</v>
      </c>
      <c r="D38" s="184">
        <f t="shared" si="10"/>
        <v>45530</v>
      </c>
      <c r="E38" s="52" t="s">
        <v>22</v>
      </c>
      <c r="F38" s="129">
        <v>9</v>
      </c>
      <c r="G38" s="166">
        <v>3510</v>
      </c>
      <c r="H38" s="167">
        <f t="shared" si="5"/>
        <v>11.985209729074265</v>
      </c>
      <c r="I38" s="167">
        <f t="shared" si="1"/>
        <v>15.930479514192312</v>
      </c>
      <c r="J38" s="168">
        <f t="shared" si="2"/>
        <v>55915.983094815012</v>
      </c>
      <c r="K38" s="175">
        <f t="shared" si="11"/>
        <v>42068.086149050672</v>
      </c>
      <c r="L38" s="174">
        <f t="shared" si="12"/>
        <v>13847.89694576434</v>
      </c>
      <c r="M38" s="171">
        <f t="shared" si="7"/>
        <v>1112.6158016629602</v>
      </c>
      <c r="N38" s="172">
        <f t="shared" si="8"/>
        <v>14960.512747427299</v>
      </c>
      <c r="O38" s="171">
        <v>0</v>
      </c>
      <c r="P38" s="171">
        <v>0</v>
      </c>
      <c r="Q38" s="171">
        <v>0</v>
      </c>
      <c r="R38" s="172">
        <f t="shared" si="9"/>
        <v>14960.512747427299</v>
      </c>
    </row>
    <row r="39" spans="1:18" x14ac:dyDescent="0.25">
      <c r="A39" s="129">
        <v>8</v>
      </c>
      <c r="B39" s="164">
        <f t="shared" si="4"/>
        <v>45505</v>
      </c>
      <c r="C39" s="184">
        <f t="shared" si="10"/>
        <v>45539</v>
      </c>
      <c r="D39" s="184">
        <f t="shared" si="10"/>
        <v>45559</v>
      </c>
      <c r="E39" s="52" t="s">
        <v>22</v>
      </c>
      <c r="F39" s="129">
        <v>9</v>
      </c>
      <c r="G39" s="166">
        <v>3574</v>
      </c>
      <c r="H39" s="167">
        <f t="shared" si="5"/>
        <v>11.985209729074265</v>
      </c>
      <c r="I39" s="167">
        <f t="shared" si="1"/>
        <v>15.930479514192312</v>
      </c>
      <c r="J39" s="168">
        <f t="shared" si="2"/>
        <v>56935.533783723324</v>
      </c>
      <c r="K39" s="175">
        <f t="shared" si="11"/>
        <v>42835.139571711421</v>
      </c>
      <c r="L39" s="174">
        <f t="shared" si="12"/>
        <v>14100.394212011903</v>
      </c>
      <c r="M39" s="171">
        <f t="shared" si="7"/>
        <v>1132.9028134311739</v>
      </c>
      <c r="N39" s="172">
        <f t="shared" si="8"/>
        <v>15233.297025443077</v>
      </c>
      <c r="O39" s="171">
        <v>0</v>
      </c>
      <c r="P39" s="171">
        <v>0</v>
      </c>
      <c r="Q39" s="171">
        <v>0</v>
      </c>
      <c r="R39" s="172">
        <f t="shared" si="9"/>
        <v>15233.297025443077</v>
      </c>
    </row>
    <row r="40" spans="1:18" x14ac:dyDescent="0.25">
      <c r="A40" s="129">
        <v>9</v>
      </c>
      <c r="B40" s="164">
        <f t="shared" si="4"/>
        <v>45536</v>
      </c>
      <c r="C40" s="184">
        <f t="shared" si="10"/>
        <v>45568</v>
      </c>
      <c r="D40" s="184">
        <f t="shared" si="10"/>
        <v>45589</v>
      </c>
      <c r="E40" s="52" t="s">
        <v>22</v>
      </c>
      <c r="F40" s="129">
        <v>9</v>
      </c>
      <c r="G40" s="166">
        <v>3188</v>
      </c>
      <c r="H40" s="167">
        <f t="shared" si="5"/>
        <v>11.985209729074265</v>
      </c>
      <c r="I40" s="167">
        <f t="shared" si="1"/>
        <v>15.930479514192312</v>
      </c>
      <c r="J40" s="168">
        <f t="shared" si="2"/>
        <v>50786.368691245094</v>
      </c>
      <c r="K40" s="175">
        <f t="shared" si="11"/>
        <v>38208.848616288757</v>
      </c>
      <c r="L40" s="174">
        <f t="shared" si="12"/>
        <v>12577.520074956337</v>
      </c>
      <c r="M40" s="171">
        <f t="shared" si="7"/>
        <v>1010.5467737041359</v>
      </c>
      <c r="N40" s="172">
        <f t="shared" si="8"/>
        <v>13588.066848660474</v>
      </c>
      <c r="O40" s="171">
        <v>0</v>
      </c>
      <c r="P40" s="171">
        <v>0</v>
      </c>
      <c r="Q40" s="171">
        <v>0</v>
      </c>
      <c r="R40" s="172">
        <f t="shared" si="9"/>
        <v>13588.066848660474</v>
      </c>
    </row>
    <row r="41" spans="1:18" x14ac:dyDescent="0.25">
      <c r="A41" s="93">
        <v>10</v>
      </c>
      <c r="B41" s="164">
        <f t="shared" si="4"/>
        <v>45566</v>
      </c>
      <c r="C41" s="184">
        <f t="shared" si="10"/>
        <v>45601</v>
      </c>
      <c r="D41" s="184">
        <f t="shared" si="10"/>
        <v>45621</v>
      </c>
      <c r="E41" s="52" t="s">
        <v>22</v>
      </c>
      <c r="F41" s="129">
        <v>9</v>
      </c>
      <c r="G41" s="166">
        <v>2793</v>
      </c>
      <c r="H41" s="167">
        <f t="shared" si="5"/>
        <v>11.985209729074265</v>
      </c>
      <c r="I41" s="167">
        <f t="shared" si="1"/>
        <v>15.930479514192312</v>
      </c>
      <c r="J41" s="168">
        <f t="shared" si="2"/>
        <v>44493.82928313913</v>
      </c>
      <c r="K41" s="175">
        <f t="shared" si="11"/>
        <v>33474.690773304421</v>
      </c>
      <c r="L41" s="174">
        <f t="shared" si="12"/>
        <v>11019.138509834709</v>
      </c>
      <c r="M41" s="171">
        <f t="shared" si="7"/>
        <v>885.3378729471932</v>
      </c>
      <c r="N41" s="172">
        <f t="shared" si="8"/>
        <v>11904.476382781902</v>
      </c>
      <c r="O41" s="171">
        <v>0</v>
      </c>
      <c r="P41" s="171">
        <v>0</v>
      </c>
      <c r="Q41" s="171">
        <v>0</v>
      </c>
      <c r="R41" s="172">
        <f t="shared" si="9"/>
        <v>11904.476382781902</v>
      </c>
    </row>
    <row r="42" spans="1:18" x14ac:dyDescent="0.25">
      <c r="A42" s="129">
        <v>11</v>
      </c>
      <c r="B42" s="164">
        <f t="shared" si="4"/>
        <v>45597</v>
      </c>
      <c r="C42" s="184">
        <f t="shared" si="10"/>
        <v>45630</v>
      </c>
      <c r="D42" s="184">
        <f t="shared" si="10"/>
        <v>45650</v>
      </c>
      <c r="E42" s="52" t="s">
        <v>22</v>
      </c>
      <c r="F42" s="129">
        <v>9</v>
      </c>
      <c r="G42" s="166">
        <v>2339</v>
      </c>
      <c r="H42" s="167">
        <f t="shared" si="5"/>
        <v>11.985209729074265</v>
      </c>
      <c r="I42" s="167">
        <f t="shared" si="1"/>
        <v>15.930479514192312</v>
      </c>
      <c r="J42" s="168">
        <f t="shared" si="2"/>
        <v>37261.391583695819</v>
      </c>
      <c r="K42" s="175">
        <f t="shared" si="11"/>
        <v>28033.405556304708</v>
      </c>
      <c r="L42" s="174">
        <f t="shared" si="12"/>
        <v>9227.9860273911108</v>
      </c>
      <c r="M42" s="171">
        <f t="shared" si="7"/>
        <v>741.42688321642845</v>
      </c>
      <c r="N42" s="172">
        <f t="shared" si="8"/>
        <v>9969.4129106075397</v>
      </c>
      <c r="O42" s="171">
        <v>0</v>
      </c>
      <c r="P42" s="171">
        <v>0</v>
      </c>
      <c r="Q42" s="171">
        <v>0</v>
      </c>
      <c r="R42" s="172">
        <f t="shared" si="9"/>
        <v>9969.4129106075397</v>
      </c>
    </row>
    <row r="43" spans="1:18" x14ac:dyDescent="0.25">
      <c r="A43" s="129">
        <v>12</v>
      </c>
      <c r="B43" s="164">
        <f t="shared" si="4"/>
        <v>45627</v>
      </c>
      <c r="C43" s="184">
        <f t="shared" si="10"/>
        <v>45660</v>
      </c>
      <c r="D43" s="184">
        <f t="shared" si="10"/>
        <v>45681</v>
      </c>
      <c r="E43" s="52" t="s">
        <v>22</v>
      </c>
      <c r="F43" s="129">
        <v>9</v>
      </c>
      <c r="G43" s="166">
        <v>2520</v>
      </c>
      <c r="H43" s="176">
        <f t="shared" si="5"/>
        <v>11.985209729074265</v>
      </c>
      <c r="I43" s="176">
        <f t="shared" si="1"/>
        <v>15.930479514192312</v>
      </c>
      <c r="J43" s="177">
        <f t="shared" si="2"/>
        <v>40144.808375764624</v>
      </c>
      <c r="K43" s="178">
        <f t="shared" si="11"/>
        <v>30202.728517267147</v>
      </c>
      <c r="L43" s="179">
        <f t="shared" si="12"/>
        <v>9942.0798584974764</v>
      </c>
      <c r="M43" s="171">
        <f t="shared" si="7"/>
        <v>798.80108837340731</v>
      </c>
      <c r="N43" s="172">
        <f t="shared" si="8"/>
        <v>10740.880946870884</v>
      </c>
      <c r="O43" s="171">
        <v>0</v>
      </c>
      <c r="P43" s="171">
        <v>0</v>
      </c>
      <c r="Q43" s="171">
        <v>0</v>
      </c>
      <c r="R43" s="172">
        <f t="shared" si="9"/>
        <v>10740.880946870884</v>
      </c>
    </row>
    <row r="44" spans="1:18" x14ac:dyDescent="0.25">
      <c r="A44" s="93">
        <v>1</v>
      </c>
      <c r="B44" s="180">
        <f t="shared" ref="B44:B55" si="13">DATE($R$1,A44,1)</f>
        <v>45292</v>
      </c>
      <c r="C44" s="181">
        <f t="shared" ref="C44:D55" si="14">+C32</f>
        <v>45327</v>
      </c>
      <c r="D44" s="181">
        <f t="shared" si="14"/>
        <v>45348</v>
      </c>
      <c r="E44" s="182" t="s">
        <v>80</v>
      </c>
      <c r="F44" s="183">
        <v>9</v>
      </c>
      <c r="G44" s="166">
        <v>216</v>
      </c>
      <c r="H44" s="167">
        <f t="shared" si="5"/>
        <v>11.985209729074265</v>
      </c>
      <c r="I44" s="167">
        <f t="shared" si="1"/>
        <v>15.930479514192312</v>
      </c>
      <c r="J44" s="171">
        <f t="shared" ref="J44:J55" si="15">+$G44*I44</f>
        <v>3440.9835750655393</v>
      </c>
      <c r="K44" s="175">
        <f t="shared" ref="K44:K55" si="16">+$G44*H44</f>
        <v>2588.8053014800412</v>
      </c>
      <c r="L44" s="174">
        <f t="shared" ref="L44:L55" si="17">+J44-K44</f>
        <v>852.17827358549812</v>
      </c>
      <c r="M44" s="171">
        <f t="shared" si="7"/>
        <v>68.468664717720642</v>
      </c>
      <c r="N44" s="172">
        <f t="shared" si="8"/>
        <v>920.6469383032188</v>
      </c>
      <c r="O44" s="171">
        <v>0</v>
      </c>
      <c r="P44" s="171">
        <v>0</v>
      </c>
      <c r="Q44" s="171">
        <v>0</v>
      </c>
      <c r="R44" s="172">
        <f t="shared" si="9"/>
        <v>920.6469383032188</v>
      </c>
    </row>
    <row r="45" spans="1:18" x14ac:dyDescent="0.25">
      <c r="A45" s="129">
        <v>2</v>
      </c>
      <c r="B45" s="164">
        <f t="shared" si="13"/>
        <v>45323</v>
      </c>
      <c r="C45" s="184">
        <f t="shared" si="14"/>
        <v>45356</v>
      </c>
      <c r="D45" s="184">
        <f t="shared" si="14"/>
        <v>45376</v>
      </c>
      <c r="E45" s="173" t="s">
        <v>80</v>
      </c>
      <c r="F45" s="129">
        <v>9</v>
      </c>
      <c r="G45" s="166">
        <v>146</v>
      </c>
      <c r="H45" s="167">
        <f t="shared" si="5"/>
        <v>11.985209729074265</v>
      </c>
      <c r="I45" s="167">
        <f t="shared" si="1"/>
        <v>15.930479514192312</v>
      </c>
      <c r="J45" s="171">
        <f t="shared" si="15"/>
        <v>2325.8500090720777</v>
      </c>
      <c r="K45" s="175">
        <f t="shared" si="16"/>
        <v>1749.8406204448427</v>
      </c>
      <c r="L45" s="174">
        <f t="shared" si="17"/>
        <v>576.00938862723501</v>
      </c>
      <c r="M45" s="171">
        <f t="shared" si="7"/>
        <v>46.279745596237092</v>
      </c>
      <c r="N45" s="172">
        <f t="shared" si="8"/>
        <v>622.28913422347205</v>
      </c>
      <c r="O45" s="171">
        <v>0</v>
      </c>
      <c r="P45" s="171">
        <v>0</v>
      </c>
      <c r="Q45" s="171">
        <v>0</v>
      </c>
      <c r="R45" s="172">
        <f t="shared" si="9"/>
        <v>622.28913422347205</v>
      </c>
    </row>
    <row r="46" spans="1:18" x14ac:dyDescent="0.25">
      <c r="A46" s="129">
        <v>3</v>
      </c>
      <c r="B46" s="164">
        <f t="shared" si="13"/>
        <v>45352</v>
      </c>
      <c r="C46" s="184">
        <f t="shared" si="14"/>
        <v>45385</v>
      </c>
      <c r="D46" s="184">
        <f t="shared" si="14"/>
        <v>45406</v>
      </c>
      <c r="E46" s="173" t="s">
        <v>80</v>
      </c>
      <c r="F46" s="129">
        <v>9</v>
      </c>
      <c r="G46" s="166">
        <v>113</v>
      </c>
      <c r="H46" s="167">
        <f t="shared" si="5"/>
        <v>11.985209729074265</v>
      </c>
      <c r="I46" s="167">
        <f t="shared" si="1"/>
        <v>15.930479514192312</v>
      </c>
      <c r="J46" s="171">
        <f t="shared" si="15"/>
        <v>1800.1441851037312</v>
      </c>
      <c r="K46" s="175">
        <f t="shared" si="16"/>
        <v>1354.3286993853919</v>
      </c>
      <c r="L46" s="174">
        <f t="shared" si="17"/>
        <v>445.81548571833923</v>
      </c>
      <c r="M46" s="171">
        <f t="shared" si="7"/>
        <v>35.819255153251994</v>
      </c>
      <c r="N46" s="172">
        <f t="shared" si="8"/>
        <v>481.63474087159125</v>
      </c>
      <c r="O46" s="171">
        <v>0</v>
      </c>
      <c r="P46" s="171">
        <v>0</v>
      </c>
      <c r="Q46" s="171">
        <v>0</v>
      </c>
      <c r="R46" s="172">
        <f t="shared" si="9"/>
        <v>481.63474087159125</v>
      </c>
    </row>
    <row r="47" spans="1:18" x14ac:dyDescent="0.25">
      <c r="A47" s="93">
        <v>4</v>
      </c>
      <c r="B47" s="164">
        <f t="shared" si="13"/>
        <v>45383</v>
      </c>
      <c r="C47" s="184">
        <f t="shared" si="14"/>
        <v>45415</v>
      </c>
      <c r="D47" s="184">
        <f t="shared" si="14"/>
        <v>45436</v>
      </c>
      <c r="E47" s="173" t="s">
        <v>80</v>
      </c>
      <c r="F47" s="129">
        <v>9</v>
      </c>
      <c r="G47" s="166">
        <v>76</v>
      </c>
      <c r="H47" s="167">
        <f t="shared" si="5"/>
        <v>11.985209729074265</v>
      </c>
      <c r="I47" s="167">
        <f t="shared" si="1"/>
        <v>15.930479514192312</v>
      </c>
      <c r="J47" s="171">
        <f t="shared" si="15"/>
        <v>1210.7164430786156</v>
      </c>
      <c r="K47" s="175">
        <f t="shared" si="16"/>
        <v>910.87593940964416</v>
      </c>
      <c r="L47" s="174">
        <f t="shared" si="17"/>
        <v>299.84050366897145</v>
      </c>
      <c r="M47" s="171">
        <f t="shared" si="7"/>
        <v>24.090826474753555</v>
      </c>
      <c r="N47" s="172">
        <f t="shared" si="8"/>
        <v>323.93133014372501</v>
      </c>
      <c r="O47" s="171">
        <v>0</v>
      </c>
      <c r="P47" s="171">
        <v>0</v>
      </c>
      <c r="Q47" s="171">
        <v>0</v>
      </c>
      <c r="R47" s="172">
        <f t="shared" si="9"/>
        <v>323.93133014372501</v>
      </c>
    </row>
    <row r="48" spans="1:18" x14ac:dyDescent="0.25">
      <c r="A48" s="129">
        <v>5</v>
      </c>
      <c r="B48" s="164">
        <f t="shared" si="13"/>
        <v>45413</v>
      </c>
      <c r="C48" s="184">
        <f t="shared" si="14"/>
        <v>45448</v>
      </c>
      <c r="D48" s="184">
        <f t="shared" si="14"/>
        <v>45467</v>
      </c>
      <c r="E48" s="173" t="s">
        <v>80</v>
      </c>
      <c r="F48" s="129">
        <v>9</v>
      </c>
      <c r="G48" s="166">
        <v>120</v>
      </c>
      <c r="H48" s="167">
        <f t="shared" si="5"/>
        <v>11.985209729074265</v>
      </c>
      <c r="I48" s="167">
        <f t="shared" si="1"/>
        <v>15.930479514192312</v>
      </c>
      <c r="J48" s="171">
        <f t="shared" si="15"/>
        <v>1911.6575417030774</v>
      </c>
      <c r="K48" s="175">
        <f t="shared" si="16"/>
        <v>1438.2251674889119</v>
      </c>
      <c r="L48" s="174">
        <f t="shared" si="17"/>
        <v>473.43237421416552</v>
      </c>
      <c r="M48" s="171">
        <f t="shared" si="7"/>
        <v>38.038147065400352</v>
      </c>
      <c r="N48" s="172">
        <f t="shared" si="8"/>
        <v>511.4705212795659</v>
      </c>
      <c r="O48" s="171">
        <v>0</v>
      </c>
      <c r="P48" s="171">
        <v>0</v>
      </c>
      <c r="Q48" s="171">
        <v>0</v>
      </c>
      <c r="R48" s="172">
        <f t="shared" si="9"/>
        <v>511.4705212795659</v>
      </c>
    </row>
    <row r="49" spans="1:18" x14ac:dyDescent="0.25">
      <c r="A49" s="129">
        <v>6</v>
      </c>
      <c r="B49" s="164">
        <f t="shared" si="13"/>
        <v>45444</v>
      </c>
      <c r="C49" s="184">
        <f t="shared" si="14"/>
        <v>45476</v>
      </c>
      <c r="D49" s="184">
        <f t="shared" si="14"/>
        <v>45497</v>
      </c>
      <c r="E49" s="173" t="s">
        <v>80</v>
      </c>
      <c r="F49" s="129">
        <v>9</v>
      </c>
      <c r="G49" s="166">
        <v>147</v>
      </c>
      <c r="H49" s="167">
        <f t="shared" si="5"/>
        <v>11.985209729074265</v>
      </c>
      <c r="I49" s="167">
        <f t="shared" si="1"/>
        <v>15.930479514192312</v>
      </c>
      <c r="J49" s="171">
        <f t="shared" si="15"/>
        <v>2341.7804885862697</v>
      </c>
      <c r="K49" s="175">
        <f t="shared" si="16"/>
        <v>1761.825830173917</v>
      </c>
      <c r="L49" s="174">
        <f t="shared" si="17"/>
        <v>579.95465841235273</v>
      </c>
      <c r="M49" s="171">
        <f t="shared" si="7"/>
        <v>46.596730155115431</v>
      </c>
      <c r="N49" s="172">
        <f t="shared" si="8"/>
        <v>626.55138856746817</v>
      </c>
      <c r="O49" s="171">
        <v>0</v>
      </c>
      <c r="P49" s="171">
        <v>0</v>
      </c>
      <c r="Q49" s="171">
        <v>0</v>
      </c>
      <c r="R49" s="172">
        <f t="shared" si="9"/>
        <v>626.55138856746817</v>
      </c>
    </row>
    <row r="50" spans="1:18" x14ac:dyDescent="0.25">
      <c r="A50" s="93">
        <v>7</v>
      </c>
      <c r="B50" s="164">
        <f t="shared" si="13"/>
        <v>45474</v>
      </c>
      <c r="C50" s="184">
        <f t="shared" si="14"/>
        <v>45509</v>
      </c>
      <c r="D50" s="184">
        <f t="shared" si="14"/>
        <v>45530</v>
      </c>
      <c r="E50" s="173" t="s">
        <v>80</v>
      </c>
      <c r="F50" s="129">
        <v>9</v>
      </c>
      <c r="G50" s="166">
        <v>155</v>
      </c>
      <c r="H50" s="167">
        <f t="shared" si="5"/>
        <v>11.985209729074265</v>
      </c>
      <c r="I50" s="167">
        <f t="shared" si="1"/>
        <v>15.930479514192312</v>
      </c>
      <c r="J50" s="171">
        <f t="shared" si="15"/>
        <v>2469.2243246998082</v>
      </c>
      <c r="K50" s="175">
        <f t="shared" si="16"/>
        <v>1857.707508006511</v>
      </c>
      <c r="L50" s="174">
        <f t="shared" si="17"/>
        <v>611.51681669329719</v>
      </c>
      <c r="M50" s="171">
        <f t="shared" si="7"/>
        <v>49.13260662614212</v>
      </c>
      <c r="N50" s="172">
        <f t="shared" si="8"/>
        <v>660.64942331943928</v>
      </c>
      <c r="O50" s="171">
        <v>0</v>
      </c>
      <c r="P50" s="171">
        <v>0</v>
      </c>
      <c r="Q50" s="171">
        <v>0</v>
      </c>
      <c r="R50" s="172">
        <f t="shared" si="9"/>
        <v>660.64942331943928</v>
      </c>
    </row>
    <row r="51" spans="1:18" x14ac:dyDescent="0.25">
      <c r="A51" s="129">
        <v>8</v>
      </c>
      <c r="B51" s="164">
        <f t="shared" si="13"/>
        <v>45505</v>
      </c>
      <c r="C51" s="184">
        <f t="shared" si="14"/>
        <v>45539</v>
      </c>
      <c r="D51" s="184">
        <f t="shared" si="14"/>
        <v>45559</v>
      </c>
      <c r="E51" s="173" t="s">
        <v>80</v>
      </c>
      <c r="F51" s="129">
        <v>9</v>
      </c>
      <c r="G51" s="166">
        <v>157</v>
      </c>
      <c r="H51" s="167">
        <f t="shared" si="5"/>
        <v>11.985209729074265</v>
      </c>
      <c r="I51" s="167">
        <f t="shared" si="1"/>
        <v>15.930479514192312</v>
      </c>
      <c r="J51" s="171">
        <f t="shared" si="15"/>
        <v>2501.0852837281932</v>
      </c>
      <c r="K51" s="175">
        <f t="shared" si="16"/>
        <v>1881.6779274646597</v>
      </c>
      <c r="L51" s="174">
        <f t="shared" si="17"/>
        <v>619.40735626353353</v>
      </c>
      <c r="M51" s="171">
        <f t="shared" si="7"/>
        <v>49.766575743898791</v>
      </c>
      <c r="N51" s="172">
        <f t="shared" si="8"/>
        <v>669.17393200743231</v>
      </c>
      <c r="O51" s="171">
        <v>0</v>
      </c>
      <c r="P51" s="171">
        <v>0</v>
      </c>
      <c r="Q51" s="171">
        <v>0</v>
      </c>
      <c r="R51" s="172">
        <f t="shared" si="9"/>
        <v>669.17393200743231</v>
      </c>
    </row>
    <row r="52" spans="1:18" x14ac:dyDescent="0.25">
      <c r="A52" s="129">
        <v>9</v>
      </c>
      <c r="B52" s="164">
        <f t="shared" si="13"/>
        <v>45536</v>
      </c>
      <c r="C52" s="184">
        <f t="shared" si="14"/>
        <v>45568</v>
      </c>
      <c r="D52" s="184">
        <f t="shared" si="14"/>
        <v>45589</v>
      </c>
      <c r="E52" s="173" t="s">
        <v>80</v>
      </c>
      <c r="F52" s="129">
        <v>9</v>
      </c>
      <c r="G52" s="166">
        <v>126</v>
      </c>
      <c r="H52" s="167">
        <f t="shared" si="5"/>
        <v>11.985209729074265</v>
      </c>
      <c r="I52" s="167">
        <f t="shared" si="1"/>
        <v>15.930479514192312</v>
      </c>
      <c r="J52" s="171">
        <f t="shared" si="15"/>
        <v>2007.2404187882314</v>
      </c>
      <c r="K52" s="175">
        <f t="shared" si="16"/>
        <v>1510.1364258633573</v>
      </c>
      <c r="L52" s="174">
        <f t="shared" si="17"/>
        <v>497.10399292487409</v>
      </c>
      <c r="M52" s="171">
        <f t="shared" si="7"/>
        <v>39.940054418670364</v>
      </c>
      <c r="N52" s="172">
        <f t="shared" si="8"/>
        <v>537.04404734354443</v>
      </c>
      <c r="O52" s="171">
        <v>0</v>
      </c>
      <c r="P52" s="171">
        <v>0</v>
      </c>
      <c r="Q52" s="171">
        <v>0</v>
      </c>
      <c r="R52" s="172">
        <f t="shared" si="9"/>
        <v>537.04404734354443</v>
      </c>
    </row>
    <row r="53" spans="1:18" x14ac:dyDescent="0.25">
      <c r="A53" s="93">
        <v>10</v>
      </c>
      <c r="B53" s="164">
        <f t="shared" si="13"/>
        <v>45566</v>
      </c>
      <c r="C53" s="184">
        <f t="shared" si="14"/>
        <v>45601</v>
      </c>
      <c r="D53" s="184">
        <f t="shared" si="14"/>
        <v>45621</v>
      </c>
      <c r="E53" s="173" t="s">
        <v>80</v>
      </c>
      <c r="F53" s="129">
        <v>9</v>
      </c>
      <c r="G53" s="166">
        <v>112</v>
      </c>
      <c r="H53" s="167">
        <f t="shared" si="5"/>
        <v>11.985209729074265</v>
      </c>
      <c r="I53" s="167">
        <f t="shared" si="1"/>
        <v>15.930479514192312</v>
      </c>
      <c r="J53" s="171">
        <f t="shared" si="15"/>
        <v>1784.2137055895389</v>
      </c>
      <c r="K53" s="175">
        <f t="shared" si="16"/>
        <v>1342.3434896563176</v>
      </c>
      <c r="L53" s="174">
        <f t="shared" si="17"/>
        <v>441.87021593322129</v>
      </c>
      <c r="M53" s="171">
        <f t="shared" si="7"/>
        <v>35.502270594373663</v>
      </c>
      <c r="N53" s="172">
        <f t="shared" si="8"/>
        <v>477.37248652759496</v>
      </c>
      <c r="O53" s="171">
        <v>0</v>
      </c>
      <c r="P53" s="171">
        <v>0</v>
      </c>
      <c r="Q53" s="171">
        <v>0</v>
      </c>
      <c r="R53" s="172">
        <f t="shared" si="9"/>
        <v>477.37248652759496</v>
      </c>
    </row>
    <row r="54" spans="1:18" x14ac:dyDescent="0.25">
      <c r="A54" s="129">
        <v>11</v>
      </c>
      <c r="B54" s="164">
        <f t="shared" si="13"/>
        <v>45597</v>
      </c>
      <c r="C54" s="184">
        <f t="shared" si="14"/>
        <v>45630</v>
      </c>
      <c r="D54" s="184">
        <f t="shared" si="14"/>
        <v>45650</v>
      </c>
      <c r="E54" s="173" t="s">
        <v>80</v>
      </c>
      <c r="F54" s="129">
        <v>9</v>
      </c>
      <c r="G54" s="166">
        <v>93</v>
      </c>
      <c r="H54" s="167">
        <f t="shared" si="5"/>
        <v>11.985209729074265</v>
      </c>
      <c r="I54" s="167">
        <f t="shared" si="1"/>
        <v>15.930479514192312</v>
      </c>
      <c r="J54" s="171">
        <f t="shared" si="15"/>
        <v>1481.5345948198851</v>
      </c>
      <c r="K54" s="175">
        <f t="shared" si="16"/>
        <v>1114.6245048039066</v>
      </c>
      <c r="L54" s="174">
        <f t="shared" si="17"/>
        <v>366.91009001597854</v>
      </c>
      <c r="M54" s="171">
        <f t="shared" si="7"/>
        <v>29.47956397568527</v>
      </c>
      <c r="N54" s="172">
        <f t="shared" si="8"/>
        <v>396.38965399166381</v>
      </c>
      <c r="O54" s="171">
        <v>0</v>
      </c>
      <c r="P54" s="171">
        <v>0</v>
      </c>
      <c r="Q54" s="171">
        <v>0</v>
      </c>
      <c r="R54" s="172">
        <f t="shared" si="9"/>
        <v>396.38965399166381</v>
      </c>
    </row>
    <row r="55" spans="1:18" x14ac:dyDescent="0.25">
      <c r="A55" s="129">
        <v>12</v>
      </c>
      <c r="B55" s="164">
        <f t="shared" si="13"/>
        <v>45627</v>
      </c>
      <c r="C55" s="184">
        <f t="shared" si="14"/>
        <v>45660</v>
      </c>
      <c r="D55" s="184">
        <f t="shared" si="14"/>
        <v>45681</v>
      </c>
      <c r="E55" s="173" t="s">
        <v>80</v>
      </c>
      <c r="F55" s="129">
        <v>9</v>
      </c>
      <c r="G55" s="166">
        <v>128</v>
      </c>
      <c r="H55" s="176">
        <f t="shared" si="5"/>
        <v>11.985209729074265</v>
      </c>
      <c r="I55" s="176">
        <f t="shared" si="1"/>
        <v>15.930479514192312</v>
      </c>
      <c r="J55" s="177">
        <f t="shared" si="15"/>
        <v>2039.1013778166159</v>
      </c>
      <c r="K55" s="178">
        <f t="shared" si="16"/>
        <v>1534.1068453215059</v>
      </c>
      <c r="L55" s="179">
        <f t="shared" si="17"/>
        <v>504.99453249510998</v>
      </c>
      <c r="M55" s="171">
        <f t="shared" si="7"/>
        <v>40.574023536427042</v>
      </c>
      <c r="N55" s="172">
        <f t="shared" si="8"/>
        <v>545.56855603153701</v>
      </c>
      <c r="O55" s="171">
        <v>0</v>
      </c>
      <c r="P55" s="171">
        <v>0</v>
      </c>
      <c r="Q55" s="171">
        <v>0</v>
      </c>
      <c r="R55" s="172">
        <f t="shared" si="9"/>
        <v>545.56855603153701</v>
      </c>
    </row>
    <row r="56" spans="1:18" s="185" customFormat="1" x14ac:dyDescent="0.25">
      <c r="A56" s="93">
        <v>1</v>
      </c>
      <c r="B56" s="180">
        <f t="shared" si="4"/>
        <v>45292</v>
      </c>
      <c r="C56" s="181">
        <f t="shared" ref="C56:D67" si="18">+C32</f>
        <v>45327</v>
      </c>
      <c r="D56" s="181">
        <f t="shared" si="18"/>
        <v>45348</v>
      </c>
      <c r="E56" s="182" t="s">
        <v>14</v>
      </c>
      <c r="F56" s="183">
        <v>9</v>
      </c>
      <c r="G56" s="166">
        <v>1129</v>
      </c>
      <c r="H56" s="167">
        <f t="shared" si="5"/>
        <v>11.985209729074265</v>
      </c>
      <c r="I56" s="167">
        <f t="shared" si="1"/>
        <v>15.930479514192312</v>
      </c>
      <c r="J56" s="168">
        <f t="shared" si="2"/>
        <v>17985.51137152312</v>
      </c>
      <c r="K56" s="169">
        <f t="shared" si="11"/>
        <v>13531.301784124846</v>
      </c>
      <c r="L56" s="170">
        <f t="shared" si="12"/>
        <v>4454.2095873982744</v>
      </c>
      <c r="M56" s="171">
        <f t="shared" si="7"/>
        <v>357.87556697364164</v>
      </c>
      <c r="N56" s="172">
        <f t="shared" si="8"/>
        <v>4812.0851543719164</v>
      </c>
      <c r="O56" s="171">
        <v>0</v>
      </c>
      <c r="P56" s="171">
        <v>0</v>
      </c>
      <c r="Q56" s="171">
        <v>0</v>
      </c>
      <c r="R56" s="172">
        <f t="shared" si="9"/>
        <v>4812.0851543719164</v>
      </c>
    </row>
    <row r="57" spans="1:18" x14ac:dyDescent="0.25">
      <c r="A57" s="129">
        <v>2</v>
      </c>
      <c r="B57" s="164">
        <f t="shared" si="4"/>
        <v>45323</v>
      </c>
      <c r="C57" s="184">
        <f t="shared" si="18"/>
        <v>45356</v>
      </c>
      <c r="D57" s="184">
        <f t="shared" si="18"/>
        <v>45376</v>
      </c>
      <c r="E57" s="173" t="s">
        <v>14</v>
      </c>
      <c r="F57" s="129">
        <v>9</v>
      </c>
      <c r="G57" s="166">
        <v>739</v>
      </c>
      <c r="H57" s="167">
        <f t="shared" si="5"/>
        <v>11.985209729074265</v>
      </c>
      <c r="I57" s="167">
        <f t="shared" si="1"/>
        <v>15.930479514192312</v>
      </c>
      <c r="J57" s="168">
        <f t="shared" si="2"/>
        <v>11772.624360988118</v>
      </c>
      <c r="K57" s="169">
        <f t="shared" si="11"/>
        <v>8857.0699897858813</v>
      </c>
      <c r="L57" s="170">
        <f t="shared" si="12"/>
        <v>2915.5543712022372</v>
      </c>
      <c r="M57" s="171">
        <f t="shared" si="7"/>
        <v>234.25158901109049</v>
      </c>
      <c r="N57" s="172">
        <f t="shared" si="8"/>
        <v>3149.8059602133276</v>
      </c>
      <c r="O57" s="171">
        <v>0</v>
      </c>
      <c r="P57" s="171">
        <v>0</v>
      </c>
      <c r="Q57" s="171">
        <v>0</v>
      </c>
      <c r="R57" s="172">
        <f t="shared" si="9"/>
        <v>3149.8059602133276</v>
      </c>
    </row>
    <row r="58" spans="1:18" x14ac:dyDescent="0.25">
      <c r="A58" s="129">
        <v>3</v>
      </c>
      <c r="B58" s="164">
        <f t="shared" si="4"/>
        <v>45352</v>
      </c>
      <c r="C58" s="184">
        <f t="shared" si="18"/>
        <v>45385</v>
      </c>
      <c r="D58" s="184">
        <f t="shared" si="18"/>
        <v>45406</v>
      </c>
      <c r="E58" s="173" t="s">
        <v>14</v>
      </c>
      <c r="F58" s="129">
        <v>9</v>
      </c>
      <c r="G58" s="166">
        <v>642</v>
      </c>
      <c r="H58" s="167">
        <f t="shared" si="5"/>
        <v>11.985209729074265</v>
      </c>
      <c r="I58" s="167">
        <f t="shared" si="1"/>
        <v>15.930479514192312</v>
      </c>
      <c r="J58" s="168">
        <f t="shared" si="2"/>
        <v>10227.367848111464</v>
      </c>
      <c r="K58" s="169">
        <f t="shared" si="11"/>
        <v>7694.5046460656786</v>
      </c>
      <c r="L58" s="170">
        <f>+J58-K58</f>
        <v>2532.8632020457853</v>
      </c>
      <c r="M58" s="171">
        <f t="shared" si="7"/>
        <v>203.50408679989187</v>
      </c>
      <c r="N58" s="172">
        <f t="shared" si="8"/>
        <v>2736.3672888456772</v>
      </c>
      <c r="O58" s="171">
        <v>0</v>
      </c>
      <c r="P58" s="171">
        <v>0</v>
      </c>
      <c r="Q58" s="171">
        <v>0</v>
      </c>
      <c r="R58" s="172">
        <f t="shared" si="9"/>
        <v>2736.3672888456772</v>
      </c>
    </row>
    <row r="59" spans="1:18" x14ac:dyDescent="0.25">
      <c r="A59" s="93">
        <v>4</v>
      </c>
      <c r="B59" s="164">
        <f t="shared" si="4"/>
        <v>45383</v>
      </c>
      <c r="C59" s="184">
        <f t="shared" si="18"/>
        <v>45415</v>
      </c>
      <c r="D59" s="184">
        <f t="shared" si="18"/>
        <v>45436</v>
      </c>
      <c r="E59" s="173" t="s">
        <v>14</v>
      </c>
      <c r="F59" s="129">
        <v>9</v>
      </c>
      <c r="G59" s="166">
        <v>581</v>
      </c>
      <c r="H59" s="167">
        <f t="shared" si="5"/>
        <v>11.985209729074265</v>
      </c>
      <c r="I59" s="167">
        <f t="shared" si="1"/>
        <v>15.930479514192312</v>
      </c>
      <c r="J59" s="168">
        <f t="shared" si="2"/>
        <v>9255.6085977457333</v>
      </c>
      <c r="K59" s="169">
        <f t="shared" si="11"/>
        <v>6963.4068525921484</v>
      </c>
      <c r="L59" s="170">
        <f t="shared" ref="L59:L81" si="19">+J59-K59</f>
        <v>2292.2017451535849</v>
      </c>
      <c r="M59" s="171">
        <f t="shared" si="7"/>
        <v>184.16802870831336</v>
      </c>
      <c r="N59" s="172">
        <f t="shared" si="8"/>
        <v>2476.369773861898</v>
      </c>
      <c r="O59" s="171">
        <v>0</v>
      </c>
      <c r="P59" s="171">
        <v>0</v>
      </c>
      <c r="Q59" s="171">
        <v>0</v>
      </c>
      <c r="R59" s="172">
        <f t="shared" si="9"/>
        <v>2476.369773861898</v>
      </c>
    </row>
    <row r="60" spans="1:18" x14ac:dyDescent="0.25">
      <c r="A60" s="129">
        <v>5</v>
      </c>
      <c r="B60" s="164">
        <f t="shared" si="4"/>
        <v>45413</v>
      </c>
      <c r="C60" s="184">
        <f t="shared" si="18"/>
        <v>45448</v>
      </c>
      <c r="D60" s="184">
        <f t="shared" si="18"/>
        <v>45467</v>
      </c>
      <c r="E60" s="52" t="s">
        <v>14</v>
      </c>
      <c r="F60" s="129">
        <v>9</v>
      </c>
      <c r="G60" s="166">
        <v>753</v>
      </c>
      <c r="H60" s="167">
        <f t="shared" si="5"/>
        <v>11.985209729074265</v>
      </c>
      <c r="I60" s="167">
        <f t="shared" si="1"/>
        <v>15.930479514192312</v>
      </c>
      <c r="J60" s="168">
        <f t="shared" si="2"/>
        <v>11995.651074186811</v>
      </c>
      <c r="K60" s="169">
        <f t="shared" si="11"/>
        <v>9024.8629259929221</v>
      </c>
      <c r="L60" s="170">
        <f t="shared" si="19"/>
        <v>2970.7881481938894</v>
      </c>
      <c r="M60" s="171">
        <f t="shared" si="7"/>
        <v>238.68937283538722</v>
      </c>
      <c r="N60" s="172">
        <f t="shared" si="8"/>
        <v>3209.4775210292764</v>
      </c>
      <c r="O60" s="171">
        <v>0</v>
      </c>
      <c r="P60" s="171">
        <v>0</v>
      </c>
      <c r="Q60" s="171">
        <v>0</v>
      </c>
      <c r="R60" s="172">
        <f t="shared" si="9"/>
        <v>3209.4775210292764</v>
      </c>
    </row>
    <row r="61" spans="1:18" x14ac:dyDescent="0.25">
      <c r="A61" s="129">
        <v>6</v>
      </c>
      <c r="B61" s="164">
        <f t="shared" si="4"/>
        <v>45444</v>
      </c>
      <c r="C61" s="184">
        <f t="shared" si="18"/>
        <v>45476</v>
      </c>
      <c r="D61" s="184">
        <f t="shared" si="18"/>
        <v>45497</v>
      </c>
      <c r="E61" s="52" t="s">
        <v>14</v>
      </c>
      <c r="F61" s="129">
        <v>9</v>
      </c>
      <c r="G61" s="166">
        <v>1001</v>
      </c>
      <c r="H61" s="167">
        <f t="shared" si="5"/>
        <v>11.985209729074265</v>
      </c>
      <c r="I61" s="167">
        <f t="shared" si="1"/>
        <v>15.930479514192312</v>
      </c>
      <c r="J61" s="168">
        <f t="shared" si="2"/>
        <v>15946.409993706504</v>
      </c>
      <c r="K61" s="169">
        <f t="shared" si="11"/>
        <v>11997.194938803339</v>
      </c>
      <c r="L61" s="174">
        <f t="shared" si="19"/>
        <v>3949.2150549031649</v>
      </c>
      <c r="M61" s="171">
        <f t="shared" si="7"/>
        <v>317.3015434372146</v>
      </c>
      <c r="N61" s="172">
        <f t="shared" si="8"/>
        <v>4266.5165983403795</v>
      </c>
      <c r="O61" s="171">
        <v>0</v>
      </c>
      <c r="P61" s="171">
        <v>0</v>
      </c>
      <c r="Q61" s="171">
        <v>0</v>
      </c>
      <c r="R61" s="172">
        <f t="shared" si="9"/>
        <v>4266.5165983403795</v>
      </c>
    </row>
    <row r="62" spans="1:18" x14ac:dyDescent="0.25">
      <c r="A62" s="93">
        <v>7</v>
      </c>
      <c r="B62" s="164">
        <f t="shared" si="4"/>
        <v>45474</v>
      </c>
      <c r="C62" s="184">
        <f t="shared" si="18"/>
        <v>45509</v>
      </c>
      <c r="D62" s="184">
        <f t="shared" si="18"/>
        <v>45530</v>
      </c>
      <c r="E62" s="52" t="s">
        <v>14</v>
      </c>
      <c r="F62" s="129">
        <v>9</v>
      </c>
      <c r="G62" s="166">
        <v>961</v>
      </c>
      <c r="H62" s="167">
        <f t="shared" si="5"/>
        <v>11.985209729074265</v>
      </c>
      <c r="I62" s="167">
        <f t="shared" si="1"/>
        <v>15.930479514192312</v>
      </c>
      <c r="J62" s="168">
        <f t="shared" si="2"/>
        <v>15309.190813138812</v>
      </c>
      <c r="K62" s="175">
        <f t="shared" si="11"/>
        <v>11517.786549640368</v>
      </c>
      <c r="L62" s="174">
        <f t="shared" si="19"/>
        <v>3791.4042634984435</v>
      </c>
      <c r="M62" s="171">
        <f t="shared" si="7"/>
        <v>304.62216108208111</v>
      </c>
      <c r="N62" s="172">
        <f t="shared" si="8"/>
        <v>4096.0264245805247</v>
      </c>
      <c r="O62" s="171">
        <v>0</v>
      </c>
      <c r="P62" s="171">
        <v>0</v>
      </c>
      <c r="Q62" s="171">
        <v>0</v>
      </c>
      <c r="R62" s="172">
        <f t="shared" si="9"/>
        <v>4096.0264245805247</v>
      </c>
    </row>
    <row r="63" spans="1:18" x14ac:dyDescent="0.25">
      <c r="A63" s="129">
        <v>8</v>
      </c>
      <c r="B63" s="164">
        <f t="shared" si="4"/>
        <v>45505</v>
      </c>
      <c r="C63" s="184">
        <f t="shared" si="18"/>
        <v>45539</v>
      </c>
      <c r="D63" s="184">
        <f t="shared" si="18"/>
        <v>45559</v>
      </c>
      <c r="E63" s="52" t="s">
        <v>14</v>
      </c>
      <c r="F63" s="129">
        <v>9</v>
      </c>
      <c r="G63" s="166">
        <v>1017</v>
      </c>
      <c r="H63" s="167">
        <f t="shared" si="5"/>
        <v>11.985209729074265</v>
      </c>
      <c r="I63" s="167">
        <f t="shared" si="1"/>
        <v>15.930479514192312</v>
      </c>
      <c r="J63" s="168">
        <f t="shared" si="2"/>
        <v>16201.297665933582</v>
      </c>
      <c r="K63" s="175">
        <f t="shared" si="11"/>
        <v>12188.958294468528</v>
      </c>
      <c r="L63" s="174">
        <f t="shared" si="19"/>
        <v>4012.3393714650538</v>
      </c>
      <c r="M63" s="171">
        <f t="shared" si="7"/>
        <v>322.37329637926797</v>
      </c>
      <c r="N63" s="172">
        <f t="shared" si="8"/>
        <v>4334.7126678443219</v>
      </c>
      <c r="O63" s="171">
        <v>0</v>
      </c>
      <c r="P63" s="171">
        <v>0</v>
      </c>
      <c r="Q63" s="171">
        <v>0</v>
      </c>
      <c r="R63" s="172">
        <f t="shared" si="9"/>
        <v>4334.7126678443219</v>
      </c>
    </row>
    <row r="64" spans="1:18" x14ac:dyDescent="0.25">
      <c r="A64" s="129">
        <v>9</v>
      </c>
      <c r="B64" s="164">
        <f t="shared" si="4"/>
        <v>45536</v>
      </c>
      <c r="C64" s="184">
        <f t="shared" si="18"/>
        <v>45568</v>
      </c>
      <c r="D64" s="184">
        <f t="shared" si="18"/>
        <v>45589</v>
      </c>
      <c r="E64" s="52" t="s">
        <v>14</v>
      </c>
      <c r="F64" s="129">
        <v>9</v>
      </c>
      <c r="G64" s="166">
        <v>856</v>
      </c>
      <c r="H64" s="167">
        <f t="shared" si="5"/>
        <v>11.985209729074265</v>
      </c>
      <c r="I64" s="167">
        <f t="shared" ref="I64:I107" si="20">$J$3</f>
        <v>15.930479514192312</v>
      </c>
      <c r="J64" s="168">
        <f t="shared" si="2"/>
        <v>13636.490464148619</v>
      </c>
      <c r="K64" s="175">
        <f t="shared" si="11"/>
        <v>10259.33952808757</v>
      </c>
      <c r="L64" s="174">
        <f t="shared" si="19"/>
        <v>3377.1509360610489</v>
      </c>
      <c r="M64" s="171">
        <f t="shared" si="7"/>
        <v>271.3387823998558</v>
      </c>
      <c r="N64" s="172">
        <f t="shared" si="8"/>
        <v>3648.4897184609049</v>
      </c>
      <c r="O64" s="171">
        <v>0</v>
      </c>
      <c r="P64" s="171">
        <v>0</v>
      </c>
      <c r="Q64" s="171">
        <v>0</v>
      </c>
      <c r="R64" s="172">
        <f t="shared" si="9"/>
        <v>3648.4897184609049</v>
      </c>
    </row>
    <row r="65" spans="1:18" x14ac:dyDescent="0.25">
      <c r="A65" s="93">
        <v>10</v>
      </c>
      <c r="B65" s="164">
        <f t="shared" si="4"/>
        <v>45566</v>
      </c>
      <c r="C65" s="184">
        <f t="shared" si="18"/>
        <v>45601</v>
      </c>
      <c r="D65" s="184">
        <f t="shared" si="18"/>
        <v>45621</v>
      </c>
      <c r="E65" s="52" t="s">
        <v>14</v>
      </c>
      <c r="F65" s="129">
        <v>9</v>
      </c>
      <c r="G65" s="166">
        <v>786</v>
      </c>
      <c r="H65" s="167">
        <f t="shared" si="5"/>
        <v>11.985209729074265</v>
      </c>
      <c r="I65" s="167">
        <f t="shared" si="20"/>
        <v>15.930479514192312</v>
      </c>
      <c r="J65" s="168">
        <f t="shared" si="2"/>
        <v>12521.356898155158</v>
      </c>
      <c r="K65" s="175">
        <f t="shared" si="11"/>
        <v>9420.3748470523733</v>
      </c>
      <c r="L65" s="174">
        <f t="shared" si="19"/>
        <v>3100.9820511027847</v>
      </c>
      <c r="M65" s="171">
        <f t="shared" si="7"/>
        <v>249.14986327837229</v>
      </c>
      <c r="N65" s="172">
        <f t="shared" si="8"/>
        <v>3350.131914381157</v>
      </c>
      <c r="O65" s="171">
        <v>0</v>
      </c>
      <c r="P65" s="171">
        <v>0</v>
      </c>
      <c r="Q65" s="171">
        <v>0</v>
      </c>
      <c r="R65" s="172">
        <f t="shared" si="9"/>
        <v>3350.131914381157</v>
      </c>
    </row>
    <row r="66" spans="1:18" x14ac:dyDescent="0.25">
      <c r="A66" s="129">
        <v>11</v>
      </c>
      <c r="B66" s="164">
        <f t="shared" si="4"/>
        <v>45597</v>
      </c>
      <c r="C66" s="184">
        <f t="shared" si="18"/>
        <v>45630</v>
      </c>
      <c r="D66" s="184">
        <f t="shared" si="18"/>
        <v>45650</v>
      </c>
      <c r="E66" s="52" t="s">
        <v>14</v>
      </c>
      <c r="F66" s="129">
        <v>9</v>
      </c>
      <c r="G66" s="166">
        <v>463</v>
      </c>
      <c r="H66" s="167">
        <f t="shared" si="5"/>
        <v>11.985209729074265</v>
      </c>
      <c r="I66" s="167">
        <f t="shared" si="20"/>
        <v>15.930479514192312</v>
      </c>
      <c r="J66" s="168">
        <f t="shared" si="2"/>
        <v>7375.8120150710402</v>
      </c>
      <c r="K66" s="175">
        <f t="shared" si="11"/>
        <v>5549.1521045613845</v>
      </c>
      <c r="L66" s="174">
        <f t="shared" si="19"/>
        <v>1826.6599105096557</v>
      </c>
      <c r="M66" s="171">
        <f t="shared" si="7"/>
        <v>146.7638507606697</v>
      </c>
      <c r="N66" s="172">
        <f t="shared" si="8"/>
        <v>1973.4237612703255</v>
      </c>
      <c r="O66" s="171">
        <v>0</v>
      </c>
      <c r="P66" s="171">
        <v>0</v>
      </c>
      <c r="Q66" s="171">
        <v>0</v>
      </c>
      <c r="R66" s="172">
        <f t="shared" si="9"/>
        <v>1973.4237612703255</v>
      </c>
    </row>
    <row r="67" spans="1:18" s="188" customFormat="1" x14ac:dyDescent="0.25">
      <c r="A67" s="129">
        <v>12</v>
      </c>
      <c r="B67" s="186">
        <f t="shared" si="4"/>
        <v>45627</v>
      </c>
      <c r="C67" s="184">
        <f t="shared" si="18"/>
        <v>45660</v>
      </c>
      <c r="D67" s="184">
        <f t="shared" si="18"/>
        <v>45681</v>
      </c>
      <c r="E67" s="187" t="s">
        <v>14</v>
      </c>
      <c r="F67" s="140">
        <v>9</v>
      </c>
      <c r="G67" s="166">
        <v>725</v>
      </c>
      <c r="H67" s="176">
        <f t="shared" si="5"/>
        <v>11.985209729074265</v>
      </c>
      <c r="I67" s="176">
        <f t="shared" si="20"/>
        <v>15.930479514192312</v>
      </c>
      <c r="J67" s="177">
        <f t="shared" si="2"/>
        <v>11549.597647789426</v>
      </c>
      <c r="K67" s="178">
        <f t="shared" si="11"/>
        <v>8689.2770535788422</v>
      </c>
      <c r="L67" s="179">
        <f t="shared" si="19"/>
        <v>2860.3205942105833</v>
      </c>
      <c r="M67" s="171">
        <f t="shared" si="7"/>
        <v>229.81380518679379</v>
      </c>
      <c r="N67" s="172">
        <f t="shared" si="8"/>
        <v>3090.1343993973769</v>
      </c>
      <c r="O67" s="171">
        <v>0</v>
      </c>
      <c r="P67" s="171">
        <v>0</v>
      </c>
      <c r="Q67" s="171">
        <v>0</v>
      </c>
      <c r="R67" s="172">
        <f t="shared" si="9"/>
        <v>3090.1343993973769</v>
      </c>
    </row>
    <row r="68" spans="1:18" x14ac:dyDescent="0.25">
      <c r="A68" s="93">
        <v>1</v>
      </c>
      <c r="B68" s="164">
        <f t="shared" si="4"/>
        <v>45292</v>
      </c>
      <c r="C68" s="181">
        <f t="shared" ref="C68:D79" si="21">+C56</f>
        <v>45327</v>
      </c>
      <c r="D68" s="181">
        <f t="shared" si="21"/>
        <v>45348</v>
      </c>
      <c r="E68" s="165" t="s">
        <v>82</v>
      </c>
      <c r="F68" s="93">
        <v>9</v>
      </c>
      <c r="G68" s="166">
        <v>58</v>
      </c>
      <c r="H68" s="167">
        <f t="shared" si="5"/>
        <v>11.985209729074265</v>
      </c>
      <c r="I68" s="167">
        <f t="shared" si="20"/>
        <v>15.930479514192312</v>
      </c>
      <c r="J68" s="168">
        <f t="shared" si="2"/>
        <v>923.96781182315408</v>
      </c>
      <c r="K68" s="169">
        <f t="shared" si="11"/>
        <v>695.14216428630743</v>
      </c>
      <c r="L68" s="170">
        <f t="shared" si="19"/>
        <v>228.82564753684665</v>
      </c>
      <c r="M68" s="171">
        <f t="shared" si="7"/>
        <v>18.385104414943502</v>
      </c>
      <c r="N68" s="172">
        <f t="shared" si="8"/>
        <v>247.21075195179014</v>
      </c>
      <c r="O68" s="171">
        <v>0</v>
      </c>
      <c r="P68" s="171">
        <v>0</v>
      </c>
      <c r="Q68" s="171">
        <v>0</v>
      </c>
      <c r="R68" s="172">
        <f t="shared" si="9"/>
        <v>247.21075195179014</v>
      </c>
    </row>
    <row r="69" spans="1:18" x14ac:dyDescent="0.25">
      <c r="A69" s="129">
        <v>2</v>
      </c>
      <c r="B69" s="164">
        <f t="shared" si="4"/>
        <v>45323</v>
      </c>
      <c r="C69" s="184">
        <f t="shared" si="21"/>
        <v>45356</v>
      </c>
      <c r="D69" s="184">
        <f t="shared" si="21"/>
        <v>45376</v>
      </c>
      <c r="E69" s="173" t="s">
        <v>82</v>
      </c>
      <c r="F69" s="129">
        <v>9</v>
      </c>
      <c r="G69" s="166">
        <v>36</v>
      </c>
      <c r="H69" s="167">
        <f t="shared" si="5"/>
        <v>11.985209729074265</v>
      </c>
      <c r="I69" s="167">
        <f t="shared" si="20"/>
        <v>15.930479514192312</v>
      </c>
      <c r="J69" s="168">
        <f t="shared" si="2"/>
        <v>573.49726251092318</v>
      </c>
      <c r="K69" s="169">
        <f t="shared" si="11"/>
        <v>431.46755024667357</v>
      </c>
      <c r="L69" s="170">
        <f t="shared" si="19"/>
        <v>142.02971226424961</v>
      </c>
      <c r="M69" s="171">
        <f t="shared" si="7"/>
        <v>11.411444119620105</v>
      </c>
      <c r="N69" s="172">
        <f t="shared" si="8"/>
        <v>153.44115638386972</v>
      </c>
      <c r="O69" s="171">
        <v>0</v>
      </c>
      <c r="P69" s="171">
        <v>0</v>
      </c>
      <c r="Q69" s="171">
        <v>0</v>
      </c>
      <c r="R69" s="172">
        <f t="shared" si="9"/>
        <v>153.44115638386972</v>
      </c>
    </row>
    <row r="70" spans="1:18" x14ac:dyDescent="0.25">
      <c r="A70" s="129">
        <v>3</v>
      </c>
      <c r="B70" s="164">
        <f t="shared" si="4"/>
        <v>45352</v>
      </c>
      <c r="C70" s="184">
        <f t="shared" si="21"/>
        <v>45385</v>
      </c>
      <c r="D70" s="184">
        <f t="shared" si="21"/>
        <v>45406</v>
      </c>
      <c r="E70" s="173" t="s">
        <v>82</v>
      </c>
      <c r="F70" s="129">
        <v>9</v>
      </c>
      <c r="G70" s="166">
        <v>29</v>
      </c>
      <c r="H70" s="167">
        <f t="shared" si="5"/>
        <v>11.985209729074265</v>
      </c>
      <c r="I70" s="167">
        <f t="shared" si="20"/>
        <v>15.930479514192312</v>
      </c>
      <c r="J70" s="168">
        <f t="shared" si="2"/>
        <v>461.98390591157704</v>
      </c>
      <c r="K70" s="169">
        <f t="shared" si="11"/>
        <v>347.57108214315372</v>
      </c>
      <c r="L70" s="170">
        <f>+J70-K70</f>
        <v>114.41282376842332</v>
      </c>
      <c r="M70" s="171">
        <f t="shared" si="7"/>
        <v>9.1925522074717509</v>
      </c>
      <c r="N70" s="172">
        <f t="shared" si="8"/>
        <v>123.60537597589507</v>
      </c>
      <c r="O70" s="171">
        <v>0</v>
      </c>
      <c r="P70" s="171">
        <v>0</v>
      </c>
      <c r="Q70" s="171">
        <v>0</v>
      </c>
      <c r="R70" s="172">
        <f t="shared" si="9"/>
        <v>123.60537597589507</v>
      </c>
    </row>
    <row r="71" spans="1:18" x14ac:dyDescent="0.25">
      <c r="A71" s="93">
        <v>4</v>
      </c>
      <c r="B71" s="164">
        <f t="shared" si="4"/>
        <v>45383</v>
      </c>
      <c r="C71" s="184">
        <f t="shared" si="21"/>
        <v>45415</v>
      </c>
      <c r="D71" s="184">
        <f t="shared" si="21"/>
        <v>45436</v>
      </c>
      <c r="E71" s="173" t="s">
        <v>82</v>
      </c>
      <c r="F71" s="129">
        <v>9</v>
      </c>
      <c r="G71" s="166">
        <v>27</v>
      </c>
      <c r="H71" s="167">
        <f t="shared" si="5"/>
        <v>11.985209729074265</v>
      </c>
      <c r="I71" s="167">
        <f t="shared" si="20"/>
        <v>15.930479514192312</v>
      </c>
      <c r="J71" s="168">
        <f t="shared" si="2"/>
        <v>430.12294688319241</v>
      </c>
      <c r="K71" s="169">
        <f t="shared" si="11"/>
        <v>323.60066268500515</v>
      </c>
      <c r="L71" s="170">
        <f t="shared" ref="L71:L79" si="22">+J71-K71</f>
        <v>106.52228419818726</v>
      </c>
      <c r="M71" s="171">
        <f t="shared" si="7"/>
        <v>8.5585830897150803</v>
      </c>
      <c r="N71" s="172">
        <f t="shared" si="8"/>
        <v>115.08086728790235</v>
      </c>
      <c r="O71" s="171">
        <v>0</v>
      </c>
      <c r="P71" s="171">
        <v>0</v>
      </c>
      <c r="Q71" s="171">
        <v>0</v>
      </c>
      <c r="R71" s="172">
        <f t="shared" si="9"/>
        <v>115.08086728790235</v>
      </c>
    </row>
    <row r="72" spans="1:18" x14ac:dyDescent="0.25">
      <c r="A72" s="129">
        <v>5</v>
      </c>
      <c r="B72" s="164">
        <f t="shared" si="4"/>
        <v>45413</v>
      </c>
      <c r="C72" s="184">
        <f t="shared" si="21"/>
        <v>45448</v>
      </c>
      <c r="D72" s="184">
        <f t="shared" si="21"/>
        <v>45467</v>
      </c>
      <c r="E72" s="173" t="s">
        <v>82</v>
      </c>
      <c r="F72" s="129">
        <v>9</v>
      </c>
      <c r="G72" s="166">
        <v>36</v>
      </c>
      <c r="H72" s="167">
        <f t="shared" si="5"/>
        <v>11.985209729074265</v>
      </c>
      <c r="I72" s="167">
        <f t="shared" si="20"/>
        <v>15.930479514192312</v>
      </c>
      <c r="J72" s="168">
        <f t="shared" si="2"/>
        <v>573.49726251092318</v>
      </c>
      <c r="K72" s="169">
        <f t="shared" si="11"/>
        <v>431.46755024667357</v>
      </c>
      <c r="L72" s="170">
        <f t="shared" si="22"/>
        <v>142.02971226424961</v>
      </c>
      <c r="M72" s="171">
        <f t="shared" si="7"/>
        <v>11.411444119620105</v>
      </c>
      <c r="N72" s="172">
        <f t="shared" si="8"/>
        <v>153.44115638386972</v>
      </c>
      <c r="O72" s="171">
        <v>0</v>
      </c>
      <c r="P72" s="171">
        <v>0</v>
      </c>
      <c r="Q72" s="171">
        <v>0</v>
      </c>
      <c r="R72" s="172">
        <f t="shared" si="9"/>
        <v>153.44115638386972</v>
      </c>
    </row>
    <row r="73" spans="1:18" x14ac:dyDescent="0.25">
      <c r="A73" s="129">
        <v>6</v>
      </c>
      <c r="B73" s="164">
        <f t="shared" si="4"/>
        <v>45444</v>
      </c>
      <c r="C73" s="184">
        <f t="shared" si="21"/>
        <v>45476</v>
      </c>
      <c r="D73" s="184">
        <f t="shared" si="21"/>
        <v>45497</v>
      </c>
      <c r="E73" s="173" t="s">
        <v>82</v>
      </c>
      <c r="F73" s="129">
        <v>9</v>
      </c>
      <c r="G73" s="166">
        <v>53</v>
      </c>
      <c r="H73" s="167">
        <f t="shared" si="5"/>
        <v>11.985209729074265</v>
      </c>
      <c r="I73" s="167">
        <f t="shared" si="20"/>
        <v>15.930479514192312</v>
      </c>
      <c r="J73" s="168">
        <f t="shared" si="2"/>
        <v>844.31541425219257</v>
      </c>
      <c r="K73" s="169">
        <f t="shared" si="11"/>
        <v>635.2161156409361</v>
      </c>
      <c r="L73" s="174">
        <f t="shared" si="22"/>
        <v>209.09929861125647</v>
      </c>
      <c r="M73" s="171">
        <f t="shared" si="7"/>
        <v>16.800181620551822</v>
      </c>
      <c r="N73" s="172">
        <f t="shared" si="8"/>
        <v>225.8994802318083</v>
      </c>
      <c r="O73" s="171">
        <v>0</v>
      </c>
      <c r="P73" s="171">
        <v>0</v>
      </c>
      <c r="Q73" s="171">
        <v>0</v>
      </c>
      <c r="R73" s="172">
        <f t="shared" si="9"/>
        <v>225.8994802318083</v>
      </c>
    </row>
    <row r="74" spans="1:18" x14ac:dyDescent="0.25">
      <c r="A74" s="93">
        <v>7</v>
      </c>
      <c r="B74" s="164">
        <f t="shared" si="4"/>
        <v>45474</v>
      </c>
      <c r="C74" s="184">
        <f t="shared" si="21"/>
        <v>45509</v>
      </c>
      <c r="D74" s="184">
        <f t="shared" si="21"/>
        <v>45530</v>
      </c>
      <c r="E74" s="173" t="s">
        <v>82</v>
      </c>
      <c r="F74" s="129">
        <v>9</v>
      </c>
      <c r="G74" s="166">
        <v>53</v>
      </c>
      <c r="H74" s="167">
        <f t="shared" si="5"/>
        <v>11.985209729074265</v>
      </c>
      <c r="I74" s="167">
        <f t="shared" si="20"/>
        <v>15.930479514192312</v>
      </c>
      <c r="J74" s="168">
        <f t="shared" si="2"/>
        <v>844.31541425219257</v>
      </c>
      <c r="K74" s="175">
        <f t="shared" si="11"/>
        <v>635.2161156409361</v>
      </c>
      <c r="L74" s="174">
        <f t="shared" si="22"/>
        <v>209.09929861125647</v>
      </c>
      <c r="M74" s="171">
        <f t="shared" si="7"/>
        <v>16.800181620551822</v>
      </c>
      <c r="N74" s="172">
        <f t="shared" si="8"/>
        <v>225.8994802318083</v>
      </c>
      <c r="O74" s="171">
        <v>0</v>
      </c>
      <c r="P74" s="171">
        <v>0</v>
      </c>
      <c r="Q74" s="171">
        <v>0</v>
      </c>
      <c r="R74" s="172">
        <f t="shared" si="9"/>
        <v>225.8994802318083</v>
      </c>
    </row>
    <row r="75" spans="1:18" x14ac:dyDescent="0.25">
      <c r="A75" s="129">
        <v>8</v>
      </c>
      <c r="B75" s="164">
        <f t="shared" si="4"/>
        <v>45505</v>
      </c>
      <c r="C75" s="184">
        <f t="shared" si="21"/>
        <v>45539</v>
      </c>
      <c r="D75" s="184">
        <f t="shared" si="21"/>
        <v>45559</v>
      </c>
      <c r="E75" s="173" t="s">
        <v>82</v>
      </c>
      <c r="F75" s="129">
        <v>9</v>
      </c>
      <c r="G75" s="166">
        <v>54</v>
      </c>
      <c r="H75" s="167">
        <f t="shared" si="5"/>
        <v>11.985209729074265</v>
      </c>
      <c r="I75" s="167">
        <f t="shared" si="20"/>
        <v>15.930479514192312</v>
      </c>
      <c r="J75" s="168">
        <f t="shared" si="2"/>
        <v>860.24589376638482</v>
      </c>
      <c r="K75" s="175">
        <f t="shared" si="11"/>
        <v>647.2013253700103</v>
      </c>
      <c r="L75" s="174">
        <f t="shared" si="22"/>
        <v>213.04456839637453</v>
      </c>
      <c r="M75" s="171">
        <f t="shared" si="7"/>
        <v>17.117166179430161</v>
      </c>
      <c r="N75" s="172">
        <f t="shared" si="8"/>
        <v>230.1617345758047</v>
      </c>
      <c r="O75" s="171">
        <v>0</v>
      </c>
      <c r="P75" s="171">
        <v>0</v>
      </c>
      <c r="Q75" s="171">
        <v>0</v>
      </c>
      <c r="R75" s="172">
        <f t="shared" si="9"/>
        <v>230.1617345758047</v>
      </c>
    </row>
    <row r="76" spans="1:18" x14ac:dyDescent="0.25">
      <c r="A76" s="129">
        <v>9</v>
      </c>
      <c r="B76" s="164">
        <f t="shared" si="4"/>
        <v>45536</v>
      </c>
      <c r="C76" s="184">
        <f t="shared" si="21"/>
        <v>45568</v>
      </c>
      <c r="D76" s="184">
        <f t="shared" si="21"/>
        <v>45589</v>
      </c>
      <c r="E76" s="173" t="s">
        <v>82</v>
      </c>
      <c r="F76" s="129">
        <v>9</v>
      </c>
      <c r="G76" s="166">
        <v>48</v>
      </c>
      <c r="H76" s="167">
        <f t="shared" si="5"/>
        <v>11.985209729074265</v>
      </c>
      <c r="I76" s="167">
        <f t="shared" si="20"/>
        <v>15.930479514192312</v>
      </c>
      <c r="J76" s="168">
        <f t="shared" si="2"/>
        <v>764.66301668123094</v>
      </c>
      <c r="K76" s="175">
        <f t="shared" si="11"/>
        <v>575.29006699556476</v>
      </c>
      <c r="L76" s="174">
        <f t="shared" si="22"/>
        <v>189.37294968566619</v>
      </c>
      <c r="M76" s="171">
        <f t="shared" si="7"/>
        <v>15.21525882616014</v>
      </c>
      <c r="N76" s="172">
        <f t="shared" si="8"/>
        <v>204.58820851182634</v>
      </c>
      <c r="O76" s="171">
        <v>0</v>
      </c>
      <c r="P76" s="171">
        <v>0</v>
      </c>
      <c r="Q76" s="171">
        <v>0</v>
      </c>
      <c r="R76" s="172">
        <f t="shared" si="9"/>
        <v>204.58820851182634</v>
      </c>
    </row>
    <row r="77" spans="1:18" x14ac:dyDescent="0.25">
      <c r="A77" s="93">
        <v>10</v>
      </c>
      <c r="B77" s="164">
        <f t="shared" si="4"/>
        <v>45566</v>
      </c>
      <c r="C77" s="184">
        <f t="shared" si="21"/>
        <v>45601</v>
      </c>
      <c r="D77" s="184">
        <f t="shared" si="21"/>
        <v>45621</v>
      </c>
      <c r="E77" s="173" t="s">
        <v>82</v>
      </c>
      <c r="F77" s="129">
        <v>9</v>
      </c>
      <c r="G77" s="166">
        <v>41</v>
      </c>
      <c r="H77" s="167">
        <f t="shared" si="5"/>
        <v>11.985209729074265</v>
      </c>
      <c r="I77" s="167">
        <f t="shared" si="20"/>
        <v>15.930479514192312</v>
      </c>
      <c r="J77" s="168">
        <f t="shared" si="2"/>
        <v>653.1496600818848</v>
      </c>
      <c r="K77" s="175">
        <f t="shared" si="11"/>
        <v>491.39359889204485</v>
      </c>
      <c r="L77" s="174">
        <f t="shared" si="22"/>
        <v>161.75606118983995</v>
      </c>
      <c r="M77" s="171">
        <f t="shared" si="7"/>
        <v>12.996366914011787</v>
      </c>
      <c r="N77" s="172">
        <f t="shared" si="8"/>
        <v>174.75242810385174</v>
      </c>
      <c r="O77" s="171">
        <v>0</v>
      </c>
      <c r="P77" s="171">
        <v>0</v>
      </c>
      <c r="Q77" s="171">
        <v>0</v>
      </c>
      <c r="R77" s="172">
        <f t="shared" si="9"/>
        <v>174.75242810385174</v>
      </c>
    </row>
    <row r="78" spans="1:18" x14ac:dyDescent="0.25">
      <c r="A78" s="129">
        <v>11</v>
      </c>
      <c r="B78" s="164">
        <f t="shared" si="4"/>
        <v>45597</v>
      </c>
      <c r="C78" s="184">
        <f t="shared" si="21"/>
        <v>45630</v>
      </c>
      <c r="D78" s="184">
        <f t="shared" si="21"/>
        <v>45650</v>
      </c>
      <c r="E78" s="173" t="s">
        <v>82</v>
      </c>
      <c r="F78" s="129">
        <v>9</v>
      </c>
      <c r="G78" s="166">
        <v>22</v>
      </c>
      <c r="H78" s="167">
        <f t="shared" si="5"/>
        <v>11.985209729074265</v>
      </c>
      <c r="I78" s="167">
        <f t="shared" si="20"/>
        <v>15.930479514192312</v>
      </c>
      <c r="J78" s="168">
        <f t="shared" si="2"/>
        <v>350.47054931223084</v>
      </c>
      <c r="K78" s="175">
        <f>+$G78*H78</f>
        <v>263.67461403963381</v>
      </c>
      <c r="L78" s="174">
        <f t="shared" si="22"/>
        <v>86.795935272597035</v>
      </c>
      <c r="M78" s="171">
        <f t="shared" si="7"/>
        <v>6.9736602953233975</v>
      </c>
      <c r="N78" s="172">
        <f t="shared" si="8"/>
        <v>93.769595567920433</v>
      </c>
      <c r="O78" s="171">
        <v>0</v>
      </c>
      <c r="P78" s="171">
        <v>0</v>
      </c>
      <c r="Q78" s="171">
        <v>0</v>
      </c>
      <c r="R78" s="172">
        <f t="shared" si="9"/>
        <v>93.769595567920433</v>
      </c>
    </row>
    <row r="79" spans="1:18" s="188" customFormat="1" x14ac:dyDescent="0.25">
      <c r="A79" s="129">
        <v>12</v>
      </c>
      <c r="B79" s="186">
        <f t="shared" si="4"/>
        <v>45627</v>
      </c>
      <c r="C79" s="189">
        <f t="shared" si="21"/>
        <v>45660</v>
      </c>
      <c r="D79" s="189">
        <f t="shared" si="21"/>
        <v>45681</v>
      </c>
      <c r="E79" s="190" t="s">
        <v>82</v>
      </c>
      <c r="F79" s="140">
        <v>9</v>
      </c>
      <c r="G79" s="166">
        <v>37</v>
      </c>
      <c r="H79" s="176">
        <f t="shared" si="5"/>
        <v>11.985209729074265</v>
      </c>
      <c r="I79" s="176">
        <f t="shared" si="20"/>
        <v>15.930479514192312</v>
      </c>
      <c r="J79" s="177">
        <f t="shared" si="2"/>
        <v>589.42774202511555</v>
      </c>
      <c r="K79" s="178">
        <f>+$G79*H79</f>
        <v>443.45275997574782</v>
      </c>
      <c r="L79" s="179">
        <f t="shared" si="22"/>
        <v>145.97498204936772</v>
      </c>
      <c r="M79" s="171">
        <f t="shared" si="7"/>
        <v>11.728428678498441</v>
      </c>
      <c r="N79" s="172">
        <f t="shared" si="8"/>
        <v>157.70341072786616</v>
      </c>
      <c r="O79" s="171">
        <v>0</v>
      </c>
      <c r="P79" s="171">
        <v>0</v>
      </c>
      <c r="Q79" s="171">
        <v>0</v>
      </c>
      <c r="R79" s="172">
        <f t="shared" si="9"/>
        <v>157.70341072786616</v>
      </c>
    </row>
    <row r="80" spans="1:18" s="50" customFormat="1" ht="12.75" customHeight="1" x14ac:dyDescent="0.25">
      <c r="A80" s="93">
        <v>1</v>
      </c>
      <c r="B80" s="164">
        <f t="shared" si="4"/>
        <v>45292</v>
      </c>
      <c r="C80" s="181">
        <f t="shared" ref="C80:D91" si="23">+C56</f>
        <v>45327</v>
      </c>
      <c r="D80" s="181">
        <f t="shared" si="23"/>
        <v>45348</v>
      </c>
      <c r="E80" s="165" t="s">
        <v>9</v>
      </c>
      <c r="F80" s="93">
        <v>9</v>
      </c>
      <c r="G80" s="166">
        <v>75</v>
      </c>
      <c r="H80" s="167">
        <f t="shared" si="5"/>
        <v>11.985209729074265</v>
      </c>
      <c r="I80" s="167">
        <f t="shared" si="20"/>
        <v>15.930479514192312</v>
      </c>
      <c r="J80" s="168">
        <f t="shared" si="2"/>
        <v>1194.7859635644234</v>
      </c>
      <c r="K80" s="169">
        <f t="shared" si="11"/>
        <v>898.89072968056985</v>
      </c>
      <c r="L80" s="170">
        <f t="shared" si="19"/>
        <v>295.89523388385351</v>
      </c>
      <c r="M80" s="171">
        <f t="shared" si="7"/>
        <v>23.77384191587522</v>
      </c>
      <c r="N80" s="172">
        <f t="shared" si="8"/>
        <v>319.66907579972872</v>
      </c>
      <c r="O80" s="171">
        <v>0</v>
      </c>
      <c r="P80" s="171">
        <v>0</v>
      </c>
      <c r="Q80" s="171">
        <v>0</v>
      </c>
      <c r="R80" s="172">
        <f t="shared" si="9"/>
        <v>319.66907579972872</v>
      </c>
    </row>
    <row r="81" spans="1:18" x14ac:dyDescent="0.25">
      <c r="A81" s="129">
        <v>2</v>
      </c>
      <c r="B81" s="164">
        <f t="shared" si="4"/>
        <v>45323</v>
      </c>
      <c r="C81" s="184">
        <f t="shared" si="23"/>
        <v>45356</v>
      </c>
      <c r="D81" s="184">
        <f t="shared" si="23"/>
        <v>45376</v>
      </c>
      <c r="E81" s="173" t="s">
        <v>9</v>
      </c>
      <c r="F81" s="129">
        <v>9</v>
      </c>
      <c r="G81" s="166">
        <v>54</v>
      </c>
      <c r="H81" s="167">
        <f t="shared" si="5"/>
        <v>11.985209729074265</v>
      </c>
      <c r="I81" s="167">
        <f t="shared" si="20"/>
        <v>15.930479514192312</v>
      </c>
      <c r="J81" s="168">
        <f t="shared" si="2"/>
        <v>860.24589376638482</v>
      </c>
      <c r="K81" s="169">
        <f t="shared" si="11"/>
        <v>647.2013253700103</v>
      </c>
      <c r="L81" s="170">
        <f t="shared" si="19"/>
        <v>213.04456839637453</v>
      </c>
      <c r="M81" s="171">
        <f t="shared" si="7"/>
        <v>17.117166179430161</v>
      </c>
      <c r="N81" s="172">
        <f t="shared" si="8"/>
        <v>230.1617345758047</v>
      </c>
      <c r="O81" s="171">
        <v>0</v>
      </c>
      <c r="P81" s="171">
        <v>0</v>
      </c>
      <c r="Q81" s="171">
        <v>0</v>
      </c>
      <c r="R81" s="172">
        <f t="shared" si="9"/>
        <v>230.1617345758047</v>
      </c>
    </row>
    <row r="82" spans="1:18" x14ac:dyDescent="0.25">
      <c r="A82" s="129">
        <v>3</v>
      </c>
      <c r="B82" s="164">
        <f t="shared" si="4"/>
        <v>45352</v>
      </c>
      <c r="C82" s="184">
        <f t="shared" si="23"/>
        <v>45385</v>
      </c>
      <c r="D82" s="184">
        <f t="shared" si="23"/>
        <v>45406</v>
      </c>
      <c r="E82" s="173" t="s">
        <v>9</v>
      </c>
      <c r="F82" s="129">
        <v>9</v>
      </c>
      <c r="G82" s="166">
        <v>49</v>
      </c>
      <c r="H82" s="167">
        <f t="shared" si="5"/>
        <v>11.985209729074265</v>
      </c>
      <c r="I82" s="167">
        <f t="shared" si="20"/>
        <v>15.930479514192312</v>
      </c>
      <c r="J82" s="168">
        <f t="shared" si="2"/>
        <v>780.59349619542331</v>
      </c>
      <c r="K82" s="169">
        <f t="shared" si="11"/>
        <v>587.27527672463896</v>
      </c>
      <c r="L82" s="170">
        <f>+J82-K82</f>
        <v>193.31821947078436</v>
      </c>
      <c r="M82" s="171">
        <f t="shared" si="7"/>
        <v>15.532243385038477</v>
      </c>
      <c r="N82" s="172">
        <f t="shared" si="8"/>
        <v>208.85046285582283</v>
      </c>
      <c r="O82" s="171">
        <v>0</v>
      </c>
      <c r="P82" s="171">
        <v>0</v>
      </c>
      <c r="Q82" s="171">
        <v>0</v>
      </c>
      <c r="R82" s="172">
        <f t="shared" si="9"/>
        <v>208.85046285582283</v>
      </c>
    </row>
    <row r="83" spans="1:18" ht="12" customHeight="1" x14ac:dyDescent="0.25">
      <c r="A83" s="93">
        <v>4</v>
      </c>
      <c r="B83" s="164">
        <f t="shared" si="4"/>
        <v>45383</v>
      </c>
      <c r="C83" s="184">
        <f t="shared" si="23"/>
        <v>45415</v>
      </c>
      <c r="D83" s="184">
        <f t="shared" si="23"/>
        <v>45436</v>
      </c>
      <c r="E83" s="52" t="s">
        <v>9</v>
      </c>
      <c r="F83" s="129">
        <v>9</v>
      </c>
      <c r="G83" s="166">
        <v>43</v>
      </c>
      <c r="H83" s="167">
        <f t="shared" si="5"/>
        <v>11.985209729074265</v>
      </c>
      <c r="I83" s="167">
        <f t="shared" si="20"/>
        <v>15.930479514192312</v>
      </c>
      <c r="J83" s="168">
        <f t="shared" si="2"/>
        <v>685.01061911026943</v>
      </c>
      <c r="K83" s="169">
        <f t="shared" si="11"/>
        <v>515.36401835019342</v>
      </c>
      <c r="L83" s="170">
        <f t="shared" ref="L83:L93" si="24">+J83-K83</f>
        <v>169.64660076007601</v>
      </c>
      <c r="M83" s="171">
        <f t="shared" si="7"/>
        <v>13.63033603176846</v>
      </c>
      <c r="N83" s="172">
        <f t="shared" si="8"/>
        <v>183.27693679184446</v>
      </c>
      <c r="O83" s="171">
        <v>0</v>
      </c>
      <c r="P83" s="171">
        <v>0</v>
      </c>
      <c r="Q83" s="171">
        <v>0</v>
      </c>
      <c r="R83" s="172">
        <f t="shared" si="9"/>
        <v>183.27693679184446</v>
      </c>
    </row>
    <row r="84" spans="1:18" ht="12" customHeight="1" x14ac:dyDescent="0.25">
      <c r="A84" s="129">
        <v>5</v>
      </c>
      <c r="B84" s="164">
        <f t="shared" si="4"/>
        <v>45413</v>
      </c>
      <c r="C84" s="184">
        <f t="shared" si="23"/>
        <v>45448</v>
      </c>
      <c r="D84" s="184">
        <f t="shared" si="23"/>
        <v>45467</v>
      </c>
      <c r="E84" s="52" t="s">
        <v>9</v>
      </c>
      <c r="F84" s="129">
        <v>9</v>
      </c>
      <c r="G84" s="166">
        <v>50</v>
      </c>
      <c r="H84" s="167">
        <f t="shared" si="5"/>
        <v>11.985209729074265</v>
      </c>
      <c r="I84" s="167">
        <f t="shared" si="20"/>
        <v>15.930479514192312</v>
      </c>
      <c r="J84" s="168">
        <f t="shared" si="2"/>
        <v>796.52397570961557</v>
      </c>
      <c r="K84" s="169">
        <f t="shared" si="11"/>
        <v>599.26048645371327</v>
      </c>
      <c r="L84" s="170">
        <f t="shared" si="24"/>
        <v>197.2634892559023</v>
      </c>
      <c r="M84" s="171">
        <f t="shared" si="7"/>
        <v>15.849227943916814</v>
      </c>
      <c r="N84" s="172">
        <f t="shared" si="8"/>
        <v>213.11271719981912</v>
      </c>
      <c r="O84" s="171">
        <v>0</v>
      </c>
      <c r="P84" s="171">
        <v>0</v>
      </c>
      <c r="Q84" s="171">
        <v>0</v>
      </c>
      <c r="R84" s="172">
        <f t="shared" si="9"/>
        <v>213.11271719981912</v>
      </c>
    </row>
    <row r="85" spans="1:18" x14ac:dyDescent="0.25">
      <c r="A85" s="129">
        <v>6</v>
      </c>
      <c r="B85" s="164">
        <f t="shared" si="4"/>
        <v>45444</v>
      </c>
      <c r="C85" s="184">
        <f t="shared" si="23"/>
        <v>45476</v>
      </c>
      <c r="D85" s="184">
        <f t="shared" si="23"/>
        <v>45497</v>
      </c>
      <c r="E85" s="52" t="s">
        <v>9</v>
      </c>
      <c r="F85" s="129">
        <v>9</v>
      </c>
      <c r="G85" s="166">
        <v>59</v>
      </c>
      <c r="H85" s="167">
        <f t="shared" ref="H85:H148" si="25">+$K$3</f>
        <v>11.985209729074265</v>
      </c>
      <c r="I85" s="167">
        <f t="shared" si="20"/>
        <v>15.930479514192312</v>
      </c>
      <c r="J85" s="168">
        <f t="shared" si="2"/>
        <v>939.89829133734645</v>
      </c>
      <c r="K85" s="169">
        <f t="shared" si="11"/>
        <v>707.12737401538163</v>
      </c>
      <c r="L85" s="174">
        <f t="shared" si="24"/>
        <v>232.77091732196482</v>
      </c>
      <c r="M85" s="171">
        <f t="shared" ref="M85:M148" si="26">G85/$G$212*$M$14</f>
        <v>18.702088973821837</v>
      </c>
      <c r="N85" s="172">
        <f t="shared" ref="N85:N148" si="27">SUM(L85:M85)</f>
        <v>251.47300629578666</v>
      </c>
      <c r="O85" s="171">
        <v>0</v>
      </c>
      <c r="P85" s="171">
        <v>0</v>
      </c>
      <c r="Q85" s="171">
        <v>0</v>
      </c>
      <c r="R85" s="172">
        <f t="shared" ref="R85:R148" si="28">+N85-Q85</f>
        <v>251.47300629578666</v>
      </c>
    </row>
    <row r="86" spans="1:18" x14ac:dyDescent="0.25">
      <c r="A86" s="93">
        <v>7</v>
      </c>
      <c r="B86" s="164">
        <f t="shared" si="4"/>
        <v>45474</v>
      </c>
      <c r="C86" s="184">
        <f t="shared" si="23"/>
        <v>45509</v>
      </c>
      <c r="D86" s="184">
        <f t="shared" si="23"/>
        <v>45530</v>
      </c>
      <c r="E86" s="52" t="s">
        <v>9</v>
      </c>
      <c r="F86" s="129">
        <v>9</v>
      </c>
      <c r="G86" s="166">
        <v>60</v>
      </c>
      <c r="H86" s="167">
        <f t="shared" si="25"/>
        <v>11.985209729074265</v>
      </c>
      <c r="I86" s="167">
        <f t="shared" si="20"/>
        <v>15.930479514192312</v>
      </c>
      <c r="J86" s="168">
        <f t="shared" si="2"/>
        <v>955.82877085153871</v>
      </c>
      <c r="K86" s="175">
        <f t="shared" si="11"/>
        <v>719.11258374445595</v>
      </c>
      <c r="L86" s="174">
        <f t="shared" si="24"/>
        <v>236.71618710708276</v>
      </c>
      <c r="M86" s="171">
        <f t="shared" si="26"/>
        <v>19.019073532700176</v>
      </c>
      <c r="N86" s="172">
        <f t="shared" si="27"/>
        <v>255.73526063978295</v>
      </c>
      <c r="O86" s="171">
        <v>0</v>
      </c>
      <c r="P86" s="171">
        <v>0</v>
      </c>
      <c r="Q86" s="171">
        <v>0</v>
      </c>
      <c r="R86" s="172">
        <f t="shared" si="28"/>
        <v>255.73526063978295</v>
      </c>
    </row>
    <row r="87" spans="1:18" x14ac:dyDescent="0.25">
      <c r="A87" s="129">
        <v>8</v>
      </c>
      <c r="B87" s="164">
        <f t="shared" si="4"/>
        <v>45505</v>
      </c>
      <c r="C87" s="184">
        <f t="shared" si="23"/>
        <v>45539</v>
      </c>
      <c r="D87" s="184">
        <f t="shared" si="23"/>
        <v>45559</v>
      </c>
      <c r="E87" s="52" t="s">
        <v>9</v>
      </c>
      <c r="F87" s="129">
        <v>9</v>
      </c>
      <c r="G87" s="166">
        <v>56</v>
      </c>
      <c r="H87" s="167">
        <f t="shared" si="25"/>
        <v>11.985209729074265</v>
      </c>
      <c r="I87" s="167">
        <f t="shared" si="20"/>
        <v>15.930479514192312</v>
      </c>
      <c r="J87" s="168">
        <f t="shared" si="2"/>
        <v>892.10685279476945</v>
      </c>
      <c r="K87" s="175">
        <f t="shared" si="11"/>
        <v>671.17174482815881</v>
      </c>
      <c r="L87" s="174">
        <f t="shared" si="24"/>
        <v>220.93510796661064</v>
      </c>
      <c r="M87" s="171">
        <f t="shared" si="26"/>
        <v>17.751135297186831</v>
      </c>
      <c r="N87" s="172">
        <f t="shared" si="27"/>
        <v>238.68624326379748</v>
      </c>
      <c r="O87" s="171">
        <v>0</v>
      </c>
      <c r="P87" s="171">
        <v>0</v>
      </c>
      <c r="Q87" s="171">
        <v>0</v>
      </c>
      <c r="R87" s="172">
        <f t="shared" si="28"/>
        <v>238.68624326379748</v>
      </c>
    </row>
    <row r="88" spans="1:18" x14ac:dyDescent="0.25">
      <c r="A88" s="129">
        <v>9</v>
      </c>
      <c r="B88" s="164">
        <f t="shared" si="4"/>
        <v>45536</v>
      </c>
      <c r="C88" s="184">
        <f t="shared" si="23"/>
        <v>45568</v>
      </c>
      <c r="D88" s="184">
        <f t="shared" si="23"/>
        <v>45589</v>
      </c>
      <c r="E88" s="52" t="s">
        <v>9</v>
      </c>
      <c r="F88" s="129">
        <v>9</v>
      </c>
      <c r="G88" s="166">
        <v>55</v>
      </c>
      <c r="H88" s="167">
        <f t="shared" si="25"/>
        <v>11.985209729074265</v>
      </c>
      <c r="I88" s="167">
        <f t="shared" si="20"/>
        <v>15.930479514192312</v>
      </c>
      <c r="J88" s="168">
        <f t="shared" si="2"/>
        <v>876.1763732805772</v>
      </c>
      <c r="K88" s="175">
        <f t="shared" si="11"/>
        <v>659.18653509908461</v>
      </c>
      <c r="L88" s="174">
        <f t="shared" si="24"/>
        <v>216.98983818149259</v>
      </c>
      <c r="M88" s="171">
        <f t="shared" si="26"/>
        <v>17.434150738308492</v>
      </c>
      <c r="N88" s="172">
        <f t="shared" si="27"/>
        <v>234.42398891980108</v>
      </c>
      <c r="O88" s="171">
        <v>0</v>
      </c>
      <c r="P88" s="171">
        <v>0</v>
      </c>
      <c r="Q88" s="171">
        <v>0</v>
      </c>
      <c r="R88" s="172">
        <f t="shared" si="28"/>
        <v>234.42398891980108</v>
      </c>
    </row>
    <row r="89" spans="1:18" x14ac:dyDescent="0.25">
      <c r="A89" s="93">
        <v>10</v>
      </c>
      <c r="B89" s="164">
        <f t="shared" si="4"/>
        <v>45566</v>
      </c>
      <c r="C89" s="184">
        <f t="shared" si="23"/>
        <v>45601</v>
      </c>
      <c r="D89" s="184">
        <f t="shared" si="23"/>
        <v>45621</v>
      </c>
      <c r="E89" s="52" t="s">
        <v>9</v>
      </c>
      <c r="F89" s="129">
        <v>9</v>
      </c>
      <c r="G89" s="166">
        <v>51</v>
      </c>
      <c r="H89" s="167">
        <f t="shared" si="25"/>
        <v>11.985209729074265</v>
      </c>
      <c r="I89" s="167">
        <f t="shared" si="20"/>
        <v>15.930479514192312</v>
      </c>
      <c r="J89" s="168">
        <f t="shared" si="2"/>
        <v>812.45445522380794</v>
      </c>
      <c r="K89" s="175">
        <f t="shared" si="11"/>
        <v>611.24569618278747</v>
      </c>
      <c r="L89" s="174">
        <f t="shared" si="24"/>
        <v>201.20875904102047</v>
      </c>
      <c r="M89" s="171">
        <f t="shared" si="26"/>
        <v>16.166212502795148</v>
      </c>
      <c r="N89" s="172">
        <f t="shared" si="27"/>
        <v>217.3749715438156</v>
      </c>
      <c r="O89" s="171">
        <v>0</v>
      </c>
      <c r="P89" s="171">
        <v>0</v>
      </c>
      <c r="Q89" s="171">
        <v>0</v>
      </c>
      <c r="R89" s="172">
        <f t="shared" si="28"/>
        <v>217.3749715438156</v>
      </c>
    </row>
    <row r="90" spans="1:18" x14ac:dyDescent="0.25">
      <c r="A90" s="129">
        <v>11</v>
      </c>
      <c r="B90" s="164">
        <f t="shared" si="4"/>
        <v>45597</v>
      </c>
      <c r="C90" s="184">
        <f t="shared" si="23"/>
        <v>45630</v>
      </c>
      <c r="D90" s="184">
        <f t="shared" si="23"/>
        <v>45650</v>
      </c>
      <c r="E90" s="52" t="s">
        <v>9</v>
      </c>
      <c r="F90" s="129">
        <v>9</v>
      </c>
      <c r="G90" s="166">
        <v>40</v>
      </c>
      <c r="H90" s="167">
        <f t="shared" si="25"/>
        <v>11.985209729074265</v>
      </c>
      <c r="I90" s="167">
        <f t="shared" si="20"/>
        <v>15.930479514192312</v>
      </c>
      <c r="J90" s="168">
        <f t="shared" si="2"/>
        <v>637.21918056769243</v>
      </c>
      <c r="K90" s="175">
        <f t="shared" si="11"/>
        <v>479.40838916297059</v>
      </c>
      <c r="L90" s="174">
        <f t="shared" si="24"/>
        <v>157.81079140472184</v>
      </c>
      <c r="M90" s="171">
        <f t="shared" si="26"/>
        <v>12.67938235513345</v>
      </c>
      <c r="N90" s="172">
        <f t="shared" si="27"/>
        <v>170.49017375985528</v>
      </c>
      <c r="O90" s="171">
        <v>0</v>
      </c>
      <c r="P90" s="171">
        <v>0</v>
      </c>
      <c r="Q90" s="171">
        <v>0</v>
      </c>
      <c r="R90" s="172">
        <f t="shared" si="28"/>
        <v>170.49017375985528</v>
      </c>
    </row>
    <row r="91" spans="1:18" s="188" customFormat="1" x14ac:dyDescent="0.25">
      <c r="A91" s="129">
        <v>12</v>
      </c>
      <c r="B91" s="186">
        <f t="shared" si="4"/>
        <v>45627</v>
      </c>
      <c r="C91" s="184">
        <f t="shared" si="23"/>
        <v>45660</v>
      </c>
      <c r="D91" s="184">
        <f t="shared" si="23"/>
        <v>45681</v>
      </c>
      <c r="E91" s="187" t="s">
        <v>9</v>
      </c>
      <c r="F91" s="140">
        <v>9</v>
      </c>
      <c r="G91" s="166">
        <v>51</v>
      </c>
      <c r="H91" s="176">
        <f t="shared" si="25"/>
        <v>11.985209729074265</v>
      </c>
      <c r="I91" s="176">
        <f t="shared" si="20"/>
        <v>15.930479514192312</v>
      </c>
      <c r="J91" s="177">
        <f t="shared" si="2"/>
        <v>812.45445522380794</v>
      </c>
      <c r="K91" s="178">
        <f t="shared" si="11"/>
        <v>611.24569618278747</v>
      </c>
      <c r="L91" s="179">
        <f t="shared" si="24"/>
        <v>201.20875904102047</v>
      </c>
      <c r="M91" s="171">
        <f t="shared" si="26"/>
        <v>16.166212502795148</v>
      </c>
      <c r="N91" s="172">
        <f t="shared" si="27"/>
        <v>217.3749715438156</v>
      </c>
      <c r="O91" s="171">
        <v>0</v>
      </c>
      <c r="P91" s="171">
        <v>0</v>
      </c>
      <c r="Q91" s="171">
        <v>0</v>
      </c>
      <c r="R91" s="172">
        <f t="shared" si="28"/>
        <v>217.3749715438156</v>
      </c>
    </row>
    <row r="92" spans="1:18" x14ac:dyDescent="0.25">
      <c r="A92" s="93">
        <v>1</v>
      </c>
      <c r="B92" s="164">
        <f t="shared" si="4"/>
        <v>45292</v>
      </c>
      <c r="C92" s="181">
        <f t="shared" ref="C92:D95" si="29">+C80</f>
        <v>45327</v>
      </c>
      <c r="D92" s="181">
        <f t="shared" si="29"/>
        <v>45348</v>
      </c>
      <c r="E92" s="165" t="s">
        <v>8</v>
      </c>
      <c r="F92" s="93">
        <v>9</v>
      </c>
      <c r="G92" s="166">
        <v>94</v>
      </c>
      <c r="H92" s="167">
        <f t="shared" si="25"/>
        <v>11.985209729074265</v>
      </c>
      <c r="I92" s="167">
        <f t="shared" si="20"/>
        <v>15.930479514192312</v>
      </c>
      <c r="J92" s="168">
        <f t="shared" si="2"/>
        <v>1497.4650743340774</v>
      </c>
      <c r="K92" s="169">
        <f t="shared" si="11"/>
        <v>1126.6097145329809</v>
      </c>
      <c r="L92" s="170">
        <f t="shared" si="24"/>
        <v>370.85535980109648</v>
      </c>
      <c r="M92" s="171">
        <f t="shared" si="26"/>
        <v>29.796548534563609</v>
      </c>
      <c r="N92" s="172">
        <f t="shared" si="27"/>
        <v>400.6519083356601</v>
      </c>
      <c r="O92" s="171">
        <v>0</v>
      </c>
      <c r="P92" s="171">
        <v>0</v>
      </c>
      <c r="Q92" s="171">
        <v>0</v>
      </c>
      <c r="R92" s="172">
        <f t="shared" si="28"/>
        <v>400.6519083356601</v>
      </c>
    </row>
    <row r="93" spans="1:18" x14ac:dyDescent="0.25">
      <c r="A93" s="129">
        <v>2</v>
      </c>
      <c r="B93" s="164">
        <f t="shared" si="4"/>
        <v>45323</v>
      </c>
      <c r="C93" s="184">
        <f t="shared" si="29"/>
        <v>45356</v>
      </c>
      <c r="D93" s="184">
        <f t="shared" si="29"/>
        <v>45376</v>
      </c>
      <c r="E93" s="173" t="s">
        <v>8</v>
      </c>
      <c r="F93" s="129">
        <v>9</v>
      </c>
      <c r="G93" s="166">
        <v>62</v>
      </c>
      <c r="H93" s="167">
        <f t="shared" si="25"/>
        <v>11.985209729074265</v>
      </c>
      <c r="I93" s="167">
        <f t="shared" si="20"/>
        <v>15.930479514192312</v>
      </c>
      <c r="J93" s="168">
        <f t="shared" si="2"/>
        <v>987.68972987992333</v>
      </c>
      <c r="K93" s="169">
        <f t="shared" si="11"/>
        <v>743.08300320260446</v>
      </c>
      <c r="L93" s="170">
        <f t="shared" si="24"/>
        <v>244.60672667731887</v>
      </c>
      <c r="M93" s="171">
        <f t="shared" si="26"/>
        <v>19.653042650456847</v>
      </c>
      <c r="N93" s="172">
        <f t="shared" si="27"/>
        <v>264.2597693277757</v>
      </c>
      <c r="O93" s="171">
        <v>0</v>
      </c>
      <c r="P93" s="171">
        <v>0</v>
      </c>
      <c r="Q93" s="171">
        <v>0</v>
      </c>
      <c r="R93" s="172">
        <f t="shared" si="28"/>
        <v>264.2597693277757</v>
      </c>
    </row>
    <row r="94" spans="1:18" x14ac:dyDescent="0.25">
      <c r="A94" s="129">
        <v>3</v>
      </c>
      <c r="B94" s="164">
        <f t="shared" si="4"/>
        <v>45352</v>
      </c>
      <c r="C94" s="184">
        <f t="shared" si="29"/>
        <v>45385</v>
      </c>
      <c r="D94" s="184">
        <f t="shared" si="29"/>
        <v>45406</v>
      </c>
      <c r="E94" s="173" t="s">
        <v>8</v>
      </c>
      <c r="F94" s="129">
        <v>9</v>
      </c>
      <c r="G94" s="166">
        <v>60</v>
      </c>
      <c r="H94" s="167">
        <f t="shared" si="25"/>
        <v>11.985209729074265</v>
      </c>
      <c r="I94" s="167">
        <f t="shared" si="20"/>
        <v>15.930479514192312</v>
      </c>
      <c r="J94" s="168">
        <f t="shared" si="2"/>
        <v>955.82877085153871</v>
      </c>
      <c r="K94" s="169">
        <f t="shared" ref="K94:K133" si="30">+$G94*H94</f>
        <v>719.11258374445595</v>
      </c>
      <c r="L94" s="170">
        <f>+J94-K94</f>
        <v>236.71618710708276</v>
      </c>
      <c r="M94" s="171">
        <f t="shared" si="26"/>
        <v>19.019073532700176</v>
      </c>
      <c r="N94" s="172">
        <f t="shared" si="27"/>
        <v>255.73526063978295</v>
      </c>
      <c r="O94" s="171">
        <v>0</v>
      </c>
      <c r="P94" s="171">
        <v>0</v>
      </c>
      <c r="Q94" s="171">
        <v>0</v>
      </c>
      <c r="R94" s="172">
        <f t="shared" si="28"/>
        <v>255.73526063978295</v>
      </c>
    </row>
    <row r="95" spans="1:18" x14ac:dyDescent="0.25">
      <c r="A95" s="93">
        <v>4</v>
      </c>
      <c r="B95" s="164">
        <f t="shared" si="4"/>
        <v>45383</v>
      </c>
      <c r="C95" s="184">
        <f t="shared" si="29"/>
        <v>45415</v>
      </c>
      <c r="D95" s="184">
        <f t="shared" si="29"/>
        <v>45436</v>
      </c>
      <c r="E95" s="173" t="s">
        <v>8</v>
      </c>
      <c r="F95" s="129">
        <v>9</v>
      </c>
      <c r="G95" s="166">
        <v>92</v>
      </c>
      <c r="H95" s="167">
        <f t="shared" si="25"/>
        <v>11.985209729074265</v>
      </c>
      <c r="I95" s="167">
        <f t="shared" si="20"/>
        <v>15.930479514192312</v>
      </c>
      <c r="J95" s="168">
        <f t="shared" si="2"/>
        <v>1465.6041153056926</v>
      </c>
      <c r="K95" s="169">
        <f t="shared" si="30"/>
        <v>1102.6392950748325</v>
      </c>
      <c r="L95" s="170">
        <f t="shared" ref="L95:L105" si="31">+J95-K95</f>
        <v>362.96482023086014</v>
      </c>
      <c r="M95" s="171">
        <f t="shared" si="26"/>
        <v>29.162579416806935</v>
      </c>
      <c r="N95" s="172">
        <f t="shared" si="27"/>
        <v>392.12739964766706</v>
      </c>
      <c r="O95" s="171">
        <v>0</v>
      </c>
      <c r="P95" s="171">
        <v>0</v>
      </c>
      <c r="Q95" s="171">
        <v>0</v>
      </c>
      <c r="R95" s="172">
        <f t="shared" si="28"/>
        <v>392.12739964766706</v>
      </c>
    </row>
    <row r="96" spans="1:18" x14ac:dyDescent="0.25">
      <c r="A96" s="129">
        <v>5</v>
      </c>
      <c r="B96" s="164">
        <f t="shared" si="4"/>
        <v>45413</v>
      </c>
      <c r="C96" s="184">
        <f t="shared" ref="C96:D116" si="32">+C84</f>
        <v>45448</v>
      </c>
      <c r="D96" s="184">
        <f t="shared" si="32"/>
        <v>45467</v>
      </c>
      <c r="E96" s="52" t="s">
        <v>8</v>
      </c>
      <c r="F96" s="129">
        <v>9</v>
      </c>
      <c r="G96" s="166">
        <v>118</v>
      </c>
      <c r="H96" s="167">
        <f t="shared" si="25"/>
        <v>11.985209729074265</v>
      </c>
      <c r="I96" s="167">
        <f t="shared" si="20"/>
        <v>15.930479514192312</v>
      </c>
      <c r="J96" s="168">
        <f t="shared" si="2"/>
        <v>1879.7965826746929</v>
      </c>
      <c r="K96" s="169">
        <f t="shared" si="30"/>
        <v>1414.2547480307633</v>
      </c>
      <c r="L96" s="170">
        <f t="shared" si="31"/>
        <v>465.54183464392963</v>
      </c>
      <c r="M96" s="171">
        <f t="shared" si="26"/>
        <v>37.404177947643674</v>
      </c>
      <c r="N96" s="172">
        <f t="shared" si="27"/>
        <v>502.94601259157332</v>
      </c>
      <c r="O96" s="171">
        <v>0</v>
      </c>
      <c r="P96" s="171">
        <v>0</v>
      </c>
      <c r="Q96" s="171">
        <v>0</v>
      </c>
      <c r="R96" s="172">
        <f t="shared" si="28"/>
        <v>502.94601259157332</v>
      </c>
    </row>
    <row r="97" spans="1:18" x14ac:dyDescent="0.25">
      <c r="A97" s="129">
        <v>6</v>
      </c>
      <c r="B97" s="164">
        <f t="shared" si="4"/>
        <v>45444</v>
      </c>
      <c r="C97" s="184">
        <f t="shared" si="32"/>
        <v>45476</v>
      </c>
      <c r="D97" s="184">
        <f t="shared" si="32"/>
        <v>45497</v>
      </c>
      <c r="E97" s="52" t="s">
        <v>8</v>
      </c>
      <c r="F97" s="129">
        <v>9</v>
      </c>
      <c r="G97" s="166">
        <v>143</v>
      </c>
      <c r="H97" s="167">
        <f t="shared" si="25"/>
        <v>11.985209729074265</v>
      </c>
      <c r="I97" s="167">
        <f t="shared" si="20"/>
        <v>15.930479514192312</v>
      </c>
      <c r="J97" s="168">
        <f t="shared" si="2"/>
        <v>2278.0585705295007</v>
      </c>
      <c r="K97" s="169">
        <f t="shared" si="30"/>
        <v>1713.88499125762</v>
      </c>
      <c r="L97" s="174">
        <f t="shared" si="31"/>
        <v>564.17357927188073</v>
      </c>
      <c r="M97" s="171">
        <f t="shared" si="26"/>
        <v>45.328791919602082</v>
      </c>
      <c r="N97" s="172">
        <f t="shared" si="27"/>
        <v>609.50237119148278</v>
      </c>
      <c r="O97" s="171">
        <v>0</v>
      </c>
      <c r="P97" s="171">
        <v>0</v>
      </c>
      <c r="Q97" s="171">
        <v>0</v>
      </c>
      <c r="R97" s="172">
        <f t="shared" si="28"/>
        <v>609.50237119148278</v>
      </c>
    </row>
    <row r="98" spans="1:18" x14ac:dyDescent="0.25">
      <c r="A98" s="93">
        <v>7</v>
      </c>
      <c r="B98" s="164">
        <f t="shared" si="4"/>
        <v>45474</v>
      </c>
      <c r="C98" s="184">
        <f t="shared" si="32"/>
        <v>45509</v>
      </c>
      <c r="D98" s="184">
        <f t="shared" si="32"/>
        <v>45530</v>
      </c>
      <c r="E98" s="52" t="s">
        <v>8</v>
      </c>
      <c r="F98" s="129">
        <v>9</v>
      </c>
      <c r="G98" s="166">
        <v>151</v>
      </c>
      <c r="H98" s="167">
        <f t="shared" si="25"/>
        <v>11.985209729074265</v>
      </c>
      <c r="I98" s="167">
        <f t="shared" si="20"/>
        <v>15.930479514192312</v>
      </c>
      <c r="J98" s="168">
        <f t="shared" si="2"/>
        <v>2405.5024066430392</v>
      </c>
      <c r="K98" s="175">
        <f t="shared" si="30"/>
        <v>1809.766669090214</v>
      </c>
      <c r="L98" s="174">
        <f t="shared" si="31"/>
        <v>595.73573755282519</v>
      </c>
      <c r="M98" s="171">
        <f t="shared" si="26"/>
        <v>47.864668390628772</v>
      </c>
      <c r="N98" s="172">
        <f t="shared" si="27"/>
        <v>643.60040594345401</v>
      </c>
      <c r="O98" s="171">
        <v>0</v>
      </c>
      <c r="P98" s="171">
        <v>0</v>
      </c>
      <c r="Q98" s="171">
        <v>0</v>
      </c>
      <c r="R98" s="172">
        <f t="shared" si="28"/>
        <v>643.60040594345401</v>
      </c>
    </row>
    <row r="99" spans="1:18" x14ac:dyDescent="0.25">
      <c r="A99" s="129">
        <v>8</v>
      </c>
      <c r="B99" s="164">
        <f t="shared" si="4"/>
        <v>45505</v>
      </c>
      <c r="C99" s="184">
        <f t="shared" si="32"/>
        <v>45539</v>
      </c>
      <c r="D99" s="184">
        <f t="shared" si="32"/>
        <v>45559</v>
      </c>
      <c r="E99" s="52" t="s">
        <v>8</v>
      </c>
      <c r="F99" s="129">
        <v>9</v>
      </c>
      <c r="G99" s="166">
        <v>157</v>
      </c>
      <c r="H99" s="167">
        <f t="shared" si="25"/>
        <v>11.985209729074265</v>
      </c>
      <c r="I99" s="167">
        <f t="shared" si="20"/>
        <v>15.930479514192312</v>
      </c>
      <c r="J99" s="168">
        <f t="shared" si="2"/>
        <v>2501.0852837281932</v>
      </c>
      <c r="K99" s="175">
        <f t="shared" si="30"/>
        <v>1881.6779274646597</v>
      </c>
      <c r="L99" s="174">
        <f t="shared" si="31"/>
        <v>619.40735626353353</v>
      </c>
      <c r="M99" s="171">
        <f t="shared" si="26"/>
        <v>49.766575743898791</v>
      </c>
      <c r="N99" s="172">
        <f t="shared" si="27"/>
        <v>669.17393200743231</v>
      </c>
      <c r="O99" s="171">
        <v>0</v>
      </c>
      <c r="P99" s="171">
        <v>0</v>
      </c>
      <c r="Q99" s="171">
        <v>0</v>
      </c>
      <c r="R99" s="172">
        <f t="shared" si="28"/>
        <v>669.17393200743231</v>
      </c>
    </row>
    <row r="100" spans="1:18" x14ac:dyDescent="0.25">
      <c r="A100" s="129">
        <v>9</v>
      </c>
      <c r="B100" s="164">
        <f t="shared" si="4"/>
        <v>45536</v>
      </c>
      <c r="C100" s="184">
        <f t="shared" si="32"/>
        <v>45568</v>
      </c>
      <c r="D100" s="184">
        <f t="shared" si="32"/>
        <v>45589</v>
      </c>
      <c r="E100" s="52" t="s">
        <v>8</v>
      </c>
      <c r="F100" s="129">
        <v>9</v>
      </c>
      <c r="G100" s="166">
        <v>146</v>
      </c>
      <c r="H100" s="167">
        <f t="shared" si="25"/>
        <v>11.985209729074265</v>
      </c>
      <c r="I100" s="167">
        <f t="shared" si="20"/>
        <v>15.930479514192312</v>
      </c>
      <c r="J100" s="168">
        <f t="shared" si="2"/>
        <v>2325.8500090720777</v>
      </c>
      <c r="K100" s="175">
        <f t="shared" si="30"/>
        <v>1749.8406204448427</v>
      </c>
      <c r="L100" s="174">
        <f t="shared" si="31"/>
        <v>576.00938862723501</v>
      </c>
      <c r="M100" s="171">
        <f t="shared" si="26"/>
        <v>46.279745596237092</v>
      </c>
      <c r="N100" s="172">
        <f t="shared" si="27"/>
        <v>622.28913422347205</v>
      </c>
      <c r="O100" s="171">
        <v>0</v>
      </c>
      <c r="P100" s="171">
        <v>0</v>
      </c>
      <c r="Q100" s="171">
        <v>0</v>
      </c>
      <c r="R100" s="172">
        <f t="shared" si="28"/>
        <v>622.28913422347205</v>
      </c>
    </row>
    <row r="101" spans="1:18" x14ac:dyDescent="0.25">
      <c r="A101" s="93">
        <v>10</v>
      </c>
      <c r="B101" s="164">
        <f t="shared" si="4"/>
        <v>45566</v>
      </c>
      <c r="C101" s="184">
        <f t="shared" si="32"/>
        <v>45601</v>
      </c>
      <c r="D101" s="184">
        <f t="shared" si="32"/>
        <v>45621</v>
      </c>
      <c r="E101" s="52" t="s">
        <v>8</v>
      </c>
      <c r="F101" s="129">
        <v>9</v>
      </c>
      <c r="G101" s="166">
        <v>116</v>
      </c>
      <c r="H101" s="167">
        <f t="shared" si="25"/>
        <v>11.985209729074265</v>
      </c>
      <c r="I101" s="167">
        <f t="shared" si="20"/>
        <v>15.930479514192312</v>
      </c>
      <c r="J101" s="168">
        <f t="shared" si="2"/>
        <v>1847.9356236463082</v>
      </c>
      <c r="K101" s="175">
        <f t="shared" si="30"/>
        <v>1390.2843285726149</v>
      </c>
      <c r="L101" s="174">
        <f t="shared" si="31"/>
        <v>457.65129507369329</v>
      </c>
      <c r="M101" s="171">
        <f t="shared" si="26"/>
        <v>36.770208829887004</v>
      </c>
      <c r="N101" s="172">
        <f t="shared" si="27"/>
        <v>494.42150390358029</v>
      </c>
      <c r="O101" s="171">
        <v>0</v>
      </c>
      <c r="P101" s="171">
        <v>0</v>
      </c>
      <c r="Q101" s="171">
        <v>0</v>
      </c>
      <c r="R101" s="172">
        <f t="shared" si="28"/>
        <v>494.42150390358029</v>
      </c>
    </row>
    <row r="102" spans="1:18" x14ac:dyDescent="0.25">
      <c r="A102" s="129">
        <v>11</v>
      </c>
      <c r="B102" s="164">
        <f t="shared" si="4"/>
        <v>45597</v>
      </c>
      <c r="C102" s="184">
        <f t="shared" si="32"/>
        <v>45630</v>
      </c>
      <c r="D102" s="184">
        <f t="shared" si="32"/>
        <v>45650</v>
      </c>
      <c r="E102" s="52" t="s">
        <v>8</v>
      </c>
      <c r="F102" s="129">
        <v>9</v>
      </c>
      <c r="G102" s="166">
        <v>62</v>
      </c>
      <c r="H102" s="167">
        <f t="shared" si="25"/>
        <v>11.985209729074265</v>
      </c>
      <c r="I102" s="167">
        <f t="shared" si="20"/>
        <v>15.930479514192312</v>
      </c>
      <c r="J102" s="168">
        <f t="shared" si="2"/>
        <v>987.68972987992333</v>
      </c>
      <c r="K102" s="175">
        <f t="shared" si="30"/>
        <v>743.08300320260446</v>
      </c>
      <c r="L102" s="174">
        <f t="shared" si="31"/>
        <v>244.60672667731887</v>
      </c>
      <c r="M102" s="171">
        <f t="shared" si="26"/>
        <v>19.653042650456847</v>
      </c>
      <c r="N102" s="172">
        <f t="shared" si="27"/>
        <v>264.2597693277757</v>
      </c>
      <c r="O102" s="171">
        <v>0</v>
      </c>
      <c r="P102" s="171">
        <v>0</v>
      </c>
      <c r="Q102" s="171">
        <v>0</v>
      </c>
      <c r="R102" s="172">
        <f t="shared" si="28"/>
        <v>264.2597693277757</v>
      </c>
    </row>
    <row r="103" spans="1:18" s="188" customFormat="1" x14ac:dyDescent="0.25">
      <c r="A103" s="129">
        <v>12</v>
      </c>
      <c r="B103" s="186">
        <f t="shared" si="4"/>
        <v>45627</v>
      </c>
      <c r="C103" s="184">
        <f t="shared" si="32"/>
        <v>45660</v>
      </c>
      <c r="D103" s="184">
        <f t="shared" si="32"/>
        <v>45681</v>
      </c>
      <c r="E103" s="187" t="s">
        <v>8</v>
      </c>
      <c r="F103" s="140">
        <v>9</v>
      </c>
      <c r="G103" s="166">
        <v>77</v>
      </c>
      <c r="H103" s="176">
        <f t="shared" si="25"/>
        <v>11.985209729074265</v>
      </c>
      <c r="I103" s="176">
        <f t="shared" si="20"/>
        <v>15.930479514192312</v>
      </c>
      <c r="J103" s="177">
        <f t="shared" si="2"/>
        <v>1226.6469225928081</v>
      </c>
      <c r="K103" s="178">
        <f t="shared" si="30"/>
        <v>922.86114913871847</v>
      </c>
      <c r="L103" s="179">
        <f t="shared" si="31"/>
        <v>303.78577345408962</v>
      </c>
      <c r="M103" s="171">
        <f t="shared" si="26"/>
        <v>24.407811033631891</v>
      </c>
      <c r="N103" s="172">
        <f t="shared" si="27"/>
        <v>328.19358448772152</v>
      </c>
      <c r="O103" s="171">
        <v>0</v>
      </c>
      <c r="P103" s="171">
        <v>0</v>
      </c>
      <c r="Q103" s="171">
        <v>0</v>
      </c>
      <c r="R103" s="172">
        <f t="shared" si="28"/>
        <v>328.19358448772152</v>
      </c>
    </row>
    <row r="104" spans="1:18" x14ac:dyDescent="0.25">
      <c r="A104" s="93">
        <v>1</v>
      </c>
      <c r="B104" s="164">
        <f t="shared" si="4"/>
        <v>45292</v>
      </c>
      <c r="C104" s="181">
        <f t="shared" si="32"/>
        <v>45327</v>
      </c>
      <c r="D104" s="181">
        <f t="shared" si="32"/>
        <v>45348</v>
      </c>
      <c r="E104" s="165" t="s">
        <v>19</v>
      </c>
      <c r="F104" s="93">
        <v>9</v>
      </c>
      <c r="G104" s="166">
        <v>65</v>
      </c>
      <c r="H104" s="167">
        <f t="shared" si="25"/>
        <v>11.985209729074265</v>
      </c>
      <c r="I104" s="167">
        <f t="shared" si="20"/>
        <v>15.930479514192312</v>
      </c>
      <c r="J104" s="168">
        <f t="shared" si="2"/>
        <v>1035.4811684225003</v>
      </c>
      <c r="K104" s="169">
        <f t="shared" si="30"/>
        <v>779.03863238982728</v>
      </c>
      <c r="L104" s="170">
        <f t="shared" si="31"/>
        <v>256.44253603267305</v>
      </c>
      <c r="M104" s="171">
        <f t="shared" si="26"/>
        <v>20.60399632709186</v>
      </c>
      <c r="N104" s="172">
        <f t="shared" si="27"/>
        <v>277.04653235976491</v>
      </c>
      <c r="O104" s="171">
        <v>0</v>
      </c>
      <c r="P104" s="171">
        <v>0</v>
      </c>
      <c r="Q104" s="171">
        <v>0</v>
      </c>
      <c r="R104" s="172">
        <f t="shared" si="28"/>
        <v>277.04653235976491</v>
      </c>
    </row>
    <row r="105" spans="1:18" x14ac:dyDescent="0.25">
      <c r="A105" s="129">
        <v>2</v>
      </c>
      <c r="B105" s="164">
        <f t="shared" si="4"/>
        <v>45323</v>
      </c>
      <c r="C105" s="184">
        <f t="shared" si="32"/>
        <v>45356</v>
      </c>
      <c r="D105" s="184">
        <f t="shared" si="32"/>
        <v>45376</v>
      </c>
      <c r="E105" s="173" t="s">
        <v>19</v>
      </c>
      <c r="F105" s="129">
        <v>9</v>
      </c>
      <c r="G105" s="166">
        <v>65</v>
      </c>
      <c r="H105" s="167">
        <f t="shared" si="25"/>
        <v>11.985209729074265</v>
      </c>
      <c r="I105" s="167">
        <f t="shared" si="20"/>
        <v>15.930479514192312</v>
      </c>
      <c r="J105" s="168">
        <f t="shared" si="2"/>
        <v>1035.4811684225003</v>
      </c>
      <c r="K105" s="169">
        <f t="shared" si="30"/>
        <v>779.03863238982728</v>
      </c>
      <c r="L105" s="170">
        <f t="shared" si="31"/>
        <v>256.44253603267305</v>
      </c>
      <c r="M105" s="171">
        <f t="shared" si="26"/>
        <v>20.60399632709186</v>
      </c>
      <c r="N105" s="172">
        <f t="shared" si="27"/>
        <v>277.04653235976491</v>
      </c>
      <c r="O105" s="171">
        <v>0</v>
      </c>
      <c r="P105" s="171">
        <v>0</v>
      </c>
      <c r="Q105" s="171">
        <v>0</v>
      </c>
      <c r="R105" s="172">
        <f t="shared" si="28"/>
        <v>277.04653235976491</v>
      </c>
    </row>
    <row r="106" spans="1:18" x14ac:dyDescent="0.25">
      <c r="A106" s="129">
        <v>3</v>
      </c>
      <c r="B106" s="164">
        <f t="shared" si="4"/>
        <v>45352</v>
      </c>
      <c r="C106" s="184">
        <f t="shared" si="32"/>
        <v>45385</v>
      </c>
      <c r="D106" s="184">
        <f t="shared" si="32"/>
        <v>45406</v>
      </c>
      <c r="E106" s="173" t="s">
        <v>19</v>
      </c>
      <c r="F106" s="129">
        <v>9</v>
      </c>
      <c r="G106" s="166">
        <v>64</v>
      </c>
      <c r="H106" s="167">
        <f t="shared" si="25"/>
        <v>11.985209729074265</v>
      </c>
      <c r="I106" s="167">
        <f t="shared" si="20"/>
        <v>15.930479514192312</v>
      </c>
      <c r="J106" s="168">
        <f t="shared" si="2"/>
        <v>1019.550688908308</v>
      </c>
      <c r="K106" s="169">
        <f t="shared" si="30"/>
        <v>767.05342266075297</v>
      </c>
      <c r="L106" s="170">
        <f>+J106-K106</f>
        <v>252.49726624755499</v>
      </c>
      <c r="M106" s="171">
        <f t="shared" si="26"/>
        <v>20.287011768213521</v>
      </c>
      <c r="N106" s="172">
        <f t="shared" si="27"/>
        <v>272.78427801576851</v>
      </c>
      <c r="O106" s="171">
        <v>0</v>
      </c>
      <c r="P106" s="171">
        <v>0</v>
      </c>
      <c r="Q106" s="171">
        <v>0</v>
      </c>
      <c r="R106" s="172">
        <f t="shared" si="28"/>
        <v>272.78427801576851</v>
      </c>
    </row>
    <row r="107" spans="1:18" x14ac:dyDescent="0.25">
      <c r="A107" s="93">
        <v>4</v>
      </c>
      <c r="B107" s="164">
        <f t="shared" si="4"/>
        <v>45383</v>
      </c>
      <c r="C107" s="184">
        <f t="shared" si="32"/>
        <v>45415</v>
      </c>
      <c r="D107" s="184">
        <f t="shared" si="32"/>
        <v>45436</v>
      </c>
      <c r="E107" s="52" t="s">
        <v>19</v>
      </c>
      <c r="F107" s="129">
        <v>9</v>
      </c>
      <c r="G107" s="166">
        <v>65</v>
      </c>
      <c r="H107" s="167">
        <f t="shared" si="25"/>
        <v>11.985209729074265</v>
      </c>
      <c r="I107" s="167">
        <f t="shared" si="20"/>
        <v>15.930479514192312</v>
      </c>
      <c r="J107" s="168">
        <f t="shared" si="2"/>
        <v>1035.4811684225003</v>
      </c>
      <c r="K107" s="169">
        <f t="shared" si="30"/>
        <v>779.03863238982728</v>
      </c>
      <c r="L107" s="170">
        <f t="shared" ref="L107:L115" si="33">+J107-K107</f>
        <v>256.44253603267305</v>
      </c>
      <c r="M107" s="171">
        <f t="shared" si="26"/>
        <v>20.60399632709186</v>
      </c>
      <c r="N107" s="172">
        <f t="shared" si="27"/>
        <v>277.04653235976491</v>
      </c>
      <c r="O107" s="171">
        <v>0</v>
      </c>
      <c r="P107" s="171">
        <v>0</v>
      </c>
      <c r="Q107" s="171">
        <v>0</v>
      </c>
      <c r="R107" s="172">
        <f t="shared" si="28"/>
        <v>277.04653235976491</v>
      </c>
    </row>
    <row r="108" spans="1:18" x14ac:dyDescent="0.25">
      <c r="A108" s="129">
        <v>5</v>
      </c>
      <c r="B108" s="164">
        <f t="shared" si="4"/>
        <v>45413</v>
      </c>
      <c r="C108" s="184">
        <f t="shared" si="32"/>
        <v>45448</v>
      </c>
      <c r="D108" s="184">
        <f t="shared" si="32"/>
        <v>45467</v>
      </c>
      <c r="E108" s="52" t="s">
        <v>19</v>
      </c>
      <c r="F108" s="129">
        <v>9</v>
      </c>
      <c r="G108" s="166">
        <v>51</v>
      </c>
      <c r="H108" s="167">
        <f t="shared" si="25"/>
        <v>11.985209729074265</v>
      </c>
      <c r="I108" s="167">
        <f t="shared" ref="I108:I127" si="34">$J$3</f>
        <v>15.930479514192312</v>
      </c>
      <c r="J108" s="168">
        <f t="shared" si="2"/>
        <v>812.45445522380794</v>
      </c>
      <c r="K108" s="169">
        <f t="shared" si="30"/>
        <v>611.24569618278747</v>
      </c>
      <c r="L108" s="170">
        <f t="shared" si="33"/>
        <v>201.20875904102047</v>
      </c>
      <c r="M108" s="171">
        <f t="shared" si="26"/>
        <v>16.166212502795148</v>
      </c>
      <c r="N108" s="172">
        <f t="shared" si="27"/>
        <v>217.3749715438156</v>
      </c>
      <c r="O108" s="171">
        <v>0</v>
      </c>
      <c r="P108" s="171">
        <v>0</v>
      </c>
      <c r="Q108" s="171">
        <v>0</v>
      </c>
      <c r="R108" s="172">
        <f t="shared" si="28"/>
        <v>217.3749715438156</v>
      </c>
    </row>
    <row r="109" spans="1:18" x14ac:dyDescent="0.25">
      <c r="A109" s="129">
        <v>6</v>
      </c>
      <c r="B109" s="164">
        <f t="shared" ref="B109:B148" si="35">DATE($R$1,A109,1)</f>
        <v>45444</v>
      </c>
      <c r="C109" s="184">
        <f t="shared" si="32"/>
        <v>45476</v>
      </c>
      <c r="D109" s="184">
        <f t="shared" si="32"/>
        <v>45497</v>
      </c>
      <c r="E109" s="52" t="s">
        <v>19</v>
      </c>
      <c r="F109" s="129">
        <v>9</v>
      </c>
      <c r="G109" s="166">
        <v>59</v>
      </c>
      <c r="H109" s="167">
        <f t="shared" si="25"/>
        <v>11.985209729074265</v>
      </c>
      <c r="I109" s="167">
        <f t="shared" si="34"/>
        <v>15.930479514192312</v>
      </c>
      <c r="J109" s="168">
        <f t="shared" ref="J109:J148" si="36">+$G109*I109</f>
        <v>939.89829133734645</v>
      </c>
      <c r="K109" s="169">
        <f t="shared" si="30"/>
        <v>707.12737401538163</v>
      </c>
      <c r="L109" s="174">
        <f t="shared" si="33"/>
        <v>232.77091732196482</v>
      </c>
      <c r="M109" s="171">
        <f t="shared" si="26"/>
        <v>18.702088973821837</v>
      </c>
      <c r="N109" s="172">
        <f t="shared" si="27"/>
        <v>251.47300629578666</v>
      </c>
      <c r="O109" s="171">
        <v>0</v>
      </c>
      <c r="P109" s="171">
        <v>0</v>
      </c>
      <c r="Q109" s="171">
        <v>0</v>
      </c>
      <c r="R109" s="172">
        <f t="shared" si="28"/>
        <v>251.47300629578666</v>
      </c>
    </row>
    <row r="110" spans="1:18" x14ac:dyDescent="0.25">
      <c r="A110" s="93">
        <v>7</v>
      </c>
      <c r="B110" s="164">
        <f t="shared" si="35"/>
        <v>45474</v>
      </c>
      <c r="C110" s="184">
        <f t="shared" si="32"/>
        <v>45509</v>
      </c>
      <c r="D110" s="184">
        <f t="shared" si="32"/>
        <v>45530</v>
      </c>
      <c r="E110" s="52" t="s">
        <v>19</v>
      </c>
      <c r="F110" s="129">
        <v>9</v>
      </c>
      <c r="G110" s="166">
        <v>67</v>
      </c>
      <c r="H110" s="167">
        <f t="shared" si="25"/>
        <v>11.985209729074265</v>
      </c>
      <c r="I110" s="167">
        <f t="shared" si="34"/>
        <v>15.930479514192312</v>
      </c>
      <c r="J110" s="168">
        <f t="shared" si="36"/>
        <v>1067.3421274508848</v>
      </c>
      <c r="K110" s="175">
        <f t="shared" si="30"/>
        <v>803.0090518479758</v>
      </c>
      <c r="L110" s="174">
        <f t="shared" si="33"/>
        <v>264.33307560290905</v>
      </c>
      <c r="M110" s="171">
        <f t="shared" si="26"/>
        <v>21.23796544484853</v>
      </c>
      <c r="N110" s="172">
        <f t="shared" si="27"/>
        <v>285.5710410477576</v>
      </c>
      <c r="O110" s="171">
        <v>0</v>
      </c>
      <c r="P110" s="171">
        <v>0</v>
      </c>
      <c r="Q110" s="171">
        <v>0</v>
      </c>
      <c r="R110" s="172">
        <f t="shared" si="28"/>
        <v>285.5710410477576</v>
      </c>
    </row>
    <row r="111" spans="1:18" x14ac:dyDescent="0.25">
      <c r="A111" s="129">
        <v>8</v>
      </c>
      <c r="B111" s="164">
        <f t="shared" si="35"/>
        <v>45505</v>
      </c>
      <c r="C111" s="184">
        <f t="shared" si="32"/>
        <v>45539</v>
      </c>
      <c r="D111" s="184">
        <f t="shared" si="32"/>
        <v>45559</v>
      </c>
      <c r="E111" s="52" t="s">
        <v>19</v>
      </c>
      <c r="F111" s="129">
        <v>9</v>
      </c>
      <c r="G111" s="166">
        <v>70</v>
      </c>
      <c r="H111" s="167">
        <f t="shared" si="25"/>
        <v>11.985209729074265</v>
      </c>
      <c r="I111" s="167">
        <f t="shared" si="34"/>
        <v>15.930479514192312</v>
      </c>
      <c r="J111" s="168">
        <f t="shared" si="36"/>
        <v>1115.1335659934618</v>
      </c>
      <c r="K111" s="175">
        <f t="shared" si="30"/>
        <v>838.96468103519851</v>
      </c>
      <c r="L111" s="174">
        <f t="shared" si="33"/>
        <v>276.16888495826333</v>
      </c>
      <c r="M111" s="171">
        <f t="shared" si="26"/>
        <v>22.188919121483536</v>
      </c>
      <c r="N111" s="172">
        <f t="shared" si="27"/>
        <v>298.35780407974687</v>
      </c>
      <c r="O111" s="171">
        <v>0</v>
      </c>
      <c r="P111" s="171">
        <v>0</v>
      </c>
      <c r="Q111" s="171">
        <v>0</v>
      </c>
      <c r="R111" s="172">
        <f t="shared" si="28"/>
        <v>298.35780407974687</v>
      </c>
    </row>
    <row r="112" spans="1:18" x14ac:dyDescent="0.25">
      <c r="A112" s="129">
        <v>9</v>
      </c>
      <c r="B112" s="164">
        <f t="shared" si="35"/>
        <v>45536</v>
      </c>
      <c r="C112" s="184">
        <f t="shared" si="32"/>
        <v>45568</v>
      </c>
      <c r="D112" s="184">
        <f t="shared" si="32"/>
        <v>45589</v>
      </c>
      <c r="E112" s="52" t="s">
        <v>19</v>
      </c>
      <c r="F112" s="129">
        <v>9</v>
      </c>
      <c r="G112" s="166">
        <v>72</v>
      </c>
      <c r="H112" s="167">
        <f t="shared" si="25"/>
        <v>11.985209729074265</v>
      </c>
      <c r="I112" s="167">
        <f t="shared" si="34"/>
        <v>15.930479514192312</v>
      </c>
      <c r="J112" s="168">
        <f t="shared" si="36"/>
        <v>1146.9945250218464</v>
      </c>
      <c r="K112" s="175">
        <f t="shared" si="30"/>
        <v>862.93510049334714</v>
      </c>
      <c r="L112" s="174">
        <f t="shared" si="33"/>
        <v>284.05942452849922</v>
      </c>
      <c r="M112" s="171">
        <f t="shared" si="26"/>
        <v>22.822888239240211</v>
      </c>
      <c r="N112" s="172">
        <f t="shared" si="27"/>
        <v>306.88231276773945</v>
      </c>
      <c r="O112" s="171">
        <v>0</v>
      </c>
      <c r="P112" s="171">
        <v>0</v>
      </c>
      <c r="Q112" s="171">
        <v>0</v>
      </c>
      <c r="R112" s="172">
        <f t="shared" si="28"/>
        <v>306.88231276773945</v>
      </c>
    </row>
    <row r="113" spans="1:18" x14ac:dyDescent="0.25">
      <c r="A113" s="93">
        <v>10</v>
      </c>
      <c r="B113" s="164">
        <f t="shared" si="35"/>
        <v>45566</v>
      </c>
      <c r="C113" s="184">
        <f t="shared" si="32"/>
        <v>45601</v>
      </c>
      <c r="D113" s="184">
        <f t="shared" si="32"/>
        <v>45621</v>
      </c>
      <c r="E113" s="52" t="s">
        <v>19</v>
      </c>
      <c r="F113" s="129">
        <v>9</v>
      </c>
      <c r="G113" s="166">
        <v>73</v>
      </c>
      <c r="H113" s="167">
        <f t="shared" si="25"/>
        <v>11.985209729074265</v>
      </c>
      <c r="I113" s="167">
        <f t="shared" si="34"/>
        <v>15.930479514192312</v>
      </c>
      <c r="J113" s="168">
        <f t="shared" si="36"/>
        <v>1162.9250045360388</v>
      </c>
      <c r="K113" s="175">
        <f t="shared" si="30"/>
        <v>874.92031022242134</v>
      </c>
      <c r="L113" s="174">
        <f t="shared" si="33"/>
        <v>288.00469431361751</v>
      </c>
      <c r="M113" s="171">
        <f t="shared" si="26"/>
        <v>23.139872798118546</v>
      </c>
      <c r="N113" s="172">
        <f t="shared" si="27"/>
        <v>311.14456711173602</v>
      </c>
      <c r="O113" s="171">
        <v>0</v>
      </c>
      <c r="P113" s="171">
        <v>0</v>
      </c>
      <c r="Q113" s="171">
        <v>0</v>
      </c>
      <c r="R113" s="172">
        <f t="shared" si="28"/>
        <v>311.14456711173602</v>
      </c>
    </row>
    <row r="114" spans="1:18" x14ac:dyDescent="0.25">
      <c r="A114" s="129">
        <v>11</v>
      </c>
      <c r="B114" s="164">
        <f t="shared" si="35"/>
        <v>45597</v>
      </c>
      <c r="C114" s="184">
        <f t="shared" si="32"/>
        <v>45630</v>
      </c>
      <c r="D114" s="184">
        <f t="shared" si="32"/>
        <v>45650</v>
      </c>
      <c r="E114" s="52" t="s">
        <v>19</v>
      </c>
      <c r="F114" s="129">
        <v>9</v>
      </c>
      <c r="G114" s="166">
        <v>72</v>
      </c>
      <c r="H114" s="167">
        <f t="shared" si="25"/>
        <v>11.985209729074265</v>
      </c>
      <c r="I114" s="167">
        <f t="shared" si="34"/>
        <v>15.930479514192312</v>
      </c>
      <c r="J114" s="168">
        <f t="shared" si="36"/>
        <v>1146.9945250218464</v>
      </c>
      <c r="K114" s="175">
        <f t="shared" si="30"/>
        <v>862.93510049334714</v>
      </c>
      <c r="L114" s="174">
        <f t="shared" si="33"/>
        <v>284.05942452849922</v>
      </c>
      <c r="M114" s="171">
        <f t="shared" si="26"/>
        <v>22.822888239240211</v>
      </c>
      <c r="N114" s="172">
        <f t="shared" si="27"/>
        <v>306.88231276773945</v>
      </c>
      <c r="O114" s="171">
        <v>0</v>
      </c>
      <c r="P114" s="171">
        <v>0</v>
      </c>
      <c r="Q114" s="171">
        <v>0</v>
      </c>
      <c r="R114" s="172">
        <f t="shared" si="28"/>
        <v>306.88231276773945</v>
      </c>
    </row>
    <row r="115" spans="1:18" s="188" customFormat="1" x14ac:dyDescent="0.25">
      <c r="A115" s="129">
        <v>12</v>
      </c>
      <c r="B115" s="186">
        <f t="shared" si="35"/>
        <v>45627</v>
      </c>
      <c r="C115" s="189">
        <f t="shared" si="32"/>
        <v>45660</v>
      </c>
      <c r="D115" s="189">
        <f t="shared" si="32"/>
        <v>45681</v>
      </c>
      <c r="E115" s="187" t="s">
        <v>19</v>
      </c>
      <c r="F115" s="140">
        <v>9</v>
      </c>
      <c r="G115" s="166">
        <v>65</v>
      </c>
      <c r="H115" s="176">
        <f t="shared" si="25"/>
        <v>11.985209729074265</v>
      </c>
      <c r="I115" s="176">
        <f t="shared" si="34"/>
        <v>15.930479514192312</v>
      </c>
      <c r="J115" s="177">
        <f t="shared" si="36"/>
        <v>1035.4811684225003</v>
      </c>
      <c r="K115" s="178">
        <f t="shared" si="30"/>
        <v>779.03863238982728</v>
      </c>
      <c r="L115" s="179">
        <f t="shared" si="33"/>
        <v>256.44253603267305</v>
      </c>
      <c r="M115" s="171">
        <f t="shared" si="26"/>
        <v>20.60399632709186</v>
      </c>
      <c r="N115" s="172">
        <f t="shared" si="27"/>
        <v>277.04653235976491</v>
      </c>
      <c r="O115" s="171">
        <v>0</v>
      </c>
      <c r="P115" s="171">
        <v>0</v>
      </c>
      <c r="Q115" s="171">
        <v>0</v>
      </c>
      <c r="R115" s="172">
        <f t="shared" si="28"/>
        <v>277.04653235976491</v>
      </c>
    </row>
    <row r="116" spans="1:18" x14ac:dyDescent="0.25">
      <c r="A116" s="93">
        <v>1</v>
      </c>
      <c r="B116" s="164">
        <f t="shared" si="35"/>
        <v>45292</v>
      </c>
      <c r="C116" s="184">
        <f t="shared" si="32"/>
        <v>45327</v>
      </c>
      <c r="D116" s="184">
        <f t="shared" si="32"/>
        <v>45348</v>
      </c>
      <c r="E116" s="165" t="s">
        <v>13</v>
      </c>
      <c r="F116" s="93">
        <v>9</v>
      </c>
      <c r="G116" s="166">
        <v>1452</v>
      </c>
      <c r="H116" s="167">
        <f t="shared" si="25"/>
        <v>11.985209729074265</v>
      </c>
      <c r="I116" s="167">
        <f t="shared" si="34"/>
        <v>15.930479514192312</v>
      </c>
      <c r="J116" s="168">
        <f t="shared" si="36"/>
        <v>23131.056254607236</v>
      </c>
      <c r="K116" s="169">
        <f t="shared" si="30"/>
        <v>17402.524526615834</v>
      </c>
      <c r="L116" s="170">
        <f>+J116-K116</f>
        <v>5728.5317279914016</v>
      </c>
      <c r="M116" s="171">
        <f t="shared" si="26"/>
        <v>460.26157949134426</v>
      </c>
      <c r="N116" s="172">
        <f t="shared" si="27"/>
        <v>6188.7933074827461</v>
      </c>
      <c r="O116" s="171">
        <v>0</v>
      </c>
      <c r="P116" s="171">
        <v>0</v>
      </c>
      <c r="Q116" s="171">
        <v>0</v>
      </c>
      <c r="R116" s="172">
        <f t="shared" si="28"/>
        <v>6188.7933074827461</v>
      </c>
    </row>
    <row r="117" spans="1:18" x14ac:dyDescent="0.25">
      <c r="A117" s="129">
        <v>2</v>
      </c>
      <c r="B117" s="164">
        <f t="shared" si="35"/>
        <v>45323</v>
      </c>
      <c r="C117" s="184">
        <f t="shared" ref="C117:D139" si="37">+C105</f>
        <v>45356</v>
      </c>
      <c r="D117" s="184">
        <f t="shared" si="37"/>
        <v>45376</v>
      </c>
      <c r="E117" s="173" t="s">
        <v>13</v>
      </c>
      <c r="F117" s="129">
        <v>9</v>
      </c>
      <c r="G117" s="166">
        <v>966</v>
      </c>
      <c r="H117" s="167">
        <f t="shared" si="25"/>
        <v>11.985209729074265</v>
      </c>
      <c r="I117" s="167">
        <f t="shared" si="34"/>
        <v>15.930479514192312</v>
      </c>
      <c r="J117" s="168">
        <f t="shared" si="36"/>
        <v>15388.843210709772</v>
      </c>
      <c r="K117" s="169">
        <f t="shared" si="30"/>
        <v>11577.71259828574</v>
      </c>
      <c r="L117" s="170">
        <f>+J117-K117</f>
        <v>3811.1306124240327</v>
      </c>
      <c r="M117" s="171">
        <f t="shared" si="26"/>
        <v>306.20708387647278</v>
      </c>
      <c r="N117" s="172">
        <f t="shared" si="27"/>
        <v>4117.3376963005057</v>
      </c>
      <c r="O117" s="171">
        <v>0</v>
      </c>
      <c r="P117" s="171">
        <v>0</v>
      </c>
      <c r="Q117" s="171">
        <v>0</v>
      </c>
      <c r="R117" s="172">
        <f t="shared" si="28"/>
        <v>4117.3376963005057</v>
      </c>
    </row>
    <row r="118" spans="1:18" x14ac:dyDescent="0.25">
      <c r="A118" s="129">
        <v>3</v>
      </c>
      <c r="B118" s="164">
        <f t="shared" si="35"/>
        <v>45352</v>
      </c>
      <c r="C118" s="184">
        <f t="shared" si="37"/>
        <v>45385</v>
      </c>
      <c r="D118" s="184">
        <f t="shared" si="37"/>
        <v>45406</v>
      </c>
      <c r="E118" s="173" t="s">
        <v>13</v>
      </c>
      <c r="F118" s="129">
        <v>9</v>
      </c>
      <c r="G118" s="166">
        <v>732</v>
      </c>
      <c r="H118" s="167">
        <f t="shared" si="25"/>
        <v>11.985209729074265</v>
      </c>
      <c r="I118" s="167">
        <f t="shared" si="34"/>
        <v>15.930479514192312</v>
      </c>
      <c r="J118" s="168">
        <f t="shared" si="36"/>
        <v>11661.111004388773</v>
      </c>
      <c r="K118" s="169">
        <f t="shared" si="30"/>
        <v>8773.1735216823618</v>
      </c>
      <c r="L118" s="170">
        <f>+J118-K118</f>
        <v>2887.9374827064112</v>
      </c>
      <c r="M118" s="171">
        <f t="shared" si="26"/>
        <v>232.03269709894215</v>
      </c>
      <c r="N118" s="172">
        <f t="shared" si="27"/>
        <v>3119.9701798053534</v>
      </c>
      <c r="O118" s="171">
        <v>0</v>
      </c>
      <c r="P118" s="171">
        <v>0</v>
      </c>
      <c r="Q118" s="171">
        <v>0</v>
      </c>
      <c r="R118" s="172">
        <f t="shared" si="28"/>
        <v>3119.9701798053534</v>
      </c>
    </row>
    <row r="119" spans="1:18" x14ac:dyDescent="0.25">
      <c r="A119" s="93">
        <v>4</v>
      </c>
      <c r="B119" s="164">
        <f t="shared" si="35"/>
        <v>45383</v>
      </c>
      <c r="C119" s="184">
        <f t="shared" si="37"/>
        <v>45415</v>
      </c>
      <c r="D119" s="184">
        <f t="shared" si="37"/>
        <v>45436</v>
      </c>
      <c r="E119" s="52" t="s">
        <v>13</v>
      </c>
      <c r="F119" s="129">
        <v>9</v>
      </c>
      <c r="G119" s="166">
        <v>547</v>
      </c>
      <c r="H119" s="167">
        <f t="shared" si="25"/>
        <v>11.985209729074265</v>
      </c>
      <c r="I119" s="167">
        <f t="shared" si="34"/>
        <v>15.930479514192312</v>
      </c>
      <c r="J119" s="168">
        <f t="shared" si="36"/>
        <v>8713.9722942631943</v>
      </c>
      <c r="K119" s="169">
        <f t="shared" si="30"/>
        <v>6555.9097218036231</v>
      </c>
      <c r="L119" s="170">
        <f t="shared" ref="L119:L127" si="38">+J119-K119</f>
        <v>2158.0625724595711</v>
      </c>
      <c r="M119" s="171">
        <f t="shared" si="26"/>
        <v>173.39055370644994</v>
      </c>
      <c r="N119" s="172">
        <f t="shared" si="27"/>
        <v>2331.4531261660209</v>
      </c>
      <c r="O119" s="171">
        <v>0</v>
      </c>
      <c r="P119" s="171">
        <v>0</v>
      </c>
      <c r="Q119" s="171">
        <v>0</v>
      </c>
      <c r="R119" s="172">
        <f t="shared" si="28"/>
        <v>2331.4531261660209</v>
      </c>
    </row>
    <row r="120" spans="1:18" x14ac:dyDescent="0.25">
      <c r="A120" s="129">
        <v>5</v>
      </c>
      <c r="B120" s="164">
        <f t="shared" si="35"/>
        <v>45413</v>
      </c>
      <c r="C120" s="184">
        <f t="shared" si="37"/>
        <v>45448</v>
      </c>
      <c r="D120" s="184">
        <f t="shared" si="37"/>
        <v>45467</v>
      </c>
      <c r="E120" s="52" t="s">
        <v>13</v>
      </c>
      <c r="F120" s="129">
        <v>9</v>
      </c>
      <c r="G120" s="166">
        <v>747</v>
      </c>
      <c r="H120" s="167">
        <f t="shared" si="25"/>
        <v>11.985209729074265</v>
      </c>
      <c r="I120" s="167">
        <f t="shared" si="34"/>
        <v>15.930479514192312</v>
      </c>
      <c r="J120" s="168">
        <f t="shared" si="36"/>
        <v>11900.068197101657</v>
      </c>
      <c r="K120" s="169">
        <f t="shared" si="30"/>
        <v>8952.9516676184758</v>
      </c>
      <c r="L120" s="170">
        <f t="shared" si="38"/>
        <v>2947.1165294831808</v>
      </c>
      <c r="M120" s="171">
        <f t="shared" si="26"/>
        <v>236.7874654821172</v>
      </c>
      <c r="N120" s="172">
        <f t="shared" si="27"/>
        <v>3183.9039949652979</v>
      </c>
      <c r="O120" s="171">
        <v>0</v>
      </c>
      <c r="P120" s="171">
        <v>0</v>
      </c>
      <c r="Q120" s="171">
        <v>0</v>
      </c>
      <c r="R120" s="172">
        <f t="shared" si="28"/>
        <v>3183.9039949652979</v>
      </c>
    </row>
    <row r="121" spans="1:18" x14ac:dyDescent="0.25">
      <c r="A121" s="129">
        <v>6</v>
      </c>
      <c r="B121" s="164">
        <f t="shared" si="35"/>
        <v>45444</v>
      </c>
      <c r="C121" s="184">
        <f t="shared" si="37"/>
        <v>45476</v>
      </c>
      <c r="D121" s="184">
        <f t="shared" si="37"/>
        <v>45497</v>
      </c>
      <c r="E121" s="52" t="s">
        <v>13</v>
      </c>
      <c r="F121" s="129">
        <v>9</v>
      </c>
      <c r="G121" s="166">
        <v>917</v>
      </c>
      <c r="H121" s="167">
        <f t="shared" si="25"/>
        <v>11.985209729074265</v>
      </c>
      <c r="I121" s="167">
        <f t="shared" si="34"/>
        <v>15.930479514192312</v>
      </c>
      <c r="J121" s="168">
        <f t="shared" si="36"/>
        <v>14608.24971451435</v>
      </c>
      <c r="K121" s="169">
        <f t="shared" si="30"/>
        <v>10990.437321561101</v>
      </c>
      <c r="L121" s="174">
        <f t="shared" si="38"/>
        <v>3617.8123929532485</v>
      </c>
      <c r="M121" s="171">
        <f t="shared" si="26"/>
        <v>290.67484049143434</v>
      </c>
      <c r="N121" s="172">
        <f t="shared" si="27"/>
        <v>3908.4872334446827</v>
      </c>
      <c r="O121" s="171">
        <v>0</v>
      </c>
      <c r="P121" s="171">
        <v>0</v>
      </c>
      <c r="Q121" s="171">
        <v>0</v>
      </c>
      <c r="R121" s="172">
        <f t="shared" si="28"/>
        <v>3908.4872334446827</v>
      </c>
    </row>
    <row r="122" spans="1:18" x14ac:dyDescent="0.25">
      <c r="A122" s="93">
        <v>7</v>
      </c>
      <c r="B122" s="164">
        <f t="shared" si="35"/>
        <v>45474</v>
      </c>
      <c r="C122" s="184">
        <f t="shared" si="37"/>
        <v>45509</v>
      </c>
      <c r="D122" s="184">
        <f t="shared" si="37"/>
        <v>45530</v>
      </c>
      <c r="E122" s="52" t="s">
        <v>13</v>
      </c>
      <c r="F122" s="129">
        <v>9</v>
      </c>
      <c r="G122" s="166">
        <v>950</v>
      </c>
      <c r="H122" s="167">
        <f t="shared" si="25"/>
        <v>11.985209729074265</v>
      </c>
      <c r="I122" s="167">
        <f t="shared" si="34"/>
        <v>15.930479514192312</v>
      </c>
      <c r="J122" s="168">
        <f t="shared" si="36"/>
        <v>15133.955538482696</v>
      </c>
      <c r="K122" s="175">
        <f t="shared" si="30"/>
        <v>11385.949242620552</v>
      </c>
      <c r="L122" s="174">
        <f t="shared" si="38"/>
        <v>3748.0062958621438</v>
      </c>
      <c r="M122" s="171">
        <f t="shared" si="26"/>
        <v>301.13533093441947</v>
      </c>
      <c r="N122" s="172">
        <f t="shared" si="27"/>
        <v>4049.1416267965633</v>
      </c>
      <c r="O122" s="171">
        <v>0</v>
      </c>
      <c r="P122" s="171">
        <v>0</v>
      </c>
      <c r="Q122" s="171">
        <v>0</v>
      </c>
      <c r="R122" s="172">
        <f t="shared" si="28"/>
        <v>4049.1416267965633</v>
      </c>
    </row>
    <row r="123" spans="1:18" x14ac:dyDescent="0.25">
      <c r="A123" s="129">
        <v>8</v>
      </c>
      <c r="B123" s="164">
        <f t="shared" si="35"/>
        <v>45505</v>
      </c>
      <c r="C123" s="184">
        <f t="shared" si="37"/>
        <v>45539</v>
      </c>
      <c r="D123" s="184">
        <f t="shared" si="37"/>
        <v>45559</v>
      </c>
      <c r="E123" s="52" t="s">
        <v>13</v>
      </c>
      <c r="F123" s="129">
        <v>9</v>
      </c>
      <c r="G123" s="166">
        <v>940</v>
      </c>
      <c r="H123" s="167">
        <f t="shared" si="25"/>
        <v>11.985209729074265</v>
      </c>
      <c r="I123" s="167">
        <f t="shared" si="34"/>
        <v>15.930479514192312</v>
      </c>
      <c r="J123" s="168">
        <f t="shared" si="36"/>
        <v>14974.650743340773</v>
      </c>
      <c r="K123" s="175">
        <f t="shared" si="30"/>
        <v>11266.09714532981</v>
      </c>
      <c r="L123" s="174">
        <f t="shared" si="38"/>
        <v>3708.5535980109635</v>
      </c>
      <c r="M123" s="171">
        <f t="shared" si="26"/>
        <v>297.96548534563607</v>
      </c>
      <c r="N123" s="172">
        <f t="shared" si="27"/>
        <v>4006.5190833565994</v>
      </c>
      <c r="O123" s="171">
        <v>0</v>
      </c>
      <c r="P123" s="171">
        <v>0</v>
      </c>
      <c r="Q123" s="171">
        <v>0</v>
      </c>
      <c r="R123" s="172">
        <f t="shared" si="28"/>
        <v>4006.5190833565994</v>
      </c>
    </row>
    <row r="124" spans="1:18" x14ac:dyDescent="0.25">
      <c r="A124" s="129">
        <v>9</v>
      </c>
      <c r="B124" s="164">
        <f t="shared" si="35"/>
        <v>45536</v>
      </c>
      <c r="C124" s="184">
        <f t="shared" si="37"/>
        <v>45568</v>
      </c>
      <c r="D124" s="184">
        <f t="shared" si="37"/>
        <v>45589</v>
      </c>
      <c r="E124" s="52" t="s">
        <v>13</v>
      </c>
      <c r="F124" s="129">
        <v>9</v>
      </c>
      <c r="G124" s="166">
        <v>816</v>
      </c>
      <c r="H124" s="167">
        <f t="shared" si="25"/>
        <v>11.985209729074265</v>
      </c>
      <c r="I124" s="167">
        <f t="shared" si="34"/>
        <v>15.930479514192312</v>
      </c>
      <c r="J124" s="168">
        <f t="shared" si="36"/>
        <v>12999.271283580927</v>
      </c>
      <c r="K124" s="175">
        <f t="shared" si="30"/>
        <v>9779.9311389245995</v>
      </c>
      <c r="L124" s="174">
        <f t="shared" si="38"/>
        <v>3219.3401446563275</v>
      </c>
      <c r="M124" s="171">
        <f t="shared" si="26"/>
        <v>258.65940004472236</v>
      </c>
      <c r="N124" s="172">
        <f t="shared" si="27"/>
        <v>3477.9995447010497</v>
      </c>
      <c r="O124" s="171">
        <v>0</v>
      </c>
      <c r="P124" s="171">
        <v>0</v>
      </c>
      <c r="Q124" s="171">
        <v>0</v>
      </c>
      <c r="R124" s="172">
        <f t="shared" si="28"/>
        <v>3477.9995447010497</v>
      </c>
    </row>
    <row r="125" spans="1:18" x14ac:dyDescent="0.25">
      <c r="A125" s="93">
        <v>10</v>
      </c>
      <c r="B125" s="164">
        <f t="shared" si="35"/>
        <v>45566</v>
      </c>
      <c r="C125" s="184">
        <f t="shared" si="37"/>
        <v>45601</v>
      </c>
      <c r="D125" s="184">
        <f t="shared" si="37"/>
        <v>45621</v>
      </c>
      <c r="E125" s="52" t="s">
        <v>13</v>
      </c>
      <c r="F125" s="129">
        <v>9</v>
      </c>
      <c r="G125" s="166">
        <v>683</v>
      </c>
      <c r="H125" s="167">
        <f t="shared" si="25"/>
        <v>11.985209729074265</v>
      </c>
      <c r="I125" s="167">
        <f t="shared" si="34"/>
        <v>15.930479514192312</v>
      </c>
      <c r="J125" s="168">
        <f t="shared" si="36"/>
        <v>10880.517508193348</v>
      </c>
      <c r="K125" s="175">
        <f t="shared" si="30"/>
        <v>8185.8982449577234</v>
      </c>
      <c r="L125" s="174">
        <f t="shared" si="38"/>
        <v>2694.6192632356251</v>
      </c>
      <c r="M125" s="171">
        <f t="shared" si="26"/>
        <v>216.50045371390368</v>
      </c>
      <c r="N125" s="172">
        <f t="shared" si="27"/>
        <v>2911.119716949529</v>
      </c>
      <c r="O125" s="171">
        <v>0</v>
      </c>
      <c r="P125" s="171">
        <v>0</v>
      </c>
      <c r="Q125" s="171">
        <v>0</v>
      </c>
      <c r="R125" s="172">
        <f t="shared" si="28"/>
        <v>2911.119716949529</v>
      </c>
    </row>
    <row r="126" spans="1:18" x14ac:dyDescent="0.25">
      <c r="A126" s="129">
        <v>11</v>
      </c>
      <c r="B126" s="164">
        <f t="shared" si="35"/>
        <v>45597</v>
      </c>
      <c r="C126" s="184">
        <f t="shared" si="37"/>
        <v>45630</v>
      </c>
      <c r="D126" s="184">
        <f t="shared" si="37"/>
        <v>45650</v>
      </c>
      <c r="E126" s="52" t="s">
        <v>13</v>
      </c>
      <c r="F126" s="129">
        <v>9</v>
      </c>
      <c r="G126" s="166">
        <v>525</v>
      </c>
      <c r="H126" s="167">
        <f t="shared" si="25"/>
        <v>11.985209729074265</v>
      </c>
      <c r="I126" s="167">
        <f t="shared" si="34"/>
        <v>15.930479514192312</v>
      </c>
      <c r="J126" s="168">
        <f t="shared" si="36"/>
        <v>8363.5017449509633</v>
      </c>
      <c r="K126" s="175">
        <f t="shared" si="30"/>
        <v>6292.2351077639896</v>
      </c>
      <c r="L126" s="174">
        <f t="shared" si="38"/>
        <v>2071.2666371869736</v>
      </c>
      <c r="M126" s="171">
        <f t="shared" si="26"/>
        <v>166.41689341112655</v>
      </c>
      <c r="N126" s="172">
        <f t="shared" si="27"/>
        <v>2237.6835305981003</v>
      </c>
      <c r="O126" s="171">
        <v>0</v>
      </c>
      <c r="P126" s="171">
        <v>0</v>
      </c>
      <c r="Q126" s="171">
        <v>0</v>
      </c>
      <c r="R126" s="172">
        <f t="shared" si="28"/>
        <v>2237.6835305981003</v>
      </c>
    </row>
    <row r="127" spans="1:18" s="188" customFormat="1" x14ac:dyDescent="0.25">
      <c r="A127" s="129">
        <v>12</v>
      </c>
      <c r="B127" s="186">
        <f t="shared" si="35"/>
        <v>45627</v>
      </c>
      <c r="C127" s="189">
        <f t="shared" si="37"/>
        <v>45660</v>
      </c>
      <c r="D127" s="189">
        <f t="shared" si="37"/>
        <v>45681</v>
      </c>
      <c r="E127" s="187" t="s">
        <v>13</v>
      </c>
      <c r="F127" s="140">
        <v>9</v>
      </c>
      <c r="G127" s="166">
        <v>863</v>
      </c>
      <c r="H127" s="176">
        <f t="shared" si="25"/>
        <v>11.985209729074265</v>
      </c>
      <c r="I127" s="176">
        <f t="shared" si="34"/>
        <v>15.930479514192312</v>
      </c>
      <c r="J127" s="177">
        <f t="shared" si="36"/>
        <v>13748.003820747965</v>
      </c>
      <c r="K127" s="178">
        <f t="shared" si="30"/>
        <v>10343.235996191092</v>
      </c>
      <c r="L127" s="179">
        <f t="shared" si="38"/>
        <v>3404.7678245568732</v>
      </c>
      <c r="M127" s="171">
        <f t="shared" si="26"/>
        <v>273.55767431200417</v>
      </c>
      <c r="N127" s="172">
        <f t="shared" si="27"/>
        <v>3678.3254988688773</v>
      </c>
      <c r="O127" s="171">
        <v>0</v>
      </c>
      <c r="P127" s="171">
        <v>0</v>
      </c>
      <c r="Q127" s="171">
        <v>0</v>
      </c>
      <c r="R127" s="172">
        <f t="shared" si="28"/>
        <v>3678.3254988688773</v>
      </c>
    </row>
    <row r="128" spans="1:18" x14ac:dyDescent="0.25">
      <c r="A128" s="93">
        <v>1</v>
      </c>
      <c r="B128" s="164">
        <f t="shared" si="35"/>
        <v>45292</v>
      </c>
      <c r="C128" s="184">
        <f t="shared" si="37"/>
        <v>45327</v>
      </c>
      <c r="D128" s="184">
        <f t="shared" si="37"/>
        <v>45348</v>
      </c>
      <c r="E128" s="165" t="s">
        <v>15</v>
      </c>
      <c r="F128" s="93">
        <v>9</v>
      </c>
      <c r="G128" s="166">
        <v>8</v>
      </c>
      <c r="H128" s="167">
        <f t="shared" si="25"/>
        <v>11.985209729074265</v>
      </c>
      <c r="I128" s="167">
        <f t="shared" ref="I128:I147" si="39">$J$3</f>
        <v>15.930479514192312</v>
      </c>
      <c r="J128" s="168">
        <f t="shared" si="36"/>
        <v>127.4438361135385</v>
      </c>
      <c r="K128" s="169">
        <f t="shared" si="30"/>
        <v>95.881677832594121</v>
      </c>
      <c r="L128" s="170">
        <f>+J128-K128</f>
        <v>31.562158280944374</v>
      </c>
      <c r="M128" s="171">
        <f t="shared" si="26"/>
        <v>2.5358764710266901</v>
      </c>
      <c r="N128" s="172">
        <f t="shared" si="27"/>
        <v>34.098034751971063</v>
      </c>
      <c r="O128" s="171">
        <v>0</v>
      </c>
      <c r="P128" s="171">
        <v>0</v>
      </c>
      <c r="Q128" s="171">
        <v>0</v>
      </c>
      <c r="R128" s="172">
        <f t="shared" si="28"/>
        <v>34.098034751971063</v>
      </c>
    </row>
    <row r="129" spans="1:18" x14ac:dyDescent="0.25">
      <c r="A129" s="129">
        <v>2</v>
      </c>
      <c r="B129" s="164">
        <f t="shared" si="35"/>
        <v>45323</v>
      </c>
      <c r="C129" s="184">
        <f t="shared" si="37"/>
        <v>45356</v>
      </c>
      <c r="D129" s="184">
        <f t="shared" si="37"/>
        <v>45376</v>
      </c>
      <c r="E129" s="173" t="s">
        <v>15</v>
      </c>
      <c r="F129" s="129">
        <v>9</v>
      </c>
      <c r="G129" s="166">
        <v>5</v>
      </c>
      <c r="H129" s="167">
        <f t="shared" si="25"/>
        <v>11.985209729074265</v>
      </c>
      <c r="I129" s="167">
        <f t="shared" si="39"/>
        <v>15.930479514192312</v>
      </c>
      <c r="J129" s="168">
        <f t="shared" si="36"/>
        <v>79.652397570961554</v>
      </c>
      <c r="K129" s="169">
        <f t="shared" si="30"/>
        <v>59.926048645371324</v>
      </c>
      <c r="L129" s="170">
        <f>+J129-K129</f>
        <v>19.72634892559023</v>
      </c>
      <c r="M129" s="171">
        <f t="shared" si="26"/>
        <v>1.5849227943916813</v>
      </c>
      <c r="N129" s="172">
        <f t="shared" si="27"/>
        <v>21.31127171998191</v>
      </c>
      <c r="O129" s="171">
        <v>0</v>
      </c>
      <c r="P129" s="171">
        <v>0</v>
      </c>
      <c r="Q129" s="171">
        <v>0</v>
      </c>
      <c r="R129" s="172">
        <f t="shared" si="28"/>
        <v>21.31127171998191</v>
      </c>
    </row>
    <row r="130" spans="1:18" x14ac:dyDescent="0.25">
      <c r="A130" s="129">
        <v>3</v>
      </c>
      <c r="B130" s="164">
        <f t="shared" si="35"/>
        <v>45352</v>
      </c>
      <c r="C130" s="184">
        <f t="shared" si="37"/>
        <v>45385</v>
      </c>
      <c r="D130" s="184">
        <f t="shared" si="37"/>
        <v>45406</v>
      </c>
      <c r="E130" s="173" t="s">
        <v>15</v>
      </c>
      <c r="F130" s="129">
        <v>9</v>
      </c>
      <c r="G130" s="166">
        <v>5</v>
      </c>
      <c r="H130" s="167">
        <f t="shared" si="25"/>
        <v>11.985209729074265</v>
      </c>
      <c r="I130" s="167">
        <f t="shared" si="39"/>
        <v>15.930479514192312</v>
      </c>
      <c r="J130" s="168">
        <f t="shared" si="36"/>
        <v>79.652397570961554</v>
      </c>
      <c r="K130" s="169">
        <f t="shared" si="30"/>
        <v>59.926048645371324</v>
      </c>
      <c r="L130" s="170">
        <f>+J130-K130</f>
        <v>19.72634892559023</v>
      </c>
      <c r="M130" s="171">
        <f t="shared" si="26"/>
        <v>1.5849227943916813</v>
      </c>
      <c r="N130" s="172">
        <f t="shared" si="27"/>
        <v>21.31127171998191</v>
      </c>
      <c r="O130" s="171">
        <v>0</v>
      </c>
      <c r="P130" s="171">
        <v>0</v>
      </c>
      <c r="Q130" s="171">
        <v>0</v>
      </c>
      <c r="R130" s="172">
        <f t="shared" si="28"/>
        <v>21.31127171998191</v>
      </c>
    </row>
    <row r="131" spans="1:18" x14ac:dyDescent="0.25">
      <c r="A131" s="93">
        <v>4</v>
      </c>
      <c r="B131" s="164">
        <f t="shared" si="35"/>
        <v>45383</v>
      </c>
      <c r="C131" s="184">
        <f t="shared" si="37"/>
        <v>45415</v>
      </c>
      <c r="D131" s="184">
        <f t="shared" si="37"/>
        <v>45436</v>
      </c>
      <c r="E131" s="173" t="s">
        <v>15</v>
      </c>
      <c r="F131" s="129">
        <v>9</v>
      </c>
      <c r="G131" s="166">
        <v>6</v>
      </c>
      <c r="H131" s="167">
        <f t="shared" si="25"/>
        <v>11.985209729074265</v>
      </c>
      <c r="I131" s="167">
        <f t="shared" si="39"/>
        <v>15.930479514192312</v>
      </c>
      <c r="J131" s="168">
        <f t="shared" si="36"/>
        <v>95.582877085153868</v>
      </c>
      <c r="K131" s="169">
        <f t="shared" si="30"/>
        <v>71.911258374445595</v>
      </c>
      <c r="L131" s="170">
        <f t="shared" ref="L131:L141" si="40">+J131-K131</f>
        <v>23.671618710708273</v>
      </c>
      <c r="M131" s="171">
        <f t="shared" si="26"/>
        <v>1.9019073532700175</v>
      </c>
      <c r="N131" s="172">
        <f t="shared" si="27"/>
        <v>25.573526063978292</v>
      </c>
      <c r="O131" s="171">
        <v>0</v>
      </c>
      <c r="P131" s="171">
        <v>0</v>
      </c>
      <c r="Q131" s="171">
        <v>0</v>
      </c>
      <c r="R131" s="172">
        <f t="shared" si="28"/>
        <v>25.573526063978292</v>
      </c>
    </row>
    <row r="132" spans="1:18" x14ac:dyDescent="0.25">
      <c r="A132" s="129">
        <v>5</v>
      </c>
      <c r="B132" s="164">
        <f t="shared" si="35"/>
        <v>45413</v>
      </c>
      <c r="C132" s="184">
        <f t="shared" si="37"/>
        <v>45448</v>
      </c>
      <c r="D132" s="184">
        <f t="shared" si="37"/>
        <v>45467</v>
      </c>
      <c r="E132" s="52" t="s">
        <v>15</v>
      </c>
      <c r="F132" s="129">
        <v>9</v>
      </c>
      <c r="G132" s="166">
        <v>9</v>
      </c>
      <c r="H132" s="167">
        <f t="shared" si="25"/>
        <v>11.985209729074265</v>
      </c>
      <c r="I132" s="167">
        <f t="shared" si="39"/>
        <v>15.930479514192312</v>
      </c>
      <c r="J132" s="168">
        <f t="shared" si="36"/>
        <v>143.37431562773079</v>
      </c>
      <c r="K132" s="169">
        <f t="shared" si="30"/>
        <v>107.86688756166839</v>
      </c>
      <c r="L132" s="170">
        <f t="shared" si="40"/>
        <v>35.507428066062403</v>
      </c>
      <c r="M132" s="171">
        <f t="shared" si="26"/>
        <v>2.8528610299050263</v>
      </c>
      <c r="N132" s="172">
        <f t="shared" si="27"/>
        <v>38.360289095967431</v>
      </c>
      <c r="O132" s="171">
        <v>0</v>
      </c>
      <c r="P132" s="171">
        <v>0</v>
      </c>
      <c r="Q132" s="171">
        <v>0</v>
      </c>
      <c r="R132" s="172">
        <f t="shared" si="28"/>
        <v>38.360289095967431</v>
      </c>
    </row>
    <row r="133" spans="1:18" x14ac:dyDescent="0.25">
      <c r="A133" s="129">
        <v>6</v>
      </c>
      <c r="B133" s="164">
        <f t="shared" si="35"/>
        <v>45444</v>
      </c>
      <c r="C133" s="184">
        <f t="shared" si="37"/>
        <v>45476</v>
      </c>
      <c r="D133" s="184">
        <f t="shared" si="37"/>
        <v>45497</v>
      </c>
      <c r="E133" s="52" t="s">
        <v>15</v>
      </c>
      <c r="F133" s="129">
        <v>9</v>
      </c>
      <c r="G133" s="166">
        <v>14</v>
      </c>
      <c r="H133" s="167">
        <f t="shared" si="25"/>
        <v>11.985209729074265</v>
      </c>
      <c r="I133" s="167">
        <f t="shared" si="39"/>
        <v>15.930479514192312</v>
      </c>
      <c r="J133" s="168">
        <f t="shared" si="36"/>
        <v>223.02671319869236</v>
      </c>
      <c r="K133" s="169">
        <f t="shared" si="30"/>
        <v>167.7929362070397</v>
      </c>
      <c r="L133" s="174">
        <f t="shared" si="40"/>
        <v>55.233776991652661</v>
      </c>
      <c r="M133" s="171">
        <f t="shared" si="26"/>
        <v>4.4377838242967078</v>
      </c>
      <c r="N133" s="172">
        <f t="shared" si="27"/>
        <v>59.67156081594937</v>
      </c>
      <c r="O133" s="171">
        <v>0</v>
      </c>
      <c r="P133" s="171">
        <v>0</v>
      </c>
      <c r="Q133" s="171">
        <v>0</v>
      </c>
      <c r="R133" s="172">
        <f t="shared" si="28"/>
        <v>59.67156081594937</v>
      </c>
    </row>
    <row r="134" spans="1:18" x14ac:dyDescent="0.25">
      <c r="A134" s="93">
        <v>7</v>
      </c>
      <c r="B134" s="164">
        <f t="shared" si="35"/>
        <v>45474</v>
      </c>
      <c r="C134" s="184">
        <f t="shared" si="37"/>
        <v>45509</v>
      </c>
      <c r="D134" s="184">
        <f t="shared" si="37"/>
        <v>45530</v>
      </c>
      <c r="E134" s="52" t="s">
        <v>15</v>
      </c>
      <c r="F134" s="129">
        <v>9</v>
      </c>
      <c r="G134" s="166">
        <v>17</v>
      </c>
      <c r="H134" s="167">
        <f t="shared" si="25"/>
        <v>11.985209729074265</v>
      </c>
      <c r="I134" s="167">
        <f t="shared" si="39"/>
        <v>15.930479514192312</v>
      </c>
      <c r="J134" s="168">
        <f t="shared" si="36"/>
        <v>270.81815174126928</v>
      </c>
      <c r="K134" s="175">
        <f t="shared" ref="K134:K197" si="41">+$G134*H134</f>
        <v>203.7485653942625</v>
      </c>
      <c r="L134" s="174">
        <f t="shared" si="40"/>
        <v>67.069586347006776</v>
      </c>
      <c r="M134" s="171">
        <f t="shared" si="26"/>
        <v>5.3887375009317164</v>
      </c>
      <c r="N134" s="172">
        <f t="shared" si="27"/>
        <v>72.458323847938487</v>
      </c>
      <c r="O134" s="171">
        <v>0</v>
      </c>
      <c r="P134" s="171">
        <v>0</v>
      </c>
      <c r="Q134" s="171">
        <v>0</v>
      </c>
      <c r="R134" s="172">
        <f t="shared" si="28"/>
        <v>72.458323847938487</v>
      </c>
    </row>
    <row r="135" spans="1:18" x14ac:dyDescent="0.25">
      <c r="A135" s="129">
        <v>8</v>
      </c>
      <c r="B135" s="164">
        <f t="shared" si="35"/>
        <v>45505</v>
      </c>
      <c r="C135" s="184">
        <f t="shared" si="37"/>
        <v>45539</v>
      </c>
      <c r="D135" s="184">
        <f t="shared" si="37"/>
        <v>45559</v>
      </c>
      <c r="E135" s="52" t="s">
        <v>15</v>
      </c>
      <c r="F135" s="129">
        <v>9</v>
      </c>
      <c r="G135" s="166">
        <v>19</v>
      </c>
      <c r="H135" s="167">
        <f t="shared" si="25"/>
        <v>11.985209729074265</v>
      </c>
      <c r="I135" s="167">
        <f t="shared" si="39"/>
        <v>15.930479514192312</v>
      </c>
      <c r="J135" s="168">
        <f t="shared" si="36"/>
        <v>302.6791107696539</v>
      </c>
      <c r="K135" s="175">
        <f t="shared" si="41"/>
        <v>227.71898485241104</v>
      </c>
      <c r="L135" s="174">
        <f t="shared" si="40"/>
        <v>74.960125917242863</v>
      </c>
      <c r="M135" s="171">
        <f t="shared" si="26"/>
        <v>6.0227066186883889</v>
      </c>
      <c r="N135" s="172">
        <f t="shared" si="27"/>
        <v>80.982832535931252</v>
      </c>
      <c r="O135" s="171">
        <v>0</v>
      </c>
      <c r="P135" s="171">
        <v>0</v>
      </c>
      <c r="Q135" s="171">
        <v>0</v>
      </c>
      <c r="R135" s="172">
        <f t="shared" si="28"/>
        <v>80.982832535931252</v>
      </c>
    </row>
    <row r="136" spans="1:18" x14ac:dyDescent="0.25">
      <c r="A136" s="129">
        <v>9</v>
      </c>
      <c r="B136" s="164">
        <f t="shared" si="35"/>
        <v>45536</v>
      </c>
      <c r="C136" s="184">
        <f t="shared" si="37"/>
        <v>45568</v>
      </c>
      <c r="D136" s="184">
        <f t="shared" si="37"/>
        <v>45589</v>
      </c>
      <c r="E136" s="52" t="s">
        <v>15</v>
      </c>
      <c r="F136" s="129">
        <v>9</v>
      </c>
      <c r="G136" s="166">
        <v>11</v>
      </c>
      <c r="H136" s="167">
        <f t="shared" si="25"/>
        <v>11.985209729074265</v>
      </c>
      <c r="I136" s="167">
        <f t="shared" si="39"/>
        <v>15.930479514192312</v>
      </c>
      <c r="J136" s="168">
        <f t="shared" si="36"/>
        <v>175.23527465611542</v>
      </c>
      <c r="K136" s="175">
        <f t="shared" si="41"/>
        <v>131.8373070198169</v>
      </c>
      <c r="L136" s="174">
        <f t="shared" si="40"/>
        <v>43.397967636298517</v>
      </c>
      <c r="M136" s="171">
        <f t="shared" si="26"/>
        <v>3.4868301476616987</v>
      </c>
      <c r="N136" s="172">
        <f t="shared" si="27"/>
        <v>46.884797783960217</v>
      </c>
      <c r="O136" s="171">
        <v>0</v>
      </c>
      <c r="P136" s="171">
        <v>0</v>
      </c>
      <c r="Q136" s="171">
        <v>0</v>
      </c>
      <c r="R136" s="172">
        <f t="shared" si="28"/>
        <v>46.884797783960217</v>
      </c>
    </row>
    <row r="137" spans="1:18" x14ac:dyDescent="0.25">
      <c r="A137" s="93">
        <v>10</v>
      </c>
      <c r="B137" s="164">
        <f t="shared" si="35"/>
        <v>45566</v>
      </c>
      <c r="C137" s="184">
        <f t="shared" si="37"/>
        <v>45601</v>
      </c>
      <c r="D137" s="184">
        <f t="shared" si="37"/>
        <v>45621</v>
      </c>
      <c r="E137" s="52" t="s">
        <v>15</v>
      </c>
      <c r="F137" s="129">
        <v>9</v>
      </c>
      <c r="G137" s="166">
        <v>6</v>
      </c>
      <c r="H137" s="167">
        <f t="shared" si="25"/>
        <v>11.985209729074265</v>
      </c>
      <c r="I137" s="167">
        <f t="shared" si="39"/>
        <v>15.930479514192312</v>
      </c>
      <c r="J137" s="168">
        <f t="shared" si="36"/>
        <v>95.582877085153868</v>
      </c>
      <c r="K137" s="175">
        <f t="shared" si="41"/>
        <v>71.911258374445595</v>
      </c>
      <c r="L137" s="174">
        <f t="shared" si="40"/>
        <v>23.671618710708273</v>
      </c>
      <c r="M137" s="171">
        <f t="shared" si="26"/>
        <v>1.9019073532700175</v>
      </c>
      <c r="N137" s="172">
        <f t="shared" si="27"/>
        <v>25.573526063978292</v>
      </c>
      <c r="O137" s="171">
        <v>0</v>
      </c>
      <c r="P137" s="171">
        <v>0</v>
      </c>
      <c r="Q137" s="171">
        <v>0</v>
      </c>
      <c r="R137" s="172">
        <f t="shared" si="28"/>
        <v>25.573526063978292</v>
      </c>
    </row>
    <row r="138" spans="1:18" x14ac:dyDescent="0.25">
      <c r="A138" s="129">
        <v>11</v>
      </c>
      <c r="B138" s="164">
        <f t="shared" si="35"/>
        <v>45597</v>
      </c>
      <c r="C138" s="184">
        <f t="shared" si="37"/>
        <v>45630</v>
      </c>
      <c r="D138" s="184">
        <f t="shared" si="37"/>
        <v>45650</v>
      </c>
      <c r="E138" s="52" t="s">
        <v>15</v>
      </c>
      <c r="F138" s="129">
        <v>9</v>
      </c>
      <c r="G138" s="166">
        <v>6</v>
      </c>
      <c r="H138" s="167">
        <f t="shared" si="25"/>
        <v>11.985209729074265</v>
      </c>
      <c r="I138" s="167">
        <f t="shared" si="39"/>
        <v>15.930479514192312</v>
      </c>
      <c r="J138" s="168">
        <f t="shared" si="36"/>
        <v>95.582877085153868</v>
      </c>
      <c r="K138" s="175">
        <f t="shared" si="41"/>
        <v>71.911258374445595</v>
      </c>
      <c r="L138" s="174">
        <f t="shared" si="40"/>
        <v>23.671618710708273</v>
      </c>
      <c r="M138" s="171">
        <f t="shared" si="26"/>
        <v>1.9019073532700175</v>
      </c>
      <c r="N138" s="172">
        <f t="shared" si="27"/>
        <v>25.573526063978292</v>
      </c>
      <c r="O138" s="171">
        <v>0</v>
      </c>
      <c r="P138" s="171">
        <v>0</v>
      </c>
      <c r="Q138" s="171">
        <v>0</v>
      </c>
      <c r="R138" s="172">
        <f t="shared" si="28"/>
        <v>25.573526063978292</v>
      </c>
    </row>
    <row r="139" spans="1:18" s="188" customFormat="1" x14ac:dyDescent="0.25">
      <c r="A139" s="129">
        <v>12</v>
      </c>
      <c r="B139" s="186">
        <f t="shared" si="35"/>
        <v>45627</v>
      </c>
      <c r="C139" s="184">
        <f t="shared" si="37"/>
        <v>45660</v>
      </c>
      <c r="D139" s="184">
        <f t="shared" si="37"/>
        <v>45681</v>
      </c>
      <c r="E139" s="187" t="s">
        <v>15</v>
      </c>
      <c r="F139" s="140">
        <v>9</v>
      </c>
      <c r="G139" s="166">
        <v>6</v>
      </c>
      <c r="H139" s="176">
        <f t="shared" si="25"/>
        <v>11.985209729074265</v>
      </c>
      <c r="I139" s="176">
        <f t="shared" si="39"/>
        <v>15.930479514192312</v>
      </c>
      <c r="J139" s="177">
        <f t="shared" si="36"/>
        <v>95.582877085153868</v>
      </c>
      <c r="K139" s="178">
        <f t="shared" si="41"/>
        <v>71.911258374445595</v>
      </c>
      <c r="L139" s="179">
        <f t="shared" si="40"/>
        <v>23.671618710708273</v>
      </c>
      <c r="M139" s="171">
        <f t="shared" si="26"/>
        <v>1.9019073532700175</v>
      </c>
      <c r="N139" s="172">
        <f t="shared" si="27"/>
        <v>25.573526063978292</v>
      </c>
      <c r="O139" s="171">
        <v>0</v>
      </c>
      <c r="P139" s="171">
        <v>0</v>
      </c>
      <c r="Q139" s="171">
        <v>0</v>
      </c>
      <c r="R139" s="172">
        <f t="shared" si="28"/>
        <v>25.573526063978292</v>
      </c>
    </row>
    <row r="140" spans="1:18" x14ac:dyDescent="0.25">
      <c r="A140" s="93">
        <v>1</v>
      </c>
      <c r="B140" s="164">
        <f t="shared" si="35"/>
        <v>45292</v>
      </c>
      <c r="C140" s="181">
        <f t="shared" ref="C140:D151" si="42">+C128</f>
        <v>45327</v>
      </c>
      <c r="D140" s="181">
        <f t="shared" si="42"/>
        <v>45348</v>
      </c>
      <c r="E140" s="191" t="s">
        <v>16</v>
      </c>
      <c r="F140" s="129">
        <v>9</v>
      </c>
      <c r="G140" s="166">
        <v>4</v>
      </c>
      <c r="H140" s="167">
        <f t="shared" si="25"/>
        <v>11.985209729074265</v>
      </c>
      <c r="I140" s="167">
        <f t="shared" si="39"/>
        <v>15.930479514192312</v>
      </c>
      <c r="J140" s="168">
        <f t="shared" si="36"/>
        <v>63.721918056769248</v>
      </c>
      <c r="K140" s="169">
        <f t="shared" si="41"/>
        <v>47.940838916297061</v>
      </c>
      <c r="L140" s="170">
        <f t="shared" si="40"/>
        <v>15.781079140472187</v>
      </c>
      <c r="M140" s="171">
        <f t="shared" si="26"/>
        <v>1.2679382355133451</v>
      </c>
      <c r="N140" s="172">
        <f t="shared" si="27"/>
        <v>17.049017375985532</v>
      </c>
      <c r="O140" s="171">
        <v>0</v>
      </c>
      <c r="P140" s="171">
        <v>0</v>
      </c>
      <c r="Q140" s="171">
        <v>0</v>
      </c>
      <c r="R140" s="172">
        <f t="shared" si="28"/>
        <v>17.049017375985532</v>
      </c>
    </row>
    <row r="141" spans="1:18" x14ac:dyDescent="0.25">
      <c r="A141" s="129">
        <v>2</v>
      </c>
      <c r="B141" s="164">
        <f t="shared" si="35"/>
        <v>45323</v>
      </c>
      <c r="C141" s="184">
        <f t="shared" si="42"/>
        <v>45356</v>
      </c>
      <c r="D141" s="184">
        <f t="shared" si="42"/>
        <v>45376</v>
      </c>
      <c r="E141" s="52" t="s">
        <v>16</v>
      </c>
      <c r="F141" s="129">
        <v>9</v>
      </c>
      <c r="G141" s="166">
        <v>3</v>
      </c>
      <c r="H141" s="167">
        <f t="shared" si="25"/>
        <v>11.985209729074265</v>
      </c>
      <c r="I141" s="167">
        <f t="shared" si="39"/>
        <v>15.930479514192312</v>
      </c>
      <c r="J141" s="168">
        <f t="shared" si="36"/>
        <v>47.791438542576934</v>
      </c>
      <c r="K141" s="169">
        <f t="shared" si="41"/>
        <v>35.955629187222797</v>
      </c>
      <c r="L141" s="170">
        <f t="shared" si="40"/>
        <v>11.835809355354137</v>
      </c>
      <c r="M141" s="171">
        <f t="shared" si="26"/>
        <v>0.95095367663500874</v>
      </c>
      <c r="N141" s="172">
        <f t="shared" si="27"/>
        <v>12.786763031989146</v>
      </c>
      <c r="O141" s="171">
        <v>0</v>
      </c>
      <c r="P141" s="171">
        <v>0</v>
      </c>
      <c r="Q141" s="171">
        <v>0</v>
      </c>
      <c r="R141" s="172">
        <f t="shared" si="28"/>
        <v>12.786763031989146</v>
      </c>
    </row>
    <row r="142" spans="1:18" x14ac:dyDescent="0.25">
      <c r="A142" s="129">
        <v>3</v>
      </c>
      <c r="B142" s="164">
        <f t="shared" si="35"/>
        <v>45352</v>
      </c>
      <c r="C142" s="184">
        <f t="shared" si="42"/>
        <v>45385</v>
      </c>
      <c r="D142" s="184">
        <f t="shared" si="42"/>
        <v>45406</v>
      </c>
      <c r="E142" s="52" t="s">
        <v>16</v>
      </c>
      <c r="F142" s="129">
        <v>9</v>
      </c>
      <c r="G142" s="166">
        <v>3</v>
      </c>
      <c r="H142" s="167">
        <f t="shared" si="25"/>
        <v>11.985209729074265</v>
      </c>
      <c r="I142" s="167">
        <f t="shared" si="39"/>
        <v>15.930479514192312</v>
      </c>
      <c r="J142" s="168">
        <f t="shared" si="36"/>
        <v>47.791438542576934</v>
      </c>
      <c r="K142" s="169">
        <f t="shared" si="41"/>
        <v>35.955629187222797</v>
      </c>
      <c r="L142" s="170">
        <f>+J142-K142</f>
        <v>11.835809355354137</v>
      </c>
      <c r="M142" s="171">
        <f t="shared" si="26"/>
        <v>0.95095367663500874</v>
      </c>
      <c r="N142" s="172">
        <f t="shared" si="27"/>
        <v>12.786763031989146</v>
      </c>
      <c r="O142" s="171">
        <v>0</v>
      </c>
      <c r="P142" s="171">
        <v>0</v>
      </c>
      <c r="Q142" s="171">
        <v>0</v>
      </c>
      <c r="R142" s="172">
        <f t="shared" si="28"/>
        <v>12.786763031989146</v>
      </c>
    </row>
    <row r="143" spans="1:18" x14ac:dyDescent="0.25">
      <c r="A143" s="93">
        <v>4</v>
      </c>
      <c r="B143" s="164">
        <f t="shared" si="35"/>
        <v>45383</v>
      </c>
      <c r="C143" s="184">
        <f t="shared" si="42"/>
        <v>45415</v>
      </c>
      <c r="D143" s="184">
        <f t="shared" si="42"/>
        <v>45436</v>
      </c>
      <c r="E143" s="52" t="s">
        <v>16</v>
      </c>
      <c r="F143" s="129">
        <v>9</v>
      </c>
      <c r="G143" s="166">
        <v>2</v>
      </c>
      <c r="H143" s="167">
        <f t="shared" si="25"/>
        <v>11.985209729074265</v>
      </c>
      <c r="I143" s="167">
        <f t="shared" si="39"/>
        <v>15.930479514192312</v>
      </c>
      <c r="J143" s="168">
        <f t="shared" si="36"/>
        <v>31.860959028384624</v>
      </c>
      <c r="K143" s="169">
        <f t="shared" si="41"/>
        <v>23.97041945814853</v>
      </c>
      <c r="L143" s="170">
        <f t="shared" ref="L143:L153" si="43">+J143-K143</f>
        <v>7.8905395702360934</v>
      </c>
      <c r="M143" s="171">
        <f t="shared" si="26"/>
        <v>0.63396911775667253</v>
      </c>
      <c r="N143" s="172">
        <f t="shared" si="27"/>
        <v>8.5245086879927658</v>
      </c>
      <c r="O143" s="171">
        <v>0</v>
      </c>
      <c r="P143" s="171">
        <v>0</v>
      </c>
      <c r="Q143" s="171">
        <v>0</v>
      </c>
      <c r="R143" s="172">
        <f t="shared" si="28"/>
        <v>8.5245086879927658</v>
      </c>
    </row>
    <row r="144" spans="1:18" x14ac:dyDescent="0.25">
      <c r="A144" s="129">
        <v>5</v>
      </c>
      <c r="B144" s="164">
        <f t="shared" si="35"/>
        <v>45413</v>
      </c>
      <c r="C144" s="184">
        <f t="shared" si="42"/>
        <v>45448</v>
      </c>
      <c r="D144" s="184">
        <f t="shared" si="42"/>
        <v>45467</v>
      </c>
      <c r="E144" s="52" t="s">
        <v>16</v>
      </c>
      <c r="F144" s="129">
        <v>9</v>
      </c>
      <c r="G144" s="166">
        <v>4</v>
      </c>
      <c r="H144" s="167">
        <f t="shared" si="25"/>
        <v>11.985209729074265</v>
      </c>
      <c r="I144" s="167">
        <f t="shared" si="39"/>
        <v>15.930479514192312</v>
      </c>
      <c r="J144" s="168">
        <f t="shared" si="36"/>
        <v>63.721918056769248</v>
      </c>
      <c r="K144" s="169">
        <f t="shared" si="41"/>
        <v>47.940838916297061</v>
      </c>
      <c r="L144" s="170">
        <f t="shared" si="43"/>
        <v>15.781079140472187</v>
      </c>
      <c r="M144" s="171">
        <f t="shared" si="26"/>
        <v>1.2679382355133451</v>
      </c>
      <c r="N144" s="172">
        <f t="shared" si="27"/>
        <v>17.049017375985532</v>
      </c>
      <c r="O144" s="171">
        <v>0</v>
      </c>
      <c r="P144" s="171">
        <v>0</v>
      </c>
      <c r="Q144" s="171">
        <v>0</v>
      </c>
      <c r="R144" s="172">
        <f t="shared" si="28"/>
        <v>17.049017375985532</v>
      </c>
    </row>
    <row r="145" spans="1:19" x14ac:dyDescent="0.25">
      <c r="A145" s="129">
        <v>6</v>
      </c>
      <c r="B145" s="164">
        <f t="shared" si="35"/>
        <v>45444</v>
      </c>
      <c r="C145" s="184">
        <f t="shared" si="42"/>
        <v>45476</v>
      </c>
      <c r="D145" s="184">
        <f t="shared" si="42"/>
        <v>45497</v>
      </c>
      <c r="E145" s="52" t="s">
        <v>16</v>
      </c>
      <c r="F145" s="129">
        <v>9</v>
      </c>
      <c r="G145" s="166">
        <v>4</v>
      </c>
      <c r="H145" s="167">
        <f t="shared" si="25"/>
        <v>11.985209729074265</v>
      </c>
      <c r="I145" s="167">
        <f t="shared" si="39"/>
        <v>15.930479514192312</v>
      </c>
      <c r="J145" s="168">
        <f t="shared" si="36"/>
        <v>63.721918056769248</v>
      </c>
      <c r="K145" s="169">
        <f t="shared" si="41"/>
        <v>47.940838916297061</v>
      </c>
      <c r="L145" s="174">
        <f t="shared" si="43"/>
        <v>15.781079140472187</v>
      </c>
      <c r="M145" s="171">
        <f t="shared" si="26"/>
        <v>1.2679382355133451</v>
      </c>
      <c r="N145" s="172">
        <f t="shared" si="27"/>
        <v>17.049017375985532</v>
      </c>
      <c r="O145" s="171">
        <v>0</v>
      </c>
      <c r="P145" s="171">
        <v>0</v>
      </c>
      <c r="Q145" s="171">
        <v>0</v>
      </c>
      <c r="R145" s="172">
        <f t="shared" si="28"/>
        <v>17.049017375985532</v>
      </c>
    </row>
    <row r="146" spans="1:19" x14ac:dyDescent="0.25">
      <c r="A146" s="93">
        <v>7</v>
      </c>
      <c r="B146" s="164">
        <f t="shared" si="35"/>
        <v>45474</v>
      </c>
      <c r="C146" s="184">
        <f t="shared" si="42"/>
        <v>45509</v>
      </c>
      <c r="D146" s="184">
        <f t="shared" si="42"/>
        <v>45530</v>
      </c>
      <c r="E146" s="52" t="s">
        <v>16</v>
      </c>
      <c r="F146" s="129">
        <v>9</v>
      </c>
      <c r="G146" s="166">
        <v>6</v>
      </c>
      <c r="H146" s="167">
        <f t="shared" si="25"/>
        <v>11.985209729074265</v>
      </c>
      <c r="I146" s="167">
        <f t="shared" si="39"/>
        <v>15.930479514192312</v>
      </c>
      <c r="J146" s="168">
        <f t="shared" si="36"/>
        <v>95.582877085153868</v>
      </c>
      <c r="K146" s="175">
        <f t="shared" si="41"/>
        <v>71.911258374445595</v>
      </c>
      <c r="L146" s="174">
        <f t="shared" si="43"/>
        <v>23.671618710708273</v>
      </c>
      <c r="M146" s="171">
        <f t="shared" si="26"/>
        <v>1.9019073532700175</v>
      </c>
      <c r="N146" s="172">
        <f t="shared" si="27"/>
        <v>25.573526063978292</v>
      </c>
      <c r="O146" s="171">
        <v>0</v>
      </c>
      <c r="P146" s="171">
        <v>0</v>
      </c>
      <c r="Q146" s="171">
        <v>0</v>
      </c>
      <c r="R146" s="172">
        <f t="shared" si="28"/>
        <v>25.573526063978292</v>
      </c>
    </row>
    <row r="147" spans="1:19" x14ac:dyDescent="0.25">
      <c r="A147" s="129">
        <v>8</v>
      </c>
      <c r="B147" s="164">
        <f t="shared" si="35"/>
        <v>45505</v>
      </c>
      <c r="C147" s="184">
        <f t="shared" si="42"/>
        <v>45539</v>
      </c>
      <c r="D147" s="184">
        <f t="shared" si="42"/>
        <v>45559</v>
      </c>
      <c r="E147" s="52" t="s">
        <v>16</v>
      </c>
      <c r="F147" s="129">
        <v>9</v>
      </c>
      <c r="G147" s="166">
        <v>6</v>
      </c>
      <c r="H147" s="167">
        <f t="shared" si="25"/>
        <v>11.985209729074265</v>
      </c>
      <c r="I147" s="167">
        <f t="shared" si="39"/>
        <v>15.930479514192312</v>
      </c>
      <c r="J147" s="168">
        <f t="shared" si="36"/>
        <v>95.582877085153868</v>
      </c>
      <c r="K147" s="175">
        <f t="shared" si="41"/>
        <v>71.911258374445595</v>
      </c>
      <c r="L147" s="174">
        <f t="shared" si="43"/>
        <v>23.671618710708273</v>
      </c>
      <c r="M147" s="171">
        <f t="shared" si="26"/>
        <v>1.9019073532700175</v>
      </c>
      <c r="N147" s="172">
        <f t="shared" si="27"/>
        <v>25.573526063978292</v>
      </c>
      <c r="O147" s="171">
        <v>0</v>
      </c>
      <c r="P147" s="171">
        <v>0</v>
      </c>
      <c r="Q147" s="171">
        <v>0</v>
      </c>
      <c r="R147" s="172">
        <f t="shared" si="28"/>
        <v>25.573526063978292</v>
      </c>
    </row>
    <row r="148" spans="1:19" x14ac:dyDescent="0.25">
      <c r="A148" s="129">
        <v>9</v>
      </c>
      <c r="B148" s="164">
        <f t="shared" si="35"/>
        <v>45536</v>
      </c>
      <c r="C148" s="184">
        <f t="shared" si="42"/>
        <v>45568</v>
      </c>
      <c r="D148" s="184">
        <f t="shared" si="42"/>
        <v>45589</v>
      </c>
      <c r="E148" s="52" t="s">
        <v>16</v>
      </c>
      <c r="F148" s="129">
        <v>9</v>
      </c>
      <c r="G148" s="166">
        <v>3</v>
      </c>
      <c r="H148" s="167">
        <f t="shared" si="25"/>
        <v>11.985209729074265</v>
      </c>
      <c r="I148" s="167">
        <f t="shared" ref="I148:I179" si="44">$J$3</f>
        <v>15.930479514192312</v>
      </c>
      <c r="J148" s="168">
        <f t="shared" si="36"/>
        <v>47.791438542576934</v>
      </c>
      <c r="K148" s="175">
        <f t="shared" si="41"/>
        <v>35.955629187222797</v>
      </c>
      <c r="L148" s="174">
        <f t="shared" si="43"/>
        <v>11.835809355354137</v>
      </c>
      <c r="M148" s="171">
        <f t="shared" si="26"/>
        <v>0.95095367663500874</v>
      </c>
      <c r="N148" s="172">
        <f t="shared" si="27"/>
        <v>12.786763031989146</v>
      </c>
      <c r="O148" s="171">
        <v>0</v>
      </c>
      <c r="P148" s="171">
        <v>0</v>
      </c>
      <c r="Q148" s="171">
        <v>0</v>
      </c>
      <c r="R148" s="172">
        <f t="shared" si="28"/>
        <v>12.786763031989146</v>
      </c>
    </row>
    <row r="149" spans="1:19" x14ac:dyDescent="0.25">
      <c r="A149" s="93">
        <v>10</v>
      </c>
      <c r="B149" s="164">
        <f t="shared" ref="B149:B211" si="45">DATE($R$1,A149,1)</f>
        <v>45566</v>
      </c>
      <c r="C149" s="184">
        <f t="shared" si="42"/>
        <v>45601</v>
      </c>
      <c r="D149" s="184">
        <f t="shared" si="42"/>
        <v>45621</v>
      </c>
      <c r="E149" s="52" t="s">
        <v>16</v>
      </c>
      <c r="F149" s="129">
        <v>9</v>
      </c>
      <c r="G149" s="166">
        <v>6</v>
      </c>
      <c r="H149" s="167">
        <f t="shared" ref="H149:H211" si="46">+$K$3</f>
        <v>11.985209729074265</v>
      </c>
      <c r="I149" s="167">
        <f t="shared" si="44"/>
        <v>15.930479514192312</v>
      </c>
      <c r="J149" s="168">
        <f t="shared" ref="J149:J211" si="47">+$G149*I149</f>
        <v>95.582877085153868</v>
      </c>
      <c r="K149" s="175">
        <f t="shared" si="41"/>
        <v>71.911258374445595</v>
      </c>
      <c r="L149" s="174">
        <f t="shared" si="43"/>
        <v>23.671618710708273</v>
      </c>
      <c r="M149" s="171">
        <f t="shared" ref="M149:M211" si="48">G149/$G$212*$M$14</f>
        <v>1.9019073532700175</v>
      </c>
      <c r="N149" s="172">
        <f t="shared" ref="N149:N211" si="49">SUM(L149:M149)</f>
        <v>25.573526063978292</v>
      </c>
      <c r="O149" s="171">
        <v>0</v>
      </c>
      <c r="P149" s="171">
        <v>0</v>
      </c>
      <c r="Q149" s="171">
        <v>0</v>
      </c>
      <c r="R149" s="172">
        <f t="shared" ref="R149:R211" si="50">+N149-Q149</f>
        <v>25.573526063978292</v>
      </c>
    </row>
    <row r="150" spans="1:19" x14ac:dyDescent="0.25">
      <c r="A150" s="129">
        <v>11</v>
      </c>
      <c r="B150" s="164">
        <f t="shared" si="45"/>
        <v>45597</v>
      </c>
      <c r="C150" s="184">
        <f t="shared" si="42"/>
        <v>45630</v>
      </c>
      <c r="D150" s="184">
        <f t="shared" si="42"/>
        <v>45650</v>
      </c>
      <c r="E150" s="52" t="s">
        <v>16</v>
      </c>
      <c r="F150" s="129">
        <v>9</v>
      </c>
      <c r="G150" s="166">
        <v>1</v>
      </c>
      <c r="H150" s="167">
        <f t="shared" si="46"/>
        <v>11.985209729074265</v>
      </c>
      <c r="I150" s="167">
        <f t="shared" si="44"/>
        <v>15.930479514192312</v>
      </c>
      <c r="J150" s="168">
        <f t="shared" si="47"/>
        <v>15.930479514192312</v>
      </c>
      <c r="K150" s="175">
        <f t="shared" si="41"/>
        <v>11.985209729074265</v>
      </c>
      <c r="L150" s="174">
        <f t="shared" si="43"/>
        <v>3.9452697851180467</v>
      </c>
      <c r="M150" s="171">
        <f t="shared" si="48"/>
        <v>0.31698455887833626</v>
      </c>
      <c r="N150" s="172">
        <f t="shared" si="49"/>
        <v>4.2622543439963829</v>
      </c>
      <c r="O150" s="171">
        <v>0</v>
      </c>
      <c r="P150" s="171">
        <v>0</v>
      </c>
      <c r="Q150" s="171">
        <v>0</v>
      </c>
      <c r="R150" s="172">
        <f t="shared" si="50"/>
        <v>4.2622543439963829</v>
      </c>
    </row>
    <row r="151" spans="1:19" s="188" customFormat="1" x14ac:dyDescent="0.25">
      <c r="A151" s="129">
        <v>12</v>
      </c>
      <c r="B151" s="186">
        <f t="shared" si="45"/>
        <v>45627</v>
      </c>
      <c r="C151" s="184">
        <f t="shared" si="42"/>
        <v>45660</v>
      </c>
      <c r="D151" s="184">
        <f t="shared" si="42"/>
        <v>45681</v>
      </c>
      <c r="E151" s="187" t="s">
        <v>16</v>
      </c>
      <c r="F151" s="140">
        <v>9</v>
      </c>
      <c r="G151" s="166">
        <v>3</v>
      </c>
      <c r="H151" s="176">
        <f t="shared" si="46"/>
        <v>11.985209729074265</v>
      </c>
      <c r="I151" s="176">
        <f t="shared" si="44"/>
        <v>15.930479514192312</v>
      </c>
      <c r="J151" s="177">
        <f t="shared" si="47"/>
        <v>47.791438542576934</v>
      </c>
      <c r="K151" s="178">
        <f t="shared" si="41"/>
        <v>35.955629187222797</v>
      </c>
      <c r="L151" s="179">
        <f t="shared" si="43"/>
        <v>11.835809355354137</v>
      </c>
      <c r="M151" s="171">
        <f t="shared" si="48"/>
        <v>0.95095367663500874</v>
      </c>
      <c r="N151" s="172">
        <f t="shared" si="49"/>
        <v>12.786763031989146</v>
      </c>
      <c r="O151" s="171">
        <v>0</v>
      </c>
      <c r="P151" s="171">
        <v>0</v>
      </c>
      <c r="Q151" s="171">
        <v>0</v>
      </c>
      <c r="R151" s="172">
        <f t="shared" si="50"/>
        <v>12.786763031989146</v>
      </c>
    </row>
    <row r="152" spans="1:19" x14ac:dyDescent="0.25">
      <c r="A152" s="93">
        <v>1</v>
      </c>
      <c r="B152" s="164">
        <f t="shared" si="45"/>
        <v>45292</v>
      </c>
      <c r="C152" s="181">
        <f t="shared" ref="C152:D171" si="51">+C140</f>
        <v>45327</v>
      </c>
      <c r="D152" s="181">
        <f t="shared" si="51"/>
        <v>45348</v>
      </c>
      <c r="E152" s="191" t="s">
        <v>53</v>
      </c>
      <c r="F152" s="93">
        <v>9</v>
      </c>
      <c r="G152" s="166">
        <v>145</v>
      </c>
      <c r="H152" s="167">
        <f t="shared" si="46"/>
        <v>11.985209729074265</v>
      </c>
      <c r="I152" s="167">
        <f t="shared" si="44"/>
        <v>15.930479514192312</v>
      </c>
      <c r="J152" s="168">
        <f t="shared" si="47"/>
        <v>2309.9195295578852</v>
      </c>
      <c r="K152" s="169">
        <f t="shared" si="41"/>
        <v>1737.8554107157684</v>
      </c>
      <c r="L152" s="170">
        <f t="shared" si="43"/>
        <v>572.06411884211684</v>
      </c>
      <c r="M152" s="171">
        <f t="shared" si="48"/>
        <v>45.962761037358753</v>
      </c>
      <c r="N152" s="172">
        <f t="shared" si="49"/>
        <v>618.02687987947559</v>
      </c>
      <c r="O152" s="171">
        <v>0</v>
      </c>
      <c r="P152" s="171">
        <v>0</v>
      </c>
      <c r="Q152" s="171">
        <v>0</v>
      </c>
      <c r="R152" s="172">
        <f t="shared" si="50"/>
        <v>618.02687987947559</v>
      </c>
    </row>
    <row r="153" spans="1:19" x14ac:dyDescent="0.25">
      <c r="A153" s="129">
        <v>2</v>
      </c>
      <c r="B153" s="164">
        <f t="shared" si="45"/>
        <v>45323</v>
      </c>
      <c r="C153" s="184">
        <f t="shared" si="51"/>
        <v>45356</v>
      </c>
      <c r="D153" s="184">
        <f t="shared" si="51"/>
        <v>45376</v>
      </c>
      <c r="E153" s="192" t="s">
        <v>53</v>
      </c>
      <c r="F153" s="129">
        <v>9</v>
      </c>
      <c r="G153" s="166">
        <v>100</v>
      </c>
      <c r="H153" s="167">
        <f t="shared" si="46"/>
        <v>11.985209729074265</v>
      </c>
      <c r="I153" s="167">
        <f t="shared" si="44"/>
        <v>15.930479514192312</v>
      </c>
      <c r="J153" s="168">
        <f t="shared" si="47"/>
        <v>1593.0479514192311</v>
      </c>
      <c r="K153" s="169">
        <f t="shared" si="41"/>
        <v>1198.5209729074265</v>
      </c>
      <c r="L153" s="170">
        <f t="shared" si="43"/>
        <v>394.5269785118046</v>
      </c>
      <c r="M153" s="171">
        <f t="shared" si="48"/>
        <v>31.698455887833628</v>
      </c>
      <c r="N153" s="172">
        <f t="shared" si="49"/>
        <v>426.22543439963823</v>
      </c>
      <c r="O153" s="171">
        <v>0</v>
      </c>
      <c r="P153" s="171">
        <v>0</v>
      </c>
      <c r="Q153" s="171">
        <v>0</v>
      </c>
      <c r="R153" s="172">
        <f t="shared" si="50"/>
        <v>426.22543439963823</v>
      </c>
    </row>
    <row r="154" spans="1:19" x14ac:dyDescent="0.25">
      <c r="A154" s="129">
        <v>3</v>
      </c>
      <c r="B154" s="164">
        <f t="shared" si="45"/>
        <v>45352</v>
      </c>
      <c r="C154" s="184">
        <f t="shared" si="51"/>
        <v>45385</v>
      </c>
      <c r="D154" s="184">
        <f t="shared" si="51"/>
        <v>45406</v>
      </c>
      <c r="E154" s="192" t="s">
        <v>53</v>
      </c>
      <c r="F154" s="129">
        <v>9</v>
      </c>
      <c r="G154" s="166">
        <v>92</v>
      </c>
      <c r="H154" s="167">
        <f t="shared" si="46"/>
        <v>11.985209729074265</v>
      </c>
      <c r="I154" s="167">
        <f t="shared" si="44"/>
        <v>15.930479514192312</v>
      </c>
      <c r="J154" s="168">
        <f t="shared" si="47"/>
        <v>1465.6041153056926</v>
      </c>
      <c r="K154" s="169">
        <f t="shared" si="41"/>
        <v>1102.6392950748325</v>
      </c>
      <c r="L154" s="170">
        <f>+J154-K154</f>
        <v>362.96482023086014</v>
      </c>
      <c r="M154" s="171">
        <f t="shared" si="48"/>
        <v>29.162579416806935</v>
      </c>
      <c r="N154" s="172">
        <f t="shared" si="49"/>
        <v>392.12739964766706</v>
      </c>
      <c r="O154" s="171">
        <v>0</v>
      </c>
      <c r="P154" s="171">
        <v>0</v>
      </c>
      <c r="Q154" s="171">
        <v>0</v>
      </c>
      <c r="R154" s="172">
        <f t="shared" si="50"/>
        <v>392.12739964766706</v>
      </c>
    </row>
    <row r="155" spans="1:19" x14ac:dyDescent="0.25">
      <c r="A155" s="93">
        <v>4</v>
      </c>
      <c r="B155" s="164">
        <f t="shared" si="45"/>
        <v>45383</v>
      </c>
      <c r="C155" s="184">
        <f t="shared" si="51"/>
        <v>45415</v>
      </c>
      <c r="D155" s="184">
        <f t="shared" si="51"/>
        <v>45436</v>
      </c>
      <c r="E155" s="192" t="s">
        <v>53</v>
      </c>
      <c r="F155" s="129">
        <v>9</v>
      </c>
      <c r="G155" s="166">
        <v>101</v>
      </c>
      <c r="H155" s="167">
        <f t="shared" si="46"/>
        <v>11.985209729074265</v>
      </c>
      <c r="I155" s="167">
        <f t="shared" si="44"/>
        <v>15.930479514192312</v>
      </c>
      <c r="J155" s="168">
        <f t="shared" si="47"/>
        <v>1608.9784309334234</v>
      </c>
      <c r="K155" s="169">
        <f t="shared" si="41"/>
        <v>1210.5061826365009</v>
      </c>
      <c r="L155" s="170">
        <f t="shared" ref="L155:L165" si="52">+J155-K155</f>
        <v>398.47224829692254</v>
      </c>
      <c r="M155" s="171">
        <f t="shared" si="48"/>
        <v>32.015440446711963</v>
      </c>
      <c r="N155" s="172">
        <f t="shared" si="49"/>
        <v>430.48768874363452</v>
      </c>
      <c r="O155" s="171">
        <v>0</v>
      </c>
      <c r="P155" s="171">
        <v>0</v>
      </c>
      <c r="Q155" s="171">
        <v>0</v>
      </c>
      <c r="R155" s="172">
        <f t="shared" si="50"/>
        <v>430.48768874363452</v>
      </c>
    </row>
    <row r="156" spans="1:19" x14ac:dyDescent="0.25">
      <c r="A156" s="129">
        <v>5</v>
      </c>
      <c r="B156" s="164">
        <f t="shared" si="45"/>
        <v>45413</v>
      </c>
      <c r="C156" s="184">
        <f t="shared" si="51"/>
        <v>45448</v>
      </c>
      <c r="D156" s="184">
        <f t="shared" si="51"/>
        <v>45467</v>
      </c>
      <c r="E156" s="192" t="s">
        <v>53</v>
      </c>
      <c r="F156" s="129">
        <v>9</v>
      </c>
      <c r="G156" s="166">
        <v>118</v>
      </c>
      <c r="H156" s="167">
        <f t="shared" si="46"/>
        <v>11.985209729074265</v>
      </c>
      <c r="I156" s="167">
        <f t="shared" si="44"/>
        <v>15.930479514192312</v>
      </c>
      <c r="J156" s="168">
        <f t="shared" si="47"/>
        <v>1879.7965826746929</v>
      </c>
      <c r="K156" s="169">
        <f t="shared" si="41"/>
        <v>1414.2547480307633</v>
      </c>
      <c r="L156" s="170">
        <f t="shared" si="52"/>
        <v>465.54183464392963</v>
      </c>
      <c r="M156" s="171">
        <f t="shared" si="48"/>
        <v>37.404177947643674</v>
      </c>
      <c r="N156" s="172">
        <f t="shared" si="49"/>
        <v>502.94601259157332</v>
      </c>
      <c r="O156" s="171">
        <v>0</v>
      </c>
      <c r="P156" s="171">
        <v>0</v>
      </c>
      <c r="Q156" s="171">
        <v>0</v>
      </c>
      <c r="R156" s="172">
        <f t="shared" si="50"/>
        <v>502.94601259157332</v>
      </c>
    </row>
    <row r="157" spans="1:19" x14ac:dyDescent="0.25">
      <c r="A157" s="129">
        <v>6</v>
      </c>
      <c r="B157" s="164">
        <f t="shared" si="45"/>
        <v>45444</v>
      </c>
      <c r="C157" s="184">
        <f t="shared" si="51"/>
        <v>45476</v>
      </c>
      <c r="D157" s="184">
        <f t="shared" si="51"/>
        <v>45497</v>
      </c>
      <c r="E157" s="192" t="s">
        <v>53</v>
      </c>
      <c r="F157" s="129">
        <v>9</v>
      </c>
      <c r="G157" s="166">
        <v>173</v>
      </c>
      <c r="H157" s="167">
        <f t="shared" si="46"/>
        <v>11.985209729074265</v>
      </c>
      <c r="I157" s="167">
        <f t="shared" si="44"/>
        <v>15.930479514192312</v>
      </c>
      <c r="J157" s="168">
        <f t="shared" si="47"/>
        <v>2755.9729559552698</v>
      </c>
      <c r="K157" s="169">
        <f t="shared" si="41"/>
        <v>2073.4412831298478</v>
      </c>
      <c r="L157" s="174">
        <f t="shared" si="52"/>
        <v>682.53167282542199</v>
      </c>
      <c r="M157" s="171">
        <f t="shared" si="48"/>
        <v>54.83832868595217</v>
      </c>
      <c r="N157" s="172">
        <f t="shared" si="49"/>
        <v>737.3700015113742</v>
      </c>
      <c r="O157" s="171">
        <v>0</v>
      </c>
      <c r="P157" s="171">
        <v>0</v>
      </c>
      <c r="Q157" s="171">
        <v>0</v>
      </c>
      <c r="R157" s="172">
        <f t="shared" si="50"/>
        <v>737.3700015113742</v>
      </c>
    </row>
    <row r="158" spans="1:19" x14ac:dyDescent="0.25">
      <c r="A158" s="93">
        <v>7</v>
      </c>
      <c r="B158" s="164">
        <f t="shared" si="45"/>
        <v>45474</v>
      </c>
      <c r="C158" s="184">
        <f t="shared" si="51"/>
        <v>45509</v>
      </c>
      <c r="D158" s="184">
        <f t="shared" si="51"/>
        <v>45530</v>
      </c>
      <c r="E158" s="192" t="s">
        <v>53</v>
      </c>
      <c r="F158" s="129">
        <v>9</v>
      </c>
      <c r="G158" s="166">
        <v>164</v>
      </c>
      <c r="H158" s="167">
        <f t="shared" si="46"/>
        <v>11.985209729074265</v>
      </c>
      <c r="I158" s="167">
        <f t="shared" si="44"/>
        <v>15.930479514192312</v>
      </c>
      <c r="J158" s="168">
        <f t="shared" si="47"/>
        <v>2612.5986403275392</v>
      </c>
      <c r="K158" s="175">
        <f t="shared" si="41"/>
        <v>1965.5743955681794</v>
      </c>
      <c r="L158" s="174">
        <f t="shared" si="52"/>
        <v>647.02424475935982</v>
      </c>
      <c r="M158" s="171">
        <f t="shared" si="48"/>
        <v>51.985467656047149</v>
      </c>
      <c r="N158" s="172">
        <f t="shared" si="49"/>
        <v>699.00971241540697</v>
      </c>
      <c r="O158" s="171">
        <v>0</v>
      </c>
      <c r="P158" s="171">
        <v>0</v>
      </c>
      <c r="Q158" s="171">
        <v>0</v>
      </c>
      <c r="R158" s="172">
        <f t="shared" si="50"/>
        <v>699.00971241540697</v>
      </c>
    </row>
    <row r="159" spans="1:19" x14ac:dyDescent="0.25">
      <c r="A159" s="129">
        <v>8</v>
      </c>
      <c r="B159" s="164">
        <f t="shared" si="45"/>
        <v>45505</v>
      </c>
      <c r="C159" s="184">
        <f t="shared" si="51"/>
        <v>45539</v>
      </c>
      <c r="D159" s="184">
        <f t="shared" si="51"/>
        <v>45559</v>
      </c>
      <c r="E159" s="192" t="s">
        <v>53</v>
      </c>
      <c r="F159" s="93">
        <v>9</v>
      </c>
      <c r="G159" s="166">
        <v>170</v>
      </c>
      <c r="H159" s="167">
        <f t="shared" si="46"/>
        <v>11.985209729074265</v>
      </c>
      <c r="I159" s="167">
        <f t="shared" si="44"/>
        <v>15.930479514192312</v>
      </c>
      <c r="J159" s="168">
        <f t="shared" si="47"/>
        <v>2708.1815174126932</v>
      </c>
      <c r="K159" s="175">
        <f t="shared" si="41"/>
        <v>2037.485653942625</v>
      </c>
      <c r="L159" s="174">
        <f t="shared" si="52"/>
        <v>670.69586347006816</v>
      </c>
      <c r="M159" s="171">
        <f t="shared" si="48"/>
        <v>53.887375009317161</v>
      </c>
      <c r="N159" s="172">
        <f t="shared" si="49"/>
        <v>724.58323847938527</v>
      </c>
      <c r="O159" s="171">
        <v>0</v>
      </c>
      <c r="P159" s="171">
        <v>0</v>
      </c>
      <c r="Q159" s="171">
        <v>0</v>
      </c>
      <c r="R159" s="172">
        <f t="shared" si="50"/>
        <v>724.58323847938527</v>
      </c>
      <c r="S159" s="50"/>
    </row>
    <row r="160" spans="1:19" x14ac:dyDescent="0.25">
      <c r="A160" s="129">
        <v>9</v>
      </c>
      <c r="B160" s="164">
        <f t="shared" si="45"/>
        <v>45536</v>
      </c>
      <c r="C160" s="184">
        <f t="shared" si="51"/>
        <v>45568</v>
      </c>
      <c r="D160" s="184">
        <f t="shared" si="51"/>
        <v>45589</v>
      </c>
      <c r="E160" s="192" t="s">
        <v>53</v>
      </c>
      <c r="F160" s="93">
        <v>9</v>
      </c>
      <c r="G160" s="166">
        <v>156</v>
      </c>
      <c r="H160" s="167">
        <f t="shared" si="46"/>
        <v>11.985209729074265</v>
      </c>
      <c r="I160" s="167">
        <f t="shared" si="44"/>
        <v>15.930479514192312</v>
      </c>
      <c r="J160" s="168">
        <f t="shared" si="47"/>
        <v>2485.1548042140007</v>
      </c>
      <c r="K160" s="175">
        <f t="shared" si="41"/>
        <v>1869.6927177355853</v>
      </c>
      <c r="L160" s="174">
        <f t="shared" si="52"/>
        <v>615.46208647841536</v>
      </c>
      <c r="M160" s="171">
        <f t="shared" si="48"/>
        <v>49.449591185020452</v>
      </c>
      <c r="N160" s="172">
        <f t="shared" si="49"/>
        <v>664.91167766343585</v>
      </c>
      <c r="O160" s="171">
        <v>0</v>
      </c>
      <c r="P160" s="171">
        <v>0</v>
      </c>
      <c r="Q160" s="171">
        <v>0</v>
      </c>
      <c r="R160" s="172">
        <f t="shared" si="50"/>
        <v>664.91167766343585</v>
      </c>
    </row>
    <row r="161" spans="1:19" x14ac:dyDescent="0.25">
      <c r="A161" s="93">
        <v>10</v>
      </c>
      <c r="B161" s="164">
        <f t="shared" si="45"/>
        <v>45566</v>
      </c>
      <c r="C161" s="184">
        <f t="shared" si="51"/>
        <v>45601</v>
      </c>
      <c r="D161" s="184">
        <f t="shared" si="51"/>
        <v>45621</v>
      </c>
      <c r="E161" s="192" t="s">
        <v>53</v>
      </c>
      <c r="F161" s="93">
        <v>9</v>
      </c>
      <c r="G161" s="166">
        <v>139</v>
      </c>
      <c r="H161" s="167">
        <f t="shared" si="46"/>
        <v>11.985209729074265</v>
      </c>
      <c r="I161" s="167">
        <f t="shared" si="44"/>
        <v>15.930479514192312</v>
      </c>
      <c r="J161" s="168">
        <f t="shared" si="47"/>
        <v>2214.3366524727312</v>
      </c>
      <c r="K161" s="175">
        <f t="shared" si="41"/>
        <v>1665.9441523413229</v>
      </c>
      <c r="L161" s="174">
        <f t="shared" si="52"/>
        <v>548.39250013140827</v>
      </c>
      <c r="M161" s="171">
        <f t="shared" si="48"/>
        <v>44.060853684088741</v>
      </c>
      <c r="N161" s="172">
        <f t="shared" si="49"/>
        <v>592.45335381549705</v>
      </c>
      <c r="O161" s="171">
        <v>0</v>
      </c>
      <c r="P161" s="171">
        <v>0</v>
      </c>
      <c r="Q161" s="171">
        <v>0</v>
      </c>
      <c r="R161" s="172">
        <f t="shared" si="50"/>
        <v>592.45335381549705</v>
      </c>
    </row>
    <row r="162" spans="1:19" x14ac:dyDescent="0.25">
      <c r="A162" s="129">
        <v>11</v>
      </c>
      <c r="B162" s="164">
        <f t="shared" si="45"/>
        <v>45597</v>
      </c>
      <c r="C162" s="184">
        <f t="shared" si="51"/>
        <v>45630</v>
      </c>
      <c r="D162" s="184">
        <f t="shared" si="51"/>
        <v>45650</v>
      </c>
      <c r="E162" s="192" t="s">
        <v>53</v>
      </c>
      <c r="F162" s="93">
        <v>9</v>
      </c>
      <c r="G162" s="166">
        <v>90</v>
      </c>
      <c r="H162" s="167">
        <f t="shared" si="46"/>
        <v>11.985209729074265</v>
      </c>
      <c r="I162" s="167">
        <f t="shared" si="44"/>
        <v>15.930479514192312</v>
      </c>
      <c r="J162" s="168">
        <f t="shared" si="47"/>
        <v>1433.7431562773081</v>
      </c>
      <c r="K162" s="175">
        <f t="shared" si="41"/>
        <v>1078.6688756166839</v>
      </c>
      <c r="L162" s="174">
        <f t="shared" si="52"/>
        <v>355.07428066062425</v>
      </c>
      <c r="M162" s="171">
        <f t="shared" si="48"/>
        <v>28.528610299050264</v>
      </c>
      <c r="N162" s="172">
        <f t="shared" si="49"/>
        <v>383.60289095967454</v>
      </c>
      <c r="O162" s="171">
        <v>0</v>
      </c>
      <c r="P162" s="171">
        <v>0</v>
      </c>
      <c r="Q162" s="171">
        <v>0</v>
      </c>
      <c r="R162" s="172">
        <f t="shared" si="50"/>
        <v>383.60289095967454</v>
      </c>
    </row>
    <row r="163" spans="1:19" s="188" customFormat="1" x14ac:dyDescent="0.25">
      <c r="A163" s="129">
        <v>12</v>
      </c>
      <c r="B163" s="186">
        <f t="shared" si="45"/>
        <v>45627</v>
      </c>
      <c r="C163" s="184">
        <f t="shared" si="51"/>
        <v>45660</v>
      </c>
      <c r="D163" s="184">
        <f t="shared" si="51"/>
        <v>45681</v>
      </c>
      <c r="E163" s="193" t="s">
        <v>53</v>
      </c>
      <c r="F163" s="140">
        <v>9</v>
      </c>
      <c r="G163" s="166">
        <v>110</v>
      </c>
      <c r="H163" s="176">
        <f t="shared" si="46"/>
        <v>11.985209729074265</v>
      </c>
      <c r="I163" s="176">
        <f t="shared" si="44"/>
        <v>15.930479514192312</v>
      </c>
      <c r="J163" s="177">
        <f t="shared" si="47"/>
        <v>1752.3527465611544</v>
      </c>
      <c r="K163" s="178">
        <f t="shared" si="41"/>
        <v>1318.3730701981692</v>
      </c>
      <c r="L163" s="179">
        <f t="shared" si="52"/>
        <v>433.97967636298517</v>
      </c>
      <c r="M163" s="171">
        <f t="shared" si="48"/>
        <v>34.868301476616985</v>
      </c>
      <c r="N163" s="172">
        <f t="shared" si="49"/>
        <v>468.84797783960215</v>
      </c>
      <c r="O163" s="171">
        <v>0</v>
      </c>
      <c r="P163" s="171">
        <v>0</v>
      </c>
      <c r="Q163" s="171">
        <v>0</v>
      </c>
      <c r="R163" s="172">
        <f t="shared" si="50"/>
        <v>468.84797783960215</v>
      </c>
    </row>
    <row r="164" spans="1:19" x14ac:dyDescent="0.25">
      <c r="A164" s="93">
        <v>1</v>
      </c>
      <c r="B164" s="164">
        <f t="shared" si="45"/>
        <v>45292</v>
      </c>
      <c r="C164" s="181">
        <f t="shared" si="51"/>
        <v>45327</v>
      </c>
      <c r="D164" s="181">
        <f t="shared" si="51"/>
        <v>45348</v>
      </c>
      <c r="E164" s="191" t="s">
        <v>54</v>
      </c>
      <c r="F164" s="93">
        <v>9</v>
      </c>
      <c r="G164" s="166">
        <v>9</v>
      </c>
      <c r="H164" s="167">
        <f t="shared" si="46"/>
        <v>11.985209729074265</v>
      </c>
      <c r="I164" s="167">
        <f t="shared" si="44"/>
        <v>15.930479514192312</v>
      </c>
      <c r="J164" s="168">
        <f t="shared" si="47"/>
        <v>143.37431562773079</v>
      </c>
      <c r="K164" s="169">
        <f t="shared" si="41"/>
        <v>107.86688756166839</v>
      </c>
      <c r="L164" s="170">
        <f t="shared" si="52"/>
        <v>35.507428066062403</v>
      </c>
      <c r="M164" s="171">
        <f t="shared" si="48"/>
        <v>2.8528610299050263</v>
      </c>
      <c r="N164" s="172">
        <f t="shared" si="49"/>
        <v>38.360289095967431</v>
      </c>
      <c r="O164" s="171">
        <v>0</v>
      </c>
      <c r="P164" s="171">
        <v>0</v>
      </c>
      <c r="Q164" s="171">
        <v>0</v>
      </c>
      <c r="R164" s="172">
        <f t="shared" si="50"/>
        <v>38.360289095967431</v>
      </c>
    </row>
    <row r="165" spans="1:19" x14ac:dyDescent="0.25">
      <c r="A165" s="129">
        <v>2</v>
      </c>
      <c r="B165" s="164">
        <f t="shared" si="45"/>
        <v>45323</v>
      </c>
      <c r="C165" s="184">
        <f t="shared" si="51"/>
        <v>45356</v>
      </c>
      <c r="D165" s="184">
        <f t="shared" si="51"/>
        <v>45376</v>
      </c>
      <c r="E165" s="192" t="s">
        <v>54</v>
      </c>
      <c r="F165" s="129">
        <v>9</v>
      </c>
      <c r="G165" s="166">
        <v>8</v>
      </c>
      <c r="H165" s="167">
        <f t="shared" si="46"/>
        <v>11.985209729074265</v>
      </c>
      <c r="I165" s="167">
        <f t="shared" si="44"/>
        <v>15.930479514192312</v>
      </c>
      <c r="J165" s="168">
        <f t="shared" si="47"/>
        <v>127.4438361135385</v>
      </c>
      <c r="K165" s="169">
        <f t="shared" si="41"/>
        <v>95.881677832594121</v>
      </c>
      <c r="L165" s="170">
        <f t="shared" si="52"/>
        <v>31.562158280944374</v>
      </c>
      <c r="M165" s="171">
        <f t="shared" si="48"/>
        <v>2.5358764710266901</v>
      </c>
      <c r="N165" s="172">
        <f t="shared" si="49"/>
        <v>34.098034751971063</v>
      </c>
      <c r="O165" s="171">
        <v>0</v>
      </c>
      <c r="P165" s="171">
        <v>0</v>
      </c>
      <c r="Q165" s="171">
        <v>0</v>
      </c>
      <c r="R165" s="172">
        <f t="shared" si="50"/>
        <v>34.098034751971063</v>
      </c>
    </row>
    <row r="166" spans="1:19" x14ac:dyDescent="0.25">
      <c r="A166" s="129">
        <v>3</v>
      </c>
      <c r="B166" s="164">
        <f t="shared" si="45"/>
        <v>45352</v>
      </c>
      <c r="C166" s="184">
        <f t="shared" si="51"/>
        <v>45385</v>
      </c>
      <c r="D166" s="184">
        <f t="shared" si="51"/>
        <v>45406</v>
      </c>
      <c r="E166" s="192" t="s">
        <v>54</v>
      </c>
      <c r="F166" s="129">
        <v>9</v>
      </c>
      <c r="G166" s="166">
        <v>10</v>
      </c>
      <c r="H166" s="167">
        <f t="shared" si="46"/>
        <v>11.985209729074265</v>
      </c>
      <c r="I166" s="167">
        <f t="shared" si="44"/>
        <v>15.930479514192312</v>
      </c>
      <c r="J166" s="168">
        <f t="shared" si="47"/>
        <v>159.30479514192311</v>
      </c>
      <c r="K166" s="169">
        <f t="shared" si="41"/>
        <v>119.85209729074265</v>
      </c>
      <c r="L166" s="170">
        <f>+J166-K166</f>
        <v>39.45269785118046</v>
      </c>
      <c r="M166" s="171">
        <f t="shared" si="48"/>
        <v>3.1698455887833625</v>
      </c>
      <c r="N166" s="172">
        <f t="shared" si="49"/>
        <v>42.62254343996382</v>
      </c>
      <c r="O166" s="171">
        <v>0</v>
      </c>
      <c r="P166" s="171">
        <v>0</v>
      </c>
      <c r="Q166" s="171">
        <v>0</v>
      </c>
      <c r="R166" s="172">
        <f t="shared" si="50"/>
        <v>42.62254343996382</v>
      </c>
    </row>
    <row r="167" spans="1:19" x14ac:dyDescent="0.25">
      <c r="A167" s="93">
        <v>4</v>
      </c>
      <c r="B167" s="164">
        <f t="shared" si="45"/>
        <v>45383</v>
      </c>
      <c r="C167" s="184">
        <f t="shared" si="51"/>
        <v>45415</v>
      </c>
      <c r="D167" s="184">
        <f t="shared" si="51"/>
        <v>45436</v>
      </c>
      <c r="E167" s="192" t="s">
        <v>54</v>
      </c>
      <c r="F167" s="129">
        <v>9</v>
      </c>
      <c r="G167" s="166">
        <v>7</v>
      </c>
      <c r="H167" s="167">
        <f t="shared" si="46"/>
        <v>11.985209729074265</v>
      </c>
      <c r="I167" s="167">
        <f t="shared" si="44"/>
        <v>15.930479514192312</v>
      </c>
      <c r="J167" s="168">
        <f t="shared" si="47"/>
        <v>111.51335659934618</v>
      </c>
      <c r="K167" s="169">
        <f t="shared" si="41"/>
        <v>83.896468103519851</v>
      </c>
      <c r="L167" s="170">
        <f t="shared" ref="L167:L177" si="53">+J167-K167</f>
        <v>27.616888495826331</v>
      </c>
      <c r="M167" s="171">
        <f t="shared" si="48"/>
        <v>2.2188919121483539</v>
      </c>
      <c r="N167" s="172">
        <f t="shared" si="49"/>
        <v>29.835780407974685</v>
      </c>
      <c r="O167" s="171">
        <v>0</v>
      </c>
      <c r="P167" s="171">
        <v>0</v>
      </c>
      <c r="Q167" s="171">
        <v>0</v>
      </c>
      <c r="R167" s="172">
        <f t="shared" si="50"/>
        <v>29.835780407974685</v>
      </c>
    </row>
    <row r="168" spans="1:19" x14ac:dyDescent="0.25">
      <c r="A168" s="129">
        <v>5</v>
      </c>
      <c r="B168" s="164">
        <f t="shared" si="45"/>
        <v>45413</v>
      </c>
      <c r="C168" s="184">
        <f t="shared" si="51"/>
        <v>45448</v>
      </c>
      <c r="D168" s="184">
        <f t="shared" si="51"/>
        <v>45467</v>
      </c>
      <c r="E168" s="192" t="s">
        <v>54</v>
      </c>
      <c r="F168" s="129">
        <v>9</v>
      </c>
      <c r="G168" s="166">
        <v>10</v>
      </c>
      <c r="H168" s="167">
        <f t="shared" si="46"/>
        <v>11.985209729074265</v>
      </c>
      <c r="I168" s="167">
        <f t="shared" si="44"/>
        <v>15.930479514192312</v>
      </c>
      <c r="J168" s="168">
        <f t="shared" si="47"/>
        <v>159.30479514192311</v>
      </c>
      <c r="K168" s="169">
        <f t="shared" si="41"/>
        <v>119.85209729074265</v>
      </c>
      <c r="L168" s="170">
        <f t="shared" si="53"/>
        <v>39.45269785118046</v>
      </c>
      <c r="M168" s="171">
        <f t="shared" si="48"/>
        <v>3.1698455887833625</v>
      </c>
      <c r="N168" s="172">
        <f t="shared" si="49"/>
        <v>42.62254343996382</v>
      </c>
      <c r="O168" s="171">
        <v>0</v>
      </c>
      <c r="P168" s="171">
        <v>0</v>
      </c>
      <c r="Q168" s="171">
        <v>0</v>
      </c>
      <c r="R168" s="172">
        <f t="shared" si="50"/>
        <v>42.62254343996382</v>
      </c>
    </row>
    <row r="169" spans="1:19" x14ac:dyDescent="0.25">
      <c r="A169" s="129">
        <v>6</v>
      </c>
      <c r="B169" s="164">
        <f t="shared" si="45"/>
        <v>45444</v>
      </c>
      <c r="C169" s="184">
        <f t="shared" si="51"/>
        <v>45476</v>
      </c>
      <c r="D169" s="184">
        <f t="shared" si="51"/>
        <v>45497</v>
      </c>
      <c r="E169" s="192" t="s">
        <v>54</v>
      </c>
      <c r="F169" s="129">
        <v>9</v>
      </c>
      <c r="G169" s="166">
        <v>10</v>
      </c>
      <c r="H169" s="167">
        <f t="shared" si="46"/>
        <v>11.985209729074265</v>
      </c>
      <c r="I169" s="167">
        <f t="shared" si="44"/>
        <v>15.930479514192312</v>
      </c>
      <c r="J169" s="168">
        <f t="shared" si="47"/>
        <v>159.30479514192311</v>
      </c>
      <c r="K169" s="169">
        <f t="shared" si="41"/>
        <v>119.85209729074265</v>
      </c>
      <c r="L169" s="174">
        <f t="shared" si="53"/>
        <v>39.45269785118046</v>
      </c>
      <c r="M169" s="171">
        <f t="shared" si="48"/>
        <v>3.1698455887833625</v>
      </c>
      <c r="N169" s="172">
        <f t="shared" si="49"/>
        <v>42.62254343996382</v>
      </c>
      <c r="O169" s="171">
        <v>0</v>
      </c>
      <c r="P169" s="171">
        <v>0</v>
      </c>
      <c r="Q169" s="171">
        <v>0</v>
      </c>
      <c r="R169" s="172">
        <f t="shared" si="50"/>
        <v>42.62254343996382</v>
      </c>
    </row>
    <row r="170" spans="1:19" x14ac:dyDescent="0.25">
      <c r="A170" s="93">
        <v>7</v>
      </c>
      <c r="B170" s="164">
        <f t="shared" si="45"/>
        <v>45474</v>
      </c>
      <c r="C170" s="184">
        <f t="shared" si="51"/>
        <v>45509</v>
      </c>
      <c r="D170" s="184">
        <f t="shared" si="51"/>
        <v>45530</v>
      </c>
      <c r="E170" s="192" t="s">
        <v>54</v>
      </c>
      <c r="F170" s="129">
        <v>9</v>
      </c>
      <c r="G170" s="166">
        <v>12</v>
      </c>
      <c r="H170" s="167">
        <f t="shared" si="46"/>
        <v>11.985209729074265</v>
      </c>
      <c r="I170" s="167">
        <f t="shared" si="44"/>
        <v>15.930479514192312</v>
      </c>
      <c r="J170" s="168">
        <f t="shared" si="47"/>
        <v>191.16575417030774</v>
      </c>
      <c r="K170" s="175">
        <f t="shared" si="41"/>
        <v>143.82251674889119</v>
      </c>
      <c r="L170" s="174">
        <f t="shared" si="53"/>
        <v>47.343237421416546</v>
      </c>
      <c r="M170" s="171">
        <f t="shared" si="48"/>
        <v>3.803814706540035</v>
      </c>
      <c r="N170" s="172">
        <f t="shared" si="49"/>
        <v>51.147052127956584</v>
      </c>
      <c r="O170" s="171">
        <v>0</v>
      </c>
      <c r="P170" s="171">
        <v>0</v>
      </c>
      <c r="Q170" s="171">
        <v>0</v>
      </c>
      <c r="R170" s="172">
        <f t="shared" si="50"/>
        <v>51.147052127956584</v>
      </c>
    </row>
    <row r="171" spans="1:19" x14ac:dyDescent="0.25">
      <c r="A171" s="129">
        <v>8</v>
      </c>
      <c r="B171" s="164">
        <f t="shared" si="45"/>
        <v>45505</v>
      </c>
      <c r="C171" s="184">
        <f t="shared" si="51"/>
        <v>45539</v>
      </c>
      <c r="D171" s="184">
        <f t="shared" si="51"/>
        <v>45559</v>
      </c>
      <c r="E171" s="192" t="s">
        <v>54</v>
      </c>
      <c r="F171" s="93">
        <v>9</v>
      </c>
      <c r="G171" s="166">
        <v>12</v>
      </c>
      <c r="H171" s="167">
        <f t="shared" si="46"/>
        <v>11.985209729074265</v>
      </c>
      <c r="I171" s="167">
        <f t="shared" si="44"/>
        <v>15.930479514192312</v>
      </c>
      <c r="J171" s="168">
        <f t="shared" si="47"/>
        <v>191.16575417030774</v>
      </c>
      <c r="K171" s="175">
        <f t="shared" si="41"/>
        <v>143.82251674889119</v>
      </c>
      <c r="L171" s="174">
        <f t="shared" si="53"/>
        <v>47.343237421416546</v>
      </c>
      <c r="M171" s="171">
        <f t="shared" si="48"/>
        <v>3.803814706540035</v>
      </c>
      <c r="N171" s="172">
        <f t="shared" si="49"/>
        <v>51.147052127956584</v>
      </c>
      <c r="O171" s="171">
        <v>0</v>
      </c>
      <c r="P171" s="171">
        <v>0</v>
      </c>
      <c r="Q171" s="171">
        <v>0</v>
      </c>
      <c r="R171" s="172">
        <f t="shared" si="50"/>
        <v>51.147052127956584</v>
      </c>
      <c r="S171" s="50"/>
    </row>
    <row r="172" spans="1:19" x14ac:dyDescent="0.25">
      <c r="A172" s="129">
        <v>9</v>
      </c>
      <c r="B172" s="164">
        <f t="shared" si="45"/>
        <v>45536</v>
      </c>
      <c r="C172" s="184">
        <f t="shared" ref="C172:D175" si="54">+C160</f>
        <v>45568</v>
      </c>
      <c r="D172" s="184">
        <f t="shared" si="54"/>
        <v>45589</v>
      </c>
      <c r="E172" s="192" t="s">
        <v>54</v>
      </c>
      <c r="F172" s="93">
        <v>9</v>
      </c>
      <c r="G172" s="166">
        <v>11</v>
      </c>
      <c r="H172" s="167">
        <f t="shared" si="46"/>
        <v>11.985209729074265</v>
      </c>
      <c r="I172" s="167">
        <f t="shared" si="44"/>
        <v>15.930479514192312</v>
      </c>
      <c r="J172" s="168">
        <f t="shared" si="47"/>
        <v>175.23527465611542</v>
      </c>
      <c r="K172" s="175">
        <f t="shared" si="41"/>
        <v>131.8373070198169</v>
      </c>
      <c r="L172" s="174">
        <f t="shared" si="53"/>
        <v>43.397967636298517</v>
      </c>
      <c r="M172" s="171">
        <f t="shared" si="48"/>
        <v>3.4868301476616987</v>
      </c>
      <c r="N172" s="172">
        <f t="shared" si="49"/>
        <v>46.884797783960217</v>
      </c>
      <c r="O172" s="171">
        <v>0</v>
      </c>
      <c r="P172" s="171">
        <v>0</v>
      </c>
      <c r="Q172" s="171">
        <v>0</v>
      </c>
      <c r="R172" s="172">
        <f t="shared" si="50"/>
        <v>46.884797783960217</v>
      </c>
    </row>
    <row r="173" spans="1:19" x14ac:dyDescent="0.25">
      <c r="A173" s="93">
        <v>10</v>
      </c>
      <c r="B173" s="164">
        <f t="shared" si="45"/>
        <v>45566</v>
      </c>
      <c r="C173" s="184">
        <f t="shared" si="54"/>
        <v>45601</v>
      </c>
      <c r="D173" s="184">
        <f t="shared" si="54"/>
        <v>45621</v>
      </c>
      <c r="E173" s="192" t="s">
        <v>54</v>
      </c>
      <c r="F173" s="93">
        <v>9</v>
      </c>
      <c r="G173" s="166">
        <v>10</v>
      </c>
      <c r="H173" s="167">
        <f t="shared" si="46"/>
        <v>11.985209729074265</v>
      </c>
      <c r="I173" s="167">
        <f t="shared" si="44"/>
        <v>15.930479514192312</v>
      </c>
      <c r="J173" s="168">
        <f t="shared" si="47"/>
        <v>159.30479514192311</v>
      </c>
      <c r="K173" s="175">
        <f t="shared" si="41"/>
        <v>119.85209729074265</v>
      </c>
      <c r="L173" s="174">
        <f t="shared" si="53"/>
        <v>39.45269785118046</v>
      </c>
      <c r="M173" s="171">
        <f t="shared" si="48"/>
        <v>3.1698455887833625</v>
      </c>
      <c r="N173" s="172">
        <f t="shared" si="49"/>
        <v>42.62254343996382</v>
      </c>
      <c r="O173" s="171">
        <v>0</v>
      </c>
      <c r="P173" s="171">
        <v>0</v>
      </c>
      <c r="Q173" s="171">
        <v>0</v>
      </c>
      <c r="R173" s="172">
        <f t="shared" si="50"/>
        <v>42.62254343996382</v>
      </c>
    </row>
    <row r="174" spans="1:19" x14ac:dyDescent="0.25">
      <c r="A174" s="129">
        <v>11</v>
      </c>
      <c r="B174" s="164">
        <f t="shared" si="45"/>
        <v>45597</v>
      </c>
      <c r="C174" s="184">
        <f t="shared" si="54"/>
        <v>45630</v>
      </c>
      <c r="D174" s="184">
        <f t="shared" si="54"/>
        <v>45650</v>
      </c>
      <c r="E174" s="192" t="s">
        <v>54</v>
      </c>
      <c r="F174" s="93">
        <v>9</v>
      </c>
      <c r="G174" s="166">
        <v>10</v>
      </c>
      <c r="H174" s="167">
        <f t="shared" si="46"/>
        <v>11.985209729074265</v>
      </c>
      <c r="I174" s="167">
        <f t="shared" si="44"/>
        <v>15.930479514192312</v>
      </c>
      <c r="J174" s="168">
        <f t="shared" si="47"/>
        <v>159.30479514192311</v>
      </c>
      <c r="K174" s="175">
        <f t="shared" si="41"/>
        <v>119.85209729074265</v>
      </c>
      <c r="L174" s="174">
        <f t="shared" si="53"/>
        <v>39.45269785118046</v>
      </c>
      <c r="M174" s="171">
        <f t="shared" si="48"/>
        <v>3.1698455887833625</v>
      </c>
      <c r="N174" s="172">
        <f t="shared" si="49"/>
        <v>42.62254343996382</v>
      </c>
      <c r="O174" s="171">
        <v>0</v>
      </c>
      <c r="P174" s="171">
        <v>0</v>
      </c>
      <c r="Q174" s="171">
        <v>0</v>
      </c>
      <c r="R174" s="172">
        <f t="shared" si="50"/>
        <v>42.62254343996382</v>
      </c>
    </row>
    <row r="175" spans="1:19" s="188" customFormat="1" x14ac:dyDescent="0.25">
      <c r="A175" s="129">
        <v>12</v>
      </c>
      <c r="B175" s="186">
        <f t="shared" si="45"/>
        <v>45627</v>
      </c>
      <c r="C175" s="184">
        <f t="shared" si="54"/>
        <v>45660</v>
      </c>
      <c r="D175" s="184">
        <f t="shared" si="54"/>
        <v>45681</v>
      </c>
      <c r="E175" s="193" t="s">
        <v>54</v>
      </c>
      <c r="F175" s="140">
        <v>9</v>
      </c>
      <c r="G175" s="166">
        <v>10</v>
      </c>
      <c r="H175" s="176">
        <f t="shared" si="46"/>
        <v>11.985209729074265</v>
      </c>
      <c r="I175" s="176">
        <f t="shared" si="44"/>
        <v>15.930479514192312</v>
      </c>
      <c r="J175" s="177">
        <f t="shared" si="47"/>
        <v>159.30479514192311</v>
      </c>
      <c r="K175" s="178">
        <f t="shared" si="41"/>
        <v>119.85209729074265</v>
      </c>
      <c r="L175" s="179">
        <f t="shared" si="53"/>
        <v>39.45269785118046</v>
      </c>
      <c r="M175" s="171">
        <f t="shared" si="48"/>
        <v>3.1698455887833625</v>
      </c>
      <c r="N175" s="172">
        <f t="shared" si="49"/>
        <v>42.62254343996382</v>
      </c>
      <c r="O175" s="171">
        <v>0</v>
      </c>
      <c r="P175" s="171">
        <v>0</v>
      </c>
      <c r="Q175" s="171">
        <v>0</v>
      </c>
      <c r="R175" s="172">
        <f t="shared" si="50"/>
        <v>42.62254343996382</v>
      </c>
    </row>
    <row r="176" spans="1:19" x14ac:dyDescent="0.25">
      <c r="A176" s="93">
        <v>1</v>
      </c>
      <c r="B176" s="164">
        <f t="shared" si="45"/>
        <v>45292</v>
      </c>
      <c r="C176" s="181">
        <f t="shared" ref="C176:D187" si="55">+C152</f>
        <v>45327</v>
      </c>
      <c r="D176" s="181">
        <f t="shared" si="55"/>
        <v>45348</v>
      </c>
      <c r="E176" s="191" t="s">
        <v>55</v>
      </c>
      <c r="F176" s="129">
        <v>9</v>
      </c>
      <c r="G176" s="166">
        <v>26</v>
      </c>
      <c r="H176" s="167">
        <f t="shared" si="46"/>
        <v>11.985209729074265</v>
      </c>
      <c r="I176" s="167">
        <f t="shared" si="44"/>
        <v>15.930479514192312</v>
      </c>
      <c r="J176" s="168">
        <f t="shared" si="47"/>
        <v>414.1924673690001</v>
      </c>
      <c r="K176" s="169">
        <f t="shared" si="41"/>
        <v>311.61545295593089</v>
      </c>
      <c r="L176" s="170">
        <f t="shared" si="53"/>
        <v>102.57701441306921</v>
      </c>
      <c r="M176" s="171">
        <f t="shared" si="48"/>
        <v>8.2415985308367432</v>
      </c>
      <c r="N176" s="172">
        <f t="shared" si="49"/>
        <v>110.81861294390595</v>
      </c>
      <c r="O176" s="171">
        <v>0</v>
      </c>
      <c r="P176" s="171">
        <v>0</v>
      </c>
      <c r="Q176" s="171">
        <v>0</v>
      </c>
      <c r="R176" s="172">
        <f t="shared" si="50"/>
        <v>110.81861294390595</v>
      </c>
    </row>
    <row r="177" spans="1:18" x14ac:dyDescent="0.25">
      <c r="A177" s="129">
        <v>2</v>
      </c>
      <c r="B177" s="164">
        <f t="shared" si="45"/>
        <v>45323</v>
      </c>
      <c r="C177" s="184">
        <f t="shared" si="55"/>
        <v>45356</v>
      </c>
      <c r="D177" s="184">
        <f t="shared" si="55"/>
        <v>45376</v>
      </c>
      <c r="E177" s="52" t="s">
        <v>55</v>
      </c>
      <c r="F177" s="129">
        <v>9</v>
      </c>
      <c r="G177" s="166">
        <v>19</v>
      </c>
      <c r="H177" s="167">
        <f t="shared" si="46"/>
        <v>11.985209729074265</v>
      </c>
      <c r="I177" s="167">
        <f t="shared" si="44"/>
        <v>15.930479514192312</v>
      </c>
      <c r="J177" s="168">
        <f t="shared" si="47"/>
        <v>302.6791107696539</v>
      </c>
      <c r="K177" s="169">
        <f t="shared" si="41"/>
        <v>227.71898485241104</v>
      </c>
      <c r="L177" s="170">
        <f t="shared" si="53"/>
        <v>74.960125917242863</v>
      </c>
      <c r="M177" s="171">
        <f t="shared" si="48"/>
        <v>6.0227066186883889</v>
      </c>
      <c r="N177" s="172">
        <f t="shared" si="49"/>
        <v>80.982832535931252</v>
      </c>
      <c r="O177" s="171">
        <v>0</v>
      </c>
      <c r="P177" s="171">
        <v>0</v>
      </c>
      <c r="Q177" s="171">
        <v>0</v>
      </c>
      <c r="R177" s="172">
        <f t="shared" si="50"/>
        <v>80.982832535931252</v>
      </c>
    </row>
    <row r="178" spans="1:18" x14ac:dyDescent="0.25">
      <c r="A178" s="129">
        <v>3</v>
      </c>
      <c r="B178" s="164">
        <f t="shared" si="45"/>
        <v>45352</v>
      </c>
      <c r="C178" s="184">
        <f t="shared" si="55"/>
        <v>45385</v>
      </c>
      <c r="D178" s="184">
        <f t="shared" si="55"/>
        <v>45406</v>
      </c>
      <c r="E178" s="52" t="s">
        <v>55</v>
      </c>
      <c r="F178" s="129">
        <v>9</v>
      </c>
      <c r="G178" s="166">
        <v>18</v>
      </c>
      <c r="H178" s="167">
        <f t="shared" si="46"/>
        <v>11.985209729074265</v>
      </c>
      <c r="I178" s="167">
        <f t="shared" si="44"/>
        <v>15.930479514192312</v>
      </c>
      <c r="J178" s="168">
        <f t="shared" si="47"/>
        <v>286.74863125546159</v>
      </c>
      <c r="K178" s="169">
        <f t="shared" si="41"/>
        <v>215.73377512333678</v>
      </c>
      <c r="L178" s="170">
        <f>+J178-K178</f>
        <v>71.014856132124805</v>
      </c>
      <c r="M178" s="171">
        <f t="shared" si="48"/>
        <v>5.7057220598100526</v>
      </c>
      <c r="N178" s="172">
        <f t="shared" si="49"/>
        <v>76.720578191934862</v>
      </c>
      <c r="O178" s="171">
        <v>0</v>
      </c>
      <c r="P178" s="171">
        <v>0</v>
      </c>
      <c r="Q178" s="171">
        <v>0</v>
      </c>
      <c r="R178" s="172">
        <f t="shared" si="50"/>
        <v>76.720578191934862</v>
      </c>
    </row>
    <row r="179" spans="1:18" x14ac:dyDescent="0.25">
      <c r="A179" s="93">
        <v>4</v>
      </c>
      <c r="B179" s="164">
        <f t="shared" si="45"/>
        <v>45383</v>
      </c>
      <c r="C179" s="184">
        <f t="shared" si="55"/>
        <v>45415</v>
      </c>
      <c r="D179" s="184">
        <f t="shared" si="55"/>
        <v>45436</v>
      </c>
      <c r="E179" s="52" t="s">
        <v>55</v>
      </c>
      <c r="F179" s="129">
        <v>9</v>
      </c>
      <c r="G179" s="166">
        <v>22</v>
      </c>
      <c r="H179" s="167">
        <f t="shared" si="46"/>
        <v>11.985209729074265</v>
      </c>
      <c r="I179" s="167">
        <f t="shared" si="44"/>
        <v>15.930479514192312</v>
      </c>
      <c r="J179" s="168">
        <f t="shared" si="47"/>
        <v>350.47054931223084</v>
      </c>
      <c r="K179" s="169">
        <f t="shared" si="41"/>
        <v>263.67461403963381</v>
      </c>
      <c r="L179" s="170">
        <f t="shared" ref="L179:L189" si="56">+J179-K179</f>
        <v>86.795935272597035</v>
      </c>
      <c r="M179" s="171">
        <f t="shared" si="48"/>
        <v>6.9736602953233975</v>
      </c>
      <c r="N179" s="172">
        <f t="shared" si="49"/>
        <v>93.769595567920433</v>
      </c>
      <c r="O179" s="171">
        <v>0</v>
      </c>
      <c r="P179" s="171">
        <v>0</v>
      </c>
      <c r="Q179" s="171">
        <v>0</v>
      </c>
      <c r="R179" s="172">
        <f t="shared" si="50"/>
        <v>93.769595567920433</v>
      </c>
    </row>
    <row r="180" spans="1:18" x14ac:dyDescent="0.25">
      <c r="A180" s="129">
        <v>5</v>
      </c>
      <c r="B180" s="164">
        <f t="shared" si="45"/>
        <v>45413</v>
      </c>
      <c r="C180" s="184">
        <f t="shared" si="55"/>
        <v>45448</v>
      </c>
      <c r="D180" s="184">
        <f t="shared" si="55"/>
        <v>45467</v>
      </c>
      <c r="E180" s="52" t="s">
        <v>55</v>
      </c>
      <c r="F180" s="129">
        <v>9</v>
      </c>
      <c r="G180" s="166">
        <v>31</v>
      </c>
      <c r="H180" s="167">
        <f t="shared" si="46"/>
        <v>11.985209729074265</v>
      </c>
      <c r="I180" s="167">
        <f t="shared" ref="I180:I211" si="57">$J$3</f>
        <v>15.930479514192312</v>
      </c>
      <c r="J180" s="168">
        <f t="shared" si="47"/>
        <v>493.84486493996167</v>
      </c>
      <c r="K180" s="169">
        <f t="shared" si="41"/>
        <v>371.54150160130223</v>
      </c>
      <c r="L180" s="170">
        <f t="shared" si="56"/>
        <v>122.30336333865944</v>
      </c>
      <c r="M180" s="171">
        <f t="shared" si="48"/>
        <v>9.8265213252284234</v>
      </c>
      <c r="N180" s="172">
        <f t="shared" si="49"/>
        <v>132.12988466388785</v>
      </c>
      <c r="O180" s="171">
        <v>0</v>
      </c>
      <c r="P180" s="171">
        <v>0</v>
      </c>
      <c r="Q180" s="171">
        <v>0</v>
      </c>
      <c r="R180" s="172">
        <f t="shared" si="50"/>
        <v>132.12988466388785</v>
      </c>
    </row>
    <row r="181" spans="1:18" x14ac:dyDescent="0.25">
      <c r="A181" s="129">
        <v>6</v>
      </c>
      <c r="B181" s="164">
        <f t="shared" si="45"/>
        <v>45444</v>
      </c>
      <c r="C181" s="184">
        <f t="shared" si="55"/>
        <v>45476</v>
      </c>
      <c r="D181" s="184">
        <f t="shared" si="55"/>
        <v>45497</v>
      </c>
      <c r="E181" s="52" t="s">
        <v>55</v>
      </c>
      <c r="F181" s="129">
        <v>9</v>
      </c>
      <c r="G181" s="166">
        <v>36</v>
      </c>
      <c r="H181" s="167">
        <f t="shared" si="46"/>
        <v>11.985209729074265</v>
      </c>
      <c r="I181" s="167">
        <f t="shared" si="57"/>
        <v>15.930479514192312</v>
      </c>
      <c r="J181" s="168">
        <f t="shared" si="47"/>
        <v>573.49726251092318</v>
      </c>
      <c r="K181" s="169">
        <f t="shared" si="41"/>
        <v>431.46755024667357</v>
      </c>
      <c r="L181" s="174">
        <f t="shared" si="56"/>
        <v>142.02971226424961</v>
      </c>
      <c r="M181" s="171">
        <f t="shared" si="48"/>
        <v>11.411444119620105</v>
      </c>
      <c r="N181" s="172">
        <f t="shared" si="49"/>
        <v>153.44115638386972</v>
      </c>
      <c r="O181" s="171">
        <v>0</v>
      </c>
      <c r="P181" s="171">
        <v>0</v>
      </c>
      <c r="Q181" s="171">
        <v>0</v>
      </c>
      <c r="R181" s="172">
        <f t="shared" si="50"/>
        <v>153.44115638386972</v>
      </c>
    </row>
    <row r="182" spans="1:18" x14ac:dyDescent="0.25">
      <c r="A182" s="93">
        <v>7</v>
      </c>
      <c r="B182" s="164">
        <f t="shared" si="45"/>
        <v>45474</v>
      </c>
      <c r="C182" s="184">
        <f t="shared" si="55"/>
        <v>45509</v>
      </c>
      <c r="D182" s="184">
        <f t="shared" si="55"/>
        <v>45530</v>
      </c>
      <c r="E182" s="52" t="s">
        <v>55</v>
      </c>
      <c r="F182" s="129">
        <v>9</v>
      </c>
      <c r="G182" s="166">
        <v>38</v>
      </c>
      <c r="H182" s="167">
        <f t="shared" si="46"/>
        <v>11.985209729074265</v>
      </c>
      <c r="I182" s="167">
        <f t="shared" si="57"/>
        <v>15.930479514192312</v>
      </c>
      <c r="J182" s="168">
        <f t="shared" si="47"/>
        <v>605.35822153930781</v>
      </c>
      <c r="K182" s="175">
        <f t="shared" si="41"/>
        <v>455.43796970482208</v>
      </c>
      <c r="L182" s="174">
        <f t="shared" si="56"/>
        <v>149.92025183448573</v>
      </c>
      <c r="M182" s="171">
        <f t="shared" si="48"/>
        <v>12.045413237376778</v>
      </c>
      <c r="N182" s="172">
        <f t="shared" si="49"/>
        <v>161.9656650718625</v>
      </c>
      <c r="O182" s="171">
        <v>0</v>
      </c>
      <c r="P182" s="171">
        <v>0</v>
      </c>
      <c r="Q182" s="171">
        <v>0</v>
      </c>
      <c r="R182" s="172">
        <f t="shared" si="50"/>
        <v>161.9656650718625</v>
      </c>
    </row>
    <row r="183" spans="1:18" x14ac:dyDescent="0.25">
      <c r="A183" s="129">
        <v>8</v>
      </c>
      <c r="B183" s="164">
        <f t="shared" si="45"/>
        <v>45505</v>
      </c>
      <c r="C183" s="184">
        <f t="shared" si="55"/>
        <v>45539</v>
      </c>
      <c r="D183" s="184">
        <f t="shared" si="55"/>
        <v>45559</v>
      </c>
      <c r="E183" s="52" t="s">
        <v>55</v>
      </c>
      <c r="F183" s="129">
        <v>9</v>
      </c>
      <c r="G183" s="166">
        <v>41</v>
      </c>
      <c r="H183" s="167">
        <f t="shared" si="46"/>
        <v>11.985209729074265</v>
      </c>
      <c r="I183" s="167">
        <f t="shared" si="57"/>
        <v>15.930479514192312</v>
      </c>
      <c r="J183" s="168">
        <f t="shared" si="47"/>
        <v>653.1496600818848</v>
      </c>
      <c r="K183" s="175">
        <f t="shared" si="41"/>
        <v>491.39359889204485</v>
      </c>
      <c r="L183" s="174">
        <f t="shared" si="56"/>
        <v>161.75606118983995</v>
      </c>
      <c r="M183" s="171">
        <f t="shared" si="48"/>
        <v>12.996366914011787</v>
      </c>
      <c r="N183" s="172">
        <f t="shared" si="49"/>
        <v>174.75242810385174</v>
      </c>
      <c r="O183" s="171">
        <v>0</v>
      </c>
      <c r="P183" s="171">
        <v>0</v>
      </c>
      <c r="Q183" s="171">
        <v>0</v>
      </c>
      <c r="R183" s="172">
        <f t="shared" si="50"/>
        <v>174.75242810385174</v>
      </c>
    </row>
    <row r="184" spans="1:18" x14ac:dyDescent="0.25">
      <c r="A184" s="129">
        <v>9</v>
      </c>
      <c r="B184" s="164">
        <f t="shared" si="45"/>
        <v>45536</v>
      </c>
      <c r="C184" s="184">
        <f t="shared" si="55"/>
        <v>45568</v>
      </c>
      <c r="D184" s="184">
        <f t="shared" si="55"/>
        <v>45589</v>
      </c>
      <c r="E184" s="52" t="s">
        <v>55</v>
      </c>
      <c r="F184" s="129">
        <v>9</v>
      </c>
      <c r="G184" s="166">
        <v>29</v>
      </c>
      <c r="H184" s="167">
        <f t="shared" si="46"/>
        <v>11.985209729074265</v>
      </c>
      <c r="I184" s="167">
        <f t="shared" si="57"/>
        <v>15.930479514192312</v>
      </c>
      <c r="J184" s="168">
        <f t="shared" si="47"/>
        <v>461.98390591157704</v>
      </c>
      <c r="K184" s="175">
        <f t="shared" si="41"/>
        <v>347.57108214315372</v>
      </c>
      <c r="L184" s="174">
        <f t="shared" si="56"/>
        <v>114.41282376842332</v>
      </c>
      <c r="M184" s="171">
        <f t="shared" si="48"/>
        <v>9.1925522074717509</v>
      </c>
      <c r="N184" s="172">
        <f t="shared" si="49"/>
        <v>123.60537597589507</v>
      </c>
      <c r="O184" s="171">
        <v>0</v>
      </c>
      <c r="P184" s="171">
        <v>0</v>
      </c>
      <c r="Q184" s="171">
        <v>0</v>
      </c>
      <c r="R184" s="172">
        <f t="shared" si="50"/>
        <v>123.60537597589507</v>
      </c>
    </row>
    <row r="185" spans="1:18" x14ac:dyDescent="0.25">
      <c r="A185" s="93">
        <v>10</v>
      </c>
      <c r="B185" s="164">
        <f t="shared" si="45"/>
        <v>45566</v>
      </c>
      <c r="C185" s="184">
        <f t="shared" si="55"/>
        <v>45601</v>
      </c>
      <c r="D185" s="184">
        <f t="shared" si="55"/>
        <v>45621</v>
      </c>
      <c r="E185" s="52" t="s">
        <v>55</v>
      </c>
      <c r="F185" s="129">
        <v>9</v>
      </c>
      <c r="G185" s="166">
        <v>26</v>
      </c>
      <c r="H185" s="167">
        <f t="shared" si="46"/>
        <v>11.985209729074265</v>
      </c>
      <c r="I185" s="167">
        <f t="shared" si="57"/>
        <v>15.930479514192312</v>
      </c>
      <c r="J185" s="168">
        <f t="shared" si="47"/>
        <v>414.1924673690001</v>
      </c>
      <c r="K185" s="175">
        <f t="shared" si="41"/>
        <v>311.61545295593089</v>
      </c>
      <c r="L185" s="174">
        <f t="shared" si="56"/>
        <v>102.57701441306921</v>
      </c>
      <c r="M185" s="171">
        <f t="shared" si="48"/>
        <v>8.2415985308367432</v>
      </c>
      <c r="N185" s="172">
        <f t="shared" si="49"/>
        <v>110.81861294390595</v>
      </c>
      <c r="O185" s="171">
        <v>0</v>
      </c>
      <c r="P185" s="171">
        <v>0</v>
      </c>
      <c r="Q185" s="171">
        <v>0</v>
      </c>
      <c r="R185" s="172">
        <f t="shared" si="50"/>
        <v>110.81861294390595</v>
      </c>
    </row>
    <row r="186" spans="1:18" x14ac:dyDescent="0.25">
      <c r="A186" s="129">
        <v>11</v>
      </c>
      <c r="B186" s="164">
        <f t="shared" si="45"/>
        <v>45597</v>
      </c>
      <c r="C186" s="184">
        <f t="shared" si="55"/>
        <v>45630</v>
      </c>
      <c r="D186" s="184">
        <f t="shared" si="55"/>
        <v>45650</v>
      </c>
      <c r="E186" s="52" t="s">
        <v>55</v>
      </c>
      <c r="F186" s="129">
        <v>9</v>
      </c>
      <c r="G186" s="166">
        <v>22</v>
      </c>
      <c r="H186" s="167">
        <f t="shared" si="46"/>
        <v>11.985209729074265</v>
      </c>
      <c r="I186" s="167">
        <f t="shared" si="57"/>
        <v>15.930479514192312</v>
      </c>
      <c r="J186" s="168">
        <f t="shared" si="47"/>
        <v>350.47054931223084</v>
      </c>
      <c r="K186" s="175">
        <f t="shared" si="41"/>
        <v>263.67461403963381</v>
      </c>
      <c r="L186" s="174">
        <f t="shared" si="56"/>
        <v>86.795935272597035</v>
      </c>
      <c r="M186" s="171">
        <f t="shared" si="48"/>
        <v>6.9736602953233975</v>
      </c>
      <c r="N186" s="172">
        <f t="shared" si="49"/>
        <v>93.769595567920433</v>
      </c>
      <c r="O186" s="171">
        <v>0</v>
      </c>
      <c r="P186" s="171">
        <v>0</v>
      </c>
      <c r="Q186" s="171">
        <v>0</v>
      </c>
      <c r="R186" s="172">
        <f t="shared" si="50"/>
        <v>93.769595567920433</v>
      </c>
    </row>
    <row r="187" spans="1:18" s="188" customFormat="1" x14ac:dyDescent="0.25">
      <c r="A187" s="129">
        <v>12</v>
      </c>
      <c r="B187" s="186">
        <f t="shared" si="45"/>
        <v>45627</v>
      </c>
      <c r="C187" s="184">
        <f t="shared" si="55"/>
        <v>45660</v>
      </c>
      <c r="D187" s="184">
        <f t="shared" si="55"/>
        <v>45681</v>
      </c>
      <c r="E187" s="187" t="s">
        <v>55</v>
      </c>
      <c r="F187" s="140">
        <v>9</v>
      </c>
      <c r="G187" s="166">
        <v>18</v>
      </c>
      <c r="H187" s="176">
        <f t="shared" si="46"/>
        <v>11.985209729074265</v>
      </c>
      <c r="I187" s="176">
        <f t="shared" si="57"/>
        <v>15.930479514192312</v>
      </c>
      <c r="J187" s="177">
        <f t="shared" si="47"/>
        <v>286.74863125546159</v>
      </c>
      <c r="K187" s="178">
        <f t="shared" si="41"/>
        <v>215.73377512333678</v>
      </c>
      <c r="L187" s="179">
        <f t="shared" si="56"/>
        <v>71.014856132124805</v>
      </c>
      <c r="M187" s="171">
        <f t="shared" si="48"/>
        <v>5.7057220598100526</v>
      </c>
      <c r="N187" s="172">
        <f t="shared" si="49"/>
        <v>76.720578191934862</v>
      </c>
      <c r="O187" s="171">
        <v>0</v>
      </c>
      <c r="P187" s="171">
        <v>0</v>
      </c>
      <c r="Q187" s="171">
        <v>0</v>
      </c>
      <c r="R187" s="172">
        <f t="shared" si="50"/>
        <v>76.720578191934862</v>
      </c>
    </row>
    <row r="188" spans="1:18" x14ac:dyDescent="0.25">
      <c r="A188" s="93">
        <v>1</v>
      </c>
      <c r="B188" s="164">
        <f t="shared" si="45"/>
        <v>45292</v>
      </c>
      <c r="C188" s="181">
        <f t="shared" ref="C188:D211" si="58">+C176</f>
        <v>45327</v>
      </c>
      <c r="D188" s="181">
        <f t="shared" si="58"/>
        <v>45348</v>
      </c>
      <c r="E188" s="165" t="s">
        <v>56</v>
      </c>
      <c r="F188" s="93">
        <v>9</v>
      </c>
      <c r="G188" s="166">
        <v>34</v>
      </c>
      <c r="H188" s="167">
        <f t="shared" si="46"/>
        <v>11.985209729074265</v>
      </c>
      <c r="I188" s="167">
        <f t="shared" si="57"/>
        <v>15.930479514192312</v>
      </c>
      <c r="J188" s="168">
        <f t="shared" si="47"/>
        <v>541.63630348253855</v>
      </c>
      <c r="K188" s="169">
        <f t="shared" si="41"/>
        <v>407.497130788525</v>
      </c>
      <c r="L188" s="170">
        <f t="shared" si="56"/>
        <v>134.13917269401355</v>
      </c>
      <c r="M188" s="171">
        <f t="shared" si="48"/>
        <v>10.777475001863433</v>
      </c>
      <c r="N188" s="172">
        <f t="shared" si="49"/>
        <v>144.91664769587697</v>
      </c>
      <c r="O188" s="171">
        <v>0</v>
      </c>
      <c r="P188" s="171">
        <v>0</v>
      </c>
      <c r="Q188" s="171">
        <v>0</v>
      </c>
      <c r="R188" s="172">
        <f t="shared" si="50"/>
        <v>144.91664769587697</v>
      </c>
    </row>
    <row r="189" spans="1:18" x14ac:dyDescent="0.25">
      <c r="A189" s="129">
        <v>2</v>
      </c>
      <c r="B189" s="164">
        <f t="shared" si="45"/>
        <v>45323</v>
      </c>
      <c r="C189" s="184">
        <f t="shared" si="58"/>
        <v>45356</v>
      </c>
      <c r="D189" s="184">
        <f t="shared" si="58"/>
        <v>45376</v>
      </c>
      <c r="E189" s="173" t="s">
        <v>56</v>
      </c>
      <c r="F189" s="129">
        <v>9</v>
      </c>
      <c r="G189" s="166">
        <v>32</v>
      </c>
      <c r="H189" s="167">
        <f t="shared" si="46"/>
        <v>11.985209729074265</v>
      </c>
      <c r="I189" s="167">
        <f t="shared" si="57"/>
        <v>15.930479514192312</v>
      </c>
      <c r="J189" s="168">
        <f t="shared" si="47"/>
        <v>509.77534445415398</v>
      </c>
      <c r="K189" s="169">
        <f t="shared" si="41"/>
        <v>383.52671133037649</v>
      </c>
      <c r="L189" s="170">
        <f t="shared" si="56"/>
        <v>126.24863312377749</v>
      </c>
      <c r="M189" s="171">
        <f t="shared" si="48"/>
        <v>10.14350588410676</v>
      </c>
      <c r="N189" s="172">
        <f t="shared" si="49"/>
        <v>136.39213900788425</v>
      </c>
      <c r="O189" s="171">
        <v>0</v>
      </c>
      <c r="P189" s="171">
        <v>0</v>
      </c>
      <c r="Q189" s="171">
        <v>0</v>
      </c>
      <c r="R189" s="172">
        <f t="shared" si="50"/>
        <v>136.39213900788425</v>
      </c>
    </row>
    <row r="190" spans="1:18" x14ac:dyDescent="0.25">
      <c r="A190" s="129">
        <v>3</v>
      </c>
      <c r="B190" s="164">
        <f t="shared" si="45"/>
        <v>45352</v>
      </c>
      <c r="C190" s="184">
        <f t="shared" si="58"/>
        <v>45385</v>
      </c>
      <c r="D190" s="184">
        <f t="shared" si="58"/>
        <v>45406</v>
      </c>
      <c r="E190" s="173" t="s">
        <v>56</v>
      </c>
      <c r="F190" s="129">
        <v>9</v>
      </c>
      <c r="G190" s="166">
        <v>32</v>
      </c>
      <c r="H190" s="167">
        <f t="shared" si="46"/>
        <v>11.985209729074265</v>
      </c>
      <c r="I190" s="167">
        <f t="shared" si="57"/>
        <v>15.930479514192312</v>
      </c>
      <c r="J190" s="168">
        <f t="shared" si="47"/>
        <v>509.77534445415398</v>
      </c>
      <c r="K190" s="169">
        <f t="shared" si="41"/>
        <v>383.52671133037649</v>
      </c>
      <c r="L190" s="170">
        <f>+J190-K190</f>
        <v>126.24863312377749</v>
      </c>
      <c r="M190" s="171">
        <f t="shared" si="48"/>
        <v>10.14350588410676</v>
      </c>
      <c r="N190" s="172">
        <f t="shared" si="49"/>
        <v>136.39213900788425</v>
      </c>
      <c r="O190" s="171">
        <v>0</v>
      </c>
      <c r="P190" s="171">
        <v>0</v>
      </c>
      <c r="Q190" s="171">
        <v>0</v>
      </c>
      <c r="R190" s="172">
        <f t="shared" si="50"/>
        <v>136.39213900788425</v>
      </c>
    </row>
    <row r="191" spans="1:18" x14ac:dyDescent="0.25">
      <c r="A191" s="93">
        <v>4</v>
      </c>
      <c r="B191" s="164">
        <f t="shared" si="45"/>
        <v>45383</v>
      </c>
      <c r="C191" s="184">
        <f t="shared" si="58"/>
        <v>45415</v>
      </c>
      <c r="D191" s="184">
        <f t="shared" si="58"/>
        <v>45436</v>
      </c>
      <c r="E191" s="52" t="s">
        <v>56</v>
      </c>
      <c r="F191" s="129">
        <v>9</v>
      </c>
      <c r="G191" s="166">
        <v>33</v>
      </c>
      <c r="H191" s="167">
        <f t="shared" si="46"/>
        <v>11.985209729074265</v>
      </c>
      <c r="I191" s="167">
        <f t="shared" si="57"/>
        <v>15.930479514192312</v>
      </c>
      <c r="J191" s="168">
        <f t="shared" si="47"/>
        <v>525.70582396834629</v>
      </c>
      <c r="K191" s="169">
        <f t="shared" si="41"/>
        <v>395.51192105945074</v>
      </c>
      <c r="L191" s="170">
        <f t="shared" ref="L191:L201" si="59">+J191-K191</f>
        <v>130.19390290889555</v>
      </c>
      <c r="M191" s="171">
        <f t="shared" si="48"/>
        <v>10.460490442985096</v>
      </c>
      <c r="N191" s="172">
        <f t="shared" si="49"/>
        <v>140.65439335188066</v>
      </c>
      <c r="O191" s="171">
        <v>0</v>
      </c>
      <c r="P191" s="171">
        <v>0</v>
      </c>
      <c r="Q191" s="171">
        <v>0</v>
      </c>
      <c r="R191" s="172">
        <f t="shared" si="50"/>
        <v>140.65439335188066</v>
      </c>
    </row>
    <row r="192" spans="1:18" x14ac:dyDescent="0.25">
      <c r="A192" s="129">
        <v>5</v>
      </c>
      <c r="B192" s="164">
        <f t="shared" si="45"/>
        <v>45413</v>
      </c>
      <c r="C192" s="184">
        <f t="shared" si="58"/>
        <v>45448</v>
      </c>
      <c r="D192" s="184">
        <f t="shared" si="58"/>
        <v>45467</v>
      </c>
      <c r="E192" s="52" t="s">
        <v>56</v>
      </c>
      <c r="F192" s="129">
        <v>9</v>
      </c>
      <c r="G192" s="166">
        <v>40</v>
      </c>
      <c r="H192" s="167">
        <f t="shared" si="46"/>
        <v>11.985209729074265</v>
      </c>
      <c r="I192" s="167">
        <f t="shared" si="57"/>
        <v>15.930479514192312</v>
      </c>
      <c r="J192" s="168">
        <f t="shared" si="47"/>
        <v>637.21918056769243</v>
      </c>
      <c r="K192" s="169">
        <f t="shared" si="41"/>
        <v>479.40838916297059</v>
      </c>
      <c r="L192" s="170">
        <f t="shared" si="59"/>
        <v>157.81079140472184</v>
      </c>
      <c r="M192" s="171">
        <f t="shared" si="48"/>
        <v>12.67938235513345</v>
      </c>
      <c r="N192" s="172">
        <f t="shared" si="49"/>
        <v>170.49017375985528</v>
      </c>
      <c r="O192" s="171">
        <v>0</v>
      </c>
      <c r="P192" s="171">
        <v>0</v>
      </c>
      <c r="Q192" s="171">
        <v>0</v>
      </c>
      <c r="R192" s="172">
        <f t="shared" si="50"/>
        <v>170.49017375985528</v>
      </c>
    </row>
    <row r="193" spans="1:18" x14ac:dyDescent="0.25">
      <c r="A193" s="129">
        <v>6</v>
      </c>
      <c r="B193" s="164">
        <f t="shared" si="45"/>
        <v>45444</v>
      </c>
      <c r="C193" s="184">
        <f t="shared" si="58"/>
        <v>45476</v>
      </c>
      <c r="D193" s="184">
        <f t="shared" si="58"/>
        <v>45497</v>
      </c>
      <c r="E193" s="52" t="s">
        <v>56</v>
      </c>
      <c r="F193" s="129">
        <v>9</v>
      </c>
      <c r="G193" s="166">
        <v>47</v>
      </c>
      <c r="H193" s="167">
        <f t="shared" si="46"/>
        <v>11.985209729074265</v>
      </c>
      <c r="I193" s="167">
        <f t="shared" si="57"/>
        <v>15.930479514192312</v>
      </c>
      <c r="J193" s="168">
        <f t="shared" si="47"/>
        <v>748.73253716703869</v>
      </c>
      <c r="K193" s="169">
        <f t="shared" si="41"/>
        <v>563.30485726649044</v>
      </c>
      <c r="L193" s="174">
        <f t="shared" si="59"/>
        <v>185.42767990054824</v>
      </c>
      <c r="M193" s="171">
        <f t="shared" si="48"/>
        <v>14.898274267281804</v>
      </c>
      <c r="N193" s="172">
        <f t="shared" si="49"/>
        <v>200.32595416783005</v>
      </c>
      <c r="O193" s="171">
        <v>0</v>
      </c>
      <c r="P193" s="171">
        <v>0</v>
      </c>
      <c r="Q193" s="171">
        <v>0</v>
      </c>
      <c r="R193" s="172">
        <f t="shared" si="50"/>
        <v>200.32595416783005</v>
      </c>
    </row>
    <row r="194" spans="1:18" x14ac:dyDescent="0.25">
      <c r="A194" s="93">
        <v>7</v>
      </c>
      <c r="B194" s="164">
        <f t="shared" si="45"/>
        <v>45474</v>
      </c>
      <c r="C194" s="184">
        <f t="shared" si="58"/>
        <v>45509</v>
      </c>
      <c r="D194" s="184">
        <f t="shared" si="58"/>
        <v>45530</v>
      </c>
      <c r="E194" s="52" t="s">
        <v>56</v>
      </c>
      <c r="F194" s="129">
        <v>9</v>
      </c>
      <c r="G194" s="166">
        <v>47</v>
      </c>
      <c r="H194" s="167">
        <f t="shared" si="46"/>
        <v>11.985209729074265</v>
      </c>
      <c r="I194" s="167">
        <f t="shared" si="57"/>
        <v>15.930479514192312</v>
      </c>
      <c r="J194" s="168">
        <f t="shared" si="47"/>
        <v>748.73253716703869</v>
      </c>
      <c r="K194" s="175">
        <f t="shared" si="41"/>
        <v>563.30485726649044</v>
      </c>
      <c r="L194" s="174">
        <f t="shared" si="59"/>
        <v>185.42767990054824</v>
      </c>
      <c r="M194" s="171">
        <f t="shared" si="48"/>
        <v>14.898274267281804</v>
      </c>
      <c r="N194" s="172">
        <f t="shared" si="49"/>
        <v>200.32595416783005</v>
      </c>
      <c r="O194" s="171">
        <v>0</v>
      </c>
      <c r="P194" s="171">
        <v>0</v>
      </c>
      <c r="Q194" s="171">
        <v>0</v>
      </c>
      <c r="R194" s="172">
        <f t="shared" si="50"/>
        <v>200.32595416783005</v>
      </c>
    </row>
    <row r="195" spans="1:18" x14ac:dyDescent="0.25">
      <c r="A195" s="129">
        <v>8</v>
      </c>
      <c r="B195" s="164">
        <f t="shared" si="45"/>
        <v>45505</v>
      </c>
      <c r="C195" s="184">
        <f t="shared" si="58"/>
        <v>45539</v>
      </c>
      <c r="D195" s="184">
        <f t="shared" si="58"/>
        <v>45559</v>
      </c>
      <c r="E195" s="52" t="s">
        <v>56</v>
      </c>
      <c r="F195" s="129">
        <v>9</v>
      </c>
      <c r="G195" s="166">
        <v>51</v>
      </c>
      <c r="H195" s="167">
        <f t="shared" si="46"/>
        <v>11.985209729074265</v>
      </c>
      <c r="I195" s="167">
        <f t="shared" si="57"/>
        <v>15.930479514192312</v>
      </c>
      <c r="J195" s="168">
        <f t="shared" si="47"/>
        <v>812.45445522380794</v>
      </c>
      <c r="K195" s="175">
        <f t="shared" si="41"/>
        <v>611.24569618278747</v>
      </c>
      <c r="L195" s="174">
        <f t="shared" si="59"/>
        <v>201.20875904102047</v>
      </c>
      <c r="M195" s="171">
        <f t="shared" si="48"/>
        <v>16.166212502795148</v>
      </c>
      <c r="N195" s="172">
        <f t="shared" si="49"/>
        <v>217.3749715438156</v>
      </c>
      <c r="O195" s="171">
        <v>0</v>
      </c>
      <c r="P195" s="171">
        <v>0</v>
      </c>
      <c r="Q195" s="171">
        <v>0</v>
      </c>
      <c r="R195" s="172">
        <f t="shared" si="50"/>
        <v>217.3749715438156</v>
      </c>
    </row>
    <row r="196" spans="1:18" x14ac:dyDescent="0.25">
      <c r="A196" s="129">
        <v>9</v>
      </c>
      <c r="B196" s="164">
        <f t="shared" si="45"/>
        <v>45536</v>
      </c>
      <c r="C196" s="184">
        <f t="shared" si="58"/>
        <v>45568</v>
      </c>
      <c r="D196" s="184">
        <f t="shared" si="58"/>
        <v>45589</v>
      </c>
      <c r="E196" s="52" t="s">
        <v>56</v>
      </c>
      <c r="F196" s="129">
        <v>9</v>
      </c>
      <c r="G196" s="166">
        <v>43</v>
      </c>
      <c r="H196" s="167">
        <f t="shared" si="46"/>
        <v>11.985209729074265</v>
      </c>
      <c r="I196" s="167">
        <f t="shared" si="57"/>
        <v>15.930479514192312</v>
      </c>
      <c r="J196" s="168">
        <f t="shared" si="47"/>
        <v>685.01061911026943</v>
      </c>
      <c r="K196" s="175">
        <f t="shared" si="41"/>
        <v>515.36401835019342</v>
      </c>
      <c r="L196" s="174">
        <f t="shared" si="59"/>
        <v>169.64660076007601</v>
      </c>
      <c r="M196" s="171">
        <f t="shared" si="48"/>
        <v>13.63033603176846</v>
      </c>
      <c r="N196" s="172">
        <f t="shared" si="49"/>
        <v>183.27693679184446</v>
      </c>
      <c r="O196" s="171">
        <v>0</v>
      </c>
      <c r="P196" s="171">
        <v>0</v>
      </c>
      <c r="Q196" s="171">
        <v>0</v>
      </c>
      <c r="R196" s="172">
        <f t="shared" si="50"/>
        <v>183.27693679184446</v>
      </c>
    </row>
    <row r="197" spans="1:18" x14ac:dyDescent="0.25">
      <c r="A197" s="93">
        <v>10</v>
      </c>
      <c r="B197" s="164">
        <f t="shared" si="45"/>
        <v>45566</v>
      </c>
      <c r="C197" s="184">
        <f t="shared" si="58"/>
        <v>45601</v>
      </c>
      <c r="D197" s="184">
        <f t="shared" si="58"/>
        <v>45621</v>
      </c>
      <c r="E197" s="52" t="s">
        <v>56</v>
      </c>
      <c r="F197" s="129">
        <v>9</v>
      </c>
      <c r="G197" s="166">
        <v>37</v>
      </c>
      <c r="H197" s="167">
        <f t="shared" si="46"/>
        <v>11.985209729074265</v>
      </c>
      <c r="I197" s="167">
        <f t="shared" si="57"/>
        <v>15.930479514192312</v>
      </c>
      <c r="J197" s="168">
        <f t="shared" si="47"/>
        <v>589.42774202511555</v>
      </c>
      <c r="K197" s="175">
        <f t="shared" si="41"/>
        <v>443.45275997574782</v>
      </c>
      <c r="L197" s="174">
        <f t="shared" si="59"/>
        <v>145.97498204936772</v>
      </c>
      <c r="M197" s="171">
        <f t="shared" si="48"/>
        <v>11.728428678498441</v>
      </c>
      <c r="N197" s="172">
        <f t="shared" si="49"/>
        <v>157.70341072786616</v>
      </c>
      <c r="O197" s="171">
        <v>0</v>
      </c>
      <c r="P197" s="171">
        <v>0</v>
      </c>
      <c r="Q197" s="171">
        <v>0</v>
      </c>
      <c r="R197" s="172">
        <f t="shared" si="50"/>
        <v>157.70341072786616</v>
      </c>
    </row>
    <row r="198" spans="1:18" x14ac:dyDescent="0.25">
      <c r="A198" s="129">
        <v>11</v>
      </c>
      <c r="B198" s="164">
        <f t="shared" si="45"/>
        <v>45597</v>
      </c>
      <c r="C198" s="184">
        <f t="shared" si="58"/>
        <v>45630</v>
      </c>
      <c r="D198" s="184">
        <f t="shared" si="58"/>
        <v>45650</v>
      </c>
      <c r="E198" s="52" t="s">
        <v>56</v>
      </c>
      <c r="F198" s="129">
        <v>9</v>
      </c>
      <c r="G198" s="166">
        <v>34</v>
      </c>
      <c r="H198" s="167">
        <f t="shared" si="46"/>
        <v>11.985209729074265</v>
      </c>
      <c r="I198" s="167">
        <f t="shared" si="57"/>
        <v>15.930479514192312</v>
      </c>
      <c r="J198" s="168">
        <f t="shared" si="47"/>
        <v>541.63630348253855</v>
      </c>
      <c r="K198" s="175">
        <f t="shared" ref="K198:K209" si="60">+$G198*H198</f>
        <v>407.497130788525</v>
      </c>
      <c r="L198" s="174">
        <f t="shared" si="59"/>
        <v>134.13917269401355</v>
      </c>
      <c r="M198" s="171">
        <f t="shared" si="48"/>
        <v>10.777475001863433</v>
      </c>
      <c r="N198" s="172">
        <f t="shared" si="49"/>
        <v>144.91664769587697</v>
      </c>
      <c r="O198" s="171">
        <v>0</v>
      </c>
      <c r="P198" s="171">
        <v>0</v>
      </c>
      <c r="Q198" s="171">
        <v>0</v>
      </c>
      <c r="R198" s="172">
        <f t="shared" si="50"/>
        <v>144.91664769587697</v>
      </c>
    </row>
    <row r="199" spans="1:18" s="188" customFormat="1" x14ac:dyDescent="0.25">
      <c r="A199" s="129">
        <v>12</v>
      </c>
      <c r="B199" s="186">
        <f t="shared" si="45"/>
        <v>45627</v>
      </c>
      <c r="C199" s="184">
        <f t="shared" si="58"/>
        <v>45660</v>
      </c>
      <c r="D199" s="184">
        <f t="shared" si="58"/>
        <v>45681</v>
      </c>
      <c r="E199" s="187" t="s">
        <v>56</v>
      </c>
      <c r="F199" s="140">
        <v>9</v>
      </c>
      <c r="G199" s="166">
        <v>32</v>
      </c>
      <c r="H199" s="176">
        <f t="shared" si="46"/>
        <v>11.985209729074265</v>
      </c>
      <c r="I199" s="176">
        <f t="shared" si="57"/>
        <v>15.930479514192312</v>
      </c>
      <c r="J199" s="177">
        <f t="shared" si="47"/>
        <v>509.77534445415398</v>
      </c>
      <c r="K199" s="178">
        <f t="shared" si="60"/>
        <v>383.52671133037649</v>
      </c>
      <c r="L199" s="179">
        <f t="shared" si="59"/>
        <v>126.24863312377749</v>
      </c>
      <c r="M199" s="171">
        <f t="shared" si="48"/>
        <v>10.14350588410676</v>
      </c>
      <c r="N199" s="172">
        <f t="shared" si="49"/>
        <v>136.39213900788425</v>
      </c>
      <c r="O199" s="171">
        <v>0</v>
      </c>
      <c r="P199" s="171">
        <v>0</v>
      </c>
      <c r="Q199" s="171">
        <v>0</v>
      </c>
      <c r="R199" s="172">
        <f t="shared" si="50"/>
        <v>136.39213900788425</v>
      </c>
    </row>
    <row r="200" spans="1:18" x14ac:dyDescent="0.25">
      <c r="A200" s="93">
        <v>1</v>
      </c>
      <c r="B200" s="164">
        <f t="shared" si="45"/>
        <v>45292</v>
      </c>
      <c r="C200" s="181">
        <f t="shared" si="58"/>
        <v>45327</v>
      </c>
      <c r="D200" s="181">
        <f t="shared" si="58"/>
        <v>45348</v>
      </c>
      <c r="E200" s="165" t="s">
        <v>17</v>
      </c>
      <c r="F200" s="93">
        <v>9</v>
      </c>
      <c r="G200" s="166">
        <v>104</v>
      </c>
      <c r="H200" s="167">
        <f t="shared" si="46"/>
        <v>11.985209729074265</v>
      </c>
      <c r="I200" s="167">
        <f t="shared" si="57"/>
        <v>15.930479514192312</v>
      </c>
      <c r="J200" s="168">
        <f t="shared" si="47"/>
        <v>1656.7698694760004</v>
      </c>
      <c r="K200" s="169">
        <f t="shared" si="60"/>
        <v>1246.4618118237236</v>
      </c>
      <c r="L200" s="170">
        <f t="shared" si="59"/>
        <v>410.30805765227683</v>
      </c>
      <c r="M200" s="171">
        <f t="shared" si="48"/>
        <v>32.966394123346973</v>
      </c>
      <c r="N200" s="172">
        <f t="shared" si="49"/>
        <v>443.27445177562379</v>
      </c>
      <c r="O200" s="171">
        <v>0</v>
      </c>
      <c r="P200" s="171">
        <v>0</v>
      </c>
      <c r="Q200" s="171">
        <v>0</v>
      </c>
      <c r="R200" s="172">
        <f t="shared" si="50"/>
        <v>443.27445177562379</v>
      </c>
    </row>
    <row r="201" spans="1:18" x14ac:dyDescent="0.25">
      <c r="A201" s="129">
        <v>2</v>
      </c>
      <c r="B201" s="164">
        <f t="shared" si="45"/>
        <v>45323</v>
      </c>
      <c r="C201" s="184">
        <f t="shared" si="58"/>
        <v>45356</v>
      </c>
      <c r="D201" s="184">
        <f t="shared" si="58"/>
        <v>45376</v>
      </c>
      <c r="E201" s="173" t="s">
        <v>17</v>
      </c>
      <c r="F201" s="129">
        <v>9</v>
      </c>
      <c r="G201" s="166">
        <v>99</v>
      </c>
      <c r="H201" s="167">
        <f t="shared" si="46"/>
        <v>11.985209729074265</v>
      </c>
      <c r="I201" s="167">
        <f t="shared" si="57"/>
        <v>15.930479514192312</v>
      </c>
      <c r="J201" s="168">
        <f t="shared" si="47"/>
        <v>1577.1174719050389</v>
      </c>
      <c r="K201" s="169">
        <f t="shared" si="60"/>
        <v>1186.5357631783522</v>
      </c>
      <c r="L201" s="170">
        <f t="shared" si="59"/>
        <v>390.58170872668666</v>
      </c>
      <c r="M201" s="171">
        <f t="shared" si="48"/>
        <v>31.381471328955289</v>
      </c>
      <c r="N201" s="172">
        <f t="shared" si="49"/>
        <v>421.96318005564194</v>
      </c>
      <c r="O201" s="171">
        <v>0</v>
      </c>
      <c r="P201" s="171">
        <v>0</v>
      </c>
      <c r="Q201" s="171">
        <v>0</v>
      </c>
      <c r="R201" s="172">
        <f t="shared" si="50"/>
        <v>421.96318005564194</v>
      </c>
    </row>
    <row r="202" spans="1:18" x14ac:dyDescent="0.25">
      <c r="A202" s="129">
        <v>3</v>
      </c>
      <c r="B202" s="164">
        <f t="shared" si="45"/>
        <v>45352</v>
      </c>
      <c r="C202" s="184">
        <f t="shared" si="58"/>
        <v>45385</v>
      </c>
      <c r="D202" s="184">
        <f t="shared" si="58"/>
        <v>45406</v>
      </c>
      <c r="E202" s="173" t="s">
        <v>17</v>
      </c>
      <c r="F202" s="129">
        <v>9</v>
      </c>
      <c r="G202" s="166">
        <v>99</v>
      </c>
      <c r="H202" s="167">
        <f t="shared" si="46"/>
        <v>11.985209729074265</v>
      </c>
      <c r="I202" s="167">
        <f t="shared" si="57"/>
        <v>15.930479514192312</v>
      </c>
      <c r="J202" s="168">
        <f t="shared" si="47"/>
        <v>1577.1174719050389</v>
      </c>
      <c r="K202" s="169">
        <f t="shared" si="60"/>
        <v>1186.5357631783522</v>
      </c>
      <c r="L202" s="170">
        <f>+J202-K202</f>
        <v>390.58170872668666</v>
      </c>
      <c r="M202" s="171">
        <f t="shared" si="48"/>
        <v>31.381471328955289</v>
      </c>
      <c r="N202" s="172">
        <f t="shared" si="49"/>
        <v>421.96318005564194</v>
      </c>
      <c r="O202" s="171">
        <v>0</v>
      </c>
      <c r="P202" s="171">
        <v>0</v>
      </c>
      <c r="Q202" s="171">
        <v>0</v>
      </c>
      <c r="R202" s="172">
        <f t="shared" si="50"/>
        <v>421.96318005564194</v>
      </c>
    </row>
    <row r="203" spans="1:18" x14ac:dyDescent="0.25">
      <c r="A203" s="93">
        <v>4</v>
      </c>
      <c r="B203" s="164">
        <f t="shared" si="45"/>
        <v>45383</v>
      </c>
      <c r="C203" s="184">
        <f t="shared" si="58"/>
        <v>45415</v>
      </c>
      <c r="D203" s="184">
        <f t="shared" si="58"/>
        <v>45436</v>
      </c>
      <c r="E203" s="173" t="s">
        <v>17</v>
      </c>
      <c r="F203" s="129">
        <v>9</v>
      </c>
      <c r="G203" s="166">
        <v>99</v>
      </c>
      <c r="H203" s="167">
        <f t="shared" si="46"/>
        <v>11.985209729074265</v>
      </c>
      <c r="I203" s="167">
        <f t="shared" si="57"/>
        <v>15.930479514192312</v>
      </c>
      <c r="J203" s="168">
        <f t="shared" si="47"/>
        <v>1577.1174719050389</v>
      </c>
      <c r="K203" s="169">
        <f t="shared" si="60"/>
        <v>1186.5357631783522</v>
      </c>
      <c r="L203" s="170">
        <f t="shared" ref="L203:L211" si="61">+J203-K203</f>
        <v>390.58170872668666</v>
      </c>
      <c r="M203" s="171">
        <f t="shared" si="48"/>
        <v>31.381471328955289</v>
      </c>
      <c r="N203" s="172">
        <f t="shared" si="49"/>
        <v>421.96318005564194</v>
      </c>
      <c r="O203" s="171">
        <v>0</v>
      </c>
      <c r="P203" s="171">
        <v>0</v>
      </c>
      <c r="Q203" s="171">
        <v>0</v>
      </c>
      <c r="R203" s="172">
        <f t="shared" si="50"/>
        <v>421.96318005564194</v>
      </c>
    </row>
    <row r="204" spans="1:18" x14ac:dyDescent="0.25">
      <c r="A204" s="129">
        <v>5</v>
      </c>
      <c r="B204" s="164">
        <f t="shared" si="45"/>
        <v>45413</v>
      </c>
      <c r="C204" s="184">
        <f t="shared" si="58"/>
        <v>45448</v>
      </c>
      <c r="D204" s="184">
        <f t="shared" si="58"/>
        <v>45467</v>
      </c>
      <c r="E204" s="52" t="s">
        <v>17</v>
      </c>
      <c r="F204" s="129">
        <v>9</v>
      </c>
      <c r="G204" s="166">
        <v>106</v>
      </c>
      <c r="H204" s="167">
        <f t="shared" si="46"/>
        <v>11.985209729074265</v>
      </c>
      <c r="I204" s="167">
        <f t="shared" si="57"/>
        <v>15.930479514192312</v>
      </c>
      <c r="J204" s="168">
        <f t="shared" si="47"/>
        <v>1688.6308285043851</v>
      </c>
      <c r="K204" s="169">
        <f t="shared" si="60"/>
        <v>1270.4322312818722</v>
      </c>
      <c r="L204" s="170">
        <f t="shared" si="61"/>
        <v>418.19859722251294</v>
      </c>
      <c r="M204" s="171">
        <f t="shared" si="48"/>
        <v>33.600363241103643</v>
      </c>
      <c r="N204" s="172">
        <f t="shared" si="49"/>
        <v>451.7989604636166</v>
      </c>
      <c r="O204" s="171">
        <v>0</v>
      </c>
      <c r="P204" s="171">
        <v>0</v>
      </c>
      <c r="Q204" s="171">
        <v>0</v>
      </c>
      <c r="R204" s="172">
        <f t="shared" si="50"/>
        <v>451.7989604636166</v>
      </c>
    </row>
    <row r="205" spans="1:18" x14ac:dyDescent="0.25">
      <c r="A205" s="129">
        <v>6</v>
      </c>
      <c r="B205" s="164">
        <f t="shared" si="45"/>
        <v>45444</v>
      </c>
      <c r="C205" s="184">
        <f t="shared" si="58"/>
        <v>45476</v>
      </c>
      <c r="D205" s="184">
        <f t="shared" si="58"/>
        <v>45497</v>
      </c>
      <c r="E205" s="52" t="s">
        <v>17</v>
      </c>
      <c r="F205" s="129">
        <v>9</v>
      </c>
      <c r="G205" s="166">
        <v>120</v>
      </c>
      <c r="H205" s="167">
        <f t="shared" si="46"/>
        <v>11.985209729074265</v>
      </c>
      <c r="I205" s="167">
        <f t="shared" si="57"/>
        <v>15.930479514192312</v>
      </c>
      <c r="J205" s="168">
        <f t="shared" si="47"/>
        <v>1911.6575417030774</v>
      </c>
      <c r="K205" s="169">
        <f t="shared" si="60"/>
        <v>1438.2251674889119</v>
      </c>
      <c r="L205" s="174">
        <f t="shared" si="61"/>
        <v>473.43237421416552</v>
      </c>
      <c r="M205" s="171">
        <f t="shared" si="48"/>
        <v>38.038147065400352</v>
      </c>
      <c r="N205" s="172">
        <f t="shared" si="49"/>
        <v>511.4705212795659</v>
      </c>
      <c r="O205" s="171">
        <v>0</v>
      </c>
      <c r="P205" s="171">
        <v>0</v>
      </c>
      <c r="Q205" s="171">
        <v>0</v>
      </c>
      <c r="R205" s="172">
        <f t="shared" si="50"/>
        <v>511.4705212795659</v>
      </c>
    </row>
    <row r="206" spans="1:18" x14ac:dyDescent="0.25">
      <c r="A206" s="93">
        <v>7</v>
      </c>
      <c r="B206" s="164">
        <f t="shared" si="45"/>
        <v>45474</v>
      </c>
      <c r="C206" s="184">
        <f t="shared" si="58"/>
        <v>45509</v>
      </c>
      <c r="D206" s="184">
        <f t="shared" si="58"/>
        <v>45530</v>
      </c>
      <c r="E206" s="52" t="s">
        <v>17</v>
      </c>
      <c r="F206" s="129">
        <v>9</v>
      </c>
      <c r="G206" s="166">
        <v>117</v>
      </c>
      <c r="H206" s="167">
        <f t="shared" si="46"/>
        <v>11.985209729074265</v>
      </c>
      <c r="I206" s="167">
        <f t="shared" si="57"/>
        <v>15.930479514192312</v>
      </c>
      <c r="J206" s="168">
        <f t="shared" si="47"/>
        <v>1863.8661031605004</v>
      </c>
      <c r="K206" s="175">
        <f t="shared" si="60"/>
        <v>1402.269538301689</v>
      </c>
      <c r="L206" s="174">
        <f t="shared" si="61"/>
        <v>461.59656485881146</v>
      </c>
      <c r="M206" s="171">
        <f t="shared" si="48"/>
        <v>37.087193388765343</v>
      </c>
      <c r="N206" s="172">
        <f t="shared" si="49"/>
        <v>498.6837582475768</v>
      </c>
      <c r="O206" s="171">
        <v>0</v>
      </c>
      <c r="P206" s="171">
        <v>0</v>
      </c>
      <c r="Q206" s="171">
        <v>0</v>
      </c>
      <c r="R206" s="172">
        <f t="shared" si="50"/>
        <v>498.6837582475768</v>
      </c>
    </row>
    <row r="207" spans="1:18" x14ac:dyDescent="0.25">
      <c r="A207" s="129">
        <v>8</v>
      </c>
      <c r="B207" s="164">
        <f t="shared" si="45"/>
        <v>45505</v>
      </c>
      <c r="C207" s="184">
        <f t="shared" si="58"/>
        <v>45539</v>
      </c>
      <c r="D207" s="184">
        <f t="shared" si="58"/>
        <v>45559</v>
      </c>
      <c r="E207" s="52" t="s">
        <v>17</v>
      </c>
      <c r="F207" s="129">
        <v>9</v>
      </c>
      <c r="G207" s="166">
        <v>118</v>
      </c>
      <c r="H207" s="167">
        <f t="shared" si="46"/>
        <v>11.985209729074265</v>
      </c>
      <c r="I207" s="167">
        <f t="shared" si="57"/>
        <v>15.930479514192312</v>
      </c>
      <c r="J207" s="168">
        <f t="shared" si="47"/>
        <v>1879.7965826746929</v>
      </c>
      <c r="K207" s="175">
        <f t="shared" si="60"/>
        <v>1414.2547480307633</v>
      </c>
      <c r="L207" s="174">
        <f t="shared" si="61"/>
        <v>465.54183464392963</v>
      </c>
      <c r="M207" s="171">
        <f t="shared" si="48"/>
        <v>37.404177947643674</v>
      </c>
      <c r="N207" s="172">
        <f t="shared" si="49"/>
        <v>502.94601259157332</v>
      </c>
      <c r="O207" s="171">
        <v>0</v>
      </c>
      <c r="P207" s="171">
        <v>0</v>
      </c>
      <c r="Q207" s="171">
        <v>0</v>
      </c>
      <c r="R207" s="172">
        <f t="shared" si="50"/>
        <v>502.94601259157332</v>
      </c>
    </row>
    <row r="208" spans="1:18" x14ac:dyDescent="0.25">
      <c r="A208" s="129">
        <v>9</v>
      </c>
      <c r="B208" s="164">
        <f t="shared" si="45"/>
        <v>45536</v>
      </c>
      <c r="C208" s="184">
        <f t="shared" si="58"/>
        <v>45568</v>
      </c>
      <c r="D208" s="184">
        <f t="shared" si="58"/>
        <v>45589</v>
      </c>
      <c r="E208" s="52" t="s">
        <v>17</v>
      </c>
      <c r="F208" s="129">
        <v>9</v>
      </c>
      <c r="G208" s="166">
        <v>117</v>
      </c>
      <c r="H208" s="167">
        <f t="shared" si="46"/>
        <v>11.985209729074265</v>
      </c>
      <c r="I208" s="167">
        <f t="shared" si="57"/>
        <v>15.930479514192312</v>
      </c>
      <c r="J208" s="168">
        <f t="shared" si="47"/>
        <v>1863.8661031605004</v>
      </c>
      <c r="K208" s="175">
        <f t="shared" si="60"/>
        <v>1402.269538301689</v>
      </c>
      <c r="L208" s="174">
        <f t="shared" si="61"/>
        <v>461.59656485881146</v>
      </c>
      <c r="M208" s="171">
        <f t="shared" si="48"/>
        <v>37.087193388765343</v>
      </c>
      <c r="N208" s="172">
        <f t="shared" si="49"/>
        <v>498.6837582475768</v>
      </c>
      <c r="O208" s="171">
        <v>0</v>
      </c>
      <c r="P208" s="171">
        <v>0</v>
      </c>
      <c r="Q208" s="171">
        <v>0</v>
      </c>
      <c r="R208" s="172">
        <f t="shared" si="50"/>
        <v>498.6837582475768</v>
      </c>
    </row>
    <row r="209" spans="1:18" x14ac:dyDescent="0.25">
      <c r="A209" s="93">
        <v>10</v>
      </c>
      <c r="B209" s="164">
        <f t="shared" si="45"/>
        <v>45566</v>
      </c>
      <c r="C209" s="184">
        <f t="shared" si="58"/>
        <v>45601</v>
      </c>
      <c r="D209" s="184">
        <f t="shared" si="58"/>
        <v>45621</v>
      </c>
      <c r="E209" s="52" t="s">
        <v>17</v>
      </c>
      <c r="F209" s="129">
        <v>9</v>
      </c>
      <c r="G209" s="166">
        <v>107</v>
      </c>
      <c r="H209" s="167">
        <f t="shared" si="46"/>
        <v>11.985209729074265</v>
      </c>
      <c r="I209" s="167">
        <f t="shared" si="57"/>
        <v>15.930479514192312</v>
      </c>
      <c r="J209" s="168">
        <f t="shared" si="47"/>
        <v>1704.5613080185774</v>
      </c>
      <c r="K209" s="175">
        <f t="shared" si="60"/>
        <v>1282.4174410109463</v>
      </c>
      <c r="L209" s="174">
        <f t="shared" si="61"/>
        <v>422.14386700763112</v>
      </c>
      <c r="M209" s="171">
        <f t="shared" si="48"/>
        <v>33.917347799981975</v>
      </c>
      <c r="N209" s="172">
        <f t="shared" si="49"/>
        <v>456.06121480761311</v>
      </c>
      <c r="O209" s="171">
        <v>0</v>
      </c>
      <c r="P209" s="171">
        <v>0</v>
      </c>
      <c r="Q209" s="171">
        <v>0</v>
      </c>
      <c r="R209" s="172">
        <f t="shared" si="50"/>
        <v>456.06121480761311</v>
      </c>
    </row>
    <row r="210" spans="1:18" x14ac:dyDescent="0.25">
      <c r="A210" s="129">
        <v>11</v>
      </c>
      <c r="B210" s="164">
        <f t="shared" si="45"/>
        <v>45597</v>
      </c>
      <c r="C210" s="184">
        <f t="shared" si="58"/>
        <v>45630</v>
      </c>
      <c r="D210" s="184">
        <f t="shared" si="58"/>
        <v>45650</v>
      </c>
      <c r="E210" s="52" t="s">
        <v>17</v>
      </c>
      <c r="F210" s="129">
        <v>9</v>
      </c>
      <c r="G210" s="166">
        <v>91</v>
      </c>
      <c r="H210" s="167">
        <f t="shared" si="46"/>
        <v>11.985209729074265</v>
      </c>
      <c r="I210" s="167">
        <f t="shared" si="57"/>
        <v>15.930479514192312</v>
      </c>
      <c r="J210" s="168">
        <f t="shared" si="47"/>
        <v>1449.6736357915004</v>
      </c>
      <c r="K210" s="175">
        <f>+$G210*H210</f>
        <v>1090.6540853457582</v>
      </c>
      <c r="L210" s="174">
        <f t="shared" si="61"/>
        <v>359.0195504457422</v>
      </c>
      <c r="M210" s="171">
        <f t="shared" si="48"/>
        <v>28.845594857928599</v>
      </c>
      <c r="N210" s="172">
        <f t="shared" si="49"/>
        <v>387.86514530367077</v>
      </c>
      <c r="O210" s="171">
        <v>0</v>
      </c>
      <c r="P210" s="171">
        <v>0</v>
      </c>
      <c r="Q210" s="171">
        <v>0</v>
      </c>
      <c r="R210" s="172">
        <f t="shared" si="50"/>
        <v>387.86514530367077</v>
      </c>
    </row>
    <row r="211" spans="1:18" s="188" customFormat="1" x14ac:dyDescent="0.25">
      <c r="A211" s="129">
        <v>12</v>
      </c>
      <c r="B211" s="186">
        <f t="shared" si="45"/>
        <v>45627</v>
      </c>
      <c r="C211" s="189">
        <f t="shared" si="58"/>
        <v>45660</v>
      </c>
      <c r="D211" s="189">
        <f t="shared" si="58"/>
        <v>45681</v>
      </c>
      <c r="E211" s="187" t="s">
        <v>17</v>
      </c>
      <c r="F211" s="140">
        <v>9</v>
      </c>
      <c r="G211" s="166">
        <v>102</v>
      </c>
      <c r="H211" s="176">
        <f t="shared" si="46"/>
        <v>11.985209729074265</v>
      </c>
      <c r="I211" s="176">
        <f t="shared" si="57"/>
        <v>15.930479514192312</v>
      </c>
      <c r="J211" s="177">
        <f t="shared" si="47"/>
        <v>1624.9089104476159</v>
      </c>
      <c r="K211" s="178">
        <f>+$G211*H211</f>
        <v>1222.4913923655749</v>
      </c>
      <c r="L211" s="179">
        <f t="shared" si="61"/>
        <v>402.41751808204094</v>
      </c>
      <c r="M211" s="177">
        <f t="shared" si="48"/>
        <v>32.332425005590295</v>
      </c>
      <c r="N211" s="172">
        <f t="shared" si="49"/>
        <v>434.74994308763121</v>
      </c>
      <c r="O211" s="171">
        <v>0</v>
      </c>
      <c r="P211" s="171">
        <v>0</v>
      </c>
      <c r="Q211" s="171">
        <v>0</v>
      </c>
      <c r="R211" s="172">
        <f t="shared" si="50"/>
        <v>434.74994308763121</v>
      </c>
    </row>
    <row r="212" spans="1:18" x14ac:dyDescent="0.25">
      <c r="G212" s="194">
        <f>SUM(G20:G211)</f>
        <v>101851</v>
      </c>
      <c r="H212" s="49"/>
      <c r="I212" s="49"/>
      <c r="J212" s="49">
        <f>SUM(J20:J211)</f>
        <v>1622535.2690000003</v>
      </c>
      <c r="K212" s="49">
        <f>SUM(K20:K211)</f>
        <v>1220705.5961159414</v>
      </c>
      <c r="L212" s="49">
        <f>SUM(L20:L211)</f>
        <v>401829.67288405827</v>
      </c>
      <c r="M212" s="49">
        <f>SUM(M20:M211)</f>
        <v>32285.194306317379</v>
      </c>
      <c r="N212" s="49"/>
      <c r="O212" s="49"/>
      <c r="P212" s="49">
        <f>SUM(P20:P211)</f>
        <v>0</v>
      </c>
      <c r="Q212" s="49"/>
      <c r="R212" s="195">
        <f>SUM(R20:R211)</f>
        <v>434114.86719037581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6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9C77599AAFD4B8FFD850D55630F3C" ma:contentTypeVersion="11" ma:contentTypeDescription="Create a new document." ma:contentTypeScope="" ma:versionID="ad751a9f435e1866f9f8a73a34278f13">
  <xsd:schema xmlns:xsd="http://www.w3.org/2001/XMLSchema" xmlns:xs="http://www.w3.org/2001/XMLSchema" xmlns:p="http://schemas.microsoft.com/office/2006/metadata/properties" xmlns:ns2="6a06342d-ce85-4729-8251-347f0ba4f840" xmlns:ns3="b6888f76-1100-40b0-929b-1efe9044426d" targetNamespace="http://schemas.microsoft.com/office/2006/metadata/properties" ma:root="true" ma:fieldsID="e425485e64401a05f4c6dac9240526dc" ns2:_="" ns3:_="">
    <xsd:import namespace="6a06342d-ce85-4729-8251-347f0ba4f840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6342d-ce85-4729-8251-347f0ba4f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wOTo1Ni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ToyMSBQTTwvRGF0ZVRpbWU+PExhYmVsU3RyaW5nPkFFUCBJbnRlcm5hbDwvTGFiZWxTdHJpbmc+PC9pdGVtPjwvbGFiZWxIaXN0b3J5Pg==</Value>
</WrappedLabelHistor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06342d-ce85-4729-8251-347f0ba4f840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7A51A85A-4732-4B21-ACD2-0ED76C6F8C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4996C9-BCD7-4D00-943F-A32290A7F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06342d-ce85-4729-8251-347f0ba4f840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EE7CD5-3A35-47DF-B8E1-3CC1C0171682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3EB17344-9DD4-42F9-839C-9D32CD6EB5A1}">
  <ds:schemaRefs>
    <ds:schemaRef ds:uri="http://schemas.microsoft.com/office/2006/metadata/properties"/>
    <ds:schemaRef ds:uri="http://schemas.microsoft.com/office/infopath/2007/PartnerControls"/>
    <ds:schemaRef ds:uri="6a06342d-ce85-4729-8251-347f0ba4f840"/>
    <ds:schemaRef ds:uri="b6888f76-1100-40b0-929b-1efe9044426d"/>
  </ds:schemaRefs>
</ds:datastoreItem>
</file>

<file path=customXml/itemProps5.xml><?xml version="1.0" encoding="utf-8"?>
<ds:datastoreItem xmlns:ds="http://schemas.openxmlformats.org/officeDocument/2006/customXml" ds:itemID="{F209C5A5-EBAF-4483-9158-A97B73316B1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2025-05-27T13:17:42Z</cp:lastPrinted>
  <dcterms:created xsi:type="dcterms:W3CDTF">2009-09-04T18:19:13Z</dcterms:created>
  <dcterms:modified xsi:type="dcterms:W3CDTF">2025-05-27T13:18:11Z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c99beade-9592-42ec-a1ac-1ddee874002e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{B0EE7CD5-3A35-47DF-B8E1-3CC1C0171682}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  <property fmtid="{D5CDD505-2E9C-101B-9397-08002B2CF9AE}" pid="13" name="ContentTypeId">
    <vt:lpwstr>0x0101002649C77599AAFD4B8FFD850D55630F3C</vt:lpwstr>
  </property>
  <property fmtid="{D5CDD505-2E9C-101B-9397-08002B2CF9AE}" pid="14" name="MediaServiceImageTags">
    <vt:lpwstr/>
  </property>
</Properties>
</file>