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Formula Rates/Transmission Formula Rates/West OpCos - SPP OATT Attach H-4/Rate Year 2024/True Up (ATRR)/As Filed/"/>
    </mc:Choice>
  </mc:AlternateContent>
  <xr:revisionPtr revIDLastSave="5" documentId="8_{429857AB-FD10-4460-9D98-AEDAAA8CE9F4}" xr6:coauthVersionLast="47" xr6:coauthVersionMax="47" xr10:uidLastSave="{D7094A02-A4FD-41CC-8A39-9FB5649E4061}"/>
  <bookViews>
    <workbookView xWindow="28680" yWindow="-120" windowWidth="24240" windowHeight="13020" activeTab="1" xr2:uid="{00000000-000D-0000-FFFF-FFFF00000000}"/>
  </bookViews>
  <sheets>
    <sheet name="Instructions" sheetId="33" r:id="rId1"/>
    <sheet name="Summary" sheetId="29" r:id="rId2"/>
    <sheet name="Pivot" sheetId="31" r:id="rId3"/>
    <sheet name="Transactions" sheetId="18" r:id="rId4"/>
  </sheets>
  <definedNames>
    <definedName name="_xlnm._FilterDatabase" localSheetId="3" hidden="1">Transactions!$A$15:$R$211</definedName>
    <definedName name="AS1_1999" localSheetId="3">Transactions!$C$19:$J$26</definedName>
    <definedName name="AS1_1999">#REF!</definedName>
    <definedName name="Avg_Annual_FERC_Rate">#REF!</definedName>
    <definedName name="etec">#REF!</definedName>
    <definedName name="fake">#REF!</definedName>
    <definedName name="greenbelt">#REF!</definedName>
    <definedName name="janetec">#REF!</definedName>
    <definedName name="lighthouse">#REF!</definedName>
    <definedName name="ntec">#REF!</definedName>
    <definedName name="ompa">#REF!</definedName>
    <definedName name="_xlnm.Print_Area" localSheetId="0">Instructions!$A$1:$R$18</definedName>
    <definedName name="_xlnm.Print_Area" localSheetId="1">Summary!$C$1:$I$40</definedName>
    <definedName name="_xlnm.Print_Area" localSheetId="3">Transactions!$A$1:$R$211</definedName>
    <definedName name="_xlnm.Print_Titles" localSheetId="2">Pivot!$3:$4</definedName>
    <definedName name="_xlnm.Print_Titles" localSheetId="3">Transactions!$B:$E,Transactions!$1:$19</definedName>
    <definedName name="ss1et">#REF!</definedName>
    <definedName name="ss1gb">#REF!</definedName>
    <definedName name="ss1lh">#REF!</definedName>
    <definedName name="ss1nt">#REF!</definedName>
    <definedName name="ss1op">#REF!</definedName>
    <definedName name="ss1tx">#REF!</definedName>
    <definedName name="ss1wf">#REF!</definedName>
    <definedName name="ss2et">#REF!</definedName>
    <definedName name="ss2etc">#REF!</definedName>
    <definedName name="ss2gb">#REF!</definedName>
    <definedName name="ss2gbt">#REF!</definedName>
    <definedName name="ss2lh">#REF!</definedName>
    <definedName name="ss2lhs">#REF!</definedName>
    <definedName name="ss2nt">#REF!</definedName>
    <definedName name="ss2ntc">#REF!</definedName>
    <definedName name="ss2op">#REF!</definedName>
    <definedName name="ss2opm">#REF!</definedName>
    <definedName name="ss2tx">#REF!</definedName>
    <definedName name="ss2txl">#REF!</definedName>
    <definedName name="ss2wf">#REF!</definedName>
    <definedName name="ss3et">#REF!</definedName>
    <definedName name="ss3gb">#REF!</definedName>
    <definedName name="ss3lh">#REF!</definedName>
    <definedName name="ss3nt">#REF!</definedName>
    <definedName name="ss3op">#REF!</definedName>
    <definedName name="ss3tx">#REF!</definedName>
    <definedName name="ss3wf">#REF!</definedName>
    <definedName name="ss5et">#REF!</definedName>
    <definedName name="ss5gb">#REF!</definedName>
    <definedName name="ss5lh">#REF!</definedName>
    <definedName name="ss5nt">#REF!</definedName>
    <definedName name="ss5op">#REF!</definedName>
    <definedName name="ss5tx">#REF!</definedName>
    <definedName name="ss5wf">#REF!</definedName>
    <definedName name="ss6et">#REF!</definedName>
    <definedName name="ss6gb">#REF!</definedName>
    <definedName name="ss6lh">#REF!</definedName>
    <definedName name="ss6nt">#REF!</definedName>
    <definedName name="ss6op">#REF!</definedName>
    <definedName name="ss6tx">#REF!</definedName>
    <definedName name="ss6wf">#REF!</definedName>
    <definedName name="tbl_QtrPrimRat">#REF!</definedName>
    <definedName name="texla">#REF!</definedName>
  </definedNames>
  <calcPr calcId="191029" iterate="1"/>
  <pivotCaches>
    <pivotCache cacheId="3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9" l="1"/>
  <c r="L3" i="18" l="1"/>
  <c r="K1" i="18" l="1"/>
  <c r="B79" i="18"/>
  <c r="B78" i="18"/>
  <c r="B77" i="18"/>
  <c r="B76" i="18"/>
  <c r="B75" i="18"/>
  <c r="B74" i="18"/>
  <c r="B73" i="18"/>
  <c r="B72" i="18"/>
  <c r="B71" i="18"/>
  <c r="B70" i="18"/>
  <c r="B69" i="18"/>
  <c r="B68" i="18"/>
  <c r="C3" i="29"/>
  <c r="C1" i="29"/>
  <c r="B3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C42" i="18"/>
  <c r="C66" i="18" s="1"/>
  <c r="D38" i="18"/>
  <c r="D62" i="18" s="1"/>
  <c r="J19" i="18"/>
  <c r="D43" i="18"/>
  <c r="D67" i="18" s="1"/>
  <c r="D91" i="18" s="1"/>
  <c r="D103" i="18" s="1"/>
  <c r="D115" i="18" s="1"/>
  <c r="D127" i="18" s="1"/>
  <c r="D139" i="18" s="1"/>
  <c r="D151" i="18" s="1"/>
  <c r="D163" i="18" s="1"/>
  <c r="D175" i="18" s="1"/>
  <c r="B31" i="18"/>
  <c r="D42" i="18"/>
  <c r="D54" i="18" s="1"/>
  <c r="B30" i="18"/>
  <c r="D41" i="18"/>
  <c r="D65" i="18" s="1"/>
  <c r="B29" i="18"/>
  <c r="B28" i="18"/>
  <c r="C39" i="18"/>
  <c r="C51" i="18" s="1"/>
  <c r="D39" i="18"/>
  <c r="D51" i="18" s="1"/>
  <c r="B27" i="18"/>
  <c r="B26" i="18"/>
  <c r="B25" i="18"/>
  <c r="B24" i="18"/>
  <c r="B23" i="18"/>
  <c r="B22" i="18"/>
  <c r="B21" i="18"/>
  <c r="D32" i="18"/>
  <c r="D44" i="18" s="1"/>
  <c r="B16" i="18"/>
  <c r="J1" i="18"/>
  <c r="C43" i="18"/>
  <c r="C55" i="18" s="1"/>
  <c r="B175" i="18"/>
  <c r="B174" i="18"/>
  <c r="B173" i="18"/>
  <c r="B172" i="18"/>
  <c r="B171" i="18"/>
  <c r="C38" i="18"/>
  <c r="C50" i="18" s="1"/>
  <c r="B170" i="18"/>
  <c r="C37" i="18"/>
  <c r="C49" i="18" s="1"/>
  <c r="B169" i="18"/>
  <c r="B168" i="18"/>
  <c r="B167" i="18"/>
  <c r="B166" i="18"/>
  <c r="C33" i="18"/>
  <c r="C45" i="18" s="1"/>
  <c r="B165" i="18"/>
  <c r="C32" i="18"/>
  <c r="C44" i="18" s="1"/>
  <c r="B164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20" i="18"/>
  <c r="C35" i="18"/>
  <c r="C34" i="18"/>
  <c r="C46" i="18" s="1"/>
  <c r="C41" i="18"/>
  <c r="C65" i="18" s="1"/>
  <c r="D36" i="18"/>
  <c r="D48" i="18" s="1"/>
  <c r="C36" i="18"/>
  <c r="C60" i="18" s="1"/>
  <c r="C84" i="18" s="1"/>
  <c r="C96" i="18" s="1"/>
  <c r="C108" i="18" s="1"/>
  <c r="C120" i="18" s="1"/>
  <c r="C132" i="18" s="1"/>
  <c r="C144" i="18" s="1"/>
  <c r="C156" i="18" s="1"/>
  <c r="C40" i="18"/>
  <c r="C52" i="18" s="1"/>
  <c r="D35" i="18"/>
  <c r="D59" i="18" s="1"/>
  <c r="D83" i="18" s="1"/>
  <c r="D95" i="18" s="1"/>
  <c r="D107" i="18" s="1"/>
  <c r="D119" i="18" s="1"/>
  <c r="D131" i="18" s="1"/>
  <c r="D143" i="18" s="1"/>
  <c r="D155" i="18" s="1"/>
  <c r="D37" i="18"/>
  <c r="D61" i="18" s="1"/>
  <c r="D40" i="18"/>
  <c r="D33" i="18"/>
  <c r="D45" i="18" s="1"/>
  <c r="D34" i="18"/>
  <c r="D58" i="18" s="1"/>
  <c r="E27" i="29"/>
  <c r="G24" i="29"/>
  <c r="G37" i="29"/>
  <c r="H28" i="29"/>
  <c r="D24" i="29"/>
  <c r="H29" i="29"/>
  <c r="G22" i="29"/>
  <c r="G26" i="29"/>
  <c r="G32" i="29"/>
  <c r="E29" i="29"/>
  <c r="E23" i="29"/>
  <c r="G25" i="29"/>
  <c r="G35" i="29"/>
  <c r="E21" i="29"/>
  <c r="E35" i="29"/>
  <c r="E32" i="29"/>
  <c r="H33" i="29"/>
  <c r="E33" i="29"/>
  <c r="H21" i="29"/>
  <c r="E37" i="29"/>
  <c r="H26" i="29"/>
  <c r="E28" i="29"/>
  <c r="D35" i="29"/>
  <c r="G33" i="29"/>
  <c r="H37" i="29"/>
  <c r="E25" i="29"/>
  <c r="G27" i="29"/>
  <c r="G28" i="29"/>
  <c r="H35" i="29"/>
  <c r="G23" i="29"/>
  <c r="H32" i="29"/>
  <c r="G21" i="29"/>
  <c r="H30" i="29"/>
  <c r="E31" i="29"/>
  <c r="G31" i="29"/>
  <c r="H36" i="29"/>
  <c r="E22" i="29"/>
  <c r="E36" i="29"/>
  <c r="G30" i="29"/>
  <c r="G29" i="29"/>
  <c r="H22" i="29"/>
  <c r="G36" i="29"/>
  <c r="H31" i="29"/>
  <c r="H24" i="29"/>
  <c r="H25" i="29"/>
  <c r="E24" i="29"/>
  <c r="H27" i="29"/>
  <c r="H23" i="29"/>
  <c r="E30" i="29"/>
  <c r="E26" i="29"/>
  <c r="C56" i="18" l="1"/>
  <c r="C80" i="18" s="1"/>
  <c r="C92" i="18" s="1"/>
  <c r="C104" i="18" s="1"/>
  <c r="C116" i="18" s="1"/>
  <c r="C128" i="18" s="1"/>
  <c r="C140" i="18" s="1"/>
  <c r="C152" i="18" s="1"/>
  <c r="C164" i="18" s="1"/>
  <c r="C64" i="18"/>
  <c r="C76" i="18" s="1"/>
  <c r="D66" i="18"/>
  <c r="D78" i="18" s="1"/>
  <c r="C61" i="18"/>
  <c r="C85" i="18" s="1"/>
  <c r="C97" i="18" s="1"/>
  <c r="C109" i="18" s="1"/>
  <c r="C121" i="18" s="1"/>
  <c r="C133" i="18" s="1"/>
  <c r="C145" i="18" s="1"/>
  <c r="C157" i="18" s="1"/>
  <c r="C181" i="18" s="1"/>
  <c r="C193" i="18" s="1"/>
  <c r="C205" i="18" s="1"/>
  <c r="D79" i="18"/>
  <c r="C63" i="18"/>
  <c r="C87" i="18" s="1"/>
  <c r="C99" i="18" s="1"/>
  <c r="C111" i="18" s="1"/>
  <c r="C123" i="18" s="1"/>
  <c r="C135" i="18" s="1"/>
  <c r="C147" i="18" s="1"/>
  <c r="C159" i="18" s="1"/>
  <c r="C171" i="18" s="1"/>
  <c r="D53" i="18"/>
  <c r="D55" i="18"/>
  <c r="C57" i="18"/>
  <c r="C81" i="18" s="1"/>
  <c r="C93" i="18" s="1"/>
  <c r="C105" i="18" s="1"/>
  <c r="C117" i="18" s="1"/>
  <c r="C129" i="18" s="1"/>
  <c r="C141" i="18" s="1"/>
  <c r="C153" i="18" s="1"/>
  <c r="C165" i="18" s="1"/>
  <c r="C53" i="18"/>
  <c r="D63" i="18"/>
  <c r="D87" i="18" s="1"/>
  <c r="D99" i="18" s="1"/>
  <c r="D111" i="18" s="1"/>
  <c r="D123" i="18" s="1"/>
  <c r="D135" i="18" s="1"/>
  <c r="D147" i="18" s="1"/>
  <c r="D159" i="18" s="1"/>
  <c r="D171" i="18" s="1"/>
  <c r="C54" i="18"/>
  <c r="D50" i="18"/>
  <c r="F10" i="29"/>
  <c r="E20" i="29"/>
  <c r="D20" i="29"/>
  <c r="E10" i="29"/>
  <c r="C78" i="18"/>
  <c r="C90" i="18"/>
  <c r="C102" i="18" s="1"/>
  <c r="C114" i="18" s="1"/>
  <c r="C126" i="18" s="1"/>
  <c r="C138" i="18" s="1"/>
  <c r="C150" i="18" s="1"/>
  <c r="C162" i="18" s="1"/>
  <c r="C186" i="18" s="1"/>
  <c r="C198" i="18" s="1"/>
  <c r="C210" i="18" s="1"/>
  <c r="C72" i="18"/>
  <c r="D57" i="18"/>
  <c r="D69" i="18" s="1"/>
  <c r="D46" i="18"/>
  <c r="O13" i="18"/>
  <c r="C67" i="18"/>
  <c r="C79" i="18" s="1"/>
  <c r="D77" i="18"/>
  <c r="D89" i="18"/>
  <c r="D101" i="18" s="1"/>
  <c r="D113" i="18" s="1"/>
  <c r="D125" i="18" s="1"/>
  <c r="D137" i="18" s="1"/>
  <c r="D149" i="18" s="1"/>
  <c r="D161" i="18" s="1"/>
  <c r="D173" i="18" s="1"/>
  <c r="D74" i="18"/>
  <c r="D86" i="18"/>
  <c r="D98" i="18" s="1"/>
  <c r="D110" i="18" s="1"/>
  <c r="D122" i="18" s="1"/>
  <c r="D134" i="18" s="1"/>
  <c r="D146" i="18" s="1"/>
  <c r="D158" i="18" s="1"/>
  <c r="D170" i="18" s="1"/>
  <c r="C62" i="18"/>
  <c r="D49" i="18"/>
  <c r="D60" i="18"/>
  <c r="D72" i="18" s="1"/>
  <c r="C48" i="18"/>
  <c r="D71" i="18"/>
  <c r="C58" i="18"/>
  <c r="D56" i="18"/>
  <c r="D68" i="18" s="1"/>
  <c r="F24" i="29"/>
  <c r="I24" i="29" s="1"/>
  <c r="H34" i="29"/>
  <c r="G34" i="29"/>
  <c r="E34" i="29"/>
  <c r="H38" i="29"/>
  <c r="F35" i="29"/>
  <c r="E38" i="29"/>
  <c r="G38" i="29"/>
  <c r="C180" i="18"/>
  <c r="C192" i="18" s="1"/>
  <c r="C204" i="18" s="1"/>
  <c r="C168" i="18"/>
  <c r="O14" i="18"/>
  <c r="D167" i="18"/>
  <c r="D179" i="18"/>
  <c r="D191" i="18" s="1"/>
  <c r="D203" i="18" s="1"/>
  <c r="D70" i="18"/>
  <c r="D82" i="18"/>
  <c r="D94" i="18" s="1"/>
  <c r="D106" i="18" s="1"/>
  <c r="D118" i="18" s="1"/>
  <c r="D130" i="18" s="1"/>
  <c r="D142" i="18" s="1"/>
  <c r="D154" i="18" s="1"/>
  <c r="C47" i="18"/>
  <c r="C59" i="18"/>
  <c r="D187" i="18"/>
  <c r="D199" i="18" s="1"/>
  <c r="D211" i="18" s="1"/>
  <c r="D85" i="18"/>
  <c r="D97" i="18" s="1"/>
  <c r="D109" i="18" s="1"/>
  <c r="D121" i="18" s="1"/>
  <c r="D133" i="18" s="1"/>
  <c r="D145" i="18" s="1"/>
  <c r="D157" i="18" s="1"/>
  <c r="D73" i="18"/>
  <c r="D47" i="18"/>
  <c r="C89" i="18"/>
  <c r="C101" i="18" s="1"/>
  <c r="C113" i="18" s="1"/>
  <c r="C125" i="18" s="1"/>
  <c r="C137" i="18" s="1"/>
  <c r="C149" i="18" s="1"/>
  <c r="C161" i="18" s="1"/>
  <c r="C77" i="18"/>
  <c r="D64" i="18"/>
  <c r="D52" i="18"/>
  <c r="D22" i="29"/>
  <c r="D27" i="29"/>
  <c r="D30" i="29"/>
  <c r="D26" i="29"/>
  <c r="D33" i="29"/>
  <c r="D29" i="29"/>
  <c r="D31" i="29"/>
  <c r="D21" i="29"/>
  <c r="D28" i="29"/>
  <c r="D25" i="29"/>
  <c r="D23" i="29"/>
  <c r="D32" i="29"/>
  <c r="D36" i="29"/>
  <c r="D37" i="29"/>
  <c r="F33" i="29" l="1"/>
  <c r="I33" i="29" s="1"/>
  <c r="F32" i="29"/>
  <c r="I32" i="29" s="1"/>
  <c r="F23" i="29"/>
  <c r="I23" i="29" s="1"/>
  <c r="F28" i="29"/>
  <c r="I28" i="29" s="1"/>
  <c r="F22" i="29"/>
  <c r="I22" i="29" s="1"/>
  <c r="F21" i="29"/>
  <c r="I21" i="29" s="1"/>
  <c r="D34" i="29"/>
  <c r="F31" i="29"/>
  <c r="I31" i="29" s="1"/>
  <c r="F27" i="29"/>
  <c r="I27" i="29" s="1"/>
  <c r="F30" i="29"/>
  <c r="I30" i="29" s="1"/>
  <c r="F37" i="29"/>
  <c r="I37" i="29" s="1"/>
  <c r="D38" i="29"/>
  <c r="F36" i="29"/>
  <c r="I36" i="29" s="1"/>
  <c r="F25" i="29"/>
  <c r="I25" i="29" s="1"/>
  <c r="F29" i="29"/>
  <c r="I29" i="29" s="1"/>
  <c r="F26" i="29"/>
  <c r="I26" i="29" s="1"/>
  <c r="C176" i="18"/>
  <c r="C188" i="18" s="1"/>
  <c r="C200" i="18" s="1"/>
  <c r="C68" i="18"/>
  <c r="C88" i="18"/>
  <c r="C100" i="18" s="1"/>
  <c r="C112" i="18" s="1"/>
  <c r="C124" i="18" s="1"/>
  <c r="C136" i="18" s="1"/>
  <c r="C148" i="18" s="1"/>
  <c r="C160" i="18" s="1"/>
  <c r="C172" i="18" s="1"/>
  <c r="C183" i="18"/>
  <c r="C195" i="18" s="1"/>
  <c r="C207" i="18" s="1"/>
  <c r="C69" i="18"/>
  <c r="D90" i="18"/>
  <c r="D102" i="18" s="1"/>
  <c r="D114" i="18" s="1"/>
  <c r="D126" i="18" s="1"/>
  <c r="D138" i="18" s="1"/>
  <c r="D150" i="18" s="1"/>
  <c r="D162" i="18" s="1"/>
  <c r="D174" i="18" s="1"/>
  <c r="C169" i="18"/>
  <c r="C73" i="18"/>
  <c r="D75" i="18"/>
  <c r="D183" i="18"/>
  <c r="D195" i="18" s="1"/>
  <c r="D207" i="18" s="1"/>
  <c r="C75" i="18"/>
  <c r="D80" i="18"/>
  <c r="D92" i="18" s="1"/>
  <c r="D104" i="18" s="1"/>
  <c r="D116" i="18" s="1"/>
  <c r="D128" i="18" s="1"/>
  <c r="D140" i="18" s="1"/>
  <c r="D152" i="18" s="1"/>
  <c r="D164" i="18" s="1"/>
  <c r="C177" i="18"/>
  <c r="C189" i="18" s="1"/>
  <c r="C201" i="18" s="1"/>
  <c r="C174" i="18"/>
  <c r="D84" i="18"/>
  <c r="D96" i="18" s="1"/>
  <c r="D108" i="18" s="1"/>
  <c r="D120" i="18" s="1"/>
  <c r="D132" i="18" s="1"/>
  <c r="D144" i="18" s="1"/>
  <c r="D156" i="18" s="1"/>
  <c r="D168" i="18" s="1"/>
  <c r="D185" i="18"/>
  <c r="D197" i="18" s="1"/>
  <c r="D209" i="18" s="1"/>
  <c r="D182" i="18"/>
  <c r="D194" i="18" s="1"/>
  <c r="D206" i="18" s="1"/>
  <c r="C91" i="18"/>
  <c r="C103" i="18" s="1"/>
  <c r="C115" i="18" s="1"/>
  <c r="C127" i="18" s="1"/>
  <c r="C139" i="18" s="1"/>
  <c r="C151" i="18" s="1"/>
  <c r="C163" i="18" s="1"/>
  <c r="C187" i="18" s="1"/>
  <c r="C199" i="18" s="1"/>
  <c r="C211" i="18" s="1"/>
  <c r="D81" i="18"/>
  <c r="D93" i="18" s="1"/>
  <c r="D105" i="18" s="1"/>
  <c r="D117" i="18" s="1"/>
  <c r="D129" i="18" s="1"/>
  <c r="D141" i="18" s="1"/>
  <c r="D153" i="18" s="1"/>
  <c r="D177" i="18" s="1"/>
  <c r="D189" i="18" s="1"/>
  <c r="D201" i="18" s="1"/>
  <c r="G39" i="29"/>
  <c r="C86" i="18"/>
  <c r="C98" i="18" s="1"/>
  <c r="C110" i="18" s="1"/>
  <c r="C122" i="18" s="1"/>
  <c r="C134" i="18" s="1"/>
  <c r="C146" i="18" s="1"/>
  <c r="C158" i="18" s="1"/>
  <c r="C74" i="18"/>
  <c r="C82" i="18"/>
  <c r="C94" i="18" s="1"/>
  <c r="C106" i="18" s="1"/>
  <c r="C118" i="18" s="1"/>
  <c r="C130" i="18" s="1"/>
  <c r="C142" i="18" s="1"/>
  <c r="C154" i="18" s="1"/>
  <c r="C70" i="18"/>
  <c r="I35" i="29"/>
  <c r="P13" i="18"/>
  <c r="C173" i="18"/>
  <c r="C185" i="18"/>
  <c r="C197" i="18" s="1"/>
  <c r="C209" i="18" s="1"/>
  <c r="P14" i="18"/>
  <c r="P212" i="18"/>
  <c r="D166" i="18"/>
  <c r="D178" i="18"/>
  <c r="D190" i="18" s="1"/>
  <c r="D202" i="18" s="1"/>
  <c r="E39" i="29"/>
  <c r="D88" i="18"/>
  <c r="D100" i="18" s="1"/>
  <c r="D112" i="18" s="1"/>
  <c r="D124" i="18" s="1"/>
  <c r="D136" i="18" s="1"/>
  <c r="D148" i="18" s="1"/>
  <c r="D160" i="18" s="1"/>
  <c r="D76" i="18"/>
  <c r="D181" i="18"/>
  <c r="D193" i="18" s="1"/>
  <c r="D205" i="18" s="1"/>
  <c r="D169" i="18"/>
  <c r="C83" i="18"/>
  <c r="C95" i="18" s="1"/>
  <c r="C107" i="18" s="1"/>
  <c r="C119" i="18" s="1"/>
  <c r="C131" i="18" s="1"/>
  <c r="C143" i="18" s="1"/>
  <c r="C155" i="18" s="1"/>
  <c r="C71" i="18"/>
  <c r="H39" i="29"/>
  <c r="D39" i="29" l="1"/>
  <c r="F34" i="29"/>
  <c r="F38" i="29"/>
  <c r="C184" i="18"/>
  <c r="C196" i="18" s="1"/>
  <c r="C208" i="18" s="1"/>
  <c r="D186" i="18"/>
  <c r="D198" i="18" s="1"/>
  <c r="D210" i="18" s="1"/>
  <c r="D176" i="18"/>
  <c r="D188" i="18" s="1"/>
  <c r="D200" i="18" s="1"/>
  <c r="C175" i="18"/>
  <c r="D180" i="18"/>
  <c r="D192" i="18" s="1"/>
  <c r="D204" i="18" s="1"/>
  <c r="D165" i="18"/>
  <c r="Q13" i="18"/>
  <c r="Q14" i="18"/>
  <c r="C170" i="18"/>
  <c r="C182" i="18"/>
  <c r="C194" i="18" s="1"/>
  <c r="C206" i="18" s="1"/>
  <c r="C178" i="18"/>
  <c r="C190" i="18" s="1"/>
  <c r="C202" i="18" s="1"/>
  <c r="C166" i="18"/>
  <c r="I34" i="29"/>
  <c r="I38" i="29"/>
  <c r="C167" i="18"/>
  <c r="C179" i="18"/>
  <c r="C191" i="18" s="1"/>
  <c r="C203" i="18" s="1"/>
  <c r="D184" i="18"/>
  <c r="D196" i="18" s="1"/>
  <c r="D208" i="18" s="1"/>
  <c r="D172" i="18"/>
  <c r="F39" i="29" l="1"/>
  <c r="I39" i="29"/>
  <c r="G212" i="18" l="1"/>
  <c r="E11" i="29" l="1"/>
  <c r="H211" i="18" l="1"/>
  <c r="K211" i="18" s="1"/>
  <c r="H25" i="18"/>
  <c r="K25" i="18" s="1"/>
  <c r="H90" i="18"/>
  <c r="K90" i="18" s="1"/>
  <c r="H199" i="18"/>
  <c r="K199" i="18" s="1"/>
  <c r="H198" i="18"/>
  <c r="K198" i="18" s="1"/>
  <c r="H202" i="18"/>
  <c r="K202" i="18" s="1"/>
  <c r="H91" i="18"/>
  <c r="K91" i="18" s="1"/>
  <c r="H82" i="18"/>
  <c r="K82" i="18" s="1"/>
  <c r="H85" i="18"/>
  <c r="K85" i="18" s="1"/>
  <c r="H27" i="18"/>
  <c r="K27" i="18" s="1"/>
  <c r="H61" i="18"/>
  <c r="K61" i="18" s="1"/>
  <c r="H126" i="18"/>
  <c r="K126" i="18" s="1"/>
  <c r="H48" i="18"/>
  <c r="K48" i="18" s="1"/>
  <c r="H41" i="18"/>
  <c r="K41" i="18" s="1"/>
  <c r="H109" i="18"/>
  <c r="K109" i="18" s="1"/>
  <c r="H43" i="18"/>
  <c r="K43" i="18" s="1"/>
  <c r="H65" i="18"/>
  <c r="K65" i="18" s="1"/>
  <c r="H130" i="18"/>
  <c r="K130" i="18" s="1"/>
  <c r="H59" i="18"/>
  <c r="K59" i="18" s="1"/>
  <c r="H68" i="18"/>
  <c r="K68" i="18" s="1"/>
  <c r="H183" i="18"/>
  <c r="K183" i="18" s="1"/>
  <c r="H206" i="18"/>
  <c r="K206" i="18" s="1"/>
  <c r="H146" i="18"/>
  <c r="K146" i="18" s="1"/>
  <c r="H53" i="18"/>
  <c r="K53" i="18" s="1"/>
  <c r="E13" i="29"/>
  <c r="H164" i="18"/>
  <c r="K164" i="18" s="1"/>
  <c r="H169" i="18"/>
  <c r="K169" i="18" s="1"/>
  <c r="H28" i="18"/>
  <c r="K28" i="18" s="1"/>
  <c r="H162" i="18"/>
  <c r="K162" i="18" s="1"/>
  <c r="H63" i="18"/>
  <c r="K63" i="18" s="1"/>
  <c r="H155" i="18"/>
  <c r="K155" i="18" s="1"/>
  <c r="H117" i="18"/>
  <c r="K117" i="18" s="1"/>
  <c r="H181" i="18"/>
  <c r="K181" i="18" s="1"/>
  <c r="H111" i="18"/>
  <c r="K111" i="18" s="1"/>
  <c r="H118" i="18"/>
  <c r="K118" i="18" s="1"/>
  <c r="H58" i="18"/>
  <c r="K58" i="18" s="1"/>
  <c r="H94" i="18"/>
  <c r="K94" i="18" s="1"/>
  <c r="H207" i="18"/>
  <c r="K207" i="18" s="1"/>
  <c r="H52" i="18"/>
  <c r="K52" i="18" s="1"/>
  <c r="H57" i="18"/>
  <c r="K57" i="18" s="1"/>
  <c r="H122" i="18"/>
  <c r="K122" i="18" s="1"/>
  <c r="H203" i="18"/>
  <c r="K203" i="18" s="1"/>
  <c r="H147" i="18"/>
  <c r="K147" i="18" s="1"/>
  <c r="H151" i="18"/>
  <c r="K151" i="18" s="1"/>
  <c r="H187" i="18"/>
  <c r="K187" i="18" s="1"/>
  <c r="H178" i="18"/>
  <c r="K178" i="18" s="1"/>
  <c r="H149" i="18"/>
  <c r="K149" i="18" s="1"/>
  <c r="H93" i="18"/>
  <c r="K93" i="18" s="1"/>
  <c r="H158" i="18"/>
  <c r="K158" i="18" s="1"/>
  <c r="H69" i="18"/>
  <c r="K69" i="18" s="1"/>
  <c r="H205" i="18"/>
  <c r="K205" i="18" s="1"/>
  <c r="H97" i="18"/>
  <c r="K97" i="18" s="1"/>
  <c r="H136" i="18"/>
  <c r="K136" i="18" s="1"/>
  <c r="H180" i="18"/>
  <c r="K180" i="18" s="1"/>
  <c r="H210" i="18"/>
  <c r="K210" i="18" s="1"/>
  <c r="H137" i="18"/>
  <c r="K137" i="18" s="1"/>
  <c r="H112" i="18"/>
  <c r="K112" i="18" s="1"/>
  <c r="H179" i="18"/>
  <c r="K179" i="18" s="1"/>
  <c r="H100" i="18"/>
  <c r="K100" i="18" s="1"/>
  <c r="H89" i="18"/>
  <c r="K89" i="18" s="1"/>
  <c r="H154" i="18"/>
  <c r="K154" i="18" s="1"/>
  <c r="H44" i="18"/>
  <c r="K44" i="18" s="1"/>
  <c r="H116" i="18"/>
  <c r="K116" i="18" s="1"/>
  <c r="H51" i="18"/>
  <c r="K51" i="18" s="1"/>
  <c r="H20" i="18"/>
  <c r="K20" i="18" s="1"/>
  <c r="H95" i="18"/>
  <c r="K95" i="18" s="1"/>
  <c r="H22" i="18"/>
  <c r="K22" i="18" s="1"/>
  <c r="H39" i="18"/>
  <c r="K39" i="18" s="1"/>
  <c r="H125" i="18"/>
  <c r="K125" i="18" s="1"/>
  <c r="H190" i="18"/>
  <c r="K190" i="18" s="1"/>
  <c r="H165" i="18"/>
  <c r="K165" i="18" s="1"/>
  <c r="H74" i="18"/>
  <c r="K74" i="18" s="1"/>
  <c r="H142" i="18"/>
  <c r="K142" i="18" s="1"/>
  <c r="H47" i="18"/>
  <c r="K47" i="18" s="1"/>
  <c r="H129" i="18"/>
  <c r="K129" i="18" s="1"/>
  <c r="H194" i="18"/>
  <c r="K194" i="18" s="1"/>
  <c r="H37" i="18"/>
  <c r="K37" i="18" s="1"/>
  <c r="H56" i="18"/>
  <c r="K56" i="18" s="1"/>
  <c r="H76" i="18"/>
  <c r="K76" i="18" s="1"/>
  <c r="H84" i="18"/>
  <c r="K84" i="18" s="1"/>
  <c r="H127" i="18"/>
  <c r="K127" i="18" s="1"/>
  <c r="H197" i="18"/>
  <c r="K197" i="18" s="1"/>
  <c r="H99" i="18"/>
  <c r="K99" i="18" s="1"/>
  <c r="H102" i="18"/>
  <c r="K102" i="18" s="1"/>
  <c r="H29" i="18"/>
  <c r="K29" i="18" s="1"/>
  <c r="H114" i="18"/>
  <c r="K114" i="18" s="1"/>
  <c r="H110" i="18"/>
  <c r="K110" i="18" s="1"/>
  <c r="H31" i="18"/>
  <c r="K31" i="18" s="1"/>
  <c r="H121" i="18"/>
  <c r="K121" i="18" s="1"/>
  <c r="H186" i="18"/>
  <c r="K186" i="18" s="1"/>
  <c r="H172" i="18"/>
  <c r="K172" i="18" s="1"/>
  <c r="H188" i="18"/>
  <c r="K188" i="18" s="1"/>
  <c r="H168" i="18"/>
  <c r="K168" i="18" s="1"/>
  <c r="H60" i="18"/>
  <c r="K60" i="18" s="1"/>
  <c r="H159" i="18"/>
  <c r="K159" i="18" s="1"/>
  <c r="H86" i="18"/>
  <c r="K86" i="18" s="1"/>
  <c r="H140" i="18"/>
  <c r="K140" i="18" s="1"/>
  <c r="H157" i="18"/>
  <c r="K157" i="18" s="1"/>
  <c r="H75" i="18"/>
  <c r="K75" i="18" s="1"/>
  <c r="H70" i="18"/>
  <c r="K70" i="18" s="1"/>
  <c r="H170" i="18"/>
  <c r="K170" i="18" s="1"/>
  <c r="H123" i="18"/>
  <c r="K123" i="18" s="1"/>
  <c r="H156" i="18"/>
  <c r="K156" i="18" s="1"/>
  <c r="H161" i="18"/>
  <c r="K161" i="18" s="1"/>
  <c r="H79" i="18"/>
  <c r="K79" i="18" s="1"/>
  <c r="H133" i="18"/>
  <c r="K133" i="18" s="1"/>
  <c r="H73" i="18"/>
  <c r="K73" i="18" s="1"/>
  <c r="H64" i="18"/>
  <c r="K64" i="18" s="1"/>
  <c r="H92" i="18"/>
  <c r="K92" i="18" s="1"/>
  <c r="H191" i="18"/>
  <c r="K191" i="18" s="1"/>
  <c r="H54" i="18"/>
  <c r="K54" i="18" s="1"/>
  <c r="H184" i="18"/>
  <c r="K184" i="18" s="1"/>
  <c r="H36" i="18"/>
  <c r="K36" i="18" s="1"/>
  <c r="H46" i="18"/>
  <c r="K46" i="18" s="1"/>
  <c r="H106" i="18"/>
  <c r="K106" i="18" s="1"/>
  <c r="H209" i="18"/>
  <c r="K209" i="18" s="1"/>
  <c r="H124" i="18"/>
  <c r="K124" i="18" s="1"/>
  <c r="H153" i="18"/>
  <c r="K153" i="18" s="1"/>
  <c r="H71" i="18"/>
  <c r="K71" i="18" s="1"/>
  <c r="H160" i="18"/>
  <c r="K160" i="18" s="1"/>
  <c r="H176" i="18"/>
  <c r="K176" i="18" s="1"/>
  <c r="H45" i="18"/>
  <c r="K45" i="18" s="1"/>
  <c r="H80" i="18"/>
  <c r="K80" i="18" s="1"/>
  <c r="H148" i="18"/>
  <c r="K148" i="18" s="1"/>
  <c r="H150" i="18"/>
  <c r="K150" i="18" s="1"/>
  <c r="H104" i="18"/>
  <c r="K104" i="18" s="1"/>
  <c r="H189" i="18"/>
  <c r="K189" i="18" s="1"/>
  <c r="H107" i="18"/>
  <c r="K107" i="18" s="1"/>
  <c r="H166" i="18"/>
  <c r="K166" i="18" s="1"/>
  <c r="H119" i="18"/>
  <c r="K119" i="18" s="1"/>
  <c r="H196" i="18"/>
  <c r="K196" i="18" s="1"/>
  <c r="H120" i="18"/>
  <c r="K120" i="18" s="1"/>
  <c r="H193" i="18"/>
  <c r="K193" i="18" s="1"/>
  <c r="H77" i="18"/>
  <c r="K77" i="18" s="1"/>
  <c r="H113" i="18"/>
  <c r="K113" i="18" s="1"/>
  <c r="H167" i="18"/>
  <c r="K167" i="18" s="1"/>
  <c r="H21" i="18"/>
  <c r="K21" i="18" s="1"/>
  <c r="H192" i="18"/>
  <c r="K192" i="18" s="1"/>
  <c r="H87" i="18"/>
  <c r="K87" i="18" s="1"/>
  <c r="H88" i="18"/>
  <c r="K88" i="18" s="1"/>
  <c r="H185" i="18"/>
  <c r="K185" i="18" s="1"/>
  <c r="H103" i="18"/>
  <c r="K103" i="18" s="1"/>
  <c r="H101" i="18"/>
  <c r="K101" i="18" s="1"/>
  <c r="H105" i="18"/>
  <c r="K105" i="18" s="1"/>
  <c r="H141" i="18"/>
  <c r="K141" i="18" s="1"/>
  <c r="H81" i="18"/>
  <c r="K81" i="18" s="1"/>
  <c r="H108" i="18"/>
  <c r="K108" i="18" s="1"/>
  <c r="H67" i="18"/>
  <c r="K67" i="18" s="1"/>
  <c r="H32" i="18"/>
  <c r="K32" i="18" s="1"/>
  <c r="H30" i="18"/>
  <c r="K30" i="18" s="1"/>
  <c r="H139" i="18"/>
  <c r="K139" i="18" s="1"/>
  <c r="H115" i="18"/>
  <c r="K115" i="18" s="1"/>
  <c r="H132" i="18"/>
  <c r="K132" i="18" s="1"/>
  <c r="H49" i="18"/>
  <c r="K49" i="18" s="1"/>
  <c r="H40" i="18"/>
  <c r="K40" i="18" s="1"/>
  <c r="H34" i="18"/>
  <c r="K34" i="18" s="1"/>
  <c r="H143" i="18"/>
  <c r="K143" i="18" s="1"/>
  <c r="H134" i="18"/>
  <c r="K134" i="18" s="1"/>
  <c r="H42" i="18"/>
  <c r="K42" i="18" s="1"/>
  <c r="H173" i="18"/>
  <c r="K173" i="18" s="1"/>
  <c r="H208" i="18"/>
  <c r="K208" i="18" s="1"/>
  <c r="H23" i="18"/>
  <c r="K23" i="18" s="1"/>
  <c r="H182" i="18"/>
  <c r="K182" i="18" s="1"/>
  <c r="H66" i="18"/>
  <c r="K66" i="18" s="1"/>
  <c r="H138" i="18"/>
  <c r="K138" i="18" s="1"/>
  <c r="H50" i="18"/>
  <c r="K50" i="18" s="1"/>
  <c r="H55" i="18"/>
  <c r="K55" i="18" s="1"/>
  <c r="H33" i="18"/>
  <c r="K33" i="18" s="1"/>
  <c r="H96" i="18"/>
  <c r="K96" i="18" s="1"/>
  <c r="H24" i="18"/>
  <c r="K24" i="18" s="1"/>
  <c r="H26" i="18"/>
  <c r="K26" i="18" s="1"/>
  <c r="H135" i="18"/>
  <c r="K135" i="18" s="1"/>
  <c r="H38" i="18"/>
  <c r="K38" i="18" s="1"/>
  <c r="H201" i="18"/>
  <c r="K201" i="18" s="1"/>
  <c r="H78" i="18"/>
  <c r="K78" i="18" s="1"/>
  <c r="H145" i="18"/>
  <c r="K145" i="18" s="1"/>
  <c r="H200" i="18"/>
  <c r="K200" i="18" s="1"/>
  <c r="H131" i="18"/>
  <c r="K131" i="18" s="1"/>
  <c r="H128" i="18"/>
  <c r="K128" i="18" s="1"/>
  <c r="H62" i="18"/>
  <c r="K62" i="18" s="1"/>
  <c r="H171" i="18"/>
  <c r="K171" i="18" s="1"/>
  <c r="H35" i="18"/>
  <c r="K35" i="18" s="1"/>
  <c r="H204" i="18"/>
  <c r="K204" i="18" s="1"/>
  <c r="H177" i="18"/>
  <c r="K177" i="18" s="1"/>
  <c r="H144" i="18"/>
  <c r="K144" i="18" s="1"/>
  <c r="H175" i="18"/>
  <c r="K175" i="18" s="1"/>
  <c r="H83" i="18"/>
  <c r="K83" i="18" s="1"/>
  <c r="H72" i="18"/>
  <c r="K72" i="18" s="1"/>
  <c r="H174" i="18"/>
  <c r="K174" i="18" s="1"/>
  <c r="H195" i="18"/>
  <c r="K195" i="18" s="1"/>
  <c r="H152" i="18"/>
  <c r="K152" i="18" s="1"/>
  <c r="H98" i="18"/>
  <c r="K98" i="18" s="1"/>
  <c r="H163" i="18"/>
  <c r="K163" i="18" s="1"/>
  <c r="K13" i="18" l="1"/>
  <c r="K212" i="18"/>
  <c r="K14" i="18"/>
  <c r="F12" i="29" l="1"/>
  <c r="M37" i="18" l="1"/>
  <c r="M69" i="18"/>
  <c r="M27" i="18"/>
  <c r="M158" i="18"/>
  <c r="M40" i="18"/>
  <c r="M153" i="18"/>
  <c r="M205" i="18"/>
  <c r="M151" i="18"/>
  <c r="M38" i="18"/>
  <c r="M134" i="18"/>
  <c r="M94" i="18"/>
  <c r="M160" i="18"/>
  <c r="M47" i="18"/>
  <c r="M142" i="18"/>
  <c r="M56" i="18"/>
  <c r="M201" i="18"/>
  <c r="M59" i="18"/>
  <c r="M161" i="18"/>
  <c r="M28" i="18"/>
  <c r="M35" i="18"/>
  <c r="M144" i="18"/>
  <c r="M65" i="18"/>
  <c r="M184" i="18"/>
  <c r="M150" i="18"/>
  <c r="M88" i="18"/>
  <c r="M183" i="18"/>
  <c r="M162" i="18"/>
  <c r="M123" i="18"/>
  <c r="M79" i="18"/>
  <c r="M146" i="18"/>
  <c r="M105" i="18"/>
  <c r="M199" i="18"/>
  <c r="M52" i="18"/>
  <c r="M111" i="18"/>
  <c r="M81" i="18"/>
  <c r="M132" i="18"/>
  <c r="M60" i="18"/>
  <c r="M203" i="18"/>
  <c r="M186" i="18"/>
  <c r="M87" i="18"/>
  <c r="M77" i="18"/>
  <c r="M90" i="18"/>
  <c r="M168" i="18"/>
  <c r="M108" i="18"/>
  <c r="M96" i="18"/>
  <c r="M107" i="18"/>
  <c r="M173" i="18"/>
  <c r="M98" i="18"/>
  <c r="M196" i="18"/>
  <c r="M206" i="18"/>
  <c r="M119" i="18"/>
  <c r="M44" i="18"/>
  <c r="M63" i="18"/>
  <c r="M93" i="18"/>
  <c r="M116" i="18"/>
  <c r="M177" i="18"/>
  <c r="M112" i="18"/>
  <c r="M211" i="18"/>
  <c r="M118" i="18"/>
  <c r="M131" i="18"/>
  <c r="M49" i="18"/>
  <c r="M141" i="18"/>
  <c r="M130" i="18"/>
  <c r="M99" i="18"/>
  <c r="M36" i="18"/>
  <c r="M194" i="18"/>
  <c r="M41" i="18"/>
  <c r="M209" i="18"/>
  <c r="M189" i="18"/>
  <c r="M126" i="18"/>
  <c r="M139" i="18"/>
  <c r="M42" i="18"/>
  <c r="M73" i="18"/>
  <c r="M31" i="18"/>
  <c r="M148" i="18"/>
  <c r="M55" i="18"/>
  <c r="M200" i="18"/>
  <c r="M115" i="18"/>
  <c r="M170" i="18"/>
  <c r="M191" i="18"/>
  <c r="M155" i="18"/>
  <c r="M45" i="18"/>
  <c r="M78" i="18"/>
  <c r="M129" i="18"/>
  <c r="M50" i="18"/>
  <c r="M164" i="18"/>
  <c r="M80" i="18"/>
  <c r="M128" i="18"/>
  <c r="M208" i="18"/>
  <c r="M89" i="18"/>
  <c r="M197" i="18"/>
  <c r="M137" i="18"/>
  <c r="M178" i="18"/>
  <c r="M24" i="18"/>
  <c r="M175" i="18"/>
  <c r="M39" i="18"/>
  <c r="M185" i="18"/>
  <c r="M210" i="18"/>
  <c r="M103" i="18"/>
  <c r="M179" i="18"/>
  <c r="M109" i="18"/>
  <c r="M61" i="18"/>
  <c r="M172" i="18"/>
  <c r="M54" i="18"/>
  <c r="M26" i="18"/>
  <c r="M30" i="18"/>
  <c r="M29" i="18"/>
  <c r="M136" i="18"/>
  <c r="M62" i="18"/>
  <c r="M85" i="18"/>
  <c r="M95" i="18"/>
  <c r="M48" i="18"/>
  <c r="M149" i="18"/>
  <c r="M192" i="18"/>
  <c r="M157" i="18"/>
  <c r="M22" i="18"/>
  <c r="M86" i="18"/>
  <c r="M70" i="18"/>
  <c r="M74" i="18"/>
  <c r="M195" i="18"/>
  <c r="M68" i="18"/>
  <c r="M202" i="18"/>
  <c r="M140" i="18"/>
  <c r="M102" i="18"/>
  <c r="M188" i="18"/>
  <c r="M57" i="18"/>
  <c r="M114" i="18"/>
  <c r="M92" i="18"/>
  <c r="M72" i="18"/>
  <c r="M145" i="18"/>
  <c r="M124" i="18"/>
  <c r="M110" i="18"/>
  <c r="M135" i="18"/>
  <c r="M64" i="18"/>
  <c r="M163" i="18"/>
  <c r="M106" i="18"/>
  <c r="M113" i="18"/>
  <c r="M125" i="18"/>
  <c r="M91" i="18"/>
  <c r="M82" i="18"/>
  <c r="M133" i="18"/>
  <c r="M154" i="18"/>
  <c r="M120" i="18"/>
  <c r="M138" i="18"/>
  <c r="M53" i="18"/>
  <c r="M43" i="18"/>
  <c r="M34" i="18"/>
  <c r="M190" i="18"/>
  <c r="M152" i="18"/>
  <c r="M171" i="18"/>
  <c r="M84" i="18"/>
  <c r="M187" i="18"/>
  <c r="M32" i="18"/>
  <c r="M165" i="18"/>
  <c r="M166" i="18"/>
  <c r="M104" i="18"/>
  <c r="M207" i="18"/>
  <c r="M25" i="18"/>
  <c r="M181" i="18"/>
  <c r="M182" i="18"/>
  <c r="M127" i="18"/>
  <c r="M204" i="18"/>
  <c r="M156" i="18"/>
  <c r="M193" i="18"/>
  <c r="M121" i="18"/>
  <c r="M122" i="18"/>
  <c r="M66" i="18"/>
  <c r="M100" i="18"/>
  <c r="M176" i="18"/>
  <c r="M167" i="18"/>
  <c r="M83" i="18"/>
  <c r="M21" i="18"/>
  <c r="M51" i="18"/>
  <c r="M58" i="18"/>
  <c r="M76" i="18"/>
  <c r="M198" i="18"/>
  <c r="M147" i="18"/>
  <c r="M46" i="18"/>
  <c r="M169" i="18"/>
  <c r="M101" i="18"/>
  <c r="M143" i="18"/>
  <c r="M23" i="18"/>
  <c r="M67" i="18"/>
  <c r="M20" i="18"/>
  <c r="M75" i="18"/>
  <c r="M159" i="18"/>
  <c r="M97" i="18"/>
  <c r="M180" i="18"/>
  <c r="M71" i="18"/>
  <c r="M174" i="18"/>
  <c r="M33" i="18"/>
  <c r="M117" i="18"/>
  <c r="M212" i="18" l="1"/>
  <c r="M13" i="18"/>
  <c r="I170" i="18" l="1"/>
  <c r="J170" i="18" s="1"/>
  <c r="L170" i="18" s="1"/>
  <c r="N170" i="18" s="1"/>
  <c r="R170" i="18" s="1"/>
  <c r="I80" i="18"/>
  <c r="J80" i="18" s="1"/>
  <c r="L80" i="18" s="1"/>
  <c r="N80" i="18" s="1"/>
  <c r="R80" i="18" s="1"/>
  <c r="I133" i="18"/>
  <c r="J133" i="18" s="1"/>
  <c r="L133" i="18" s="1"/>
  <c r="N133" i="18" s="1"/>
  <c r="R133" i="18" s="1"/>
  <c r="I148" i="18"/>
  <c r="J148" i="18" s="1"/>
  <c r="L148" i="18" s="1"/>
  <c r="N148" i="18" s="1"/>
  <c r="R148" i="18" s="1"/>
  <c r="I205" i="18"/>
  <c r="J205" i="18" s="1"/>
  <c r="L205" i="18" s="1"/>
  <c r="N205" i="18" s="1"/>
  <c r="R205" i="18" s="1"/>
  <c r="I177" i="18"/>
  <c r="J177" i="18" s="1"/>
  <c r="L177" i="18" s="1"/>
  <c r="N177" i="18" s="1"/>
  <c r="R177" i="18" s="1"/>
  <c r="I114" i="18"/>
  <c r="J114" i="18" s="1"/>
  <c r="L114" i="18" s="1"/>
  <c r="N114" i="18" s="1"/>
  <c r="R114" i="18" s="1"/>
  <c r="I51" i="18"/>
  <c r="J51" i="18" s="1"/>
  <c r="L51" i="18" s="1"/>
  <c r="N51" i="18" s="1"/>
  <c r="R51" i="18" s="1"/>
  <c r="F14" i="29"/>
  <c r="I157" i="18"/>
  <c r="J157" i="18" s="1"/>
  <c r="L157" i="18" s="1"/>
  <c r="N157" i="18" s="1"/>
  <c r="R157" i="18" s="1"/>
  <c r="I150" i="18"/>
  <c r="J150" i="18" s="1"/>
  <c r="L150" i="18" s="1"/>
  <c r="N150" i="18" s="1"/>
  <c r="R150" i="18" s="1"/>
  <c r="I130" i="18"/>
  <c r="J130" i="18" s="1"/>
  <c r="L130" i="18" s="1"/>
  <c r="N130" i="18" s="1"/>
  <c r="R130" i="18" s="1"/>
  <c r="I54" i="18"/>
  <c r="J54" i="18" s="1"/>
  <c r="L54" i="18" s="1"/>
  <c r="N54" i="18" s="1"/>
  <c r="R54" i="18" s="1"/>
  <c r="I22" i="18"/>
  <c r="J22" i="18" s="1"/>
  <c r="L22" i="18" s="1"/>
  <c r="N22" i="18" s="1"/>
  <c r="R22" i="18" s="1"/>
  <c r="I40" i="18"/>
  <c r="J40" i="18" s="1"/>
  <c r="L40" i="18" s="1"/>
  <c r="N40" i="18" s="1"/>
  <c r="R40" i="18" s="1"/>
  <c r="I166" i="18"/>
  <c r="J166" i="18" s="1"/>
  <c r="L166" i="18" s="1"/>
  <c r="N166" i="18" s="1"/>
  <c r="R166" i="18" s="1"/>
  <c r="I58" i="18"/>
  <c r="J58" i="18" s="1"/>
  <c r="L58" i="18" s="1"/>
  <c r="N58" i="18" s="1"/>
  <c r="R58" i="18" s="1"/>
  <c r="I115" i="18"/>
  <c r="J115" i="18" s="1"/>
  <c r="L115" i="18" s="1"/>
  <c r="N115" i="18" s="1"/>
  <c r="R115" i="18" s="1"/>
  <c r="I106" i="18"/>
  <c r="J106" i="18" s="1"/>
  <c r="L106" i="18" s="1"/>
  <c r="N106" i="18" s="1"/>
  <c r="R106" i="18" s="1"/>
  <c r="I169" i="18"/>
  <c r="J169" i="18" s="1"/>
  <c r="L169" i="18" s="1"/>
  <c r="N169" i="18" s="1"/>
  <c r="R169" i="18" s="1"/>
  <c r="I71" i="18"/>
  <c r="J71" i="18" s="1"/>
  <c r="L71" i="18" s="1"/>
  <c r="N71" i="18" s="1"/>
  <c r="R71" i="18" s="1"/>
  <c r="I165" i="18"/>
  <c r="J165" i="18" s="1"/>
  <c r="L165" i="18" s="1"/>
  <c r="N165" i="18" s="1"/>
  <c r="R165" i="18" s="1"/>
  <c r="I207" i="18"/>
  <c r="J207" i="18" s="1"/>
  <c r="L207" i="18" s="1"/>
  <c r="N207" i="18" s="1"/>
  <c r="R207" i="18" s="1"/>
  <c r="I123" i="18"/>
  <c r="J123" i="18" s="1"/>
  <c r="L123" i="18" s="1"/>
  <c r="N123" i="18" s="1"/>
  <c r="R123" i="18" s="1"/>
  <c r="I116" i="18"/>
  <c r="J116" i="18" s="1"/>
  <c r="L116" i="18" s="1"/>
  <c r="N116" i="18" s="1"/>
  <c r="R116" i="18" s="1"/>
  <c r="I181" i="18"/>
  <c r="J181" i="18" s="1"/>
  <c r="L181" i="18" s="1"/>
  <c r="N181" i="18" s="1"/>
  <c r="R181" i="18" s="1"/>
  <c r="I73" i="18"/>
  <c r="J73" i="18" s="1"/>
  <c r="L73" i="18" s="1"/>
  <c r="N73" i="18" s="1"/>
  <c r="R73" i="18" s="1"/>
  <c r="I59" i="18"/>
  <c r="J59" i="18" s="1"/>
  <c r="L59" i="18" s="1"/>
  <c r="N59" i="18" s="1"/>
  <c r="R59" i="18" s="1"/>
  <c r="I44" i="18"/>
  <c r="J44" i="18" s="1"/>
  <c r="L44" i="18" s="1"/>
  <c r="N44" i="18" s="1"/>
  <c r="R44" i="18" s="1"/>
  <c r="I143" i="18"/>
  <c r="J143" i="18" s="1"/>
  <c r="L143" i="18" s="1"/>
  <c r="N143" i="18" s="1"/>
  <c r="R143" i="18" s="1"/>
  <c r="I39" i="18"/>
  <c r="J39" i="18" s="1"/>
  <c r="L39" i="18" s="1"/>
  <c r="N39" i="18" s="1"/>
  <c r="R39" i="18" s="1"/>
  <c r="I160" i="18"/>
  <c r="J160" i="18" s="1"/>
  <c r="L160" i="18" s="1"/>
  <c r="N160" i="18" s="1"/>
  <c r="R160" i="18" s="1"/>
  <c r="I31" i="18"/>
  <c r="J31" i="18" s="1"/>
  <c r="L31" i="18" s="1"/>
  <c r="N31" i="18" s="1"/>
  <c r="R31" i="18" s="1"/>
  <c r="I84" i="18"/>
  <c r="J84" i="18" s="1"/>
  <c r="L84" i="18" s="1"/>
  <c r="N84" i="18" s="1"/>
  <c r="R84" i="18" s="1"/>
  <c r="I146" i="18"/>
  <c r="J146" i="18" s="1"/>
  <c r="L146" i="18" s="1"/>
  <c r="N146" i="18" s="1"/>
  <c r="R146" i="18" s="1"/>
  <c r="I24" i="18"/>
  <c r="J24" i="18" s="1"/>
  <c r="L24" i="18" s="1"/>
  <c r="N24" i="18" s="1"/>
  <c r="R24" i="18" s="1"/>
  <c r="I191" i="18"/>
  <c r="J191" i="18" s="1"/>
  <c r="L191" i="18" s="1"/>
  <c r="N191" i="18" s="1"/>
  <c r="R191" i="18" s="1"/>
  <c r="I62" i="18"/>
  <c r="J62" i="18" s="1"/>
  <c r="L62" i="18" s="1"/>
  <c r="N62" i="18" s="1"/>
  <c r="R62" i="18" s="1"/>
  <c r="I152" i="18"/>
  <c r="J152" i="18" s="1"/>
  <c r="L152" i="18" s="1"/>
  <c r="N152" i="18" s="1"/>
  <c r="R152" i="18" s="1"/>
  <c r="I91" i="18"/>
  <c r="J91" i="18" s="1"/>
  <c r="L91" i="18" s="1"/>
  <c r="N91" i="18" s="1"/>
  <c r="R91" i="18" s="1"/>
  <c r="I47" i="18"/>
  <c r="J47" i="18" s="1"/>
  <c r="L47" i="18" s="1"/>
  <c r="N47" i="18" s="1"/>
  <c r="R47" i="18" s="1"/>
  <c r="I192" i="18"/>
  <c r="J192" i="18" s="1"/>
  <c r="L192" i="18" s="1"/>
  <c r="N192" i="18" s="1"/>
  <c r="R192" i="18" s="1"/>
  <c r="I163" i="18"/>
  <c r="J163" i="18" s="1"/>
  <c r="L163" i="18" s="1"/>
  <c r="N163" i="18" s="1"/>
  <c r="R163" i="18" s="1"/>
  <c r="I65" i="18"/>
  <c r="J65" i="18" s="1"/>
  <c r="L65" i="18" s="1"/>
  <c r="N65" i="18" s="1"/>
  <c r="R65" i="18" s="1"/>
  <c r="I76" i="18"/>
  <c r="J76" i="18" s="1"/>
  <c r="L76" i="18" s="1"/>
  <c r="N76" i="18" s="1"/>
  <c r="R76" i="18" s="1"/>
  <c r="I168" i="18"/>
  <c r="J168" i="18" s="1"/>
  <c r="L168" i="18" s="1"/>
  <c r="N168" i="18" s="1"/>
  <c r="R168" i="18" s="1"/>
  <c r="I131" i="18"/>
  <c r="J131" i="18" s="1"/>
  <c r="L131" i="18" s="1"/>
  <c r="N131" i="18" s="1"/>
  <c r="R131" i="18" s="1"/>
  <c r="I90" i="18"/>
  <c r="J90" i="18" s="1"/>
  <c r="L90" i="18" s="1"/>
  <c r="N90" i="18" s="1"/>
  <c r="R90" i="18" s="1"/>
  <c r="I199" i="18"/>
  <c r="J199" i="18" s="1"/>
  <c r="L199" i="18" s="1"/>
  <c r="N199" i="18" s="1"/>
  <c r="R199" i="18" s="1"/>
  <c r="I154" i="18"/>
  <c r="J154" i="18" s="1"/>
  <c r="L154" i="18" s="1"/>
  <c r="N154" i="18" s="1"/>
  <c r="R154" i="18" s="1"/>
  <c r="I34" i="18"/>
  <c r="J34" i="18" s="1"/>
  <c r="L34" i="18" s="1"/>
  <c r="N34" i="18" s="1"/>
  <c r="R34" i="18" s="1"/>
  <c r="I171" i="18"/>
  <c r="J171" i="18" s="1"/>
  <c r="L171" i="18" s="1"/>
  <c r="N171" i="18" s="1"/>
  <c r="R171" i="18" s="1"/>
  <c r="I101" i="18"/>
  <c r="J101" i="18" s="1"/>
  <c r="L101" i="18" s="1"/>
  <c r="N101" i="18" s="1"/>
  <c r="R101" i="18" s="1"/>
  <c r="I195" i="18"/>
  <c r="J195" i="18" s="1"/>
  <c r="L195" i="18" s="1"/>
  <c r="N195" i="18" s="1"/>
  <c r="R195" i="18" s="1"/>
  <c r="I182" i="18"/>
  <c r="J182" i="18" s="1"/>
  <c r="L182" i="18" s="1"/>
  <c r="N182" i="18" s="1"/>
  <c r="R182" i="18" s="1"/>
  <c r="I95" i="18"/>
  <c r="J95" i="18" s="1"/>
  <c r="L95" i="18" s="1"/>
  <c r="N95" i="18" s="1"/>
  <c r="R95" i="18" s="1"/>
  <c r="I97" i="18"/>
  <c r="J97" i="18" s="1"/>
  <c r="L97" i="18" s="1"/>
  <c r="N97" i="18" s="1"/>
  <c r="R97" i="18" s="1"/>
  <c r="I75" i="18"/>
  <c r="J75" i="18" s="1"/>
  <c r="L75" i="18" s="1"/>
  <c r="N75" i="18" s="1"/>
  <c r="R75" i="18" s="1"/>
  <c r="I161" i="18"/>
  <c r="J161" i="18" s="1"/>
  <c r="L161" i="18" s="1"/>
  <c r="N161" i="18" s="1"/>
  <c r="R161" i="18" s="1"/>
  <c r="I178" i="18"/>
  <c r="J178" i="18" s="1"/>
  <c r="L178" i="18" s="1"/>
  <c r="N178" i="18" s="1"/>
  <c r="R178" i="18" s="1"/>
  <c r="I33" i="18"/>
  <c r="J33" i="18" s="1"/>
  <c r="L33" i="18" s="1"/>
  <c r="N33" i="18" s="1"/>
  <c r="R33" i="18" s="1"/>
  <c r="I108" i="18"/>
  <c r="J108" i="18" s="1"/>
  <c r="L108" i="18" s="1"/>
  <c r="N108" i="18" s="1"/>
  <c r="R108" i="18" s="1"/>
  <c r="I46" i="18"/>
  <c r="J46" i="18" s="1"/>
  <c r="L46" i="18" s="1"/>
  <c r="N46" i="18" s="1"/>
  <c r="R46" i="18" s="1"/>
  <c r="I83" i="18"/>
  <c r="J83" i="18" s="1"/>
  <c r="L83" i="18" s="1"/>
  <c r="N83" i="18" s="1"/>
  <c r="R83" i="18" s="1"/>
  <c r="I167" i="18"/>
  <c r="J167" i="18" s="1"/>
  <c r="L167" i="18" s="1"/>
  <c r="N167" i="18" s="1"/>
  <c r="R167" i="18" s="1"/>
  <c r="I145" i="18"/>
  <c r="J145" i="18" s="1"/>
  <c r="L145" i="18" s="1"/>
  <c r="N145" i="18" s="1"/>
  <c r="R145" i="18" s="1"/>
  <c r="I35" i="18"/>
  <c r="J35" i="18" s="1"/>
  <c r="L35" i="18" s="1"/>
  <c r="N35" i="18" s="1"/>
  <c r="R35" i="18" s="1"/>
  <c r="I187" i="18"/>
  <c r="J187" i="18" s="1"/>
  <c r="L187" i="18" s="1"/>
  <c r="N187" i="18" s="1"/>
  <c r="R187" i="18" s="1"/>
  <c r="I140" i="18"/>
  <c r="J140" i="18" s="1"/>
  <c r="L140" i="18" s="1"/>
  <c r="N140" i="18" s="1"/>
  <c r="R140" i="18" s="1"/>
  <c r="I25" i="18"/>
  <c r="J25" i="18" s="1"/>
  <c r="L25" i="18" s="1"/>
  <c r="N25" i="18" s="1"/>
  <c r="R25" i="18" s="1"/>
  <c r="I79" i="18"/>
  <c r="J79" i="18" s="1"/>
  <c r="L79" i="18" s="1"/>
  <c r="N79" i="18" s="1"/>
  <c r="R79" i="18" s="1"/>
  <c r="I81" i="18"/>
  <c r="J81" i="18" s="1"/>
  <c r="L81" i="18" s="1"/>
  <c r="N81" i="18" s="1"/>
  <c r="R81" i="18" s="1"/>
  <c r="I72" i="18"/>
  <c r="J72" i="18" s="1"/>
  <c r="L72" i="18" s="1"/>
  <c r="N72" i="18" s="1"/>
  <c r="R72" i="18" s="1"/>
  <c r="I132" i="18"/>
  <c r="J132" i="18" s="1"/>
  <c r="L132" i="18" s="1"/>
  <c r="N132" i="18" s="1"/>
  <c r="R132" i="18" s="1"/>
  <c r="I134" i="18"/>
  <c r="J134" i="18" s="1"/>
  <c r="L134" i="18" s="1"/>
  <c r="N134" i="18" s="1"/>
  <c r="R134" i="18" s="1"/>
  <c r="I32" i="18"/>
  <c r="J32" i="18" s="1"/>
  <c r="L32" i="18" s="1"/>
  <c r="N32" i="18" s="1"/>
  <c r="R32" i="18" s="1"/>
  <c r="I21" i="18"/>
  <c r="J21" i="18" s="1"/>
  <c r="L21" i="18" s="1"/>
  <c r="N21" i="18" s="1"/>
  <c r="R21" i="18" s="1"/>
  <c r="I162" i="18"/>
  <c r="J162" i="18" s="1"/>
  <c r="L162" i="18" s="1"/>
  <c r="N162" i="18" s="1"/>
  <c r="R162" i="18" s="1"/>
  <c r="I193" i="18"/>
  <c r="J193" i="18" s="1"/>
  <c r="L193" i="18" s="1"/>
  <c r="N193" i="18" s="1"/>
  <c r="R193" i="18" s="1"/>
  <c r="I43" i="18"/>
  <c r="J43" i="18" s="1"/>
  <c r="L43" i="18" s="1"/>
  <c r="N43" i="18" s="1"/>
  <c r="R43" i="18" s="1"/>
  <c r="I37" i="18"/>
  <c r="J37" i="18" s="1"/>
  <c r="L37" i="18" s="1"/>
  <c r="N37" i="18" s="1"/>
  <c r="R37" i="18" s="1"/>
  <c r="I87" i="18"/>
  <c r="J87" i="18" s="1"/>
  <c r="L87" i="18" s="1"/>
  <c r="N87" i="18" s="1"/>
  <c r="R87" i="18" s="1"/>
  <c r="I155" i="18"/>
  <c r="J155" i="18" s="1"/>
  <c r="L155" i="18" s="1"/>
  <c r="N155" i="18" s="1"/>
  <c r="R155" i="18" s="1"/>
  <c r="I142" i="18"/>
  <c r="J142" i="18" s="1"/>
  <c r="L142" i="18" s="1"/>
  <c r="N142" i="18" s="1"/>
  <c r="R142" i="18" s="1"/>
  <c r="I156" i="18"/>
  <c r="J156" i="18" s="1"/>
  <c r="L156" i="18" s="1"/>
  <c r="N156" i="18" s="1"/>
  <c r="R156" i="18" s="1"/>
  <c r="I120" i="18"/>
  <c r="J120" i="18" s="1"/>
  <c r="L120" i="18" s="1"/>
  <c r="N120" i="18" s="1"/>
  <c r="R120" i="18" s="1"/>
  <c r="I66" i="18"/>
  <c r="J66" i="18" s="1"/>
  <c r="L66" i="18" s="1"/>
  <c r="N66" i="18" s="1"/>
  <c r="R66" i="18" s="1"/>
  <c r="I149" i="18"/>
  <c r="J149" i="18" s="1"/>
  <c r="L149" i="18" s="1"/>
  <c r="N149" i="18" s="1"/>
  <c r="R149" i="18" s="1"/>
  <c r="I118" i="18"/>
  <c r="J118" i="18" s="1"/>
  <c r="L118" i="18" s="1"/>
  <c r="N118" i="18" s="1"/>
  <c r="R118" i="18" s="1"/>
  <c r="I42" i="18"/>
  <c r="J42" i="18" s="1"/>
  <c r="L42" i="18" s="1"/>
  <c r="N42" i="18" s="1"/>
  <c r="R42" i="18" s="1"/>
  <c r="I127" i="18"/>
  <c r="J127" i="18" s="1"/>
  <c r="L127" i="18" s="1"/>
  <c r="N127" i="18" s="1"/>
  <c r="R127" i="18" s="1"/>
  <c r="I64" i="18"/>
  <c r="J64" i="18" s="1"/>
  <c r="L64" i="18" s="1"/>
  <c r="N64" i="18" s="1"/>
  <c r="R64" i="18" s="1"/>
  <c r="I126" i="18"/>
  <c r="J126" i="18" s="1"/>
  <c r="L126" i="18" s="1"/>
  <c r="N126" i="18" s="1"/>
  <c r="R126" i="18" s="1"/>
  <c r="I125" i="18"/>
  <c r="J125" i="18" s="1"/>
  <c r="L125" i="18" s="1"/>
  <c r="N125" i="18" s="1"/>
  <c r="R125" i="18" s="1"/>
  <c r="I189" i="18"/>
  <c r="J189" i="18" s="1"/>
  <c r="L189" i="18" s="1"/>
  <c r="N189" i="18" s="1"/>
  <c r="R189" i="18" s="1"/>
  <c r="I139" i="18"/>
  <c r="J139" i="18" s="1"/>
  <c r="L139" i="18" s="1"/>
  <c r="N139" i="18" s="1"/>
  <c r="R139" i="18" s="1"/>
  <c r="I23" i="18"/>
  <c r="J23" i="18" s="1"/>
  <c r="L23" i="18" s="1"/>
  <c r="N23" i="18" s="1"/>
  <c r="R23" i="18" s="1"/>
  <c r="I56" i="18"/>
  <c r="J56" i="18" s="1"/>
  <c r="I183" i="18"/>
  <c r="J183" i="18" s="1"/>
  <c r="L183" i="18" s="1"/>
  <c r="N183" i="18" s="1"/>
  <c r="R183" i="18" s="1"/>
  <c r="I86" i="18"/>
  <c r="J86" i="18" s="1"/>
  <c r="L86" i="18" s="1"/>
  <c r="N86" i="18" s="1"/>
  <c r="R86" i="18" s="1"/>
  <c r="I200" i="18"/>
  <c r="J200" i="18" s="1"/>
  <c r="L200" i="18" s="1"/>
  <c r="N200" i="18" s="1"/>
  <c r="R200" i="18" s="1"/>
  <c r="I88" i="18"/>
  <c r="J88" i="18" s="1"/>
  <c r="L88" i="18" s="1"/>
  <c r="N88" i="18" s="1"/>
  <c r="R88" i="18" s="1"/>
  <c r="I96" i="18"/>
  <c r="J96" i="18" s="1"/>
  <c r="L96" i="18" s="1"/>
  <c r="N96" i="18" s="1"/>
  <c r="R96" i="18" s="1"/>
  <c r="I128" i="18"/>
  <c r="J128" i="18" s="1"/>
  <c r="L128" i="18" s="1"/>
  <c r="N128" i="18" s="1"/>
  <c r="R128" i="18" s="1"/>
  <c r="I112" i="18"/>
  <c r="J112" i="18" s="1"/>
  <c r="L112" i="18" s="1"/>
  <c r="N112" i="18" s="1"/>
  <c r="R112" i="18" s="1"/>
  <c r="I209" i="18"/>
  <c r="J209" i="18" s="1"/>
  <c r="L209" i="18" s="1"/>
  <c r="N209" i="18" s="1"/>
  <c r="R209" i="18" s="1"/>
  <c r="I113" i="18"/>
  <c r="J113" i="18" s="1"/>
  <c r="L113" i="18" s="1"/>
  <c r="N113" i="18" s="1"/>
  <c r="R113" i="18" s="1"/>
  <c r="I26" i="18"/>
  <c r="J26" i="18" s="1"/>
  <c r="L26" i="18" s="1"/>
  <c r="N26" i="18" s="1"/>
  <c r="R26" i="18" s="1"/>
  <c r="I53" i="18"/>
  <c r="J53" i="18" s="1"/>
  <c r="L53" i="18" s="1"/>
  <c r="N53" i="18" s="1"/>
  <c r="R53" i="18" s="1"/>
  <c r="I201" i="18"/>
  <c r="J201" i="18" s="1"/>
  <c r="L201" i="18" s="1"/>
  <c r="N201" i="18" s="1"/>
  <c r="R201" i="18" s="1"/>
  <c r="I100" i="18"/>
  <c r="J100" i="18" s="1"/>
  <c r="L100" i="18" s="1"/>
  <c r="N100" i="18" s="1"/>
  <c r="R100" i="18" s="1"/>
  <c r="I135" i="18"/>
  <c r="J135" i="18" s="1"/>
  <c r="L135" i="18" s="1"/>
  <c r="N135" i="18" s="1"/>
  <c r="R135" i="18" s="1"/>
  <c r="I41" i="18"/>
  <c r="J41" i="18" s="1"/>
  <c r="L41" i="18" s="1"/>
  <c r="N41" i="18" s="1"/>
  <c r="R41" i="18" s="1"/>
  <c r="I197" i="18"/>
  <c r="J197" i="18" s="1"/>
  <c r="L197" i="18" s="1"/>
  <c r="N197" i="18" s="1"/>
  <c r="R197" i="18" s="1"/>
  <c r="I38" i="18"/>
  <c r="J38" i="18" s="1"/>
  <c r="L38" i="18" s="1"/>
  <c r="N38" i="18" s="1"/>
  <c r="R38" i="18" s="1"/>
  <c r="I136" i="18"/>
  <c r="J136" i="18" s="1"/>
  <c r="L136" i="18" s="1"/>
  <c r="N136" i="18" s="1"/>
  <c r="R136" i="18" s="1"/>
  <c r="I109" i="18"/>
  <c r="J109" i="18" s="1"/>
  <c r="L109" i="18" s="1"/>
  <c r="N109" i="18" s="1"/>
  <c r="R109" i="18" s="1"/>
  <c r="I174" i="18"/>
  <c r="J174" i="18" s="1"/>
  <c r="L174" i="18" s="1"/>
  <c r="N174" i="18" s="1"/>
  <c r="R174" i="18" s="1"/>
  <c r="I211" i="18"/>
  <c r="J211" i="18" s="1"/>
  <c r="L211" i="18" s="1"/>
  <c r="N211" i="18" s="1"/>
  <c r="R211" i="18" s="1"/>
  <c r="I184" i="18"/>
  <c r="J184" i="18" s="1"/>
  <c r="L184" i="18" s="1"/>
  <c r="N184" i="18" s="1"/>
  <c r="R184" i="18" s="1"/>
  <c r="I151" i="18"/>
  <c r="J151" i="18" s="1"/>
  <c r="L151" i="18" s="1"/>
  <c r="N151" i="18" s="1"/>
  <c r="R151" i="18" s="1"/>
  <c r="I190" i="18"/>
  <c r="J190" i="18" s="1"/>
  <c r="L190" i="18" s="1"/>
  <c r="N190" i="18" s="1"/>
  <c r="R190" i="18" s="1"/>
  <c r="I203" i="18"/>
  <c r="J203" i="18" s="1"/>
  <c r="L203" i="18" s="1"/>
  <c r="N203" i="18" s="1"/>
  <c r="R203" i="18" s="1"/>
  <c r="I124" i="18"/>
  <c r="J124" i="18" s="1"/>
  <c r="L124" i="18" s="1"/>
  <c r="N124" i="18" s="1"/>
  <c r="R124" i="18" s="1"/>
  <c r="I147" i="18"/>
  <c r="J147" i="18" s="1"/>
  <c r="L147" i="18" s="1"/>
  <c r="N147" i="18" s="1"/>
  <c r="R147" i="18" s="1"/>
  <c r="I153" i="18"/>
  <c r="J153" i="18" s="1"/>
  <c r="L153" i="18" s="1"/>
  <c r="N153" i="18" s="1"/>
  <c r="R153" i="18" s="1"/>
  <c r="I198" i="18"/>
  <c r="J198" i="18" s="1"/>
  <c r="L198" i="18" s="1"/>
  <c r="N198" i="18" s="1"/>
  <c r="R198" i="18" s="1"/>
  <c r="I179" i="18"/>
  <c r="J179" i="18" s="1"/>
  <c r="L179" i="18" s="1"/>
  <c r="N179" i="18" s="1"/>
  <c r="R179" i="18" s="1"/>
  <c r="I194" i="18"/>
  <c r="J194" i="18" s="1"/>
  <c r="L194" i="18" s="1"/>
  <c r="N194" i="18" s="1"/>
  <c r="R194" i="18" s="1"/>
  <c r="I186" i="18"/>
  <c r="J186" i="18" s="1"/>
  <c r="L186" i="18" s="1"/>
  <c r="N186" i="18" s="1"/>
  <c r="R186" i="18" s="1"/>
  <c r="I27" i="18"/>
  <c r="J27" i="18" s="1"/>
  <c r="L27" i="18" s="1"/>
  <c r="N27" i="18" s="1"/>
  <c r="R27" i="18" s="1"/>
  <c r="I61" i="18"/>
  <c r="J61" i="18" s="1"/>
  <c r="L61" i="18" s="1"/>
  <c r="N61" i="18" s="1"/>
  <c r="R61" i="18" s="1"/>
  <c r="I129" i="18"/>
  <c r="J129" i="18" s="1"/>
  <c r="L129" i="18" s="1"/>
  <c r="N129" i="18" s="1"/>
  <c r="R129" i="18" s="1"/>
  <c r="I20" i="18"/>
  <c r="J20" i="18" s="1"/>
  <c r="I117" i="18"/>
  <c r="J117" i="18" s="1"/>
  <c r="L117" i="18" s="1"/>
  <c r="N117" i="18" s="1"/>
  <c r="R117" i="18" s="1"/>
  <c r="I68" i="18"/>
  <c r="J68" i="18" s="1"/>
  <c r="L68" i="18" s="1"/>
  <c r="N68" i="18" s="1"/>
  <c r="R68" i="18" s="1"/>
  <c r="I45" i="18"/>
  <c r="J45" i="18" s="1"/>
  <c r="L45" i="18" s="1"/>
  <c r="N45" i="18" s="1"/>
  <c r="R45" i="18" s="1"/>
  <c r="I57" i="18"/>
  <c r="J57" i="18" s="1"/>
  <c r="L57" i="18" s="1"/>
  <c r="N57" i="18" s="1"/>
  <c r="R57" i="18" s="1"/>
  <c r="I107" i="18"/>
  <c r="J107" i="18" s="1"/>
  <c r="L107" i="18" s="1"/>
  <c r="N107" i="18" s="1"/>
  <c r="R107" i="18" s="1"/>
  <c r="I52" i="18"/>
  <c r="J52" i="18" s="1"/>
  <c r="L52" i="18" s="1"/>
  <c r="N52" i="18" s="1"/>
  <c r="R52" i="18" s="1"/>
  <c r="I175" i="18"/>
  <c r="J175" i="18" s="1"/>
  <c r="L175" i="18" s="1"/>
  <c r="N175" i="18" s="1"/>
  <c r="R175" i="18" s="1"/>
  <c r="I92" i="18"/>
  <c r="J92" i="18" s="1"/>
  <c r="L92" i="18" s="1"/>
  <c r="N92" i="18" s="1"/>
  <c r="R92" i="18" s="1"/>
  <c r="I208" i="18"/>
  <c r="J208" i="18" s="1"/>
  <c r="L208" i="18" s="1"/>
  <c r="N208" i="18" s="1"/>
  <c r="R208" i="18" s="1"/>
  <c r="I172" i="18"/>
  <c r="J172" i="18" s="1"/>
  <c r="L172" i="18" s="1"/>
  <c r="N172" i="18" s="1"/>
  <c r="R172" i="18" s="1"/>
  <c r="I210" i="18"/>
  <c r="J210" i="18" s="1"/>
  <c r="L210" i="18" s="1"/>
  <c r="N210" i="18" s="1"/>
  <c r="R210" i="18" s="1"/>
  <c r="I70" i="18"/>
  <c r="J70" i="18" s="1"/>
  <c r="L70" i="18" s="1"/>
  <c r="N70" i="18" s="1"/>
  <c r="R70" i="18" s="1"/>
  <c r="I77" i="18"/>
  <c r="J77" i="18" s="1"/>
  <c r="L77" i="18" s="1"/>
  <c r="N77" i="18" s="1"/>
  <c r="R77" i="18" s="1"/>
  <c r="I176" i="18"/>
  <c r="J176" i="18" s="1"/>
  <c r="L176" i="18" s="1"/>
  <c r="N176" i="18" s="1"/>
  <c r="R176" i="18" s="1"/>
  <c r="I164" i="18"/>
  <c r="J164" i="18" s="1"/>
  <c r="L164" i="18" s="1"/>
  <c r="N164" i="18" s="1"/>
  <c r="R164" i="18" s="1"/>
  <c r="I180" i="18"/>
  <c r="J180" i="18" s="1"/>
  <c r="L180" i="18" s="1"/>
  <c r="N180" i="18" s="1"/>
  <c r="R180" i="18" s="1"/>
  <c r="I99" i="18"/>
  <c r="J99" i="18" s="1"/>
  <c r="L99" i="18" s="1"/>
  <c r="N99" i="18" s="1"/>
  <c r="R99" i="18" s="1"/>
  <c r="I67" i="18"/>
  <c r="J67" i="18" s="1"/>
  <c r="L67" i="18" s="1"/>
  <c r="N67" i="18" s="1"/>
  <c r="R67" i="18" s="1"/>
  <c r="I28" i="18"/>
  <c r="J28" i="18" s="1"/>
  <c r="L28" i="18" s="1"/>
  <c r="N28" i="18" s="1"/>
  <c r="R28" i="18" s="1"/>
  <c r="I110" i="18"/>
  <c r="J110" i="18" s="1"/>
  <c r="L110" i="18" s="1"/>
  <c r="N110" i="18" s="1"/>
  <c r="R110" i="18" s="1"/>
  <c r="I122" i="18"/>
  <c r="J122" i="18" s="1"/>
  <c r="L122" i="18" s="1"/>
  <c r="N122" i="18" s="1"/>
  <c r="R122" i="18" s="1"/>
  <c r="I94" i="18"/>
  <c r="J94" i="18" s="1"/>
  <c r="L94" i="18" s="1"/>
  <c r="N94" i="18" s="1"/>
  <c r="R94" i="18" s="1"/>
  <c r="I138" i="18"/>
  <c r="J138" i="18" s="1"/>
  <c r="L138" i="18" s="1"/>
  <c r="N138" i="18" s="1"/>
  <c r="R138" i="18" s="1"/>
  <c r="I104" i="18"/>
  <c r="J104" i="18" s="1"/>
  <c r="L104" i="18" s="1"/>
  <c r="N104" i="18" s="1"/>
  <c r="R104" i="18" s="1"/>
  <c r="I141" i="18"/>
  <c r="J141" i="18" s="1"/>
  <c r="L141" i="18" s="1"/>
  <c r="N141" i="18" s="1"/>
  <c r="R141" i="18" s="1"/>
  <c r="I78" i="18"/>
  <c r="J78" i="18" s="1"/>
  <c r="L78" i="18" s="1"/>
  <c r="N78" i="18" s="1"/>
  <c r="R78" i="18" s="1"/>
  <c r="I111" i="18"/>
  <c r="J111" i="18" s="1"/>
  <c r="L111" i="18" s="1"/>
  <c r="N111" i="18" s="1"/>
  <c r="R111" i="18" s="1"/>
  <c r="I85" i="18"/>
  <c r="J85" i="18" s="1"/>
  <c r="L85" i="18" s="1"/>
  <c r="N85" i="18" s="1"/>
  <c r="R85" i="18" s="1"/>
  <c r="I60" i="18"/>
  <c r="J60" i="18" s="1"/>
  <c r="L60" i="18" s="1"/>
  <c r="N60" i="18" s="1"/>
  <c r="R60" i="18" s="1"/>
  <c r="I82" i="18"/>
  <c r="J82" i="18" s="1"/>
  <c r="L82" i="18" s="1"/>
  <c r="N82" i="18" s="1"/>
  <c r="R82" i="18" s="1"/>
  <c r="I49" i="18"/>
  <c r="J49" i="18" s="1"/>
  <c r="L49" i="18" s="1"/>
  <c r="N49" i="18" s="1"/>
  <c r="R49" i="18" s="1"/>
  <c r="I102" i="18"/>
  <c r="J102" i="18" s="1"/>
  <c r="L102" i="18" s="1"/>
  <c r="N102" i="18" s="1"/>
  <c r="R102" i="18" s="1"/>
  <c r="I103" i="18"/>
  <c r="J103" i="18" s="1"/>
  <c r="L103" i="18" s="1"/>
  <c r="N103" i="18" s="1"/>
  <c r="R103" i="18" s="1"/>
  <c r="I137" i="18"/>
  <c r="J137" i="18" s="1"/>
  <c r="L137" i="18" s="1"/>
  <c r="N137" i="18" s="1"/>
  <c r="R137" i="18" s="1"/>
  <c r="I30" i="18"/>
  <c r="J30" i="18" s="1"/>
  <c r="L30" i="18" s="1"/>
  <c r="N30" i="18" s="1"/>
  <c r="R30" i="18" s="1"/>
  <c r="I105" i="18"/>
  <c r="J105" i="18" s="1"/>
  <c r="L105" i="18" s="1"/>
  <c r="N105" i="18" s="1"/>
  <c r="R105" i="18" s="1"/>
  <c r="I173" i="18"/>
  <c r="J173" i="18" s="1"/>
  <c r="L173" i="18" s="1"/>
  <c r="N173" i="18" s="1"/>
  <c r="R173" i="18" s="1"/>
  <c r="I74" i="18"/>
  <c r="J74" i="18" s="1"/>
  <c r="L74" i="18" s="1"/>
  <c r="N74" i="18" s="1"/>
  <c r="R74" i="18" s="1"/>
  <c r="I98" i="18"/>
  <c r="J98" i="18" s="1"/>
  <c r="L98" i="18" s="1"/>
  <c r="N98" i="18" s="1"/>
  <c r="R98" i="18" s="1"/>
  <c r="I188" i="18"/>
  <c r="J188" i="18" s="1"/>
  <c r="L188" i="18" s="1"/>
  <c r="N188" i="18" s="1"/>
  <c r="R188" i="18" s="1"/>
  <c r="I119" i="18"/>
  <c r="J119" i="18" s="1"/>
  <c r="L119" i="18" s="1"/>
  <c r="N119" i="18" s="1"/>
  <c r="R119" i="18" s="1"/>
  <c r="I206" i="18"/>
  <c r="J206" i="18" s="1"/>
  <c r="L206" i="18" s="1"/>
  <c r="N206" i="18" s="1"/>
  <c r="R206" i="18" s="1"/>
  <c r="I69" i="18"/>
  <c r="J69" i="18" s="1"/>
  <c r="L69" i="18" s="1"/>
  <c r="N69" i="18" s="1"/>
  <c r="R69" i="18" s="1"/>
  <c r="I204" i="18"/>
  <c r="J204" i="18" s="1"/>
  <c r="L204" i="18" s="1"/>
  <c r="N204" i="18" s="1"/>
  <c r="R204" i="18" s="1"/>
  <c r="I158" i="18"/>
  <c r="J158" i="18" s="1"/>
  <c r="L158" i="18" s="1"/>
  <c r="N158" i="18" s="1"/>
  <c r="R158" i="18" s="1"/>
  <c r="I50" i="18"/>
  <c r="J50" i="18" s="1"/>
  <c r="L50" i="18" s="1"/>
  <c r="N50" i="18" s="1"/>
  <c r="R50" i="18" s="1"/>
  <c r="I185" i="18"/>
  <c r="J185" i="18" s="1"/>
  <c r="L185" i="18" s="1"/>
  <c r="N185" i="18" s="1"/>
  <c r="R185" i="18" s="1"/>
  <c r="I36" i="18"/>
  <c r="J36" i="18" s="1"/>
  <c r="L36" i="18" s="1"/>
  <c r="N36" i="18" s="1"/>
  <c r="R36" i="18" s="1"/>
  <c r="I63" i="18"/>
  <c r="J63" i="18" s="1"/>
  <c r="L63" i="18" s="1"/>
  <c r="N63" i="18" s="1"/>
  <c r="R63" i="18" s="1"/>
  <c r="I48" i="18"/>
  <c r="J48" i="18" s="1"/>
  <c r="L48" i="18" s="1"/>
  <c r="N48" i="18" s="1"/>
  <c r="R48" i="18" s="1"/>
  <c r="I159" i="18"/>
  <c r="J159" i="18" s="1"/>
  <c r="L159" i="18" s="1"/>
  <c r="N159" i="18" s="1"/>
  <c r="R159" i="18" s="1"/>
  <c r="I121" i="18"/>
  <c r="J121" i="18" s="1"/>
  <c r="L121" i="18" s="1"/>
  <c r="N121" i="18" s="1"/>
  <c r="R121" i="18" s="1"/>
  <c r="I93" i="18"/>
  <c r="J93" i="18" s="1"/>
  <c r="L93" i="18" s="1"/>
  <c r="N93" i="18" s="1"/>
  <c r="R93" i="18" s="1"/>
  <c r="I202" i="18"/>
  <c r="J202" i="18" s="1"/>
  <c r="L202" i="18" s="1"/>
  <c r="N202" i="18" s="1"/>
  <c r="R202" i="18" s="1"/>
  <c r="I89" i="18"/>
  <c r="J89" i="18" s="1"/>
  <c r="L89" i="18" s="1"/>
  <c r="N89" i="18" s="1"/>
  <c r="R89" i="18" s="1"/>
  <c r="I29" i="18"/>
  <c r="J29" i="18" s="1"/>
  <c r="L29" i="18" s="1"/>
  <c r="N29" i="18" s="1"/>
  <c r="R29" i="18" s="1"/>
  <c r="I55" i="18"/>
  <c r="J55" i="18" s="1"/>
  <c r="L55" i="18" s="1"/>
  <c r="N55" i="18" s="1"/>
  <c r="R55" i="18" s="1"/>
  <c r="I144" i="18"/>
  <c r="J144" i="18" s="1"/>
  <c r="L144" i="18" s="1"/>
  <c r="N144" i="18" s="1"/>
  <c r="R144" i="18" s="1"/>
  <c r="I196" i="18"/>
  <c r="J196" i="18" s="1"/>
  <c r="L196" i="18" s="1"/>
  <c r="N196" i="18" s="1"/>
  <c r="R196" i="18" s="1"/>
  <c r="J13" i="18" l="1"/>
  <c r="L56" i="18"/>
  <c r="L20" i="18"/>
  <c r="J212" i="18"/>
  <c r="J14" i="18"/>
  <c r="L212" i="18" l="1"/>
  <c r="L14" i="18"/>
  <c r="N20" i="18"/>
  <c r="L13" i="18"/>
  <c r="N56" i="18"/>
  <c r="R56" i="18" l="1"/>
  <c r="R13" i="18" s="1"/>
  <c r="N13" i="18"/>
  <c r="N14" i="18"/>
  <c r="R20" i="18"/>
  <c r="R212" i="18" l="1"/>
  <c r="R1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rlp</author>
  </authors>
  <commentList>
    <comment ref="J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True-Up ATRR and rate from current year's (t=0) update.
</t>
        </r>
      </text>
    </comment>
    <comment ref="K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5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6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J19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Actual Charge based on after the fact "True-Up" rate for entire prior CY.</t>
        </r>
      </text>
    </comment>
    <comment ref="K19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Amount charged during the Rate Year based on projected rates.</t>
        </r>
      </text>
    </comment>
  </commentList>
</comments>
</file>

<file path=xl/sharedStrings.xml><?xml version="1.0" encoding="utf-8"?>
<sst xmlns="http://schemas.openxmlformats.org/spreadsheetml/2006/main" count="417" uniqueCount="101">
  <si>
    <t>Customer</t>
  </si>
  <si>
    <t>MW</t>
  </si>
  <si>
    <t>Total True-up</t>
  </si>
  <si>
    <t>True-Up w/o Interest</t>
  </si>
  <si>
    <t>Billing
Date*</t>
  </si>
  <si>
    <t>Payment Received*</t>
  </si>
  <si>
    <t>Annual RR</t>
  </si>
  <si>
    <t>Interest</t>
  </si>
  <si>
    <t>OMPA</t>
  </si>
  <si>
    <t>WFEC</t>
  </si>
  <si>
    <t>Monthly Rate</t>
  </si>
  <si>
    <t>True-up Values:  Surcharge / (Refund)</t>
  </si>
  <si>
    <t>Sched.</t>
  </si>
  <si>
    <t>ETEC</t>
  </si>
  <si>
    <t>AECC</t>
  </si>
  <si>
    <t>Greenbelt</t>
  </si>
  <si>
    <t>Lighthouse</t>
  </si>
  <si>
    <t>Coffeyville, KS</t>
  </si>
  <si>
    <t>Grand Total</t>
  </si>
  <si>
    <t>OG&amp;E</t>
  </si>
  <si>
    <t>AEP Revenue Adjustment</t>
  </si>
  <si>
    <t>PSO</t>
  </si>
  <si>
    <t>SWEPCO</t>
  </si>
  <si>
    <r>
      <t xml:space="preserve">NOTE:  </t>
    </r>
    <r>
      <rPr>
        <sz val="10"/>
        <rFont val="Arial"/>
        <family val="2"/>
      </rPr>
      <t>This is a normal part of the Annual True-up</t>
    </r>
  </si>
  <si>
    <t>Data</t>
  </si>
  <si>
    <t>Sum of True-Up w/o Interest</t>
  </si>
  <si>
    <t>Sum of Interest</t>
  </si>
  <si>
    <t>Sum of Total True-up</t>
  </si>
  <si>
    <t>Total Sum of True-Up w/o Interest</t>
  </si>
  <si>
    <t>Total Sum of Interest</t>
  </si>
  <si>
    <t>Total Sum of Total True-up</t>
  </si>
  <si>
    <t>(A)</t>
  </si>
  <si>
    <t>(B)</t>
  </si>
  <si>
    <t>(C)</t>
  </si>
  <si>
    <t>(D) = (B) - (C)</t>
  </si>
  <si>
    <t>(E)</t>
  </si>
  <si>
    <t>Projected</t>
  </si>
  <si>
    <r>
      <t xml:space="preserve">Projected </t>
    </r>
    <r>
      <rPr>
        <sz val="10"/>
        <rFont val="Arial Narrow"/>
        <family val="2"/>
      </rPr>
      <t>(Invoiced)</t>
    </r>
  </si>
  <si>
    <t xml:space="preserve">  ARR</t>
  </si>
  <si>
    <t xml:space="preserve">  Monthly Rates</t>
  </si>
  <si>
    <r>
      <t>Actual</t>
    </r>
    <r>
      <rPr>
        <sz val="10"/>
        <rFont val="Arial Narrow"/>
        <family val="2"/>
      </rPr>
      <t xml:space="preserve"> (True-Up)</t>
    </r>
  </si>
  <si>
    <r>
      <t xml:space="preserve">Actual </t>
    </r>
    <r>
      <rPr>
        <sz val="10"/>
        <rFont val="Arial Narrow"/>
        <family val="2"/>
      </rPr>
      <t>(True-Up)</t>
    </r>
  </si>
  <si>
    <t xml:space="preserve">    Non-Affiliate
    Subtotals</t>
  </si>
  <si>
    <t>TOTALS</t>
  </si>
  <si>
    <t>Comment</t>
  </si>
  <si>
    <t>Actual True-Up Rate</t>
  </si>
  <si>
    <t>Invoiced*** Charge (proj.)</t>
  </si>
  <si>
    <r>
      <t>Projected Rate</t>
    </r>
    <r>
      <rPr>
        <sz val="8"/>
        <rFont val="Arial"/>
        <family val="2"/>
      </rPr>
      <t xml:space="preserve"> (as Invoiced)</t>
    </r>
  </si>
  <si>
    <t>Sum of Invoiced*** Charge (proj.)</t>
  </si>
  <si>
    <t xml:space="preserve">  Customer</t>
  </si>
  <si>
    <t xml:space="preserve">    Affiliate
    Subtotals</t>
  </si>
  <si>
    <t>Customer True-Up for Amounts Billed</t>
  </si>
  <si>
    <t>Serivce Month</t>
  </si>
  <si>
    <t>Bentonville, AR</t>
  </si>
  <si>
    <t>Prescott, AR</t>
  </si>
  <si>
    <t>Minden, LA</t>
  </si>
  <si>
    <t>Hope, AR</t>
  </si>
  <si>
    <t>3rd Party Totals</t>
  </si>
  <si>
    <t>SPP Zone1 Totals (incl. PSO/SWE)</t>
  </si>
  <si>
    <t>Surcharge / (Refund)</t>
  </si>
  <si>
    <t>Total Sum of Invoiced*** Charge (proj.)</t>
  </si>
  <si>
    <r>
      <t xml:space="preserve">*** </t>
    </r>
    <r>
      <rPr>
        <sz val="8"/>
        <rFont val="Arial"/>
        <family val="2"/>
      </rPr>
      <t>Invoiced Charge reflects any subsequent routine invoice corrections by SPP.</t>
    </r>
  </si>
  <si>
    <t>Instructions</t>
  </si>
  <si>
    <r>
      <t>Roll Date: input trueup year in cell=</t>
    </r>
    <r>
      <rPr>
        <b/>
        <i/>
        <sz val="10"/>
        <rFont val="Arial"/>
        <family val="2"/>
      </rPr>
      <t>Transactions!N1</t>
    </r>
  </si>
  <si>
    <t>Update Prime Rates data:  see Prime-Rates tab</t>
  </si>
  <si>
    <r>
      <t>Verify Refund Date:  verify and change (if needed) Refund Date celll=</t>
    </r>
    <r>
      <rPr>
        <b/>
        <i/>
        <sz val="10"/>
        <rFont val="Arial"/>
        <family val="2"/>
      </rPr>
      <t>Transactions!W8</t>
    </r>
  </si>
  <si>
    <t>Billing/Pmt Rec'd Dates:  Verify these dates (currently set to formulaicly update relative to trueup year)</t>
  </si>
  <si>
    <t>Update SPP Zone1 NITS Customer list &amp; formulas (if needed): look at LoadWS in main template &amp; also check w/Load Settlements.</t>
  </si>
  <si>
    <t>Update invoiced Load values per month per customer (from LoadWS in main template) (transpose)</t>
  </si>
  <si>
    <t>Sum of True-Up Charge</t>
  </si>
  <si>
    <t>Total Sum of True-Up Charge</t>
  </si>
  <si>
    <r>
      <t xml:space="preserve">Refresh Pivot Table in </t>
    </r>
    <r>
      <rPr>
        <b/>
        <sz val="10"/>
        <rFont val="Arial"/>
        <family val="2"/>
      </rPr>
      <t>tab=PIVOT</t>
    </r>
  </si>
  <si>
    <t>NOTE:  Be aware that title changes to a Transaction tab column summarized in the pivot table cause such column to be dropped form the pivot table when it is refreshed.</t>
  </si>
  <si>
    <t>NOTE:  In that instance, manually update the LAYOUT of the pivot table to re-summarize the column that encountered a title change.</t>
  </si>
  <si>
    <t>NOTE:  The SUMMARY table in that tab contains GETPIVOTDATA functions that should still work as they reference tltle cells in Transactions tab.</t>
  </si>
  <si>
    <t>Update Rate Summary tab. (very manual process).</t>
  </si>
  <si>
    <t xml:space="preserve">            as contemplated in the AEP Formula Rate Protocols.</t>
  </si>
  <si>
    <t>NOTE:  "Rate Summary" tab is usually "walked-through" during customer meeting but not printed.</t>
  </si>
  <si>
    <t>NOTE:  Print to PDF the "Summary" tab as a supplement for customer Mtg handout and published PDFs.</t>
  </si>
  <si>
    <r>
      <t>Input Sched 9 ATRRs &amp; rates from prior 2 update's (projected) and this year's update (trueup)=</t>
    </r>
    <r>
      <rPr>
        <b/>
        <i/>
        <sz val="10"/>
        <rFont val="Arial"/>
        <family val="2"/>
      </rPr>
      <t>Transactions!J2:K8</t>
    </r>
  </si>
  <si>
    <t>SWEPCO-Valley</t>
  </si>
  <si>
    <t>* SPP bills customer on third business day, AEP receives on 24th or next business day.</t>
  </si>
  <si>
    <t>AECI</t>
  </si>
  <si>
    <t>Tax Rebilling Rate</t>
  </si>
  <si>
    <t>Tax True Up Billing</t>
  </si>
  <si>
    <t>Tax True Up</t>
  </si>
  <si>
    <t>Sum of Tax True Up Billing</t>
  </si>
  <si>
    <t>Total Sum of Tax True Up Billing</t>
  </si>
  <si>
    <t>Sum of Tax True Up</t>
  </si>
  <si>
    <t>Total Sum of Tax True Up</t>
  </si>
  <si>
    <t>(G) = (D) + (E) - (F)</t>
  </si>
  <si>
    <t>(G)</t>
  </si>
  <si>
    <t>January - December</t>
  </si>
  <si>
    <t>PUBLIC SERVICE COMPANY of OKLAHOMA &amp; SOUTHWESTERN ELECTRIC POWER</t>
  </si>
  <si>
    <t>AEPTCo Formula Rate -- FERC Docket ER18-195</t>
  </si>
  <si>
    <t>Network Customer True-Up (Schedule 1 charges)</t>
  </si>
  <si>
    <t xml:space="preserve"> Tax True Up</t>
  </si>
  <si>
    <t>2023 True Up Including Interest</t>
  </si>
  <si>
    <r>
      <t>2024 True-Up
(</t>
    </r>
    <r>
      <rPr>
        <sz val="10"/>
        <rFont val="Arial"/>
        <family val="2"/>
      </rPr>
      <t>w/o Interest)</t>
    </r>
  </si>
  <si>
    <t>2024 Interest</t>
  </si>
  <si>
    <t>Total 2024
True-Up Surcharge / (Refund)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</si>
</sst>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  <numFmt numFmtId="168" formatCode="0.0%"/>
  </numFmts>
  <fonts count="2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i/>
      <sz val="9"/>
      <color indexed="10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sz val="10"/>
      <color rgb="FF0000FF"/>
      <name val="Arial"/>
      <family val="2"/>
    </font>
    <font>
      <sz val="8"/>
      <color rgb="FF0066FF"/>
      <name val="Arial"/>
      <family val="2"/>
    </font>
    <font>
      <sz val="1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38">
    <xf numFmtId="0" fontId="0" fillId="0" borderId="0" xfId="0"/>
    <xf numFmtId="0" fontId="0" fillId="0" borderId="0" xfId="0" applyProtection="1"/>
    <xf numFmtId="0" fontId="0" fillId="0" borderId="0" xfId="0" applyFill="1" applyProtection="1"/>
    <xf numFmtId="0" fontId="0" fillId="0" borderId="0" xfId="0" quotePrefix="1" applyAlignment="1" applyProtection="1">
      <alignment horizontal="left"/>
    </xf>
    <xf numFmtId="0" fontId="2" fillId="0" borderId="0" xfId="0" quotePrefix="1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23" fillId="6" borderId="0" xfId="0" applyFont="1" applyFill="1" applyProtection="1"/>
    <xf numFmtId="0" fontId="2" fillId="2" borderId="0" xfId="0" quotePrefix="1" applyFont="1" applyFill="1" applyAlignment="1" applyProtection="1">
      <alignment horizontal="left"/>
    </xf>
    <xf numFmtId="0" fontId="0" fillId="2" borderId="0" xfId="0" applyFill="1" applyProtection="1"/>
    <xf numFmtId="0" fontId="10" fillId="0" borderId="0" xfId="0" quotePrefix="1" applyFont="1" applyAlignment="1" applyProtection="1">
      <alignment horizontal="left"/>
    </xf>
    <xf numFmtId="0" fontId="3" fillId="0" borderId="0" xfId="0" quotePrefix="1" applyFont="1" applyAlignment="1" applyProtection="1">
      <alignment horizontal="left"/>
    </xf>
    <xf numFmtId="0" fontId="16" fillId="0" borderId="1" xfId="0" quotePrefix="1" applyFont="1" applyFill="1" applyBorder="1" applyAlignment="1" applyProtection="1">
      <alignment horizontal="center" vertical="center"/>
    </xf>
    <xf numFmtId="0" fontId="15" fillId="0" borderId="2" xfId="0" quotePrefix="1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15" fillId="0" borderId="4" xfId="0" quotePrefix="1" applyFont="1" applyBorder="1" applyAlignment="1" applyProtection="1">
      <alignment horizontal="right"/>
    </xf>
    <xf numFmtId="0" fontId="15" fillId="0" borderId="0" xfId="0" quotePrefix="1" applyFont="1" applyBorder="1" applyAlignment="1" applyProtection="1">
      <alignment horizontal="right"/>
    </xf>
    <xf numFmtId="164" fontId="4" fillId="0" borderId="0" xfId="0" applyNumberFormat="1" applyFont="1" applyFill="1" applyBorder="1" applyAlignment="1" applyProtection="1">
      <alignment horizontal="centerContinuous"/>
    </xf>
    <xf numFmtId="0" fontId="14" fillId="0" borderId="5" xfId="0" applyFont="1" applyBorder="1" applyAlignment="1" applyProtection="1">
      <alignment horizontal="center" vertical="center" wrapText="1"/>
    </xf>
    <xf numFmtId="0" fontId="14" fillId="0" borderId="0" xfId="0" quotePrefix="1" applyFont="1" applyAlignment="1" applyProtection="1">
      <alignment horizontal="center" vertical="center" wrapText="1"/>
    </xf>
    <xf numFmtId="0" fontId="14" fillId="0" borderId="6" xfId="0" quotePrefix="1" applyFont="1" applyBorder="1" applyAlignment="1" applyProtection="1">
      <alignment horizontal="center" vertical="center" wrapText="1"/>
    </xf>
    <xf numFmtId="0" fontId="14" fillId="0" borderId="0" xfId="0" quotePrefix="1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/>
    </xf>
    <xf numFmtId="0" fontId="15" fillId="0" borderId="2" xfId="0" quotePrefix="1" applyFont="1" applyBorder="1" applyAlignment="1" applyProtection="1">
      <alignment horizontal="left" vertical="center"/>
    </xf>
    <xf numFmtId="0" fontId="15" fillId="0" borderId="3" xfId="0" quotePrefix="1" applyFont="1" applyBorder="1" applyAlignment="1" applyProtection="1">
      <alignment horizontal="left" vertical="center"/>
    </xf>
    <xf numFmtId="167" fontId="1" fillId="0" borderId="3" xfId="0" applyNumberFormat="1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167" fontId="13" fillId="0" borderId="4" xfId="0" applyNumberFormat="1" applyFont="1" applyFill="1" applyBorder="1" applyAlignment="1" applyProtection="1">
      <alignment horizontal="center" vertical="center"/>
    </xf>
    <xf numFmtId="167" fontId="13" fillId="0" borderId="0" xfId="0" applyNumberFormat="1" applyFont="1" applyFill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vertical="center"/>
    </xf>
    <xf numFmtId="0" fontId="15" fillId="0" borderId="8" xfId="0" quotePrefix="1" applyFont="1" applyBorder="1" applyAlignment="1" applyProtection="1">
      <alignment horizontal="left" vertical="center"/>
    </xf>
    <xf numFmtId="0" fontId="12" fillId="0" borderId="8" xfId="0" quotePrefix="1" applyFont="1" applyFill="1" applyBorder="1" applyAlignment="1" applyProtection="1">
      <alignment horizontal="center" vertical="center"/>
    </xf>
    <xf numFmtId="167" fontId="13" fillId="0" borderId="8" xfId="0" quotePrefix="1" applyNumberFormat="1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</xf>
    <xf numFmtId="0" fontId="15" fillId="0" borderId="10" xfId="0" quotePrefix="1" applyFont="1" applyBorder="1" applyAlignment="1" applyProtection="1">
      <alignment horizontal="left" vertical="center"/>
    </xf>
    <xf numFmtId="0" fontId="15" fillId="0" borderId="0" xfId="0" quotePrefix="1" applyFont="1" applyBorder="1" applyAlignment="1" applyProtection="1">
      <alignment horizontal="left" vertical="center"/>
    </xf>
    <xf numFmtId="164" fontId="13" fillId="0" borderId="0" xfId="0" quotePrefix="1" applyNumberFormat="1" applyFont="1" applyFill="1" applyBorder="1" applyAlignment="1" applyProtection="1">
      <alignment horizontal="center" vertical="center" wrapText="1"/>
    </xf>
    <xf numFmtId="164" fontId="13" fillId="0" borderId="11" xfId="0" quotePrefix="1" applyNumberFormat="1" applyFont="1" applyFill="1" applyBorder="1" applyAlignment="1" applyProtection="1">
      <alignment horizontal="center" vertical="center"/>
    </xf>
    <xf numFmtId="164" fontId="13" fillId="0" borderId="0" xfId="0" quotePrefix="1" applyNumberFormat="1" applyFont="1" applyFill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vertical="center"/>
    </xf>
    <xf numFmtId="0" fontId="15" fillId="0" borderId="1" xfId="0" quotePrefix="1" applyFont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center" vertical="center"/>
    </xf>
    <xf numFmtId="164" fontId="1" fillId="0" borderId="1" xfId="0" quotePrefix="1" applyNumberFormat="1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14" fillId="0" borderId="0" xfId="0" quotePrefix="1" applyFont="1" applyFill="1" applyBorder="1" applyAlignment="1" applyProtection="1">
      <alignment horizontal="left"/>
    </xf>
    <xf numFmtId="0" fontId="10" fillId="0" borderId="0" xfId="0" applyFont="1" applyFill="1" applyBorder="1" applyProtection="1"/>
    <xf numFmtId="0" fontId="10" fillId="0" borderId="0" xfId="0" quotePrefix="1" applyFont="1" applyFill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0" fontId="0" fillId="0" borderId="0" xfId="0" applyBorder="1" applyProtection="1"/>
    <xf numFmtId="165" fontId="0" fillId="0" borderId="0" xfId="2" applyNumberFormat="1" applyFont="1" applyBorder="1" applyProtection="1"/>
    <xf numFmtId="0" fontId="0" fillId="0" borderId="0" xfId="0" quotePrefix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0" fillId="0" borderId="0" xfId="0" quotePrefix="1" applyBorder="1" applyAlignment="1" applyProtection="1">
      <alignment horizontal="center" vertical="center"/>
    </xf>
    <xf numFmtId="0" fontId="3" fillId="0" borderId="12" xfId="0" quotePrefix="1" applyFont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165" fontId="0" fillId="0" borderId="0" xfId="0" applyNumberFormat="1" applyProtection="1"/>
    <xf numFmtId="0" fontId="0" fillId="0" borderId="10" xfId="0" applyBorder="1" applyProtection="1"/>
    <xf numFmtId="165" fontId="0" fillId="0" borderId="16" xfId="2" applyNumberFormat="1" applyFont="1" applyBorder="1" applyProtection="1"/>
    <xf numFmtId="165" fontId="0" fillId="0" borderId="17" xfId="2" applyNumberFormat="1" applyFont="1" applyBorder="1" applyProtection="1"/>
    <xf numFmtId="0" fontId="0" fillId="0" borderId="10" xfId="0" quotePrefix="1" applyBorder="1" applyAlignment="1" applyProtection="1">
      <alignment horizontal="left"/>
    </xf>
    <xf numFmtId="43" fontId="0" fillId="0" borderId="0" xfId="0" applyNumberFormat="1" applyBorder="1" applyProtection="1"/>
    <xf numFmtId="0" fontId="0" fillId="0" borderId="19" xfId="0" applyBorder="1" applyProtection="1"/>
    <xf numFmtId="0" fontId="9" fillId="3" borderId="20" xfId="0" quotePrefix="1" applyFont="1" applyFill="1" applyBorder="1" applyAlignment="1" applyProtection="1">
      <alignment horizontal="left" vertical="center" wrapText="1"/>
    </xf>
    <xf numFmtId="165" fontId="0" fillId="3" borderId="21" xfId="2" applyNumberFormat="1" applyFont="1" applyFill="1" applyBorder="1" applyAlignment="1" applyProtection="1">
      <alignment vertical="center"/>
    </xf>
    <xf numFmtId="165" fontId="0" fillId="3" borderId="22" xfId="2" applyNumberFormat="1" applyFont="1" applyFill="1" applyBorder="1" applyAlignment="1" applyProtection="1">
      <alignment vertical="center"/>
    </xf>
    <xf numFmtId="165" fontId="3" fillId="3" borderId="23" xfId="2" applyNumberFormat="1" applyFont="1" applyFill="1" applyBorder="1" applyAlignment="1" applyProtection="1">
      <alignment vertical="center"/>
    </xf>
    <xf numFmtId="0" fontId="0" fillId="0" borderId="25" xfId="0" quotePrefix="1" applyBorder="1" applyAlignment="1" applyProtection="1">
      <alignment horizontal="left"/>
    </xf>
    <xf numFmtId="0" fontId="0" fillId="0" borderId="18" xfId="0" applyBorder="1" applyProtection="1"/>
    <xf numFmtId="0" fontId="0" fillId="0" borderId="26" xfId="0" applyBorder="1" applyProtection="1"/>
    <xf numFmtId="0" fontId="9" fillId="0" borderId="20" xfId="0" quotePrefix="1" applyFont="1" applyFill="1" applyBorder="1" applyAlignment="1" applyProtection="1">
      <alignment horizontal="left" vertical="center" wrapText="1"/>
    </xf>
    <xf numFmtId="165" fontId="0" fillId="0" borderId="21" xfId="2" applyNumberFormat="1" applyFont="1" applyFill="1" applyBorder="1" applyAlignment="1" applyProtection="1">
      <alignment vertical="center"/>
    </xf>
    <xf numFmtId="165" fontId="0" fillId="0" borderId="22" xfId="2" applyNumberFormat="1" applyFont="1" applyFill="1" applyBorder="1" applyAlignment="1" applyProtection="1">
      <alignment vertical="center"/>
    </xf>
    <xf numFmtId="165" fontId="3" fillId="0" borderId="23" xfId="2" applyNumberFormat="1" applyFont="1" applyFill="1" applyBorder="1" applyAlignment="1" applyProtection="1">
      <alignment vertical="center"/>
    </xf>
    <xf numFmtId="166" fontId="0" fillId="0" borderId="0" xfId="1" applyNumberFormat="1" applyFont="1" applyProtection="1"/>
    <xf numFmtId="0" fontId="9" fillId="0" borderId="5" xfId="0" quotePrefix="1" applyFont="1" applyBorder="1" applyAlignment="1" applyProtection="1">
      <alignment horizontal="center" vertical="center" wrapText="1"/>
    </xf>
    <xf numFmtId="165" fontId="0" fillId="0" borderId="27" xfId="2" applyNumberFormat="1" applyFont="1" applyBorder="1" applyAlignment="1" applyProtection="1">
      <alignment vertical="center"/>
    </xf>
    <xf numFmtId="165" fontId="0" fillId="0" borderId="28" xfId="2" applyNumberFormat="1" applyFont="1" applyBorder="1" applyAlignment="1" applyProtection="1">
      <alignment vertical="center"/>
    </xf>
    <xf numFmtId="165" fontId="0" fillId="0" borderId="29" xfId="2" applyNumberFormat="1" applyFont="1" applyBorder="1" applyAlignment="1" applyProtection="1">
      <alignment vertical="center"/>
    </xf>
    <xf numFmtId="166" fontId="0" fillId="0" borderId="0" xfId="0" applyNumberFormat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164" fontId="4" fillId="0" borderId="2" xfId="0" applyNumberFormat="1" applyFont="1" applyBorder="1" applyAlignment="1" applyProtection="1">
      <alignment horizontal="center"/>
    </xf>
    <xf numFmtId="164" fontId="4" fillId="0" borderId="3" xfId="0" applyNumberFormat="1" applyFont="1" applyBorder="1" applyAlignment="1" applyProtection="1">
      <alignment horizontal="centerContinuous"/>
    </xf>
    <xf numFmtId="0" fontId="0" fillId="0" borderId="3" xfId="0" applyBorder="1" applyAlignment="1" applyProtection="1">
      <alignment horizontal="centerContinuous"/>
    </xf>
    <xf numFmtId="164" fontId="9" fillId="0" borderId="14" xfId="0" applyNumberFormat="1" applyFont="1" applyBorder="1" applyAlignment="1" applyProtection="1">
      <alignment horizontal="center" wrapText="1"/>
    </xf>
    <xf numFmtId="164" fontId="4" fillId="0" borderId="14" xfId="0" applyNumberFormat="1" applyFont="1" applyBorder="1" applyAlignment="1" applyProtection="1">
      <alignment horizontal="center" wrapText="1"/>
    </xf>
    <xf numFmtId="0" fontId="0" fillId="0" borderId="15" xfId="0" applyBorder="1" applyProtection="1"/>
    <xf numFmtId="0" fontId="21" fillId="6" borderId="0" xfId="0" applyFont="1" applyFill="1" applyProtection="1"/>
    <xf numFmtId="0" fontId="0" fillId="0" borderId="10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167" fontId="7" fillId="6" borderId="0" xfId="0" applyNumberFormat="1" applyFont="1" applyFill="1" applyBorder="1" applyAlignment="1" applyProtection="1">
      <alignment horizontal="right"/>
    </xf>
    <xf numFmtId="10" fontId="24" fillId="0" borderId="0" xfId="4" quotePrefix="1" applyNumberFormat="1" applyFont="1" applyBorder="1" applyAlignment="1" applyProtection="1">
      <alignment horizontal="left"/>
    </xf>
    <xf numFmtId="0" fontId="0" fillId="0" borderId="11" xfId="0" applyBorder="1" applyProtection="1"/>
    <xf numFmtId="164" fontId="7" fillId="6" borderId="0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0" fillId="0" borderId="11" xfId="0" applyBorder="1" applyAlignment="1" applyProtection="1">
      <alignment horizontal="center"/>
    </xf>
    <xf numFmtId="168" fontId="0" fillId="0" borderId="11" xfId="4" applyNumberFormat="1" applyFont="1" applyBorder="1" applyAlignment="1" applyProtection="1">
      <alignment horizontal="center"/>
    </xf>
    <xf numFmtId="168" fontId="0" fillId="0" borderId="0" xfId="4" applyNumberFormat="1" applyFont="1" applyBorder="1" applyAlignment="1" applyProtection="1">
      <alignment horizontal="center"/>
    </xf>
    <xf numFmtId="0" fontId="0" fillId="0" borderId="30" xfId="0" applyBorder="1" applyProtection="1"/>
    <xf numFmtId="164" fontId="4" fillId="0" borderId="10" xfId="0" applyNumberFormat="1" applyFont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Continuous"/>
    </xf>
    <xf numFmtId="164" fontId="19" fillId="0" borderId="0" xfId="0" applyNumberFormat="1" applyFont="1" applyBorder="1" applyAlignment="1" applyProtection="1">
      <alignment horizontal="center" wrapText="1"/>
    </xf>
    <xf numFmtId="164" fontId="4" fillId="0" borderId="0" xfId="0" quotePrefix="1" applyNumberFormat="1" applyFont="1" applyBorder="1" applyAlignment="1" applyProtection="1">
      <alignment horizontal="center" wrapText="1"/>
    </xf>
    <xf numFmtId="164" fontId="4" fillId="0" borderId="0" xfId="0" applyNumberFormat="1" applyFont="1" applyBorder="1" applyAlignment="1" applyProtection="1">
      <alignment horizontal="center" wrapText="1"/>
    </xf>
    <xf numFmtId="167" fontId="1" fillId="0" borderId="0" xfId="0" applyNumberFormat="1" applyFont="1" applyFill="1" applyBorder="1" applyAlignment="1" applyProtection="1">
      <alignment horizontal="right"/>
    </xf>
    <xf numFmtId="168" fontId="0" fillId="0" borderId="11" xfId="0" applyNumberFormat="1" applyBorder="1" applyProtection="1"/>
    <xf numFmtId="168" fontId="0" fillId="0" borderId="0" xfId="0" applyNumberFormat="1" applyBorder="1" applyProtection="1"/>
    <xf numFmtId="164" fontId="1" fillId="0" borderId="0" xfId="0" applyNumberFormat="1" applyFont="1" applyFill="1" applyBorder="1" applyAlignment="1" applyProtection="1">
      <alignment horizontal="right"/>
    </xf>
    <xf numFmtId="0" fontId="1" fillId="0" borderId="0" xfId="0" quotePrefix="1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164" fontId="20" fillId="0" borderId="0" xfId="0" quotePrefix="1" applyNumberFormat="1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0" fontId="0" fillId="0" borderId="0" xfId="0" quotePrefix="1" applyFill="1" applyBorder="1" applyAlignment="1" applyProtection="1">
      <alignment horizontal="center"/>
    </xf>
    <xf numFmtId="164" fontId="6" fillId="0" borderId="0" xfId="0" applyNumberFormat="1" applyFont="1" applyAlignment="1" applyProtection="1">
      <alignment horizontal="left"/>
    </xf>
    <xf numFmtId="0" fontId="0" fillId="0" borderId="5" xfId="0" applyBorder="1" applyAlignment="1" applyProtection="1">
      <alignment horizontal="center"/>
    </xf>
    <xf numFmtId="0" fontId="0" fillId="0" borderId="1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164" fontId="20" fillId="0" borderId="1" xfId="0" quotePrefix="1" applyNumberFormat="1" applyFont="1" applyFill="1" applyBorder="1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right"/>
    </xf>
    <xf numFmtId="10" fontId="1" fillId="0" borderId="1" xfId="4" quotePrefix="1" applyNumberFormat="1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11" fillId="0" borderId="0" xfId="0" quotePrefix="1" applyFont="1" applyAlignment="1" applyProtection="1">
      <alignment horizontal="left"/>
    </xf>
    <xf numFmtId="0" fontId="0" fillId="0" borderId="0" xfId="0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right"/>
    </xf>
    <xf numFmtId="10" fontId="0" fillId="0" borderId="0" xfId="4" applyNumberFormat="1" applyFont="1" applyAlignment="1" applyProtection="1">
      <alignment horizontal="center"/>
    </xf>
    <xf numFmtId="0" fontId="0" fillId="0" borderId="30" xfId="0" quotePrefix="1" applyBorder="1" applyAlignment="1" applyProtection="1">
      <alignment horizontal="right"/>
    </xf>
    <xf numFmtId="0" fontId="0" fillId="0" borderId="22" xfId="0" applyBorder="1" applyAlignment="1" applyProtection="1">
      <alignment horizontal="center"/>
    </xf>
    <xf numFmtId="0" fontId="1" fillId="0" borderId="22" xfId="0" applyFont="1" applyFill="1" applyBorder="1" applyAlignment="1" applyProtection="1">
      <alignment horizontal="center"/>
    </xf>
    <xf numFmtId="164" fontId="3" fillId="0" borderId="24" xfId="0" applyNumberFormat="1" applyFont="1" applyBorder="1" applyAlignment="1" applyProtection="1">
      <alignment horizontal="right"/>
    </xf>
    <xf numFmtId="167" fontId="0" fillId="0" borderId="22" xfId="0" applyNumberFormat="1" applyBorder="1" applyAlignment="1" applyProtection="1">
      <alignment horizontal="center"/>
    </xf>
    <xf numFmtId="167" fontId="0" fillId="4" borderId="24" xfId="0" applyNumberFormat="1" applyFill="1" applyBorder="1" applyAlignment="1" applyProtection="1">
      <alignment horizontal="center"/>
    </xf>
    <xf numFmtId="167" fontId="0" fillId="0" borderId="31" xfId="0" applyNumberFormat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164" fontId="3" fillId="0" borderId="26" xfId="0" applyNumberFormat="1" applyFont="1" applyBorder="1" applyAlignment="1" applyProtection="1">
      <alignment horizontal="right"/>
    </xf>
    <xf numFmtId="14" fontId="1" fillId="0" borderId="16" xfId="0" quotePrefix="1" applyNumberFormat="1" applyFont="1" applyFill="1" applyBorder="1" applyAlignment="1" applyProtection="1">
      <alignment horizontal="left"/>
    </xf>
    <xf numFmtId="164" fontId="5" fillId="0" borderId="0" xfId="0" applyNumberFormat="1" applyFont="1" applyBorder="1" applyAlignment="1" applyProtection="1">
      <alignment horizontal="center"/>
    </xf>
    <xf numFmtId="164" fontId="5" fillId="0" borderId="30" xfId="0" applyNumberFormat="1" applyFont="1" applyBorder="1" applyAlignment="1" applyProtection="1">
      <alignment horizontal="right"/>
    </xf>
    <xf numFmtId="0" fontId="1" fillId="0" borderId="0" xfId="0" quotePrefix="1" applyFont="1" applyAlignment="1" applyProtection="1">
      <alignment horizontal="left"/>
    </xf>
    <xf numFmtId="166" fontId="1" fillId="0" borderId="0" xfId="1" applyNumberFormat="1" applyFont="1" applyFill="1" applyAlignment="1" applyProtection="1">
      <alignment horizontal="right"/>
    </xf>
    <xf numFmtId="166" fontId="1" fillId="0" borderId="0" xfId="1" quotePrefix="1" applyNumberFormat="1" applyFont="1" applyFill="1" applyAlignment="1" applyProtection="1">
      <alignment horizontal="left"/>
    </xf>
    <xf numFmtId="164" fontId="5" fillId="0" borderId="30" xfId="0" applyNumberFormat="1" applyFont="1" applyBorder="1" applyAlignment="1" applyProtection="1">
      <alignment horizontal="center"/>
    </xf>
    <xf numFmtId="14" fontId="0" fillId="0" borderId="16" xfId="0" quotePrefix="1" applyNumberFormat="1" applyFill="1" applyBorder="1" applyAlignment="1" applyProtection="1">
      <alignment horizontal="left"/>
    </xf>
    <xf numFmtId="44" fontId="5" fillId="0" borderId="0" xfId="2" applyNumberFormat="1" applyFont="1" applyAlignment="1" applyProtection="1">
      <alignment horizontal="center"/>
    </xf>
    <xf numFmtId="9" fontId="1" fillId="0" borderId="0" xfId="4" applyFont="1" applyAlignment="1" applyProtection="1">
      <alignment horizontal="center"/>
    </xf>
    <xf numFmtId="44" fontId="5" fillId="0" borderId="0" xfId="2" applyFont="1" applyAlignment="1" applyProtection="1">
      <alignment horizontal="center"/>
    </xf>
    <xf numFmtId="44" fontId="5" fillId="0" borderId="30" xfId="2" applyFont="1" applyBorder="1" applyAlignment="1" applyProtection="1">
      <alignment horizontal="center"/>
    </xf>
    <xf numFmtId="165" fontId="1" fillId="0" borderId="0" xfId="2" applyNumberFormat="1" applyFont="1" applyAlignment="1" applyProtection="1">
      <alignment horizontal="center"/>
    </xf>
    <xf numFmtId="0" fontId="4" fillId="0" borderId="0" xfId="0" quotePrefix="1" applyFont="1" applyBorder="1" applyAlignment="1" applyProtection="1">
      <alignment horizontal="center"/>
    </xf>
    <xf numFmtId="0" fontId="4" fillId="0" borderId="32" xfId="0" quotePrefix="1" applyFont="1" applyBorder="1" applyAlignment="1" applyProtection="1">
      <alignment horizontal="center"/>
    </xf>
    <xf numFmtId="164" fontId="4" fillId="0" borderId="21" xfId="0" quotePrefix="1" applyNumberFormat="1" applyFont="1" applyBorder="1" applyAlignment="1" applyProtection="1">
      <alignment horizontal="center" vertical="center" wrapText="1"/>
    </xf>
    <xf numFmtId="0" fontId="4" fillId="0" borderId="22" xfId="0" quotePrefix="1" applyFont="1" applyBorder="1" applyAlignment="1" applyProtection="1">
      <alignment horizontal="center" vertical="center" wrapText="1"/>
    </xf>
    <xf numFmtId="164" fontId="4" fillId="5" borderId="22" xfId="0" quotePrefix="1" applyNumberFormat="1" applyFont="1" applyFill="1" applyBorder="1" applyAlignment="1" applyProtection="1">
      <alignment horizontal="center" vertical="center" wrapText="1"/>
    </xf>
    <xf numFmtId="164" fontId="4" fillId="0" borderId="22" xfId="0" applyNumberFormat="1" applyFont="1" applyBorder="1" applyAlignment="1" applyProtection="1">
      <alignment horizontal="center" vertical="center" wrapText="1"/>
    </xf>
    <xf numFmtId="164" fontId="4" fillId="0" borderId="31" xfId="0" applyNumberFormat="1" applyFont="1" applyBorder="1" applyAlignment="1" applyProtection="1">
      <alignment horizontal="center" vertical="center" wrapText="1"/>
    </xf>
    <xf numFmtId="164" fontId="4" fillId="0" borderId="32" xfId="0" applyNumberFormat="1" applyFont="1" applyBorder="1" applyAlignment="1" applyProtection="1">
      <alignment horizontal="center" vertical="center" wrapText="1"/>
    </xf>
    <xf numFmtId="164" fontId="4" fillId="0" borderId="26" xfId="0" applyNumberFormat="1" applyFont="1" applyBorder="1" applyAlignment="1" applyProtection="1">
      <alignment horizontal="center" vertical="center" wrapText="1"/>
    </xf>
    <xf numFmtId="17" fontId="0" fillId="0" borderId="0" xfId="0" applyNumberFormat="1" applyBorder="1" applyAlignment="1" applyProtection="1">
      <alignment horizontal="center"/>
    </xf>
    <xf numFmtId="14" fontId="7" fillId="2" borderId="0" xfId="0" applyNumberFormat="1" applyFont="1" applyFill="1" applyBorder="1" applyAlignment="1" applyProtection="1">
      <alignment horizontal="left"/>
    </xf>
    <xf numFmtId="1" fontId="8" fillId="6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Protection="1"/>
    <xf numFmtId="164" fontId="1" fillId="0" borderId="0" xfId="0" applyNumberFormat="1" applyFont="1" applyAlignment="1" applyProtection="1">
      <alignment horizontal="right"/>
    </xf>
    <xf numFmtId="164" fontId="0" fillId="0" borderId="0" xfId="0" applyNumberFormat="1" applyBorder="1" applyAlignment="1" applyProtection="1"/>
    <xf numFmtId="164" fontId="1" fillId="0" borderId="0" xfId="0" applyNumberFormat="1" applyFont="1" applyAlignment="1" applyProtection="1"/>
    <xf numFmtId="164" fontId="1" fillId="0" borderId="0" xfId="0" applyNumberFormat="1" applyFont="1" applyBorder="1" applyAlignment="1" applyProtection="1">
      <alignment horizontal="right"/>
    </xf>
    <xf numFmtId="164" fontId="0" fillId="0" borderId="18" xfId="0" applyNumberFormat="1" applyBorder="1" applyAlignment="1" applyProtection="1">
      <alignment horizontal="right"/>
    </xf>
    <xf numFmtId="14" fontId="0" fillId="0" borderId="0" xfId="0" quotePrefix="1" applyNumberFormat="1" applyBorder="1" applyAlignment="1" applyProtection="1">
      <alignment horizontal="left"/>
    </xf>
    <xf numFmtId="164" fontId="1" fillId="0" borderId="0" xfId="0" applyNumberFormat="1" applyFont="1" applyFill="1" applyBorder="1" applyAlignment="1" applyProtection="1"/>
    <xf numFmtId="164" fontId="0" fillId="0" borderId="0" xfId="0" applyNumberFormat="1" applyFill="1" applyBorder="1" applyAlignment="1" applyProtection="1"/>
    <xf numFmtId="164" fontId="6" fillId="0" borderId="8" xfId="0" applyNumberFormat="1" applyFont="1" applyBorder="1" applyProtection="1"/>
    <xf numFmtId="164" fontId="1" fillId="0" borderId="8" xfId="0" applyNumberFormat="1" applyFont="1" applyBorder="1" applyAlignment="1" applyProtection="1">
      <alignment horizontal="right"/>
    </xf>
    <xf numFmtId="164" fontId="0" fillId="0" borderId="8" xfId="0" applyNumberFormat="1" applyFill="1" applyBorder="1" applyAlignment="1" applyProtection="1"/>
    <xf numFmtId="164" fontId="1" fillId="0" borderId="8" xfId="0" applyNumberFormat="1" applyFont="1" applyFill="1" applyBorder="1" applyAlignment="1" applyProtection="1"/>
    <xf numFmtId="17" fontId="0" fillId="0" borderId="33" xfId="0" applyNumberFormat="1" applyBorder="1" applyAlignment="1" applyProtection="1">
      <alignment horizontal="center"/>
    </xf>
    <xf numFmtId="14" fontId="1" fillId="0" borderId="33" xfId="0" applyNumberFormat="1" applyFont="1" applyFill="1" applyBorder="1" applyProtection="1"/>
    <xf numFmtId="14" fontId="7" fillId="2" borderId="33" xfId="0" applyNumberFormat="1" applyFont="1" applyFill="1" applyBorder="1" applyAlignment="1" applyProtection="1">
      <alignment horizontal="left"/>
    </xf>
    <xf numFmtId="0" fontId="0" fillId="0" borderId="33" xfId="0" applyBorder="1" applyAlignment="1" applyProtection="1">
      <alignment horizontal="center"/>
    </xf>
    <xf numFmtId="14" fontId="1" fillId="0" borderId="0" xfId="0" applyNumberFormat="1" applyFont="1" applyFill="1" applyBorder="1" applyProtection="1"/>
    <xf numFmtId="0" fontId="0" fillId="0" borderId="33" xfId="0" applyBorder="1" applyProtection="1"/>
    <xf numFmtId="17" fontId="0" fillId="0" borderId="8" xfId="0" applyNumberFormat="1" applyBorder="1" applyAlignment="1" applyProtection="1">
      <alignment horizontal="center"/>
    </xf>
    <xf numFmtId="0" fontId="0" fillId="0" borderId="8" xfId="0" quotePrefix="1" applyBorder="1" applyAlignment="1" applyProtection="1">
      <alignment horizontal="left"/>
    </xf>
    <xf numFmtId="0" fontId="0" fillId="0" borderId="8" xfId="0" applyBorder="1" applyProtection="1"/>
    <xf numFmtId="14" fontId="1" fillId="0" borderId="8" xfId="0" applyNumberFormat="1" applyFont="1" applyFill="1" applyBorder="1" applyProtection="1"/>
    <xf numFmtId="14" fontId="0" fillId="0" borderId="8" xfId="0" quotePrefix="1" applyNumberFormat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Fill="1" applyBorder="1" applyAlignment="1" applyProtection="1">
      <alignment horizontal="left"/>
    </xf>
    <xf numFmtId="1" fontId="0" fillId="0" borderId="0" xfId="0" applyNumberFormat="1" applyAlignment="1" applyProtection="1">
      <alignment horizontal="center"/>
    </xf>
    <xf numFmtId="164" fontId="0" fillId="0" borderId="18" xfId="0" applyNumberFormat="1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0" xfId="0" quotePrefix="1" applyBorder="1" applyAlignment="1" applyProtection="1">
      <alignment horizontal="center"/>
    </xf>
    <xf numFmtId="167" fontId="7" fillId="6" borderId="24" xfId="0" applyNumberFormat="1" applyFont="1" applyFill="1" applyBorder="1" applyAlignment="1" applyProtection="1">
      <alignment horizontal="center"/>
    </xf>
    <xf numFmtId="164" fontId="4" fillId="0" borderId="14" xfId="0" quotePrefix="1" applyNumberFormat="1" applyFont="1" applyFill="1" applyBorder="1" applyAlignment="1" applyProtection="1">
      <alignment horizontal="center" wrapText="1"/>
    </xf>
    <xf numFmtId="0" fontId="4" fillId="0" borderId="22" xfId="0" applyFont="1" applyFill="1" applyBorder="1" applyAlignment="1" applyProtection="1">
      <alignment horizontal="left" vertical="center"/>
    </xf>
    <xf numFmtId="0" fontId="4" fillId="0" borderId="22" xfId="0" quotePrefix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14" fontId="7" fillId="6" borderId="0" xfId="3" applyNumberFormat="1" applyFont="1" applyFill="1"/>
    <xf numFmtId="14" fontId="7" fillId="2" borderId="8" xfId="3" applyNumberFormat="1" applyFont="1" applyFill="1" applyBorder="1"/>
    <xf numFmtId="14" fontId="7" fillId="6" borderId="8" xfId="3" applyNumberFormat="1" applyFont="1" applyFill="1" applyBorder="1"/>
    <xf numFmtId="10" fontId="24" fillId="0" borderId="0" xfId="4" quotePrefix="1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164" fontId="4" fillId="0" borderId="22" xfId="0" quotePrefix="1" applyNumberFormat="1" applyFont="1" applyFill="1" applyBorder="1" applyAlignment="1" applyProtection="1">
      <alignment horizontal="center" vertical="center" wrapText="1"/>
    </xf>
    <xf numFmtId="166" fontId="25" fillId="0" borderId="0" xfId="0" applyNumberFormat="1" applyFont="1" applyProtection="1"/>
    <xf numFmtId="0" fontId="0" fillId="0" borderId="34" xfId="0" applyBorder="1" applyProtection="1"/>
    <xf numFmtId="0" fontId="0" fillId="0" borderId="35" xfId="0" applyBorder="1" applyProtection="1"/>
    <xf numFmtId="0" fontId="0" fillId="0" borderId="34" xfId="0" pivotButton="1" applyBorder="1" applyProtection="1"/>
    <xf numFmtId="0" fontId="0" fillId="0" borderId="36" xfId="0" applyBorder="1" applyProtection="1"/>
    <xf numFmtId="17" fontId="0" fillId="0" borderId="34" xfId="0" applyNumberFormat="1" applyBorder="1" applyProtection="1"/>
    <xf numFmtId="17" fontId="0" fillId="0" borderId="37" xfId="0" applyNumberFormat="1" applyBorder="1" applyProtection="1"/>
    <xf numFmtId="17" fontId="0" fillId="0" borderId="38" xfId="0" applyNumberFormat="1" applyBorder="1" applyProtection="1"/>
    <xf numFmtId="166" fontId="0" fillId="0" borderId="34" xfId="0" applyNumberFormat="1" applyBorder="1" applyProtection="1"/>
    <xf numFmtId="166" fontId="0" fillId="0" borderId="37" xfId="0" applyNumberFormat="1" applyBorder="1" applyProtection="1"/>
    <xf numFmtId="166" fontId="0" fillId="0" borderId="38" xfId="0" applyNumberFormat="1" applyBorder="1" applyProtection="1"/>
    <xf numFmtId="0" fontId="0" fillId="0" borderId="39" xfId="0" applyBorder="1" applyProtection="1"/>
    <xf numFmtId="0" fontId="0" fillId="0" borderId="40" xfId="0" applyBorder="1" applyProtection="1"/>
    <xf numFmtId="166" fontId="25" fillId="0" borderId="40" xfId="0" applyNumberFormat="1" applyFont="1" applyBorder="1" applyProtection="1"/>
    <xf numFmtId="166" fontId="25" fillId="0" borderId="41" xfId="0" applyNumberFormat="1" applyFont="1" applyBorder="1" applyProtection="1"/>
    <xf numFmtId="166" fontId="0" fillId="0" borderId="40" xfId="0" applyNumberFormat="1" applyBorder="1" applyProtection="1"/>
    <xf numFmtId="166" fontId="0" fillId="0" borderId="41" xfId="0" applyNumberFormat="1" applyBorder="1" applyProtection="1"/>
    <xf numFmtId="166" fontId="25" fillId="0" borderId="34" xfId="0" applyNumberFormat="1" applyFont="1" applyBorder="1" applyProtection="1"/>
    <xf numFmtId="166" fontId="25" fillId="0" borderId="37" xfId="0" applyNumberFormat="1" applyFont="1" applyBorder="1" applyProtection="1"/>
    <xf numFmtId="166" fontId="25" fillId="0" borderId="38" xfId="0" applyNumberFormat="1" applyFont="1" applyBorder="1" applyProtection="1"/>
    <xf numFmtId="0" fontId="0" fillId="0" borderId="42" xfId="0" applyBorder="1" applyProtection="1"/>
    <xf numFmtId="0" fontId="0" fillId="0" borderId="43" xfId="0" applyBorder="1" applyProtection="1"/>
    <xf numFmtId="166" fontId="0" fillId="0" borderId="42" xfId="0" applyNumberFormat="1" applyBorder="1" applyProtection="1"/>
    <xf numFmtId="166" fontId="0" fillId="0" borderId="44" xfId="0" applyNumberFormat="1" applyBorder="1" applyProtection="1"/>
    <xf numFmtId="166" fontId="0" fillId="0" borderId="45" xfId="0" applyNumberFormat="1" applyBorder="1" applyProtection="1"/>
    <xf numFmtId="0" fontId="3" fillId="0" borderId="0" xfId="0" quotePrefix="1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quotePrefix="1" applyBorder="1" applyAlignment="1" applyProtection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171"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166" formatCode="_(* #,##0_);_(* \(#,##0\);_(* &quot;-&quot;??_);_(@_)"/>
    </dxf>
    <dxf>
      <numFmt numFmtId="35" formatCode="_(* #,##0.00_);_(* \(#,##0.00\);_(* &quot;-&quot;??_);_(@_)"/>
    </dxf>
    <dxf>
      <numFmt numFmtId="2" formatCode="0.00"/>
    </dxf>
    <dxf>
      <numFmt numFmtId="2" formatCode="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175747" refreshedDate="45800.471762847221" createdVersion="6" refreshedVersion="8" recordCount="192" xr:uid="{00000000-000A-0000-FFFF-FFFFDA000000}">
  <cacheSource type="worksheet">
    <worksheetSource ref="B19:R211" sheet="Transactions"/>
  </cacheSource>
  <cacheFields count="17">
    <cacheField name="Serivce Month" numFmtId="17">
      <sharedItems containsSemiMixedTypes="0" containsNonDate="0" containsDate="1" containsString="0" minDate="2010-01-01T00:00:00" maxDate="2024-12-02T00:00:00" count="180"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3-01-01T00:00:00" u="1"/>
        <d v="2023-02-01T00:00:00" u="1"/>
        <d v="2023-03-01T00:00:00" u="1"/>
        <d v="2023-04-01T00:00:00" u="1"/>
        <d v="2023-05-01T00:00:00" u="1"/>
        <d v="2023-06-01T00:00:00" u="1"/>
        <d v="2023-07-01T00:00:00" u="1"/>
        <d v="2023-08-01T00:00:00" u="1"/>
        <d v="2023-09-01T00:00:00" u="1"/>
        <d v="2023-10-01T00:00:00" u="1"/>
        <d v="2023-11-01T00:00:00" u="1"/>
        <d v="2023-12-01T00:00:00" u="1"/>
        <d v="2022-01-01T00:00:00" u="1"/>
        <d v="2022-02-01T00:00:00" u="1"/>
        <d v="2022-03-01T00:00:00" u="1"/>
        <d v="2022-04-01T00:00:00" u="1"/>
        <d v="2022-05-01T00:00:00" u="1"/>
        <d v="2022-06-01T00:00:00" u="1"/>
        <d v="2022-07-01T00:00:00" u="1"/>
        <d v="2022-08-01T00:00:00" u="1"/>
        <d v="2022-09-01T00:00:00" u="1"/>
        <d v="2022-10-01T00:00:00" u="1"/>
        <d v="2022-11-01T00:00:00" u="1"/>
        <d v="2022-12-01T00:00:00" u="1"/>
        <d v="2013-05-01T00:00:00" u="1"/>
        <d v="2014-05-01T00:00:00" u="1"/>
        <d v="2015-05-01T00:00:00" u="1"/>
        <d v="2016-05-01T00:00:00" u="1"/>
        <d v="2017-05-01T00:00:00" u="1"/>
        <d v="2018-05-01T00:00:00" u="1"/>
        <d v="2019-05-01T00:00:00" u="1"/>
        <d v="2020-05-01T00:00:00" u="1"/>
        <d v="2010-11-01T00:00:00" u="1"/>
        <d v="2021-05-01T00:00:00" u="1"/>
        <d v="2011-11-01T00:00:00" u="1"/>
        <d v="2012-11-01T00:00:00" u="1"/>
        <d v="2013-11-01T00:00:00" u="1"/>
        <d v="2014-11-01T00:00:00" u="1"/>
        <d v="2015-11-01T00:00:00" u="1"/>
        <d v="2016-11-01T00:00:00" u="1"/>
        <d v="2017-11-01T00:00:00" u="1"/>
        <d v="2018-11-01T00:00:00" u="1"/>
        <d v="2019-11-01T00:00:00" u="1"/>
        <d v="2020-11-01T00:00:00" u="1"/>
        <d v="2021-11-01T00:00:00" u="1"/>
        <d v="2010-06-01T00:00:00" u="1"/>
        <d v="2011-06-01T00:00:00" u="1"/>
        <d v="2012-06-01T00:00:00" u="1"/>
        <d v="2013-06-01T00:00:00" u="1"/>
        <d v="2014-06-01T00:00:00" u="1"/>
        <d v="2015-06-01T00:00:00" u="1"/>
        <d v="2016-06-01T00:00:00" u="1"/>
        <d v="2017-06-01T00:00:00" u="1"/>
        <d v="2018-06-01T00:00:00" u="1"/>
        <d v="2019-06-01T00:00:00" u="1"/>
        <d v="2020-06-01T00:00:00" u="1"/>
        <d v="2010-12-01T00:00:00" u="1"/>
        <d v="2021-06-01T00:00:00" u="1"/>
        <d v="2011-12-01T00:00:00" u="1"/>
        <d v="2012-12-01T00:00:00" u="1"/>
        <d v="2013-12-01T00:00:00" u="1"/>
        <d v="2014-12-01T00:00:00" u="1"/>
        <d v="2015-12-01T00:00:00" u="1"/>
        <d v="2016-12-01T00:00:00" u="1"/>
        <d v="2017-12-01T00:00:00" u="1"/>
        <d v="2018-12-01T00:00:00" u="1"/>
        <d v="2019-12-01T00:00:00" u="1"/>
        <d v="2020-12-01T00:00:00" u="1"/>
        <d v="2021-12-01T00:00:00" u="1"/>
        <d v="2010-01-01T00:00:00" u="1"/>
        <d v="2011-01-01T00:00:00" u="1"/>
        <d v="2012-01-01T00:00:00" u="1"/>
        <d v="2013-01-01T00:00:00" u="1"/>
        <d v="2014-01-01T00:00:00" u="1"/>
        <d v="2015-01-01T00:00:00" u="1"/>
        <d v="2016-01-01T00:00:00" u="1"/>
        <d v="2017-01-01T00:00:00" u="1"/>
        <d v="2018-01-01T00:00:00" u="1"/>
        <d v="2019-01-01T00:00:00" u="1"/>
        <d v="2020-01-01T00:00:00" u="1"/>
        <d v="2010-07-01T00:00:00" u="1"/>
        <d v="2021-01-01T00:00:00" u="1"/>
        <d v="2011-07-01T00:00:00" u="1"/>
        <d v="2012-07-01T00:00:00" u="1"/>
        <d v="2013-07-01T00:00:00" u="1"/>
        <d v="2014-07-01T00:00:00" u="1"/>
        <d v="2015-07-01T00:00:00" u="1"/>
        <d v="2016-07-01T00:00:00" u="1"/>
        <d v="2017-07-01T00:00:00" u="1"/>
        <d v="2018-07-01T00:00:00" u="1"/>
        <d v="2019-07-01T00:00:00" u="1"/>
        <d v="2020-07-01T00:00:00" u="1"/>
        <d v="2021-07-01T00:00:00" u="1"/>
        <d v="2010-02-01T00:00:00" u="1"/>
        <d v="2011-02-01T00:00:00" u="1"/>
        <d v="2012-02-01T00:00:00" u="1"/>
        <d v="2013-02-01T00:00:00" u="1"/>
        <d v="2014-02-01T00:00:00" u="1"/>
        <d v="2015-02-01T00:00:00" u="1"/>
        <d v="2016-02-01T00:00:00" u="1"/>
        <d v="2017-02-01T00:00:00" u="1"/>
        <d v="2018-02-01T00:00:00" u="1"/>
        <d v="2019-02-01T00:00:00" u="1"/>
        <d v="2020-02-01T00:00:00" u="1"/>
        <d v="2010-08-01T00:00:00" u="1"/>
        <d v="2021-02-01T00:00:00" u="1"/>
        <d v="2011-08-01T00:00:00" u="1"/>
        <d v="2012-08-01T00:00:00" u="1"/>
        <d v="2013-08-01T00:00:00" u="1"/>
        <d v="2014-08-01T00:00:00" u="1"/>
        <d v="2015-08-01T00:00:00" u="1"/>
        <d v="2016-08-01T00:00:00" u="1"/>
        <d v="2017-08-01T00:00:00" u="1"/>
        <d v="2018-08-01T00:00:00" u="1"/>
        <d v="2019-08-01T00:00:00" u="1"/>
        <d v="2020-08-01T00:00:00" u="1"/>
        <d v="2021-08-01T00:00:00" u="1"/>
        <d v="2010-03-01T00:00:00" u="1"/>
        <d v="2011-03-01T00:00:00" u="1"/>
        <d v="2012-03-01T00:00:00" u="1"/>
        <d v="2013-03-01T00:00:00" u="1"/>
        <d v="2014-03-01T00:00:00" u="1"/>
        <d v="2015-03-01T00:00:00" u="1"/>
        <d v="2016-03-01T00:00:00" u="1"/>
        <d v="2017-03-01T00:00:00" u="1"/>
        <d v="2018-03-01T00:00:00" u="1"/>
        <d v="2019-03-01T00:00:00" u="1"/>
        <d v="2020-03-01T00:00:00" u="1"/>
        <d v="2010-09-01T00:00:00" u="1"/>
        <d v="2021-03-01T00:00:00" u="1"/>
        <d v="2011-09-01T00:00:00" u="1"/>
        <d v="2012-09-01T00:00:00" u="1"/>
        <d v="2013-09-01T00:00:00" u="1"/>
        <d v="2014-09-01T00:00:00" u="1"/>
        <d v="2015-09-01T00:00:00" u="1"/>
        <d v="2016-09-01T00:00:00" u="1"/>
        <d v="2017-09-01T00:00:00" u="1"/>
        <d v="2018-09-01T00:00:00" u="1"/>
        <d v="2019-09-01T00:00:00" u="1"/>
        <d v="2020-09-01T00:00:00" u="1"/>
        <d v="2021-09-01T00:00:00" u="1"/>
        <d v="2010-04-01T00:00:00" u="1"/>
        <d v="2011-04-01T00:00:00" u="1"/>
        <d v="2012-04-01T00:00:00" u="1"/>
        <d v="2013-04-01T00:00:00" u="1"/>
        <d v="2014-04-01T00:00:00" u="1"/>
        <d v="2015-04-01T00:00:00" u="1"/>
        <d v="2016-04-01T00:00:00" u="1"/>
        <d v="2017-04-01T00:00:00" u="1"/>
        <d v="2018-04-01T00:00:00" u="1"/>
        <d v="2019-04-01T00:00:00" u="1"/>
        <d v="2020-04-01T00:00:00" u="1"/>
        <d v="2010-10-01T00:00:00" u="1"/>
        <d v="2021-04-01T00:00:00" u="1"/>
        <d v="2011-10-01T00:00:00" u="1"/>
        <d v="2012-10-01T00:00:00" u="1"/>
        <d v="2013-10-01T00:00:00" u="1"/>
        <d v="2014-10-01T00:00:00" u="1"/>
        <d v="2015-10-01T00:00:00" u="1"/>
        <d v="2016-10-01T00:00:00" u="1"/>
        <d v="2017-10-01T00:00:00" u="1"/>
        <d v="2018-10-01T00:00:00" u="1"/>
        <d v="2019-10-01T00:00:00" u="1"/>
        <d v="2020-10-01T00:00:00" u="1"/>
        <d v="2021-10-01T00:00:00" u="1"/>
        <d v="2010-05-01T00:00:00" u="1"/>
        <d v="2011-05-01T00:00:00" u="1"/>
        <d v="2012-05-01T00:00:00" u="1"/>
      </sharedItems>
    </cacheField>
    <cacheField name="Billing_x000a_Date*" numFmtId="14">
      <sharedItems containsSemiMixedTypes="0" containsNonDate="0" containsDate="1" containsString="0" minDate="2024-02-05T00:00:00" maxDate="2025-01-04T00:00:00"/>
    </cacheField>
    <cacheField name="Payment Received*" numFmtId="14">
      <sharedItems containsSemiMixedTypes="0" containsNonDate="0" containsDate="1" containsString="0" minDate="2024-02-26T00:00:00" maxDate="2025-01-25T00:00:00"/>
    </cacheField>
    <cacheField name="Customer" numFmtId="0">
      <sharedItems count="22">
        <s v="PSO"/>
        <s v="SWEPCO"/>
        <s v="SWEPCO-Valley"/>
        <s v="AECC"/>
        <s v="AECI"/>
        <s v="WFEC"/>
        <s v="OMPA"/>
        <s v="OG&amp;E"/>
        <s v="ETEC"/>
        <s v="Greenbelt"/>
        <s v="Lighthouse"/>
        <s v="Bentonville, AR"/>
        <s v="Prescott, AR"/>
        <s v="Minden, LA"/>
        <s v="Hope, AR"/>
        <s v="Coffeyville, KS"/>
        <s v="Bentonville" u="1"/>
        <s v="Hope" u="1"/>
        <s v="NTEC" u="1"/>
        <s v="TEXLA" u="1"/>
        <s v="Prescott" u="1"/>
        <s v="Minden" u="1"/>
      </sharedItems>
    </cacheField>
    <cacheField name="Sched." numFmtId="0">
      <sharedItems containsSemiMixedTypes="0" containsString="0" containsNumber="1" containsInteger="1" minValue="9" maxValue="9"/>
    </cacheField>
    <cacheField name="MW" numFmtId="1">
      <sharedItems containsSemiMixedTypes="0" containsString="0" containsNumber="1" containsInteger="1" minValue="1" maxValue="4151"/>
    </cacheField>
    <cacheField name="Projected Rate (as Invoiced)" numFmtId="164">
      <sharedItems containsSemiMixedTypes="0" containsString="0" containsNumber="1" minValue="1.9866500085128156" maxValue="1.9866500085128156"/>
    </cacheField>
    <cacheField name="Actual True-Up Rate" numFmtId="164">
      <sharedItems containsSemiMixedTypes="0" containsString="0" containsNumber="1" minValue="5.063992369008159" maxValue="5.063992369008159"/>
    </cacheField>
    <cacheField name="True-Up Charge" numFmtId="164">
      <sharedItems containsSemiMixedTypes="0" containsString="0" containsNumber="1" minValue="5.063992369008159" maxValue="21020.632323752867"/>
    </cacheField>
    <cacheField name="Invoiced*** Charge (proj.)" numFmtId="164">
      <sharedItems containsSemiMixedTypes="0" containsString="0" containsNumber="1" minValue="1.9866500085128156" maxValue="8246.5841853366983"/>
    </cacheField>
    <cacheField name="True-Up w/o Interest" numFmtId="164">
      <sharedItems containsSemiMixedTypes="0" containsString="0" containsNumber="1" minValue="3.0773423604953436" maxValue="12774.048138416169"/>
    </cacheField>
    <cacheField name="Interest" numFmtId="164">
      <sharedItems containsSemiMixedTypes="0" containsString="0" containsNumber="1" minValue="0.24725052120359722" maxValue="1026.3369135161322"/>
    </cacheField>
    <cacheField name="2023 True Up Including Interest" numFmtId="164">
      <sharedItems containsSemiMixedTypes="0" containsString="0" containsNumber="1" minValue="3.324592881698941" maxValue="13800.3850519323"/>
    </cacheField>
    <cacheField name="Tax Rebilling Rate" numFmtId="164">
      <sharedItems containsSemiMixedTypes="0" containsString="0" containsNumber="1" containsInteger="1" minValue="0" maxValue="0"/>
    </cacheField>
    <cacheField name="Tax True Up Billing" numFmtId="164">
      <sharedItems containsSemiMixedTypes="0" containsString="0" containsNumber="1" containsInteger="1" minValue="0" maxValue="0"/>
    </cacheField>
    <cacheField name="Tax True Up" numFmtId="164">
      <sharedItems containsSemiMixedTypes="0" containsString="0" containsNumber="1" containsInteger="1" minValue="0" maxValue="0"/>
    </cacheField>
    <cacheField name="Total True-up" numFmtId="164">
      <sharedItems containsSemiMixedTypes="0" containsString="0" containsNumber="1" minValue="3.324592881698941" maxValue="13800.38505193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2">
  <r>
    <x v="0"/>
    <d v="2024-02-05T00:00:00"/>
    <d v="2024-02-26T00:00:00"/>
    <x v="0"/>
    <n v="9"/>
    <n v="3252"/>
    <n v="1.9866500085128156"/>
    <n v="5.063992369008159"/>
    <n v="16468.103184014533"/>
    <n v="6460.5858276836761"/>
    <n v="10007.517356330856"/>
    <n v="804.0586949540982"/>
    <n v="10811.576051284954"/>
    <n v="0"/>
    <n v="0"/>
    <n v="0"/>
    <n v="10811.576051284954"/>
  </r>
  <r>
    <x v="1"/>
    <d v="2024-03-05T00:00:00"/>
    <d v="2024-03-25T00:00:00"/>
    <x v="0"/>
    <n v="9"/>
    <n v="2338"/>
    <n v="1.9866500085128156"/>
    <n v="5.063992369008159"/>
    <n v="11839.614158741075"/>
    <n v="4644.7877199029626"/>
    <n v="7194.8264388381122"/>
    <n v="578.07171857401033"/>
    <n v="7772.8981574121226"/>
    <n v="0"/>
    <n v="0"/>
    <n v="0"/>
    <n v="7772.8981574121226"/>
  </r>
  <r>
    <x v="2"/>
    <d v="2024-04-03T00:00:00"/>
    <d v="2024-04-24T00:00:00"/>
    <x v="0"/>
    <n v="9"/>
    <n v="2216"/>
    <n v="1.9866500085128156"/>
    <n v="5.063992369008159"/>
    <n v="11221.80708972208"/>
    <n v="4402.416418864399"/>
    <n v="6819.3906708576815"/>
    <n v="547.90715498717145"/>
    <n v="7367.2978258448529"/>
    <n v="0"/>
    <n v="0"/>
    <n v="0"/>
    <n v="7367.2978258448529"/>
  </r>
  <r>
    <x v="3"/>
    <d v="2024-05-03T00:00:00"/>
    <d v="2024-05-24T00:00:00"/>
    <x v="0"/>
    <n v="9"/>
    <n v="2777"/>
    <n v="1.9866500085128156"/>
    <n v="5.063992369008159"/>
    <n v="14062.706808735658"/>
    <n v="5516.9270736400886"/>
    <n v="8545.7797350955698"/>
    <n v="686.61469738238952"/>
    <n v="9232.3944324779586"/>
    <n v="0"/>
    <n v="0"/>
    <n v="0"/>
    <n v="9232.3944324779586"/>
  </r>
  <r>
    <x v="4"/>
    <d v="2024-06-05T00:00:00"/>
    <d v="2024-06-24T00:00:00"/>
    <x v="0"/>
    <n v="9"/>
    <n v="3245"/>
    <n v="1.9866500085128156"/>
    <n v="5.063992369008159"/>
    <n v="16432.655237431474"/>
    <n v="6446.6792776240864"/>
    <n v="9985.975959807387"/>
    <n v="802.32794130567288"/>
    <n v="10788.30390111306"/>
    <n v="0"/>
    <n v="0"/>
    <n v="0"/>
    <n v="10788.30390111306"/>
  </r>
  <r>
    <x v="5"/>
    <d v="2024-07-03T00:00:00"/>
    <d v="2024-07-24T00:00:00"/>
    <x v="0"/>
    <n v="9"/>
    <n v="4080"/>
    <n v="1.9866500085128156"/>
    <n v="5.063992369008159"/>
    <n v="20661.088865553287"/>
    <n v="8105.5320347322877"/>
    <n v="12555.556830820999"/>
    <n v="1008.7821265106767"/>
    <n v="13564.338957331674"/>
    <n v="0"/>
    <n v="0"/>
    <n v="0"/>
    <n v="13564.338957331674"/>
  </r>
  <r>
    <x v="6"/>
    <d v="2024-08-05T00:00:00"/>
    <d v="2024-08-26T00:00:00"/>
    <x v="0"/>
    <n v="9"/>
    <n v="4149"/>
    <n v="1.9866500085128156"/>
    <n v="5.063992369008159"/>
    <n v="21010.504339014853"/>
    <n v="8242.6108853196711"/>
    <n v="12767.893453695182"/>
    <n v="1025.8424124737248"/>
    <n v="13793.735866168907"/>
    <n v="0"/>
    <n v="0"/>
    <n v="0"/>
    <n v="13793.735866168907"/>
  </r>
  <r>
    <x v="7"/>
    <d v="2024-09-04T00:00:00"/>
    <d v="2024-09-24T00:00:00"/>
    <x v="0"/>
    <n v="9"/>
    <n v="4151"/>
    <n v="1.9866500085128156"/>
    <n v="5.063992369008159"/>
    <n v="21020.632323752867"/>
    <n v="8246.5841853366983"/>
    <n v="12774.048138416169"/>
    <n v="1026.3369135161322"/>
    <n v="13800.3850519323"/>
    <n v="0"/>
    <n v="0"/>
    <n v="0"/>
    <n v="13800.3850519323"/>
  </r>
  <r>
    <x v="8"/>
    <d v="2024-10-03T00:00:00"/>
    <d v="2024-10-24T00:00:00"/>
    <x v="0"/>
    <n v="9"/>
    <n v="3859"/>
    <n v="1.9866500085128156"/>
    <n v="5.063992369008159"/>
    <n v="19541.946552002486"/>
    <n v="7666.4823828509552"/>
    <n v="11875.464169151532"/>
    <n v="954.13976132468167"/>
    <n v="12829.603930476213"/>
    <n v="0"/>
    <n v="0"/>
    <n v="0"/>
    <n v="12829.603930476213"/>
  </r>
  <r>
    <x v="9"/>
    <d v="2024-11-05T00:00:00"/>
    <d v="2024-11-25T00:00:00"/>
    <x v="0"/>
    <n v="9"/>
    <n v="3429"/>
    <n v="1.9866500085128156"/>
    <n v="5.063992369008159"/>
    <n v="17364.429833328977"/>
    <n v="6812.2228791904445"/>
    <n v="10552.206954138532"/>
    <n v="847.82203720713494"/>
    <n v="11400.028991345667"/>
    <n v="0"/>
    <n v="0"/>
    <n v="0"/>
    <n v="11400.028991345667"/>
  </r>
  <r>
    <x v="10"/>
    <d v="2024-12-04T00:00:00"/>
    <d v="2024-12-24T00:00:00"/>
    <x v="0"/>
    <n v="9"/>
    <n v="2220"/>
    <n v="1.9866500085128156"/>
    <n v="5.063992369008159"/>
    <n v="11242.063059198113"/>
    <n v="4410.3630188984507"/>
    <n v="6831.7000402996628"/>
    <n v="548.89615707198584"/>
    <n v="7380.5961973716485"/>
    <n v="0"/>
    <n v="0"/>
    <n v="0"/>
    <n v="7380.5961973716485"/>
  </r>
  <r>
    <x v="11"/>
    <d v="2025-01-03T00:00:00"/>
    <d v="2025-01-24T00:00:00"/>
    <x v="0"/>
    <n v="9"/>
    <n v="2569"/>
    <n v="1.9866500085128156"/>
    <n v="5.063992369008159"/>
    <n v="13009.396395981961"/>
    <n v="5103.703871869423"/>
    <n v="7905.6925241125382"/>
    <n v="635.18658897204125"/>
    <n v="8540.8791130845802"/>
    <n v="0"/>
    <n v="0"/>
    <n v="0"/>
    <n v="8540.8791130845802"/>
  </r>
  <r>
    <x v="0"/>
    <d v="2024-02-05T00:00:00"/>
    <d v="2024-02-26T00:00:00"/>
    <x v="1"/>
    <n v="9"/>
    <n v="3306"/>
    <n v="1.9866500085128156"/>
    <n v="5.063992369008159"/>
    <n v="16741.558771940974"/>
    <n v="6567.8649281433682"/>
    <n v="10173.693843797606"/>
    <n v="817.41022309909249"/>
    <n v="10991.104066896698"/>
    <n v="0"/>
    <n v="0"/>
    <n v="0"/>
    <n v="10991.104066896698"/>
  </r>
  <r>
    <x v="1"/>
    <d v="2024-03-05T00:00:00"/>
    <d v="2024-03-25T00:00:00"/>
    <x v="1"/>
    <n v="9"/>
    <n v="2611"/>
    <n v="1.9866500085128156"/>
    <n v="5.063992369008159"/>
    <n v="13222.084075480303"/>
    <n v="5187.1431722269617"/>
    <n v="8034.9409032533413"/>
    <n v="645.57111086259238"/>
    <n v="8680.5120141159332"/>
    <n v="0"/>
    <n v="0"/>
    <n v="0"/>
    <n v="8680.5120141159332"/>
  </r>
  <r>
    <x v="2"/>
    <d v="2024-04-03T00:00:00"/>
    <d v="2024-04-24T00:00:00"/>
    <x v="1"/>
    <n v="9"/>
    <n v="2302"/>
    <n v="1.9866500085128156"/>
    <n v="5.063992369008159"/>
    <n v="11657.310433456782"/>
    <n v="4573.2683195965019"/>
    <n v="7084.0421138602796"/>
    <n v="569.17069981068073"/>
    <n v="7653.2128136709607"/>
    <n v="0"/>
    <n v="0"/>
    <n v="0"/>
    <n v="7653.2128136709607"/>
  </r>
  <r>
    <x v="3"/>
    <d v="2024-05-03T00:00:00"/>
    <d v="2024-05-24T00:00:00"/>
    <x v="1"/>
    <n v="9"/>
    <n v="2486"/>
    <n v="1.9866500085128156"/>
    <n v="5.063992369008159"/>
    <n v="12589.085029354283"/>
    <n v="4938.8119211628591"/>
    <n v="7650.2731081914235"/>
    <n v="614.66479571214268"/>
    <n v="8264.9379039035666"/>
    <n v="0"/>
    <n v="0"/>
    <n v="0"/>
    <n v="8264.9379039035666"/>
  </r>
  <r>
    <x v="4"/>
    <d v="2024-06-05T00:00:00"/>
    <d v="2024-06-24T00:00:00"/>
    <x v="1"/>
    <n v="9"/>
    <n v="2970"/>
    <n v="1.9866500085128156"/>
    <n v="5.063992369008159"/>
    <n v="15040.057335954232"/>
    <n v="5900.3505252830619"/>
    <n v="9139.7068106711704"/>
    <n v="734.33404797468381"/>
    <n v="9874.0408586458543"/>
    <n v="0"/>
    <n v="0"/>
    <n v="0"/>
    <n v="9874.0408586458543"/>
  </r>
  <r>
    <x v="5"/>
    <d v="2024-07-03T00:00:00"/>
    <d v="2024-07-24T00:00:00"/>
    <x v="1"/>
    <n v="9"/>
    <n v="3483"/>
    <n v="1.9866500085128156"/>
    <n v="5.063992369008159"/>
    <n v="17637.885421255418"/>
    <n v="6919.5019796501365"/>
    <n v="10718.383441605281"/>
    <n v="861.17356535212912"/>
    <n v="11579.55700695741"/>
    <n v="0"/>
    <n v="0"/>
    <n v="0"/>
    <n v="11579.55700695741"/>
  </r>
  <r>
    <x v="6"/>
    <d v="2024-08-05T00:00:00"/>
    <d v="2024-08-26T00:00:00"/>
    <x v="1"/>
    <n v="9"/>
    <n v="3510"/>
    <n v="1.9866500085128156"/>
    <n v="5.063992369008159"/>
    <n v="17774.613215218636"/>
    <n v="6973.141529879983"/>
    <n v="10801.471685338653"/>
    <n v="867.84932942462626"/>
    <n v="11669.321014763278"/>
    <n v="0"/>
    <n v="0"/>
    <n v="0"/>
    <n v="11669.321014763278"/>
  </r>
  <r>
    <x v="7"/>
    <d v="2024-09-04T00:00:00"/>
    <d v="2024-09-24T00:00:00"/>
    <x v="1"/>
    <n v="9"/>
    <n v="3574"/>
    <n v="1.9866500085128156"/>
    <n v="5.063992369008159"/>
    <n v="18098.708726835161"/>
    <n v="7100.2871304248029"/>
    <n v="10998.421596410357"/>
    <n v="883.67336278165646"/>
    <n v="11882.094959192013"/>
    <n v="0"/>
    <n v="0"/>
    <n v="0"/>
    <n v="11882.094959192013"/>
  </r>
  <r>
    <x v="8"/>
    <d v="2024-10-03T00:00:00"/>
    <d v="2024-10-24T00:00:00"/>
    <x v="1"/>
    <n v="9"/>
    <n v="3188"/>
    <n v="1.9866500085128156"/>
    <n v="5.063992369008159"/>
    <n v="16144.007672398011"/>
    <n v="6333.4402271388562"/>
    <n v="9810.5674452591556"/>
    <n v="788.23466159706788"/>
    <n v="10598.802106856223"/>
    <n v="0"/>
    <n v="0"/>
    <n v="0"/>
    <n v="10598.802106856223"/>
  </r>
  <r>
    <x v="9"/>
    <d v="2024-11-05T00:00:00"/>
    <d v="2024-11-25T00:00:00"/>
    <x v="1"/>
    <n v="9"/>
    <n v="2793"/>
    <n v="1.9866500085128156"/>
    <n v="5.063992369008159"/>
    <n v="14143.730686639788"/>
    <n v="5548.7134737762935"/>
    <n v="8595.0172128634949"/>
    <n v="690.57070572164707"/>
    <n v="9285.5879185851427"/>
    <n v="0"/>
    <n v="0"/>
    <n v="0"/>
    <n v="9285.5879185851427"/>
  </r>
  <r>
    <x v="10"/>
    <d v="2024-12-04T00:00:00"/>
    <d v="2024-12-24T00:00:00"/>
    <x v="1"/>
    <n v="9"/>
    <n v="2339"/>
    <n v="1.9866500085128156"/>
    <n v="5.063992369008159"/>
    <n v="11844.678151110083"/>
    <n v="4646.7743699114753"/>
    <n v="7197.9037811986082"/>
    <n v="578.3189690952139"/>
    <n v="7776.2227502938222"/>
    <n v="0"/>
    <n v="0"/>
    <n v="0"/>
    <n v="7776.2227502938222"/>
  </r>
  <r>
    <x v="11"/>
    <d v="2025-01-03T00:00:00"/>
    <d v="2025-01-24T00:00:00"/>
    <x v="1"/>
    <n v="9"/>
    <n v="2520"/>
    <n v="1.9866500085128156"/>
    <n v="5.063992369008159"/>
    <n v="12761.26076990056"/>
    <n v="5006.3580214522954"/>
    <n v="7754.9027484482649"/>
    <n v="623.07131343306503"/>
    <n v="8377.9740618813303"/>
    <n v="0"/>
    <n v="0"/>
    <n v="0"/>
    <n v="8377.9740618813303"/>
  </r>
  <r>
    <x v="0"/>
    <d v="2024-02-05T00:00:00"/>
    <d v="2024-02-26T00:00:00"/>
    <x v="2"/>
    <n v="9"/>
    <n v="216"/>
    <n v="1.9866500085128156"/>
    <n v="5.063992369008159"/>
    <n v="1093.8223517057622"/>
    <n v="429.11640183876818"/>
    <n v="664.70594986699405"/>
    <n v="53.406112579977005"/>
    <n v="718.11206244697109"/>
    <n v="0"/>
    <n v="0"/>
    <n v="0"/>
    <n v="718.11206244697109"/>
  </r>
  <r>
    <x v="1"/>
    <d v="2024-03-05T00:00:00"/>
    <d v="2024-03-25T00:00:00"/>
    <x v="2"/>
    <n v="9"/>
    <n v="146"/>
    <n v="1.9866500085128156"/>
    <n v="5.063992369008159"/>
    <n v="739.3428858751912"/>
    <n v="290.05090124287108"/>
    <n v="449.29198463232012"/>
    <n v="36.098576095725193"/>
    <n v="485.39056072804533"/>
    <n v="0"/>
    <n v="0"/>
    <n v="0"/>
    <n v="485.39056072804533"/>
  </r>
  <r>
    <x v="2"/>
    <d v="2024-04-03T00:00:00"/>
    <d v="2024-04-24T00:00:00"/>
    <x v="2"/>
    <n v="9"/>
    <n v="113"/>
    <n v="1.9866500085128156"/>
    <n v="5.063992369008159"/>
    <n v="572.23113769792201"/>
    <n v="224.49145096194817"/>
    <n v="347.73968673597381"/>
    <n v="27.939308896006484"/>
    <n v="375.67899563198029"/>
    <n v="0"/>
    <n v="0"/>
    <n v="0"/>
    <n v="375.67899563198029"/>
  </r>
  <r>
    <x v="3"/>
    <d v="2024-05-03T00:00:00"/>
    <d v="2024-05-24T00:00:00"/>
    <x v="2"/>
    <n v="9"/>
    <n v="76"/>
    <n v="1.9866500085128156"/>
    <n v="5.063992369008159"/>
    <n v="384.86342004462006"/>
    <n v="150.98540064697397"/>
    <n v="233.87801939764609"/>
    <n v="18.791039611473391"/>
    <n v="252.66905900911948"/>
    <n v="0"/>
    <n v="0"/>
    <n v="0"/>
    <n v="252.66905900911948"/>
  </r>
  <r>
    <x v="4"/>
    <d v="2024-06-05T00:00:00"/>
    <d v="2024-06-24T00:00:00"/>
    <x v="2"/>
    <n v="9"/>
    <n v="120"/>
    <n v="1.9866500085128156"/>
    <n v="5.063992369008159"/>
    <n v="607.67908428097905"/>
    <n v="238.39800102153788"/>
    <n v="369.28108325944117"/>
    <n v="29.670062544431666"/>
    <n v="398.95114580387286"/>
    <n v="0"/>
    <n v="0"/>
    <n v="0"/>
    <n v="398.95114580387286"/>
  </r>
  <r>
    <x v="5"/>
    <d v="2024-07-03T00:00:00"/>
    <d v="2024-07-24T00:00:00"/>
    <x v="2"/>
    <n v="9"/>
    <n v="147"/>
    <n v="1.9866500085128156"/>
    <n v="5.063992369008159"/>
    <n v="744.40687824419933"/>
    <n v="292.03755125138389"/>
    <n v="452.36932699281545"/>
    <n v="36.34582661692879"/>
    <n v="488.71515360974422"/>
    <n v="0"/>
    <n v="0"/>
    <n v="0"/>
    <n v="488.71515360974422"/>
  </r>
  <r>
    <x v="6"/>
    <d v="2024-08-05T00:00:00"/>
    <d v="2024-08-26T00:00:00"/>
    <x v="2"/>
    <n v="9"/>
    <n v="155"/>
    <n v="1.9866500085128156"/>
    <n v="5.063992369008159"/>
    <n v="784.91881719626463"/>
    <n v="307.93075131948643"/>
    <n v="476.98806587677819"/>
    <n v="38.323830786557572"/>
    <n v="515.3118966633358"/>
    <n v="0"/>
    <n v="0"/>
    <n v="0"/>
    <n v="515.3118966633358"/>
  </r>
  <r>
    <x v="7"/>
    <d v="2024-09-04T00:00:00"/>
    <d v="2024-09-24T00:00:00"/>
    <x v="2"/>
    <n v="9"/>
    <n v="157"/>
    <n v="1.9866500085128156"/>
    <n v="5.063992369008159"/>
    <n v="795.04680193428101"/>
    <n v="311.90405133651205"/>
    <n v="483.14275059776895"/>
    <n v="38.818331828964759"/>
    <n v="521.9610824267337"/>
    <n v="0"/>
    <n v="0"/>
    <n v="0"/>
    <n v="521.9610824267337"/>
  </r>
  <r>
    <x v="8"/>
    <d v="2024-10-03T00:00:00"/>
    <d v="2024-10-24T00:00:00"/>
    <x v="2"/>
    <n v="9"/>
    <n v="126"/>
    <n v="1.9866500085128156"/>
    <n v="5.063992369008159"/>
    <n v="638.06303849502808"/>
    <n v="250.31790107261477"/>
    <n v="387.74513742241334"/>
    <n v="31.153565671653251"/>
    <n v="418.8987030940666"/>
    <n v="0"/>
    <n v="0"/>
    <n v="0"/>
    <n v="418.8987030940666"/>
  </r>
  <r>
    <x v="9"/>
    <d v="2024-11-05T00:00:00"/>
    <d v="2024-11-25T00:00:00"/>
    <x v="2"/>
    <n v="9"/>
    <n v="112"/>
    <n v="1.9866500085128156"/>
    <n v="5.063992369008159"/>
    <n v="567.16714532891376"/>
    <n v="222.50480095343534"/>
    <n v="344.66234437547843"/>
    <n v="27.69205837480289"/>
    <n v="372.35440275028134"/>
    <n v="0"/>
    <n v="0"/>
    <n v="0"/>
    <n v="372.35440275028134"/>
  </r>
  <r>
    <x v="10"/>
    <d v="2024-12-04T00:00:00"/>
    <d v="2024-12-24T00:00:00"/>
    <x v="2"/>
    <n v="9"/>
    <n v="93"/>
    <n v="1.9866500085128156"/>
    <n v="5.063992369008159"/>
    <n v="470.95129031775878"/>
    <n v="184.75845079169184"/>
    <n v="286.1928395260669"/>
    <n v="22.994298471934542"/>
    <n v="309.18713799800145"/>
    <n v="0"/>
    <n v="0"/>
    <n v="0"/>
    <n v="309.18713799800145"/>
  </r>
  <r>
    <x v="11"/>
    <d v="2025-01-03T00:00:00"/>
    <d v="2025-01-24T00:00:00"/>
    <x v="2"/>
    <n v="9"/>
    <n v="128"/>
    <n v="1.9866500085128156"/>
    <n v="5.063992369008159"/>
    <n v="648.19102323304435"/>
    <n v="254.2912010896404"/>
    <n v="393.89982214340398"/>
    <n v="31.648066714060445"/>
    <n v="425.54788885746444"/>
    <n v="0"/>
    <n v="0"/>
    <n v="0"/>
    <n v="425.54788885746444"/>
  </r>
  <r>
    <x v="0"/>
    <d v="2024-02-05T00:00:00"/>
    <d v="2024-02-26T00:00:00"/>
    <x v="3"/>
    <n v="9"/>
    <n v="1129"/>
    <n v="1.9866500085128156"/>
    <n v="5.063992369008159"/>
    <n v="5717.2473846102112"/>
    <n v="2242.9278596109689"/>
    <n v="3474.3195249992423"/>
    <n v="279.14583843886129"/>
    <n v="3753.4653634381034"/>
    <n v="0"/>
    <n v="0"/>
    <n v="0"/>
    <n v="3753.4653634381034"/>
  </r>
  <r>
    <x v="1"/>
    <d v="2024-03-05T00:00:00"/>
    <d v="2024-03-25T00:00:00"/>
    <x v="3"/>
    <n v="9"/>
    <n v="739"/>
    <n v="1.9866500085128156"/>
    <n v="5.063992369008159"/>
    <n v="3742.2903606970294"/>
    <n v="1468.1343562909708"/>
    <n v="2274.1560044060589"/>
    <n v="182.71813516945835"/>
    <n v="2456.8741395755173"/>
    <n v="0"/>
    <n v="0"/>
    <n v="0"/>
    <n v="2456.8741395755173"/>
  </r>
  <r>
    <x v="2"/>
    <d v="2024-04-03T00:00:00"/>
    <d v="2024-04-24T00:00:00"/>
    <x v="3"/>
    <n v="9"/>
    <n v="642"/>
    <n v="1.9866500085128156"/>
    <n v="5.063992369008159"/>
    <n v="3251.0831009032381"/>
    <n v="1275.4293054652276"/>
    <n v="1975.6537954380105"/>
    <n v="158.73483461270942"/>
    <n v="2134.3886300507202"/>
    <n v="0"/>
    <n v="0"/>
    <n v="0"/>
    <n v="2134.3886300507202"/>
  </r>
  <r>
    <x v="3"/>
    <d v="2024-05-03T00:00:00"/>
    <d v="2024-05-24T00:00:00"/>
    <x v="3"/>
    <n v="9"/>
    <n v="581"/>
    <n v="1.9866500085128156"/>
    <n v="5.063992369008159"/>
    <n v="2942.1795663937405"/>
    <n v="1154.2436549459458"/>
    <n v="1787.9359114477948"/>
    <n v="143.65255281928998"/>
    <n v="1931.5884642670846"/>
    <n v="0"/>
    <n v="0"/>
    <n v="0"/>
    <n v="1931.5884642670846"/>
  </r>
  <r>
    <x v="4"/>
    <d v="2024-06-05T00:00:00"/>
    <d v="2024-06-24T00:00:00"/>
    <x v="3"/>
    <n v="9"/>
    <n v="753"/>
    <n v="1.9866500085128156"/>
    <n v="5.063992369008159"/>
    <n v="3813.1862538631435"/>
    <n v="1495.9474564101502"/>
    <n v="2317.2387974529934"/>
    <n v="186.17964246630871"/>
    <n v="2503.4184399193023"/>
    <n v="0"/>
    <n v="0"/>
    <n v="0"/>
    <n v="2503.4184399193023"/>
  </r>
  <r>
    <x v="5"/>
    <d v="2024-07-03T00:00:00"/>
    <d v="2024-07-24T00:00:00"/>
    <x v="3"/>
    <n v="9"/>
    <n v="1001"/>
    <n v="1.9866500085128156"/>
    <n v="5.063992369008159"/>
    <n v="5069.0563613771674"/>
    <n v="1988.6366585213284"/>
    <n v="3080.4197028558392"/>
    <n v="247.49777172480083"/>
    <n v="3327.9174745806399"/>
    <n v="0"/>
    <n v="0"/>
    <n v="0"/>
    <n v="3327.9174745806399"/>
  </r>
  <r>
    <x v="6"/>
    <d v="2024-08-05T00:00:00"/>
    <d v="2024-08-26T00:00:00"/>
    <x v="3"/>
    <n v="9"/>
    <n v="961"/>
    <n v="1.9866500085128156"/>
    <n v="5.063992369008159"/>
    <n v="4866.4966666168411"/>
    <n v="1909.1706581808157"/>
    <n v="2957.3260084360254"/>
    <n v="237.60775087665692"/>
    <n v="3194.9337593126825"/>
    <n v="0"/>
    <n v="0"/>
    <n v="0"/>
    <n v="3194.9337593126825"/>
  </r>
  <r>
    <x v="7"/>
    <d v="2024-09-04T00:00:00"/>
    <d v="2024-09-24T00:00:00"/>
    <x v="3"/>
    <n v="9"/>
    <n v="1017"/>
    <n v="1.9866500085128156"/>
    <n v="5.063992369008159"/>
    <n v="5150.0802392812975"/>
    <n v="2020.4230586575334"/>
    <n v="3129.6571806237644"/>
    <n v="251.45378006405838"/>
    <n v="3381.1109606878226"/>
    <n v="0"/>
    <n v="0"/>
    <n v="0"/>
    <n v="3381.1109606878226"/>
  </r>
  <r>
    <x v="8"/>
    <d v="2024-10-03T00:00:00"/>
    <d v="2024-10-24T00:00:00"/>
    <x v="3"/>
    <n v="9"/>
    <n v="856"/>
    <n v="1.9866500085128156"/>
    <n v="5.063992369008159"/>
    <n v="4334.7774678709839"/>
    <n v="1700.5724072869702"/>
    <n v="2634.2050605840136"/>
    <n v="211.64644615027922"/>
    <n v="2845.8515067342928"/>
    <n v="0"/>
    <n v="0"/>
    <n v="0"/>
    <n v="2845.8515067342928"/>
  </r>
  <r>
    <x v="9"/>
    <d v="2024-11-05T00:00:00"/>
    <d v="2024-11-25T00:00:00"/>
    <x v="3"/>
    <n v="9"/>
    <n v="786"/>
    <n v="1.9866500085128156"/>
    <n v="5.063992369008159"/>
    <n v="3980.2980020404129"/>
    <n v="1561.506906691073"/>
    <n v="2418.7910953493401"/>
    <n v="194.3389096660274"/>
    <n v="2613.1300050153677"/>
    <n v="0"/>
    <n v="0"/>
    <n v="0"/>
    <n v="2613.1300050153677"/>
  </r>
  <r>
    <x v="10"/>
    <d v="2024-12-04T00:00:00"/>
    <d v="2024-12-24T00:00:00"/>
    <x v="3"/>
    <n v="9"/>
    <n v="463"/>
    <n v="1.9866500085128156"/>
    <n v="5.063992369008159"/>
    <n v="2344.6284668507774"/>
    <n v="919.81895394143362"/>
    <n v="1424.8095129093438"/>
    <n v="114.47699131726553"/>
    <n v="1539.2865042266094"/>
    <n v="0"/>
    <n v="0"/>
    <n v="0"/>
    <n v="1539.2865042266094"/>
  </r>
  <r>
    <x v="11"/>
    <d v="2025-01-03T00:00:00"/>
    <d v="2025-01-24T00:00:00"/>
    <x v="3"/>
    <n v="9"/>
    <n v="725"/>
    <n v="1.9866500085128156"/>
    <n v="5.063992369008159"/>
    <n v="3671.3944675309153"/>
    <n v="1440.3212561717912"/>
    <n v="2231.0732113591239"/>
    <n v="179.25662787260799"/>
    <n v="2410.329839231732"/>
    <n v="0"/>
    <n v="0"/>
    <n v="0"/>
    <n v="2410.329839231732"/>
  </r>
  <r>
    <x v="0"/>
    <d v="2024-02-05T00:00:00"/>
    <d v="2024-02-26T00:00:00"/>
    <x v="4"/>
    <n v="9"/>
    <n v="58"/>
    <n v="1.9866500085128156"/>
    <n v="5.063992369008159"/>
    <n v="293.7115574024732"/>
    <n v="115.2257004937433"/>
    <n v="178.48585690872989"/>
    <n v="14.340530229808637"/>
    <n v="192.82638713853854"/>
    <n v="0"/>
    <n v="0"/>
    <n v="0"/>
    <n v="192.82638713853854"/>
  </r>
  <r>
    <x v="1"/>
    <d v="2024-03-05T00:00:00"/>
    <d v="2024-03-25T00:00:00"/>
    <x v="4"/>
    <n v="9"/>
    <n v="36"/>
    <n v="1.9866500085128156"/>
    <n v="5.063992369008159"/>
    <n v="182.30372528429373"/>
    <n v="71.519400306461364"/>
    <n v="110.78432497783237"/>
    <n v="8.9010187633294997"/>
    <n v="119.68534374116187"/>
    <n v="0"/>
    <n v="0"/>
    <n v="0"/>
    <n v="119.68534374116187"/>
  </r>
  <r>
    <x v="2"/>
    <d v="2024-04-03T00:00:00"/>
    <d v="2024-04-24T00:00:00"/>
    <x v="4"/>
    <n v="9"/>
    <n v="29"/>
    <n v="1.9866500085128156"/>
    <n v="5.063992369008159"/>
    <n v="146.8557787012366"/>
    <n v="57.612850246871652"/>
    <n v="89.242928454364943"/>
    <n v="7.1702651149043186"/>
    <n v="96.413193569269268"/>
    <n v="0"/>
    <n v="0"/>
    <n v="0"/>
    <n v="96.413193569269268"/>
  </r>
  <r>
    <x v="3"/>
    <d v="2024-05-03T00:00:00"/>
    <d v="2024-05-24T00:00:00"/>
    <x v="4"/>
    <n v="9"/>
    <n v="27"/>
    <n v="1.9866500085128156"/>
    <n v="5.063992369008159"/>
    <n v="136.72779396322028"/>
    <n v="53.639550229846023"/>
    <n v="83.088243733374256"/>
    <n v="6.6757640724971257"/>
    <n v="89.764007805871387"/>
    <n v="0"/>
    <n v="0"/>
    <n v="0"/>
    <n v="89.764007805871387"/>
  </r>
  <r>
    <x v="4"/>
    <d v="2024-06-05T00:00:00"/>
    <d v="2024-06-24T00:00:00"/>
    <x v="4"/>
    <n v="9"/>
    <n v="36"/>
    <n v="1.9866500085128156"/>
    <n v="5.063992369008159"/>
    <n v="182.30372528429373"/>
    <n v="71.519400306461364"/>
    <n v="110.78432497783237"/>
    <n v="8.9010187633294997"/>
    <n v="119.68534374116187"/>
    <n v="0"/>
    <n v="0"/>
    <n v="0"/>
    <n v="119.68534374116187"/>
  </r>
  <r>
    <x v="5"/>
    <d v="2024-07-03T00:00:00"/>
    <d v="2024-07-24T00:00:00"/>
    <x v="4"/>
    <n v="9"/>
    <n v="53"/>
    <n v="1.9866500085128156"/>
    <n v="5.063992369008159"/>
    <n v="268.39159555743242"/>
    <n v="105.29245045117922"/>
    <n v="163.09914510625322"/>
    <n v="13.104277623790653"/>
    <n v="176.20342273004388"/>
    <n v="0"/>
    <n v="0"/>
    <n v="0"/>
    <n v="176.20342273004388"/>
  </r>
  <r>
    <x v="6"/>
    <d v="2024-08-05T00:00:00"/>
    <d v="2024-08-26T00:00:00"/>
    <x v="4"/>
    <n v="9"/>
    <n v="53"/>
    <n v="1.9866500085128156"/>
    <n v="5.063992369008159"/>
    <n v="268.39159555743242"/>
    <n v="105.29245045117922"/>
    <n v="163.09914510625322"/>
    <n v="13.104277623790653"/>
    <n v="176.20342273004388"/>
    <n v="0"/>
    <n v="0"/>
    <n v="0"/>
    <n v="176.20342273004388"/>
  </r>
  <r>
    <x v="7"/>
    <d v="2024-09-04T00:00:00"/>
    <d v="2024-09-24T00:00:00"/>
    <x v="4"/>
    <n v="9"/>
    <n v="54"/>
    <n v="1.9866500085128156"/>
    <n v="5.063992369008159"/>
    <n v="273.45558792644056"/>
    <n v="107.27910045969205"/>
    <n v="166.17648746674851"/>
    <n v="13.351528144994251"/>
    <n v="179.52801561174277"/>
    <n v="0"/>
    <n v="0"/>
    <n v="0"/>
    <n v="179.52801561174277"/>
  </r>
  <r>
    <x v="8"/>
    <d v="2024-10-03T00:00:00"/>
    <d v="2024-10-24T00:00:00"/>
    <x v="4"/>
    <n v="9"/>
    <n v="48"/>
    <n v="1.9866500085128156"/>
    <n v="5.063992369008159"/>
    <n v="243.07163371239164"/>
    <n v="95.359200408615152"/>
    <n v="147.71243330377649"/>
    <n v="11.868025017772666"/>
    <n v="159.58045832154914"/>
    <n v="0"/>
    <n v="0"/>
    <n v="0"/>
    <n v="159.58045832154914"/>
  </r>
  <r>
    <x v="9"/>
    <d v="2024-11-05T00:00:00"/>
    <d v="2024-11-25T00:00:00"/>
    <x v="4"/>
    <n v="9"/>
    <n v="41"/>
    <n v="1.9866500085128156"/>
    <n v="5.063992369008159"/>
    <n v="207.62368712933451"/>
    <n v="81.452650349025433"/>
    <n v="126.17103678030908"/>
    <n v="10.137271369347486"/>
    <n v="136.30830814965657"/>
    <n v="0"/>
    <n v="0"/>
    <n v="0"/>
    <n v="136.30830814965657"/>
  </r>
  <r>
    <x v="10"/>
    <d v="2024-12-04T00:00:00"/>
    <d v="2024-12-24T00:00:00"/>
    <x v="4"/>
    <n v="9"/>
    <n v="22"/>
    <n v="1.9866500085128156"/>
    <n v="5.063992369008159"/>
    <n v="111.4078321181795"/>
    <n v="43.70630018728194"/>
    <n v="67.701531930897559"/>
    <n v="5.4395114664791384"/>
    <n v="73.141043397376691"/>
    <n v="0"/>
    <n v="0"/>
    <n v="0"/>
    <n v="73.141043397376691"/>
  </r>
  <r>
    <x v="11"/>
    <d v="2025-01-03T00:00:00"/>
    <d v="2025-01-24T00:00:00"/>
    <x v="4"/>
    <n v="9"/>
    <n v="37"/>
    <n v="1.9866500085128156"/>
    <n v="5.063992369008159"/>
    <n v="187.3677176533019"/>
    <n v="73.506050314974175"/>
    <n v="113.86166733832772"/>
    <n v="9.1482692845330966"/>
    <n v="123.00993662286082"/>
    <n v="0"/>
    <n v="0"/>
    <n v="0"/>
    <n v="123.00993662286082"/>
  </r>
  <r>
    <x v="0"/>
    <d v="2024-02-05T00:00:00"/>
    <d v="2024-02-26T00:00:00"/>
    <x v="5"/>
    <n v="9"/>
    <n v="75"/>
    <n v="1.9866500085128156"/>
    <n v="5.063992369008159"/>
    <n v="379.79942767561192"/>
    <n v="148.99875063846116"/>
    <n v="230.80067703715076"/>
    <n v="18.543789090269794"/>
    <n v="249.34446612742056"/>
    <n v="0"/>
    <n v="0"/>
    <n v="0"/>
    <n v="249.34446612742056"/>
  </r>
  <r>
    <x v="1"/>
    <d v="2024-03-05T00:00:00"/>
    <d v="2024-03-25T00:00:00"/>
    <x v="5"/>
    <n v="9"/>
    <n v="54"/>
    <n v="1.9866500085128156"/>
    <n v="5.063992369008159"/>
    <n v="273.45558792644056"/>
    <n v="107.27910045969205"/>
    <n v="166.17648746674851"/>
    <n v="13.351528144994251"/>
    <n v="179.52801561174277"/>
    <n v="0"/>
    <n v="0"/>
    <n v="0"/>
    <n v="179.52801561174277"/>
  </r>
  <r>
    <x v="2"/>
    <d v="2024-04-03T00:00:00"/>
    <d v="2024-04-24T00:00:00"/>
    <x v="5"/>
    <n v="9"/>
    <n v="49"/>
    <n v="1.9866500085128156"/>
    <n v="5.063992369008159"/>
    <n v="248.13562608139978"/>
    <n v="97.345850417127963"/>
    <n v="150.78977566427182"/>
    <n v="12.115275538976265"/>
    <n v="162.90505120324809"/>
    <n v="0"/>
    <n v="0"/>
    <n v="0"/>
    <n v="162.90505120324809"/>
  </r>
  <r>
    <x v="3"/>
    <d v="2024-05-03T00:00:00"/>
    <d v="2024-05-24T00:00:00"/>
    <x v="5"/>
    <n v="9"/>
    <n v="43"/>
    <n v="1.9866500085128156"/>
    <n v="5.063992369008159"/>
    <n v="217.75167186735084"/>
    <n v="85.425950366051069"/>
    <n v="132.32572150129977"/>
    <n v="10.63177241175468"/>
    <n v="142.95749391305444"/>
    <n v="0"/>
    <n v="0"/>
    <n v="0"/>
    <n v="142.95749391305444"/>
  </r>
  <r>
    <x v="4"/>
    <d v="2024-06-05T00:00:00"/>
    <d v="2024-06-24T00:00:00"/>
    <x v="5"/>
    <n v="9"/>
    <n v="50"/>
    <n v="1.9866500085128156"/>
    <n v="5.063992369008159"/>
    <n v="253.19961845040794"/>
    <n v="99.332500425640774"/>
    <n v="153.86711802476717"/>
    <n v="12.362526060179862"/>
    <n v="166.22964408494704"/>
    <n v="0"/>
    <n v="0"/>
    <n v="0"/>
    <n v="166.22964408494704"/>
  </r>
  <r>
    <x v="5"/>
    <d v="2024-07-03T00:00:00"/>
    <d v="2024-07-24T00:00:00"/>
    <x v="5"/>
    <n v="9"/>
    <n v="59"/>
    <n v="1.9866500085128156"/>
    <n v="5.063992369008159"/>
    <n v="298.77554977148139"/>
    <n v="117.21235050225611"/>
    <n v="181.56319926922527"/>
    <n v="14.587780751012236"/>
    <n v="196.15098002023751"/>
    <n v="0"/>
    <n v="0"/>
    <n v="0"/>
    <n v="196.15098002023751"/>
  </r>
  <r>
    <x v="6"/>
    <d v="2024-08-05T00:00:00"/>
    <d v="2024-08-26T00:00:00"/>
    <x v="5"/>
    <n v="9"/>
    <n v="60"/>
    <n v="1.9866500085128156"/>
    <n v="5.063992369008159"/>
    <n v="303.83954214048953"/>
    <n v="119.19900051076894"/>
    <n v="184.64054162972059"/>
    <n v="14.835031272215833"/>
    <n v="199.47557290193643"/>
    <n v="0"/>
    <n v="0"/>
    <n v="0"/>
    <n v="199.47557290193643"/>
  </r>
  <r>
    <x v="7"/>
    <d v="2024-09-04T00:00:00"/>
    <d v="2024-09-24T00:00:00"/>
    <x v="5"/>
    <n v="9"/>
    <n v="56"/>
    <n v="1.9866500085128156"/>
    <n v="5.063992369008159"/>
    <n v="283.58357266445688"/>
    <n v="111.25240047671767"/>
    <n v="172.33117218773921"/>
    <n v="13.846029187401445"/>
    <n v="186.17720137514067"/>
    <n v="0"/>
    <n v="0"/>
    <n v="0"/>
    <n v="186.17720137514067"/>
  </r>
  <r>
    <x v="8"/>
    <d v="2024-10-03T00:00:00"/>
    <d v="2024-10-24T00:00:00"/>
    <x v="5"/>
    <n v="9"/>
    <n v="55"/>
    <n v="1.9866500085128156"/>
    <n v="5.063992369008159"/>
    <n v="278.51958029544875"/>
    <n v="109.26575046820486"/>
    <n v="169.25382982724389"/>
    <n v="13.598778666197846"/>
    <n v="182.85260849344175"/>
    <n v="0"/>
    <n v="0"/>
    <n v="0"/>
    <n v="182.85260849344175"/>
  </r>
  <r>
    <x v="9"/>
    <d v="2024-11-05T00:00:00"/>
    <d v="2024-11-25T00:00:00"/>
    <x v="5"/>
    <n v="9"/>
    <n v="51"/>
    <n v="1.9866500085128156"/>
    <n v="5.063992369008159"/>
    <n v="258.2636108194161"/>
    <n v="101.3191504341536"/>
    <n v="156.94446038526252"/>
    <n v="12.609776581383457"/>
    <n v="169.55423696664599"/>
    <n v="0"/>
    <n v="0"/>
    <n v="0"/>
    <n v="169.55423696664599"/>
  </r>
  <r>
    <x v="10"/>
    <d v="2024-12-04T00:00:00"/>
    <d v="2024-12-24T00:00:00"/>
    <x v="5"/>
    <n v="9"/>
    <n v="40"/>
    <n v="1.9866500085128156"/>
    <n v="5.063992369008159"/>
    <n v="202.55969476032635"/>
    <n v="79.466000340512622"/>
    <n v="123.09369441981373"/>
    <n v="9.8900208481438892"/>
    <n v="132.98371526795762"/>
    <n v="0"/>
    <n v="0"/>
    <n v="0"/>
    <n v="132.98371526795762"/>
  </r>
  <r>
    <x v="11"/>
    <d v="2025-01-03T00:00:00"/>
    <d v="2025-01-24T00:00:00"/>
    <x v="5"/>
    <n v="9"/>
    <n v="51"/>
    <n v="1.9866500085128156"/>
    <n v="5.063992369008159"/>
    <n v="258.2636108194161"/>
    <n v="101.3191504341536"/>
    <n v="156.94446038526252"/>
    <n v="12.609776581383457"/>
    <n v="169.55423696664599"/>
    <n v="0"/>
    <n v="0"/>
    <n v="0"/>
    <n v="169.55423696664599"/>
  </r>
  <r>
    <x v="0"/>
    <d v="2024-02-05T00:00:00"/>
    <d v="2024-02-26T00:00:00"/>
    <x v="6"/>
    <n v="9"/>
    <n v="94"/>
    <n v="1.9866500085128156"/>
    <n v="5.063992369008159"/>
    <n v="476.01528268676697"/>
    <n v="186.74510080020465"/>
    <n v="289.27018188656234"/>
    <n v="23.241548993138139"/>
    <n v="312.51173087970051"/>
    <n v="0"/>
    <n v="0"/>
    <n v="0"/>
    <n v="312.51173087970051"/>
  </r>
  <r>
    <x v="1"/>
    <d v="2024-03-05T00:00:00"/>
    <d v="2024-03-25T00:00:00"/>
    <x v="6"/>
    <n v="9"/>
    <n v="62"/>
    <n v="1.9866500085128156"/>
    <n v="5.063992369008159"/>
    <n v="313.96752687850585"/>
    <n v="123.17230052779456"/>
    <n v="190.79522635071129"/>
    <n v="15.329532314623027"/>
    <n v="206.12475866533433"/>
    <n v="0"/>
    <n v="0"/>
    <n v="0"/>
    <n v="206.12475866533433"/>
  </r>
  <r>
    <x v="2"/>
    <d v="2024-04-03T00:00:00"/>
    <d v="2024-04-24T00:00:00"/>
    <x v="6"/>
    <n v="9"/>
    <n v="60"/>
    <n v="1.9866500085128156"/>
    <n v="5.063992369008159"/>
    <n v="303.83954214048953"/>
    <n v="119.19900051076894"/>
    <n v="184.64054162972059"/>
    <n v="14.835031272215833"/>
    <n v="199.47557290193643"/>
    <n v="0"/>
    <n v="0"/>
    <n v="0"/>
    <n v="199.47557290193643"/>
  </r>
  <r>
    <x v="3"/>
    <d v="2024-05-03T00:00:00"/>
    <d v="2024-05-24T00:00:00"/>
    <x v="6"/>
    <n v="9"/>
    <n v="92"/>
    <n v="1.9866500085128156"/>
    <n v="5.063992369008159"/>
    <n v="465.88729794875064"/>
    <n v="182.77180078317903"/>
    <n v="283.11549716557158"/>
    <n v="22.747047950730945"/>
    <n v="305.8625451163025"/>
    <n v="0"/>
    <n v="0"/>
    <n v="0"/>
    <n v="305.8625451163025"/>
  </r>
  <r>
    <x v="4"/>
    <d v="2024-06-05T00:00:00"/>
    <d v="2024-06-24T00:00:00"/>
    <x v="6"/>
    <n v="9"/>
    <n v="118"/>
    <n v="1.9866500085128156"/>
    <n v="5.063992369008159"/>
    <n v="597.55109954296279"/>
    <n v="234.42470100451223"/>
    <n v="363.12639853845053"/>
    <n v="29.175561502024472"/>
    <n v="392.30196004047502"/>
    <n v="0"/>
    <n v="0"/>
    <n v="0"/>
    <n v="392.30196004047502"/>
  </r>
  <r>
    <x v="5"/>
    <d v="2024-07-03T00:00:00"/>
    <d v="2024-07-24T00:00:00"/>
    <x v="6"/>
    <n v="9"/>
    <n v="143"/>
    <n v="1.9866500085128156"/>
    <n v="5.063992369008159"/>
    <n v="724.15090876816669"/>
    <n v="284.09095121733264"/>
    <n v="440.05995755083404"/>
    <n v="35.356824532114402"/>
    <n v="475.41678208294843"/>
    <n v="0"/>
    <n v="0"/>
    <n v="0"/>
    <n v="475.41678208294843"/>
  </r>
  <r>
    <x v="6"/>
    <d v="2024-08-05T00:00:00"/>
    <d v="2024-08-26T00:00:00"/>
    <x v="6"/>
    <n v="9"/>
    <n v="151"/>
    <n v="1.9866500085128156"/>
    <n v="5.063992369008159"/>
    <n v="764.66284772023198"/>
    <n v="299.98415128543513"/>
    <n v="464.67869643479685"/>
    <n v="37.334828701743177"/>
    <n v="502.01352513654001"/>
    <n v="0"/>
    <n v="0"/>
    <n v="0"/>
    <n v="502.01352513654001"/>
  </r>
  <r>
    <x v="7"/>
    <d v="2024-09-04T00:00:00"/>
    <d v="2024-09-24T00:00:00"/>
    <x v="6"/>
    <n v="9"/>
    <n v="157"/>
    <n v="1.9866500085128156"/>
    <n v="5.063992369008159"/>
    <n v="795.04680193428101"/>
    <n v="311.90405133651205"/>
    <n v="483.14275059776895"/>
    <n v="38.818331828964759"/>
    <n v="521.9610824267337"/>
    <n v="0"/>
    <n v="0"/>
    <n v="0"/>
    <n v="521.9610824267337"/>
  </r>
  <r>
    <x v="8"/>
    <d v="2024-10-03T00:00:00"/>
    <d v="2024-10-24T00:00:00"/>
    <x v="6"/>
    <n v="9"/>
    <n v="146"/>
    <n v="1.9866500085128156"/>
    <n v="5.063992369008159"/>
    <n v="739.3428858751912"/>
    <n v="290.05090124287108"/>
    <n v="449.29198463232012"/>
    <n v="36.098576095725193"/>
    <n v="485.39056072804533"/>
    <n v="0"/>
    <n v="0"/>
    <n v="0"/>
    <n v="485.39056072804533"/>
  </r>
  <r>
    <x v="9"/>
    <d v="2024-11-05T00:00:00"/>
    <d v="2024-11-25T00:00:00"/>
    <x v="6"/>
    <n v="9"/>
    <n v="116"/>
    <n v="1.9866500085128156"/>
    <n v="5.063992369008159"/>
    <n v="587.42311480494641"/>
    <n v="230.45140098748661"/>
    <n v="356.97171381745977"/>
    <n v="28.681060459617274"/>
    <n v="385.65277427707707"/>
    <n v="0"/>
    <n v="0"/>
    <n v="0"/>
    <n v="385.65277427707707"/>
  </r>
  <r>
    <x v="10"/>
    <d v="2024-12-04T00:00:00"/>
    <d v="2024-12-24T00:00:00"/>
    <x v="6"/>
    <n v="9"/>
    <n v="62"/>
    <n v="1.9866500085128156"/>
    <n v="5.063992369008159"/>
    <n v="313.96752687850585"/>
    <n v="123.17230052779456"/>
    <n v="190.79522635071129"/>
    <n v="15.329532314623027"/>
    <n v="206.12475866533433"/>
    <n v="0"/>
    <n v="0"/>
    <n v="0"/>
    <n v="206.12475866533433"/>
  </r>
  <r>
    <x v="11"/>
    <d v="2025-01-03T00:00:00"/>
    <d v="2025-01-24T00:00:00"/>
    <x v="6"/>
    <n v="9"/>
    <n v="77"/>
    <n v="1.9866500085128156"/>
    <n v="5.063992369008159"/>
    <n v="389.92741241362825"/>
    <n v="152.97205065548681"/>
    <n v="236.95536175814144"/>
    <n v="19.038290132676984"/>
    <n v="255.99365189081843"/>
    <n v="0"/>
    <n v="0"/>
    <n v="0"/>
    <n v="255.99365189081843"/>
  </r>
  <r>
    <x v="0"/>
    <d v="2024-02-05T00:00:00"/>
    <d v="2024-02-26T00:00:00"/>
    <x v="7"/>
    <n v="9"/>
    <n v="65"/>
    <n v="1.9866500085128156"/>
    <n v="5.063992369008159"/>
    <n v="329.15950398553031"/>
    <n v="129.13225055333302"/>
    <n v="200.02725343219728"/>
    <n v="16.071283878233821"/>
    <n v="216.09853731043111"/>
    <n v="0"/>
    <n v="0"/>
    <n v="0"/>
    <n v="216.09853731043111"/>
  </r>
  <r>
    <x v="1"/>
    <d v="2024-03-05T00:00:00"/>
    <d v="2024-03-25T00:00:00"/>
    <x v="7"/>
    <n v="9"/>
    <n v="65"/>
    <n v="1.9866500085128156"/>
    <n v="5.063992369008159"/>
    <n v="329.15950398553031"/>
    <n v="129.13225055333302"/>
    <n v="200.02725343219728"/>
    <n v="16.071283878233821"/>
    <n v="216.09853731043111"/>
    <n v="0"/>
    <n v="0"/>
    <n v="0"/>
    <n v="216.09853731043111"/>
  </r>
  <r>
    <x v="2"/>
    <d v="2024-04-03T00:00:00"/>
    <d v="2024-04-24T00:00:00"/>
    <x v="7"/>
    <n v="9"/>
    <n v="64"/>
    <n v="1.9866500085128156"/>
    <n v="5.063992369008159"/>
    <n v="324.09551161652217"/>
    <n v="127.1456005448202"/>
    <n v="196.94991107170199"/>
    <n v="15.824033357030222"/>
    <n v="212.77394442873222"/>
    <n v="0"/>
    <n v="0"/>
    <n v="0"/>
    <n v="212.77394442873222"/>
  </r>
  <r>
    <x v="3"/>
    <d v="2024-05-03T00:00:00"/>
    <d v="2024-05-24T00:00:00"/>
    <x v="7"/>
    <n v="9"/>
    <n v="65"/>
    <n v="1.9866500085128156"/>
    <n v="5.063992369008159"/>
    <n v="329.15950398553031"/>
    <n v="129.13225055333302"/>
    <n v="200.02725343219728"/>
    <n v="16.071283878233821"/>
    <n v="216.09853731043111"/>
    <n v="0"/>
    <n v="0"/>
    <n v="0"/>
    <n v="216.09853731043111"/>
  </r>
  <r>
    <x v="4"/>
    <d v="2024-06-05T00:00:00"/>
    <d v="2024-06-24T00:00:00"/>
    <x v="7"/>
    <n v="9"/>
    <n v="51"/>
    <n v="1.9866500085128156"/>
    <n v="5.063992369008159"/>
    <n v="258.2636108194161"/>
    <n v="101.3191504341536"/>
    <n v="156.94446038526252"/>
    <n v="12.609776581383457"/>
    <n v="169.55423696664599"/>
    <n v="0"/>
    <n v="0"/>
    <n v="0"/>
    <n v="169.55423696664599"/>
  </r>
  <r>
    <x v="5"/>
    <d v="2024-07-03T00:00:00"/>
    <d v="2024-07-24T00:00:00"/>
    <x v="7"/>
    <n v="9"/>
    <n v="59"/>
    <n v="1.9866500085128156"/>
    <n v="5.063992369008159"/>
    <n v="298.77554977148139"/>
    <n v="117.21235050225611"/>
    <n v="181.56319926922527"/>
    <n v="14.587780751012236"/>
    <n v="196.15098002023751"/>
    <n v="0"/>
    <n v="0"/>
    <n v="0"/>
    <n v="196.15098002023751"/>
  </r>
  <r>
    <x v="6"/>
    <d v="2024-08-05T00:00:00"/>
    <d v="2024-08-26T00:00:00"/>
    <x v="7"/>
    <n v="9"/>
    <n v="67"/>
    <n v="1.9866500085128156"/>
    <n v="5.063992369008159"/>
    <n v="339.28748872354663"/>
    <n v="133.10555057035864"/>
    <n v="206.18193815318799"/>
    <n v="16.565784920641015"/>
    <n v="222.74772307382901"/>
    <n v="0"/>
    <n v="0"/>
    <n v="0"/>
    <n v="222.74772307382901"/>
  </r>
  <r>
    <x v="7"/>
    <d v="2024-09-04T00:00:00"/>
    <d v="2024-09-24T00:00:00"/>
    <x v="7"/>
    <n v="9"/>
    <n v="70"/>
    <n v="1.9866500085128156"/>
    <n v="5.063992369008159"/>
    <n v="354.47946583057114"/>
    <n v="139.06550059589708"/>
    <n v="215.41396523467407"/>
    <n v="17.307536484251806"/>
    <n v="232.72150171892588"/>
    <n v="0"/>
    <n v="0"/>
    <n v="0"/>
    <n v="232.72150171892588"/>
  </r>
  <r>
    <x v="8"/>
    <d v="2024-10-03T00:00:00"/>
    <d v="2024-10-24T00:00:00"/>
    <x v="7"/>
    <n v="9"/>
    <n v="72"/>
    <n v="1.9866500085128156"/>
    <n v="5.063992369008159"/>
    <n v="364.60745056858747"/>
    <n v="143.03880061292273"/>
    <n v="221.56864995566474"/>
    <n v="17.802037526658999"/>
    <n v="239.37068748232375"/>
    <n v="0"/>
    <n v="0"/>
    <n v="0"/>
    <n v="239.37068748232375"/>
  </r>
  <r>
    <x v="9"/>
    <d v="2024-11-05T00:00:00"/>
    <d v="2024-11-25T00:00:00"/>
    <x v="7"/>
    <n v="9"/>
    <n v="73"/>
    <n v="1.9866500085128156"/>
    <n v="5.063992369008159"/>
    <n v="369.6714429375956"/>
    <n v="145.02545062143554"/>
    <n v="224.64599231616006"/>
    <n v="18.049288047862596"/>
    <n v="242.69528036402266"/>
    <n v="0"/>
    <n v="0"/>
    <n v="0"/>
    <n v="242.69528036402266"/>
  </r>
  <r>
    <x v="10"/>
    <d v="2024-12-04T00:00:00"/>
    <d v="2024-12-24T00:00:00"/>
    <x v="7"/>
    <n v="9"/>
    <n v="72"/>
    <n v="1.9866500085128156"/>
    <n v="5.063992369008159"/>
    <n v="364.60745056858747"/>
    <n v="143.03880061292273"/>
    <n v="221.56864995566474"/>
    <n v="17.802037526658999"/>
    <n v="239.37068748232375"/>
    <n v="0"/>
    <n v="0"/>
    <n v="0"/>
    <n v="239.37068748232375"/>
  </r>
  <r>
    <x v="11"/>
    <d v="2025-01-03T00:00:00"/>
    <d v="2025-01-24T00:00:00"/>
    <x v="7"/>
    <n v="9"/>
    <n v="65"/>
    <n v="1.9866500085128156"/>
    <n v="5.063992369008159"/>
    <n v="329.15950398553031"/>
    <n v="129.13225055333302"/>
    <n v="200.02725343219728"/>
    <n v="16.071283878233821"/>
    <n v="216.09853731043111"/>
    <n v="0"/>
    <n v="0"/>
    <n v="0"/>
    <n v="216.09853731043111"/>
  </r>
  <r>
    <x v="0"/>
    <d v="2024-02-05T00:00:00"/>
    <d v="2024-02-26T00:00:00"/>
    <x v="8"/>
    <n v="9"/>
    <n v="1452"/>
    <n v="1.9866500085128156"/>
    <n v="5.063992369008159"/>
    <n v="7352.9169197998472"/>
    <n v="2884.6158123606083"/>
    <n v="4468.3011074392389"/>
    <n v="359.00775678762318"/>
    <n v="4827.3088642268622"/>
    <n v="0"/>
    <n v="0"/>
    <n v="0"/>
    <n v="4827.3088642268622"/>
  </r>
  <r>
    <x v="1"/>
    <d v="2024-03-05T00:00:00"/>
    <d v="2024-03-25T00:00:00"/>
    <x v="8"/>
    <n v="9"/>
    <n v="966"/>
    <n v="1.9866500085128156"/>
    <n v="5.063992369008159"/>
    <n v="4891.8166284618819"/>
    <n v="1919.1039082233799"/>
    <n v="2972.7127202385018"/>
    <n v="238.84400348267491"/>
    <n v="3211.5567237211767"/>
    <n v="0"/>
    <n v="0"/>
    <n v="0"/>
    <n v="3211.5567237211767"/>
  </r>
  <r>
    <x v="2"/>
    <d v="2024-04-03T00:00:00"/>
    <d v="2024-04-24T00:00:00"/>
    <x v="8"/>
    <n v="9"/>
    <n v="732"/>
    <n v="1.9866500085128156"/>
    <n v="5.063992369008159"/>
    <n v="3706.8424141139722"/>
    <n v="1454.227806231381"/>
    <n v="2252.6146078825914"/>
    <n v="180.98738152103317"/>
    <n v="2433.6019894036244"/>
    <n v="0"/>
    <n v="0"/>
    <n v="0"/>
    <n v="2433.6019894036244"/>
  </r>
  <r>
    <x v="3"/>
    <d v="2024-05-03T00:00:00"/>
    <d v="2024-05-24T00:00:00"/>
    <x v="8"/>
    <n v="9"/>
    <n v="547"/>
    <n v="1.9866500085128156"/>
    <n v="5.063992369008159"/>
    <n v="2770.0038258474628"/>
    <n v="1086.6975546565102"/>
    <n v="1683.3062711909527"/>
    <n v="135.24603509836768"/>
    <n v="1818.5523062893203"/>
    <n v="0"/>
    <n v="0"/>
    <n v="0"/>
    <n v="1818.5523062893203"/>
  </r>
  <r>
    <x v="4"/>
    <d v="2024-06-05T00:00:00"/>
    <d v="2024-06-24T00:00:00"/>
    <x v="8"/>
    <n v="9"/>
    <n v="747"/>
    <n v="1.9866500085128156"/>
    <n v="5.063992369008159"/>
    <n v="3782.8022996490949"/>
    <n v="1484.0275563590733"/>
    <n v="2298.7747432900214"/>
    <n v="184.69613933908713"/>
    <n v="2483.4708826291085"/>
    <n v="0"/>
    <n v="0"/>
    <n v="0"/>
    <n v="2483.4708826291085"/>
  </r>
  <r>
    <x v="5"/>
    <d v="2024-07-03T00:00:00"/>
    <d v="2024-07-24T00:00:00"/>
    <x v="8"/>
    <n v="9"/>
    <n v="917"/>
    <n v="1.9866500085128156"/>
    <n v="5.063992369008159"/>
    <n v="4643.6810023804819"/>
    <n v="1821.7580578062518"/>
    <n v="2821.9229445742303"/>
    <n v="226.72872794369866"/>
    <n v="3048.651672517929"/>
    <n v="0"/>
    <n v="0"/>
    <n v="0"/>
    <n v="3048.651672517929"/>
  </r>
  <r>
    <x v="6"/>
    <d v="2024-08-05T00:00:00"/>
    <d v="2024-08-26T00:00:00"/>
    <x v="8"/>
    <n v="9"/>
    <n v="950"/>
    <n v="1.9866500085128156"/>
    <n v="5.063992369008159"/>
    <n v="4810.7927505577509"/>
    <n v="1887.3175080871747"/>
    <n v="2923.4752424705762"/>
    <n v="234.88799514341738"/>
    <n v="3158.3632376139935"/>
    <n v="0"/>
    <n v="0"/>
    <n v="0"/>
    <n v="3158.3632376139935"/>
  </r>
  <r>
    <x v="7"/>
    <d v="2024-09-04T00:00:00"/>
    <d v="2024-09-24T00:00:00"/>
    <x v="8"/>
    <n v="9"/>
    <n v="940"/>
    <n v="1.9866500085128156"/>
    <n v="5.063992369008159"/>
    <n v="4760.1528268676693"/>
    <n v="1867.4510080020466"/>
    <n v="2892.701818865623"/>
    <n v="232.41548993138136"/>
    <n v="3125.1173087970042"/>
    <n v="0"/>
    <n v="0"/>
    <n v="0"/>
    <n v="3125.1173087970042"/>
  </r>
  <r>
    <x v="8"/>
    <d v="2024-10-03T00:00:00"/>
    <d v="2024-10-24T00:00:00"/>
    <x v="8"/>
    <n v="9"/>
    <n v="816"/>
    <n v="1.9866500085128156"/>
    <n v="5.063992369008159"/>
    <n v="4132.2177731106576"/>
    <n v="1621.1064069464576"/>
    <n v="2511.1113661642003"/>
    <n v="201.75642530213531"/>
    <n v="2712.8677914663358"/>
    <n v="0"/>
    <n v="0"/>
    <n v="0"/>
    <n v="2712.8677914663358"/>
  </r>
  <r>
    <x v="9"/>
    <d v="2024-11-05T00:00:00"/>
    <d v="2024-11-25T00:00:00"/>
    <x v="8"/>
    <n v="9"/>
    <n v="683"/>
    <n v="1.9866500085128156"/>
    <n v="5.063992369008159"/>
    <n v="3458.7067880325726"/>
    <n v="1356.8819558142532"/>
    <n v="2101.8248322183194"/>
    <n v="168.87210598205692"/>
    <n v="2270.6969382003763"/>
    <n v="0"/>
    <n v="0"/>
    <n v="0"/>
    <n v="2270.6969382003763"/>
  </r>
  <r>
    <x v="10"/>
    <d v="2024-12-04T00:00:00"/>
    <d v="2024-12-24T00:00:00"/>
    <x v="8"/>
    <n v="9"/>
    <n v="525"/>
    <n v="1.9866500085128156"/>
    <n v="5.063992369008159"/>
    <n v="2658.5959937292832"/>
    <n v="1042.9912544692281"/>
    <n v="1615.6047392600551"/>
    <n v="129.80652363188855"/>
    <n v="1745.4112628919436"/>
    <n v="0"/>
    <n v="0"/>
    <n v="0"/>
    <n v="1745.4112628919436"/>
  </r>
  <r>
    <x v="11"/>
    <d v="2025-01-03T00:00:00"/>
    <d v="2025-01-24T00:00:00"/>
    <x v="8"/>
    <n v="9"/>
    <n v="863"/>
    <n v="1.9866500085128156"/>
    <n v="5.063992369008159"/>
    <n v="4370.2254144540411"/>
    <n v="1714.4789573465598"/>
    <n v="2655.7464571074815"/>
    <n v="213.3771997987044"/>
    <n v="2869.1236569061857"/>
    <n v="0"/>
    <n v="0"/>
    <n v="0"/>
    <n v="2869.1236569061857"/>
  </r>
  <r>
    <x v="0"/>
    <d v="2024-02-05T00:00:00"/>
    <d v="2024-02-26T00:00:00"/>
    <x v="9"/>
    <n v="9"/>
    <n v="8"/>
    <n v="1.9866500085128156"/>
    <n v="5.063992369008159"/>
    <n v="40.511938952065272"/>
    <n v="15.893200068102525"/>
    <n v="24.618738883962749"/>
    <n v="1.9780041696287778"/>
    <n v="26.596743053591528"/>
    <n v="0"/>
    <n v="0"/>
    <n v="0"/>
    <n v="26.596743053591528"/>
  </r>
  <r>
    <x v="1"/>
    <d v="2024-03-05T00:00:00"/>
    <d v="2024-03-25T00:00:00"/>
    <x v="9"/>
    <n v="9"/>
    <n v="5"/>
    <n v="1.9866500085128156"/>
    <n v="5.063992369008159"/>
    <n v="25.319961845040794"/>
    <n v="9.9332500425640777"/>
    <n v="15.386711802476716"/>
    <n v="1.2362526060179861"/>
    <n v="16.622964408494703"/>
    <n v="0"/>
    <n v="0"/>
    <n v="0"/>
    <n v="16.622964408494703"/>
  </r>
  <r>
    <x v="2"/>
    <d v="2024-04-03T00:00:00"/>
    <d v="2024-04-24T00:00:00"/>
    <x v="9"/>
    <n v="9"/>
    <n v="5"/>
    <n v="1.9866500085128156"/>
    <n v="5.063992369008159"/>
    <n v="25.319961845040794"/>
    <n v="9.9332500425640777"/>
    <n v="15.386711802476716"/>
    <n v="1.2362526060179861"/>
    <n v="16.622964408494703"/>
    <n v="0"/>
    <n v="0"/>
    <n v="0"/>
    <n v="16.622964408494703"/>
  </r>
  <r>
    <x v="3"/>
    <d v="2024-05-03T00:00:00"/>
    <d v="2024-05-24T00:00:00"/>
    <x v="9"/>
    <n v="9"/>
    <n v="6"/>
    <n v="1.9866500085128156"/>
    <n v="5.063992369008159"/>
    <n v="30.383954214048956"/>
    <n v="11.919900051076894"/>
    <n v="18.464054162972062"/>
    <n v="1.4835031272215833"/>
    <n v="19.947557290193643"/>
    <n v="0"/>
    <n v="0"/>
    <n v="0"/>
    <n v="19.947557290193643"/>
  </r>
  <r>
    <x v="4"/>
    <d v="2024-06-05T00:00:00"/>
    <d v="2024-06-24T00:00:00"/>
    <x v="9"/>
    <n v="9"/>
    <n v="9"/>
    <n v="1.9866500085128156"/>
    <n v="5.063992369008159"/>
    <n v="45.575931321073433"/>
    <n v="17.879850076615341"/>
    <n v="27.696081244458092"/>
    <n v="2.2252546908323749"/>
    <n v="29.921335935290468"/>
    <n v="0"/>
    <n v="0"/>
    <n v="0"/>
    <n v="29.921335935290468"/>
  </r>
  <r>
    <x v="5"/>
    <d v="2024-07-03T00:00:00"/>
    <d v="2024-07-24T00:00:00"/>
    <x v="9"/>
    <n v="9"/>
    <n v="14"/>
    <n v="1.9866500085128156"/>
    <n v="5.063992369008159"/>
    <n v="70.89589316611422"/>
    <n v="27.813100119179417"/>
    <n v="43.082793046934803"/>
    <n v="3.4615072968503613"/>
    <n v="46.544300343785167"/>
    <n v="0"/>
    <n v="0"/>
    <n v="0"/>
    <n v="46.544300343785167"/>
  </r>
  <r>
    <x v="6"/>
    <d v="2024-08-05T00:00:00"/>
    <d v="2024-08-26T00:00:00"/>
    <x v="9"/>
    <n v="9"/>
    <n v="17"/>
    <n v="1.9866500085128156"/>
    <n v="5.063992369008159"/>
    <n v="86.087870273138705"/>
    <n v="33.773050144717864"/>
    <n v="52.314820128420841"/>
    <n v="4.2032588604611529"/>
    <n v="56.518078988881996"/>
    <n v="0"/>
    <n v="0"/>
    <n v="0"/>
    <n v="56.518078988881996"/>
  </r>
  <r>
    <x v="7"/>
    <d v="2024-09-04T00:00:00"/>
    <d v="2024-09-24T00:00:00"/>
    <x v="9"/>
    <n v="9"/>
    <n v="19"/>
    <n v="1.9866500085128156"/>
    <n v="5.063992369008159"/>
    <n v="96.215855011155014"/>
    <n v="37.746350161743493"/>
    <n v="58.469504849411521"/>
    <n v="4.6977599028683477"/>
    <n v="63.16726475227987"/>
    <n v="0"/>
    <n v="0"/>
    <n v="0"/>
    <n v="63.16726475227987"/>
  </r>
  <r>
    <x v="8"/>
    <d v="2024-10-03T00:00:00"/>
    <d v="2024-10-24T00:00:00"/>
    <x v="9"/>
    <n v="9"/>
    <n v="11"/>
    <n v="1.9866500085128156"/>
    <n v="5.063992369008159"/>
    <n v="55.70391605908975"/>
    <n v="21.85315009364097"/>
    <n v="33.85076596544878"/>
    <n v="2.7197557332395692"/>
    <n v="36.570521698688346"/>
    <n v="0"/>
    <n v="0"/>
    <n v="0"/>
    <n v="36.570521698688346"/>
  </r>
  <r>
    <x v="9"/>
    <d v="2024-11-05T00:00:00"/>
    <d v="2024-11-25T00:00:00"/>
    <x v="9"/>
    <n v="9"/>
    <n v="6"/>
    <n v="1.9866500085128156"/>
    <n v="5.063992369008159"/>
    <n v="30.383954214048956"/>
    <n v="11.919900051076894"/>
    <n v="18.464054162972062"/>
    <n v="1.4835031272215833"/>
    <n v="19.947557290193643"/>
    <n v="0"/>
    <n v="0"/>
    <n v="0"/>
    <n v="19.947557290193643"/>
  </r>
  <r>
    <x v="10"/>
    <d v="2024-12-04T00:00:00"/>
    <d v="2024-12-24T00:00:00"/>
    <x v="9"/>
    <n v="9"/>
    <n v="6"/>
    <n v="1.9866500085128156"/>
    <n v="5.063992369008159"/>
    <n v="30.383954214048956"/>
    <n v="11.919900051076894"/>
    <n v="18.464054162972062"/>
    <n v="1.4835031272215833"/>
    <n v="19.947557290193643"/>
    <n v="0"/>
    <n v="0"/>
    <n v="0"/>
    <n v="19.947557290193643"/>
  </r>
  <r>
    <x v="11"/>
    <d v="2025-01-03T00:00:00"/>
    <d v="2025-01-24T00:00:00"/>
    <x v="9"/>
    <n v="9"/>
    <n v="6"/>
    <n v="1.9866500085128156"/>
    <n v="5.063992369008159"/>
    <n v="30.383954214048956"/>
    <n v="11.919900051076894"/>
    <n v="18.464054162972062"/>
    <n v="1.4835031272215833"/>
    <n v="19.947557290193643"/>
    <n v="0"/>
    <n v="0"/>
    <n v="0"/>
    <n v="19.947557290193643"/>
  </r>
  <r>
    <x v="0"/>
    <d v="2024-02-05T00:00:00"/>
    <d v="2024-02-26T00:00:00"/>
    <x v="10"/>
    <n v="9"/>
    <n v="4"/>
    <n v="1.9866500085128156"/>
    <n v="5.063992369008159"/>
    <n v="20.255969476032636"/>
    <n v="7.9466000340512624"/>
    <n v="12.309369441981374"/>
    <n v="0.98900208481438889"/>
    <n v="13.298371526795764"/>
    <n v="0"/>
    <n v="0"/>
    <n v="0"/>
    <n v="13.298371526795764"/>
  </r>
  <r>
    <x v="1"/>
    <d v="2024-03-05T00:00:00"/>
    <d v="2024-03-25T00:00:00"/>
    <x v="10"/>
    <n v="9"/>
    <n v="3"/>
    <n v="1.9866500085128156"/>
    <n v="5.063992369008159"/>
    <n v="15.191977107024478"/>
    <n v="5.959950025538447"/>
    <n v="9.2320270814860308"/>
    <n v="0.74175156361079164"/>
    <n v="9.9737786450968215"/>
    <n v="0"/>
    <n v="0"/>
    <n v="0"/>
    <n v="9.9737786450968215"/>
  </r>
  <r>
    <x v="2"/>
    <d v="2024-04-03T00:00:00"/>
    <d v="2024-04-24T00:00:00"/>
    <x v="10"/>
    <n v="9"/>
    <n v="3"/>
    <n v="1.9866500085128156"/>
    <n v="5.063992369008159"/>
    <n v="15.191977107024478"/>
    <n v="5.959950025538447"/>
    <n v="9.2320270814860308"/>
    <n v="0.74175156361079164"/>
    <n v="9.9737786450968215"/>
    <n v="0"/>
    <n v="0"/>
    <n v="0"/>
    <n v="9.9737786450968215"/>
  </r>
  <r>
    <x v="3"/>
    <d v="2024-05-03T00:00:00"/>
    <d v="2024-05-24T00:00:00"/>
    <x v="10"/>
    <n v="9"/>
    <n v="2"/>
    <n v="1.9866500085128156"/>
    <n v="5.063992369008159"/>
    <n v="10.127984738016318"/>
    <n v="3.9733000170256312"/>
    <n v="6.1546847209906872"/>
    <n v="0.49450104240719445"/>
    <n v="6.6491857633978819"/>
    <n v="0"/>
    <n v="0"/>
    <n v="0"/>
    <n v="6.6491857633978819"/>
  </r>
  <r>
    <x v="4"/>
    <d v="2024-06-05T00:00:00"/>
    <d v="2024-06-24T00:00:00"/>
    <x v="10"/>
    <n v="9"/>
    <n v="4"/>
    <n v="1.9866500085128156"/>
    <n v="5.063992369008159"/>
    <n v="20.255969476032636"/>
    <n v="7.9466000340512624"/>
    <n v="12.309369441981374"/>
    <n v="0.98900208481438889"/>
    <n v="13.298371526795764"/>
    <n v="0"/>
    <n v="0"/>
    <n v="0"/>
    <n v="13.298371526795764"/>
  </r>
  <r>
    <x v="5"/>
    <d v="2024-07-03T00:00:00"/>
    <d v="2024-07-24T00:00:00"/>
    <x v="10"/>
    <n v="9"/>
    <n v="4"/>
    <n v="1.9866500085128156"/>
    <n v="5.063992369008159"/>
    <n v="20.255969476032636"/>
    <n v="7.9466000340512624"/>
    <n v="12.309369441981374"/>
    <n v="0.98900208481438889"/>
    <n v="13.298371526795764"/>
    <n v="0"/>
    <n v="0"/>
    <n v="0"/>
    <n v="13.298371526795764"/>
  </r>
  <r>
    <x v="6"/>
    <d v="2024-08-05T00:00:00"/>
    <d v="2024-08-26T00:00:00"/>
    <x v="10"/>
    <n v="9"/>
    <n v="6"/>
    <n v="1.9866500085128156"/>
    <n v="5.063992369008159"/>
    <n v="30.383954214048956"/>
    <n v="11.919900051076894"/>
    <n v="18.464054162972062"/>
    <n v="1.4835031272215833"/>
    <n v="19.947557290193643"/>
    <n v="0"/>
    <n v="0"/>
    <n v="0"/>
    <n v="19.947557290193643"/>
  </r>
  <r>
    <x v="7"/>
    <d v="2024-09-04T00:00:00"/>
    <d v="2024-09-24T00:00:00"/>
    <x v="10"/>
    <n v="9"/>
    <n v="6"/>
    <n v="1.9866500085128156"/>
    <n v="5.063992369008159"/>
    <n v="30.383954214048956"/>
    <n v="11.919900051076894"/>
    <n v="18.464054162972062"/>
    <n v="1.4835031272215833"/>
    <n v="19.947557290193643"/>
    <n v="0"/>
    <n v="0"/>
    <n v="0"/>
    <n v="19.947557290193643"/>
  </r>
  <r>
    <x v="8"/>
    <d v="2024-10-03T00:00:00"/>
    <d v="2024-10-24T00:00:00"/>
    <x v="10"/>
    <n v="9"/>
    <n v="3"/>
    <n v="1.9866500085128156"/>
    <n v="5.063992369008159"/>
    <n v="15.191977107024478"/>
    <n v="5.959950025538447"/>
    <n v="9.2320270814860308"/>
    <n v="0.74175156361079164"/>
    <n v="9.9737786450968215"/>
    <n v="0"/>
    <n v="0"/>
    <n v="0"/>
    <n v="9.9737786450968215"/>
  </r>
  <r>
    <x v="9"/>
    <d v="2024-11-05T00:00:00"/>
    <d v="2024-11-25T00:00:00"/>
    <x v="10"/>
    <n v="9"/>
    <n v="6"/>
    <n v="1.9866500085128156"/>
    <n v="5.063992369008159"/>
    <n v="30.383954214048956"/>
    <n v="11.919900051076894"/>
    <n v="18.464054162972062"/>
    <n v="1.4835031272215833"/>
    <n v="19.947557290193643"/>
    <n v="0"/>
    <n v="0"/>
    <n v="0"/>
    <n v="19.947557290193643"/>
  </r>
  <r>
    <x v="10"/>
    <d v="2024-12-04T00:00:00"/>
    <d v="2024-12-24T00:00:00"/>
    <x v="10"/>
    <n v="9"/>
    <n v="1"/>
    <n v="1.9866500085128156"/>
    <n v="5.063992369008159"/>
    <n v="5.063992369008159"/>
    <n v="1.9866500085128156"/>
    <n v="3.0773423604953436"/>
    <n v="0.24725052120359722"/>
    <n v="3.324592881698941"/>
    <n v="0"/>
    <n v="0"/>
    <n v="0"/>
    <n v="3.324592881698941"/>
  </r>
  <r>
    <x v="11"/>
    <d v="2025-01-03T00:00:00"/>
    <d v="2025-01-24T00:00:00"/>
    <x v="10"/>
    <n v="9"/>
    <n v="3"/>
    <n v="1.9866500085128156"/>
    <n v="5.063992369008159"/>
    <n v="15.191977107024478"/>
    <n v="5.959950025538447"/>
    <n v="9.2320270814860308"/>
    <n v="0.74175156361079164"/>
    <n v="9.9737786450968215"/>
    <n v="0"/>
    <n v="0"/>
    <n v="0"/>
    <n v="9.9737786450968215"/>
  </r>
  <r>
    <x v="0"/>
    <d v="2024-02-05T00:00:00"/>
    <d v="2024-02-26T00:00:00"/>
    <x v="11"/>
    <n v="9"/>
    <n v="145"/>
    <n v="1.9866500085128156"/>
    <n v="5.063992369008159"/>
    <n v="734.27889350618307"/>
    <n v="288.06425123435827"/>
    <n v="446.2146422718248"/>
    <n v="35.851325574521596"/>
    <n v="482.06596784634638"/>
    <n v="0"/>
    <n v="0"/>
    <n v="0"/>
    <n v="482.06596784634638"/>
  </r>
  <r>
    <x v="1"/>
    <d v="2024-03-05T00:00:00"/>
    <d v="2024-03-25T00:00:00"/>
    <x v="11"/>
    <n v="9"/>
    <n v="100"/>
    <n v="1.9866500085128156"/>
    <n v="5.063992369008159"/>
    <n v="506.39923690081588"/>
    <n v="198.66500085128155"/>
    <n v="307.73423604953433"/>
    <n v="24.725052120359724"/>
    <n v="332.45928816989408"/>
    <n v="0"/>
    <n v="0"/>
    <n v="0"/>
    <n v="332.45928816989408"/>
  </r>
  <r>
    <x v="2"/>
    <d v="2024-04-03T00:00:00"/>
    <d v="2024-04-24T00:00:00"/>
    <x v="11"/>
    <n v="9"/>
    <n v="92"/>
    <n v="1.9866500085128156"/>
    <n v="5.063992369008159"/>
    <n v="465.88729794875064"/>
    <n v="182.77180078317903"/>
    <n v="283.11549716557158"/>
    <n v="22.747047950730945"/>
    <n v="305.8625451163025"/>
    <n v="0"/>
    <n v="0"/>
    <n v="0"/>
    <n v="305.8625451163025"/>
  </r>
  <r>
    <x v="3"/>
    <d v="2024-05-03T00:00:00"/>
    <d v="2024-05-24T00:00:00"/>
    <x v="11"/>
    <n v="9"/>
    <n v="101"/>
    <n v="1.9866500085128156"/>
    <n v="5.063992369008159"/>
    <n v="511.46322926982407"/>
    <n v="200.65165085979439"/>
    <n v="310.81157841002971"/>
    <n v="24.972302641563321"/>
    <n v="335.78388105159303"/>
    <n v="0"/>
    <n v="0"/>
    <n v="0"/>
    <n v="335.78388105159303"/>
  </r>
  <r>
    <x v="4"/>
    <d v="2024-06-05T00:00:00"/>
    <d v="2024-06-24T00:00:00"/>
    <x v="11"/>
    <n v="9"/>
    <n v="118"/>
    <n v="1.9866500085128156"/>
    <n v="5.063992369008159"/>
    <n v="597.55109954296279"/>
    <n v="234.42470100451223"/>
    <n v="363.12639853845053"/>
    <n v="29.175561502024472"/>
    <n v="392.30196004047502"/>
    <n v="0"/>
    <n v="0"/>
    <n v="0"/>
    <n v="392.30196004047502"/>
  </r>
  <r>
    <x v="5"/>
    <d v="2024-07-03T00:00:00"/>
    <d v="2024-07-24T00:00:00"/>
    <x v="11"/>
    <n v="9"/>
    <n v="173"/>
    <n v="1.9866500085128156"/>
    <n v="5.063992369008159"/>
    <n v="876.07067983841148"/>
    <n v="343.69045147271709"/>
    <n v="532.38022836569439"/>
    <n v="42.774340168222317"/>
    <n v="575.15456853391674"/>
    <n v="0"/>
    <n v="0"/>
    <n v="0"/>
    <n v="575.15456853391674"/>
  </r>
  <r>
    <x v="6"/>
    <d v="2024-08-05T00:00:00"/>
    <d v="2024-08-26T00:00:00"/>
    <x v="11"/>
    <n v="9"/>
    <n v="164"/>
    <n v="1.9866500085128156"/>
    <n v="5.063992369008159"/>
    <n v="830.49474851733805"/>
    <n v="325.81060139610173"/>
    <n v="504.68414712123632"/>
    <n v="40.549085477389944"/>
    <n v="545.23323259862627"/>
    <n v="0"/>
    <n v="0"/>
    <n v="0"/>
    <n v="545.23323259862627"/>
  </r>
  <r>
    <x v="7"/>
    <d v="2024-09-04T00:00:00"/>
    <d v="2024-09-24T00:00:00"/>
    <x v="11"/>
    <n v="9"/>
    <n v="170"/>
    <n v="1.9866500085128156"/>
    <n v="5.063992369008159"/>
    <n v="860.87870273138708"/>
    <n v="337.73050144717865"/>
    <n v="523.14820128420843"/>
    <n v="42.032588604611526"/>
    <n v="565.18078988881996"/>
    <n v="0"/>
    <n v="0"/>
    <n v="0"/>
    <n v="565.18078988881996"/>
  </r>
  <r>
    <x v="8"/>
    <d v="2024-10-03T00:00:00"/>
    <d v="2024-10-24T00:00:00"/>
    <x v="11"/>
    <n v="9"/>
    <n v="156"/>
    <n v="1.9866500085128156"/>
    <n v="5.063992369008159"/>
    <n v="789.98280956527276"/>
    <n v="309.91740132799924"/>
    <n v="480.06540823727352"/>
    <n v="38.571081307761169"/>
    <n v="518.63648954503469"/>
    <n v="0"/>
    <n v="0"/>
    <n v="0"/>
    <n v="518.63648954503469"/>
  </r>
  <r>
    <x v="9"/>
    <d v="2024-11-05T00:00:00"/>
    <d v="2024-11-25T00:00:00"/>
    <x v="11"/>
    <n v="9"/>
    <n v="139"/>
    <n v="1.9866500085128156"/>
    <n v="5.063992369008159"/>
    <n v="703.89493929213404"/>
    <n v="276.14435118328134"/>
    <n v="427.7505881088527"/>
    <n v="34.367822447300014"/>
    <n v="462.1184105561527"/>
    <n v="0"/>
    <n v="0"/>
    <n v="0"/>
    <n v="462.1184105561527"/>
  </r>
  <r>
    <x v="10"/>
    <d v="2024-12-04T00:00:00"/>
    <d v="2024-12-24T00:00:00"/>
    <x v="11"/>
    <n v="9"/>
    <n v="90"/>
    <n v="1.9866500085128156"/>
    <n v="5.063992369008159"/>
    <n v="455.75931321073432"/>
    <n v="178.79850076615341"/>
    <n v="276.96081244458094"/>
    <n v="22.252546908323751"/>
    <n v="299.21335935290472"/>
    <n v="0"/>
    <n v="0"/>
    <n v="0"/>
    <n v="299.21335935290472"/>
  </r>
  <r>
    <x v="11"/>
    <d v="2025-01-03T00:00:00"/>
    <d v="2025-01-24T00:00:00"/>
    <x v="11"/>
    <n v="9"/>
    <n v="110"/>
    <n v="1.9866500085128156"/>
    <n v="5.063992369008159"/>
    <n v="557.0391605908975"/>
    <n v="218.53150093640971"/>
    <n v="338.50765965448778"/>
    <n v="27.197557332395693"/>
    <n v="365.7052169868835"/>
    <n v="0"/>
    <n v="0"/>
    <n v="0"/>
    <n v="365.7052169868835"/>
  </r>
  <r>
    <x v="0"/>
    <d v="2024-02-05T00:00:00"/>
    <d v="2024-02-26T00:00:00"/>
    <x v="12"/>
    <n v="9"/>
    <n v="9"/>
    <n v="1.9866500085128156"/>
    <n v="5.063992369008159"/>
    <n v="45.575931321073433"/>
    <n v="17.879850076615341"/>
    <n v="27.696081244458092"/>
    <n v="2.2252546908323749"/>
    <n v="29.921335935290468"/>
    <n v="0"/>
    <n v="0"/>
    <n v="0"/>
    <n v="29.921335935290468"/>
  </r>
  <r>
    <x v="1"/>
    <d v="2024-03-05T00:00:00"/>
    <d v="2024-03-25T00:00:00"/>
    <x v="12"/>
    <n v="9"/>
    <n v="8"/>
    <n v="1.9866500085128156"/>
    <n v="5.063992369008159"/>
    <n v="40.511938952065272"/>
    <n v="15.893200068102525"/>
    <n v="24.618738883962749"/>
    <n v="1.9780041696287778"/>
    <n v="26.596743053591528"/>
    <n v="0"/>
    <n v="0"/>
    <n v="0"/>
    <n v="26.596743053591528"/>
  </r>
  <r>
    <x v="2"/>
    <d v="2024-04-03T00:00:00"/>
    <d v="2024-04-24T00:00:00"/>
    <x v="12"/>
    <n v="9"/>
    <n v="10"/>
    <n v="1.9866500085128156"/>
    <n v="5.063992369008159"/>
    <n v="50.639923690081588"/>
    <n v="19.866500085128155"/>
    <n v="30.773423604953432"/>
    <n v="2.4725052120359723"/>
    <n v="33.245928816989405"/>
    <n v="0"/>
    <n v="0"/>
    <n v="0"/>
    <n v="33.245928816989405"/>
  </r>
  <r>
    <x v="3"/>
    <d v="2024-05-03T00:00:00"/>
    <d v="2024-05-24T00:00:00"/>
    <x v="12"/>
    <n v="9"/>
    <n v="7"/>
    <n v="1.9866500085128156"/>
    <n v="5.063992369008159"/>
    <n v="35.44794658305711"/>
    <n v="13.906550059589708"/>
    <n v="21.541396523467402"/>
    <n v="1.7307536484251806"/>
    <n v="23.272150171892584"/>
    <n v="0"/>
    <n v="0"/>
    <n v="0"/>
    <n v="23.272150171892584"/>
  </r>
  <r>
    <x v="4"/>
    <d v="2024-06-05T00:00:00"/>
    <d v="2024-06-24T00:00:00"/>
    <x v="12"/>
    <n v="9"/>
    <n v="10"/>
    <n v="1.9866500085128156"/>
    <n v="5.063992369008159"/>
    <n v="50.639923690081588"/>
    <n v="19.866500085128155"/>
    <n v="30.773423604953432"/>
    <n v="2.4725052120359723"/>
    <n v="33.245928816989405"/>
    <n v="0"/>
    <n v="0"/>
    <n v="0"/>
    <n v="33.245928816989405"/>
  </r>
  <r>
    <x v="5"/>
    <d v="2024-07-03T00:00:00"/>
    <d v="2024-07-24T00:00:00"/>
    <x v="12"/>
    <n v="9"/>
    <n v="10"/>
    <n v="1.9866500085128156"/>
    <n v="5.063992369008159"/>
    <n v="50.639923690081588"/>
    <n v="19.866500085128155"/>
    <n v="30.773423604953432"/>
    <n v="2.4725052120359723"/>
    <n v="33.245928816989405"/>
    <n v="0"/>
    <n v="0"/>
    <n v="0"/>
    <n v="33.245928816989405"/>
  </r>
  <r>
    <x v="6"/>
    <d v="2024-08-05T00:00:00"/>
    <d v="2024-08-26T00:00:00"/>
    <x v="12"/>
    <n v="9"/>
    <n v="12"/>
    <n v="1.9866500085128156"/>
    <n v="5.063992369008159"/>
    <n v="60.767908428097911"/>
    <n v="23.839800102153788"/>
    <n v="36.928108325944123"/>
    <n v="2.9670062544431666"/>
    <n v="39.895114580387286"/>
    <n v="0"/>
    <n v="0"/>
    <n v="0"/>
    <n v="39.895114580387286"/>
  </r>
  <r>
    <x v="7"/>
    <d v="2024-09-04T00:00:00"/>
    <d v="2024-09-24T00:00:00"/>
    <x v="12"/>
    <n v="9"/>
    <n v="12"/>
    <n v="1.9866500085128156"/>
    <n v="5.063992369008159"/>
    <n v="60.767908428097911"/>
    <n v="23.839800102153788"/>
    <n v="36.928108325944123"/>
    <n v="2.9670062544431666"/>
    <n v="39.895114580387286"/>
    <n v="0"/>
    <n v="0"/>
    <n v="0"/>
    <n v="39.895114580387286"/>
  </r>
  <r>
    <x v="8"/>
    <d v="2024-10-03T00:00:00"/>
    <d v="2024-10-24T00:00:00"/>
    <x v="12"/>
    <n v="9"/>
    <n v="11"/>
    <n v="1.9866500085128156"/>
    <n v="5.063992369008159"/>
    <n v="55.70391605908975"/>
    <n v="21.85315009364097"/>
    <n v="33.85076596544878"/>
    <n v="2.7197557332395692"/>
    <n v="36.570521698688346"/>
    <n v="0"/>
    <n v="0"/>
    <n v="0"/>
    <n v="36.570521698688346"/>
  </r>
  <r>
    <x v="9"/>
    <d v="2024-11-05T00:00:00"/>
    <d v="2024-11-25T00:00:00"/>
    <x v="12"/>
    <n v="9"/>
    <n v="10"/>
    <n v="1.9866500085128156"/>
    <n v="5.063992369008159"/>
    <n v="50.639923690081588"/>
    <n v="19.866500085128155"/>
    <n v="30.773423604953432"/>
    <n v="2.4725052120359723"/>
    <n v="33.245928816989405"/>
    <n v="0"/>
    <n v="0"/>
    <n v="0"/>
    <n v="33.245928816989405"/>
  </r>
  <r>
    <x v="10"/>
    <d v="2024-12-04T00:00:00"/>
    <d v="2024-12-24T00:00:00"/>
    <x v="12"/>
    <n v="9"/>
    <n v="10"/>
    <n v="1.9866500085128156"/>
    <n v="5.063992369008159"/>
    <n v="50.639923690081588"/>
    <n v="19.866500085128155"/>
    <n v="30.773423604953432"/>
    <n v="2.4725052120359723"/>
    <n v="33.245928816989405"/>
    <n v="0"/>
    <n v="0"/>
    <n v="0"/>
    <n v="33.245928816989405"/>
  </r>
  <r>
    <x v="11"/>
    <d v="2025-01-03T00:00:00"/>
    <d v="2025-01-24T00:00:00"/>
    <x v="12"/>
    <n v="9"/>
    <n v="10"/>
    <n v="1.9866500085128156"/>
    <n v="5.063992369008159"/>
    <n v="50.639923690081588"/>
    <n v="19.866500085128155"/>
    <n v="30.773423604953432"/>
    <n v="2.4725052120359723"/>
    <n v="33.245928816989405"/>
    <n v="0"/>
    <n v="0"/>
    <n v="0"/>
    <n v="33.245928816989405"/>
  </r>
  <r>
    <x v="0"/>
    <d v="2024-02-05T00:00:00"/>
    <d v="2024-02-26T00:00:00"/>
    <x v="13"/>
    <n v="9"/>
    <n v="26"/>
    <n v="1.9866500085128156"/>
    <n v="5.063992369008159"/>
    <n v="131.66380159421215"/>
    <n v="51.652900221333205"/>
    <n v="80.010901372878948"/>
    <n v="6.4285135512935279"/>
    <n v="86.439414924172482"/>
    <n v="0"/>
    <n v="0"/>
    <n v="0"/>
    <n v="86.439414924172482"/>
  </r>
  <r>
    <x v="1"/>
    <d v="2024-03-05T00:00:00"/>
    <d v="2024-03-25T00:00:00"/>
    <x v="13"/>
    <n v="9"/>
    <n v="19"/>
    <n v="1.9866500085128156"/>
    <n v="5.063992369008159"/>
    <n v="96.215855011155014"/>
    <n v="37.746350161743493"/>
    <n v="58.469504849411521"/>
    <n v="4.6977599028683477"/>
    <n v="63.16726475227987"/>
    <n v="0"/>
    <n v="0"/>
    <n v="0"/>
    <n v="63.16726475227987"/>
  </r>
  <r>
    <x v="2"/>
    <d v="2024-04-03T00:00:00"/>
    <d v="2024-04-24T00:00:00"/>
    <x v="13"/>
    <n v="9"/>
    <n v="18"/>
    <n v="1.9866500085128156"/>
    <n v="5.063992369008159"/>
    <n v="91.151862642146867"/>
    <n v="35.759700153230682"/>
    <n v="55.392162488916185"/>
    <n v="4.4505093816647499"/>
    <n v="59.842671870580936"/>
    <n v="0"/>
    <n v="0"/>
    <n v="0"/>
    <n v="59.842671870580936"/>
  </r>
  <r>
    <x v="3"/>
    <d v="2024-05-03T00:00:00"/>
    <d v="2024-05-24T00:00:00"/>
    <x v="13"/>
    <n v="9"/>
    <n v="22"/>
    <n v="1.9866500085128156"/>
    <n v="5.063992369008159"/>
    <n v="111.4078321181795"/>
    <n v="43.70630018728194"/>
    <n v="67.701531930897559"/>
    <n v="5.4395114664791384"/>
    <n v="73.141043397376691"/>
    <n v="0"/>
    <n v="0"/>
    <n v="0"/>
    <n v="73.141043397376691"/>
  </r>
  <r>
    <x v="4"/>
    <d v="2024-06-05T00:00:00"/>
    <d v="2024-06-24T00:00:00"/>
    <x v="13"/>
    <n v="9"/>
    <n v="31"/>
    <n v="1.9866500085128156"/>
    <n v="5.063992369008159"/>
    <n v="156.98376343925293"/>
    <n v="61.586150263897281"/>
    <n v="95.397613175355644"/>
    <n v="7.6647661573115133"/>
    <n v="103.06237933266716"/>
    <n v="0"/>
    <n v="0"/>
    <n v="0"/>
    <n v="103.06237933266716"/>
  </r>
  <r>
    <x v="5"/>
    <d v="2024-07-03T00:00:00"/>
    <d v="2024-07-24T00:00:00"/>
    <x v="13"/>
    <n v="9"/>
    <n v="36"/>
    <n v="1.9866500085128156"/>
    <n v="5.063992369008159"/>
    <n v="182.30372528429373"/>
    <n v="71.519400306461364"/>
    <n v="110.78432497783237"/>
    <n v="8.9010187633294997"/>
    <n v="119.68534374116187"/>
    <n v="0"/>
    <n v="0"/>
    <n v="0"/>
    <n v="119.68534374116187"/>
  </r>
  <r>
    <x v="6"/>
    <d v="2024-08-05T00:00:00"/>
    <d v="2024-08-26T00:00:00"/>
    <x v="13"/>
    <n v="9"/>
    <n v="38"/>
    <n v="1.9866500085128156"/>
    <n v="5.063992369008159"/>
    <n v="192.43171002231003"/>
    <n v="75.492700323486986"/>
    <n v="116.93900969882304"/>
    <n v="9.3955198057366953"/>
    <n v="126.33452950455974"/>
    <n v="0"/>
    <n v="0"/>
    <n v="0"/>
    <n v="126.33452950455974"/>
  </r>
  <r>
    <x v="7"/>
    <d v="2024-09-04T00:00:00"/>
    <d v="2024-09-24T00:00:00"/>
    <x v="13"/>
    <n v="9"/>
    <n v="41"/>
    <n v="1.9866500085128156"/>
    <n v="5.063992369008159"/>
    <n v="207.62368712933451"/>
    <n v="81.452650349025433"/>
    <n v="126.17103678030908"/>
    <n v="10.137271369347486"/>
    <n v="136.30830814965657"/>
    <n v="0"/>
    <n v="0"/>
    <n v="0"/>
    <n v="136.30830814965657"/>
  </r>
  <r>
    <x v="8"/>
    <d v="2024-10-03T00:00:00"/>
    <d v="2024-10-24T00:00:00"/>
    <x v="13"/>
    <n v="9"/>
    <n v="29"/>
    <n v="1.9866500085128156"/>
    <n v="5.063992369008159"/>
    <n v="146.8557787012366"/>
    <n v="57.612850246871652"/>
    <n v="89.242928454364943"/>
    <n v="7.1702651149043186"/>
    <n v="96.413193569269268"/>
    <n v="0"/>
    <n v="0"/>
    <n v="0"/>
    <n v="96.413193569269268"/>
  </r>
  <r>
    <x v="9"/>
    <d v="2024-11-05T00:00:00"/>
    <d v="2024-11-25T00:00:00"/>
    <x v="13"/>
    <n v="9"/>
    <n v="26"/>
    <n v="1.9866500085128156"/>
    <n v="5.063992369008159"/>
    <n v="131.66380159421215"/>
    <n v="51.652900221333205"/>
    <n v="80.010901372878948"/>
    <n v="6.4285135512935279"/>
    <n v="86.439414924172482"/>
    <n v="0"/>
    <n v="0"/>
    <n v="0"/>
    <n v="86.439414924172482"/>
  </r>
  <r>
    <x v="10"/>
    <d v="2024-12-04T00:00:00"/>
    <d v="2024-12-24T00:00:00"/>
    <x v="13"/>
    <n v="9"/>
    <n v="22"/>
    <n v="1.9866500085128156"/>
    <n v="5.063992369008159"/>
    <n v="111.4078321181795"/>
    <n v="43.70630018728194"/>
    <n v="67.701531930897559"/>
    <n v="5.4395114664791384"/>
    <n v="73.141043397376691"/>
    <n v="0"/>
    <n v="0"/>
    <n v="0"/>
    <n v="73.141043397376691"/>
  </r>
  <r>
    <x v="11"/>
    <d v="2025-01-03T00:00:00"/>
    <d v="2025-01-24T00:00:00"/>
    <x v="13"/>
    <n v="9"/>
    <n v="18"/>
    <n v="1.9866500085128156"/>
    <n v="5.063992369008159"/>
    <n v="91.151862642146867"/>
    <n v="35.759700153230682"/>
    <n v="55.392162488916185"/>
    <n v="4.4505093816647499"/>
    <n v="59.842671870580936"/>
    <n v="0"/>
    <n v="0"/>
    <n v="0"/>
    <n v="59.842671870580936"/>
  </r>
  <r>
    <x v="0"/>
    <d v="2024-02-05T00:00:00"/>
    <d v="2024-02-26T00:00:00"/>
    <x v="14"/>
    <n v="9"/>
    <n v="34"/>
    <n v="1.9866500085128156"/>
    <n v="5.063992369008159"/>
    <n v="172.17574054627741"/>
    <n v="67.546100289435728"/>
    <n v="104.62964025684168"/>
    <n v="8.4065177209223059"/>
    <n v="113.03615797776399"/>
    <n v="0"/>
    <n v="0"/>
    <n v="0"/>
    <n v="113.03615797776399"/>
  </r>
  <r>
    <x v="1"/>
    <d v="2024-03-05T00:00:00"/>
    <d v="2024-03-25T00:00:00"/>
    <x v="14"/>
    <n v="9"/>
    <n v="32"/>
    <n v="1.9866500085128156"/>
    <n v="5.063992369008159"/>
    <n v="162.04775580826109"/>
    <n v="63.572800272410099"/>
    <n v="98.474955535850995"/>
    <n v="7.9120166785151111"/>
    <n v="106.38697221436611"/>
    <n v="0"/>
    <n v="0"/>
    <n v="0"/>
    <n v="106.38697221436611"/>
  </r>
  <r>
    <x v="2"/>
    <d v="2024-04-03T00:00:00"/>
    <d v="2024-04-24T00:00:00"/>
    <x v="14"/>
    <n v="9"/>
    <n v="32"/>
    <n v="1.9866500085128156"/>
    <n v="5.063992369008159"/>
    <n v="162.04775580826109"/>
    <n v="63.572800272410099"/>
    <n v="98.474955535850995"/>
    <n v="7.9120166785151111"/>
    <n v="106.38697221436611"/>
    <n v="0"/>
    <n v="0"/>
    <n v="0"/>
    <n v="106.38697221436611"/>
  </r>
  <r>
    <x v="3"/>
    <d v="2024-05-03T00:00:00"/>
    <d v="2024-05-24T00:00:00"/>
    <x v="14"/>
    <n v="9"/>
    <n v="33"/>
    <n v="1.9866500085128156"/>
    <n v="5.063992369008159"/>
    <n v="167.11174817726925"/>
    <n v="65.559450280922917"/>
    <n v="101.55229789634633"/>
    <n v="8.1592671997187072"/>
    <n v="109.71156509606504"/>
    <n v="0"/>
    <n v="0"/>
    <n v="0"/>
    <n v="109.71156509606504"/>
  </r>
  <r>
    <x v="4"/>
    <d v="2024-06-05T00:00:00"/>
    <d v="2024-06-24T00:00:00"/>
    <x v="14"/>
    <n v="9"/>
    <n v="40"/>
    <n v="1.9866500085128156"/>
    <n v="5.063992369008159"/>
    <n v="202.55969476032635"/>
    <n v="79.466000340512622"/>
    <n v="123.09369441981373"/>
    <n v="9.8900208481438892"/>
    <n v="132.98371526795762"/>
    <n v="0"/>
    <n v="0"/>
    <n v="0"/>
    <n v="132.98371526795762"/>
  </r>
  <r>
    <x v="5"/>
    <d v="2024-07-03T00:00:00"/>
    <d v="2024-07-24T00:00:00"/>
    <x v="14"/>
    <n v="9"/>
    <n v="47"/>
    <n v="1.9866500085128156"/>
    <n v="5.063992369008159"/>
    <n v="238.00764134338348"/>
    <n v="93.372550400102327"/>
    <n v="144.63509094328117"/>
    <n v="11.620774496569069"/>
    <n v="156.25586543985025"/>
    <n v="0"/>
    <n v="0"/>
    <n v="0"/>
    <n v="156.25586543985025"/>
  </r>
  <r>
    <x v="6"/>
    <d v="2024-08-05T00:00:00"/>
    <d v="2024-08-26T00:00:00"/>
    <x v="14"/>
    <n v="9"/>
    <n v="47"/>
    <n v="1.9866500085128156"/>
    <n v="5.063992369008159"/>
    <n v="238.00764134338348"/>
    <n v="93.372550400102327"/>
    <n v="144.63509094328117"/>
    <n v="11.620774496569069"/>
    <n v="156.25586543985025"/>
    <n v="0"/>
    <n v="0"/>
    <n v="0"/>
    <n v="156.25586543985025"/>
  </r>
  <r>
    <x v="7"/>
    <d v="2024-09-04T00:00:00"/>
    <d v="2024-09-24T00:00:00"/>
    <x v="14"/>
    <n v="9"/>
    <n v="51"/>
    <n v="1.9866500085128156"/>
    <n v="5.063992369008159"/>
    <n v="258.2636108194161"/>
    <n v="101.3191504341536"/>
    <n v="156.94446038526252"/>
    <n v="12.609776581383457"/>
    <n v="169.55423696664599"/>
    <n v="0"/>
    <n v="0"/>
    <n v="0"/>
    <n v="169.55423696664599"/>
  </r>
  <r>
    <x v="8"/>
    <d v="2024-10-03T00:00:00"/>
    <d v="2024-10-24T00:00:00"/>
    <x v="14"/>
    <n v="9"/>
    <n v="43"/>
    <n v="1.9866500085128156"/>
    <n v="5.063992369008159"/>
    <n v="217.75167186735084"/>
    <n v="85.425950366051069"/>
    <n v="132.32572150129977"/>
    <n v="10.63177241175468"/>
    <n v="142.95749391305444"/>
    <n v="0"/>
    <n v="0"/>
    <n v="0"/>
    <n v="142.95749391305444"/>
  </r>
  <r>
    <x v="9"/>
    <d v="2024-11-05T00:00:00"/>
    <d v="2024-11-25T00:00:00"/>
    <x v="14"/>
    <n v="9"/>
    <n v="37"/>
    <n v="1.9866500085128156"/>
    <n v="5.063992369008159"/>
    <n v="187.3677176533019"/>
    <n v="73.506050314974175"/>
    <n v="113.86166733832772"/>
    <n v="9.1482692845330966"/>
    <n v="123.00993662286082"/>
    <n v="0"/>
    <n v="0"/>
    <n v="0"/>
    <n v="123.00993662286082"/>
  </r>
  <r>
    <x v="10"/>
    <d v="2024-12-04T00:00:00"/>
    <d v="2024-12-24T00:00:00"/>
    <x v="14"/>
    <n v="9"/>
    <n v="34"/>
    <n v="1.9866500085128156"/>
    <n v="5.063992369008159"/>
    <n v="172.17574054627741"/>
    <n v="67.546100289435728"/>
    <n v="104.62964025684168"/>
    <n v="8.4065177209223059"/>
    <n v="113.03615797776399"/>
    <n v="0"/>
    <n v="0"/>
    <n v="0"/>
    <n v="113.03615797776399"/>
  </r>
  <r>
    <x v="11"/>
    <d v="2025-01-03T00:00:00"/>
    <d v="2025-01-24T00:00:00"/>
    <x v="14"/>
    <n v="9"/>
    <n v="32"/>
    <n v="1.9866500085128156"/>
    <n v="5.063992369008159"/>
    <n v="162.04775580826109"/>
    <n v="63.572800272410099"/>
    <n v="98.474955535850995"/>
    <n v="7.9120166785151111"/>
    <n v="106.38697221436611"/>
    <n v="0"/>
    <n v="0"/>
    <n v="0"/>
    <n v="106.38697221436611"/>
  </r>
  <r>
    <x v="0"/>
    <d v="2024-02-05T00:00:00"/>
    <d v="2024-02-26T00:00:00"/>
    <x v="15"/>
    <n v="9"/>
    <n v="104"/>
    <n v="1.9866500085128156"/>
    <n v="5.063992369008159"/>
    <n v="526.65520637684858"/>
    <n v="206.61160088533282"/>
    <n v="320.04360549151579"/>
    <n v="25.714054205174111"/>
    <n v="345.75765969668993"/>
    <n v="0"/>
    <n v="0"/>
    <n v="0"/>
    <n v="345.75765969668993"/>
  </r>
  <r>
    <x v="1"/>
    <d v="2024-03-05T00:00:00"/>
    <d v="2024-03-25T00:00:00"/>
    <x v="15"/>
    <n v="9"/>
    <n v="99"/>
    <n v="1.9866500085128156"/>
    <n v="5.063992369008159"/>
    <n v="501.33524453180775"/>
    <n v="196.67835084276874"/>
    <n v="304.65689368903901"/>
    <n v="24.477801599156123"/>
    <n v="329.13469528819513"/>
    <n v="0"/>
    <n v="0"/>
    <n v="0"/>
    <n v="329.13469528819513"/>
  </r>
  <r>
    <x v="2"/>
    <d v="2024-04-03T00:00:00"/>
    <d v="2024-04-24T00:00:00"/>
    <x v="15"/>
    <n v="9"/>
    <n v="99"/>
    <n v="1.9866500085128156"/>
    <n v="5.063992369008159"/>
    <n v="501.33524453180775"/>
    <n v="196.67835084276874"/>
    <n v="304.65689368903901"/>
    <n v="24.477801599156123"/>
    <n v="329.13469528819513"/>
    <n v="0"/>
    <n v="0"/>
    <n v="0"/>
    <n v="329.13469528819513"/>
  </r>
  <r>
    <x v="3"/>
    <d v="2024-05-03T00:00:00"/>
    <d v="2024-05-24T00:00:00"/>
    <x v="15"/>
    <n v="9"/>
    <n v="99"/>
    <n v="1.9866500085128156"/>
    <n v="5.063992369008159"/>
    <n v="501.33524453180775"/>
    <n v="196.67835084276874"/>
    <n v="304.65689368903901"/>
    <n v="24.477801599156123"/>
    <n v="329.13469528819513"/>
    <n v="0"/>
    <n v="0"/>
    <n v="0"/>
    <n v="329.13469528819513"/>
  </r>
  <r>
    <x v="4"/>
    <d v="2024-06-05T00:00:00"/>
    <d v="2024-06-24T00:00:00"/>
    <x v="15"/>
    <n v="9"/>
    <n v="106"/>
    <n v="1.9866500085128156"/>
    <n v="5.063992369008159"/>
    <n v="536.78319111486485"/>
    <n v="210.58490090235844"/>
    <n v="326.19829021250644"/>
    <n v="26.208555247581305"/>
    <n v="352.40684546008777"/>
    <n v="0"/>
    <n v="0"/>
    <n v="0"/>
    <n v="352.40684546008777"/>
  </r>
  <r>
    <x v="5"/>
    <d v="2024-07-03T00:00:00"/>
    <d v="2024-07-24T00:00:00"/>
    <x v="15"/>
    <n v="9"/>
    <n v="120"/>
    <n v="1.9866500085128156"/>
    <n v="5.063992369008159"/>
    <n v="607.67908428097905"/>
    <n v="238.39800102153788"/>
    <n v="369.28108325944117"/>
    <n v="29.670062544431666"/>
    <n v="398.95114580387286"/>
    <n v="0"/>
    <n v="0"/>
    <n v="0"/>
    <n v="398.95114580387286"/>
  </r>
  <r>
    <x v="6"/>
    <d v="2024-08-05T00:00:00"/>
    <d v="2024-08-26T00:00:00"/>
    <x v="15"/>
    <n v="9"/>
    <n v="117"/>
    <n v="1.9866500085128156"/>
    <n v="5.063992369008159"/>
    <n v="592.48710717395466"/>
    <n v="232.43805099599942"/>
    <n v="360.04905617795521"/>
    <n v="28.928310980820875"/>
    <n v="388.97736715877608"/>
    <n v="0"/>
    <n v="0"/>
    <n v="0"/>
    <n v="388.97736715877608"/>
  </r>
  <r>
    <x v="7"/>
    <d v="2024-09-04T00:00:00"/>
    <d v="2024-09-24T00:00:00"/>
    <x v="15"/>
    <n v="9"/>
    <n v="118"/>
    <n v="1.9866500085128156"/>
    <n v="5.063992369008159"/>
    <n v="597.55109954296279"/>
    <n v="234.42470100451223"/>
    <n v="363.12639853845053"/>
    <n v="29.175561502024472"/>
    <n v="392.30196004047502"/>
    <n v="0"/>
    <n v="0"/>
    <n v="0"/>
    <n v="392.30196004047502"/>
  </r>
  <r>
    <x v="8"/>
    <d v="2024-10-03T00:00:00"/>
    <d v="2024-10-24T00:00:00"/>
    <x v="15"/>
    <n v="9"/>
    <n v="117"/>
    <n v="1.9866500085128156"/>
    <n v="5.063992369008159"/>
    <n v="592.48710717395466"/>
    <n v="232.43805099599942"/>
    <n v="360.04905617795521"/>
    <n v="28.928310980820875"/>
    <n v="388.97736715877608"/>
    <n v="0"/>
    <n v="0"/>
    <n v="0"/>
    <n v="388.97736715877608"/>
  </r>
  <r>
    <x v="9"/>
    <d v="2024-11-05T00:00:00"/>
    <d v="2024-11-25T00:00:00"/>
    <x v="15"/>
    <n v="9"/>
    <n v="107"/>
    <n v="1.9866500085128156"/>
    <n v="5.063992369008159"/>
    <n v="541.84718348387298"/>
    <n v="212.57155091087128"/>
    <n v="329.2756325730017"/>
    <n v="26.455805768784902"/>
    <n v="355.7314383417866"/>
    <n v="0"/>
    <n v="0"/>
    <n v="0"/>
    <n v="355.7314383417866"/>
  </r>
  <r>
    <x v="10"/>
    <d v="2024-12-04T00:00:00"/>
    <d v="2024-12-24T00:00:00"/>
    <x v="15"/>
    <n v="9"/>
    <n v="91"/>
    <n v="1.9866500085128156"/>
    <n v="5.063992369008159"/>
    <n v="460.82330557974245"/>
    <n v="180.78515077466622"/>
    <n v="280.03815480507626"/>
    <n v="22.499797429527348"/>
    <n v="302.53795223460361"/>
    <n v="0"/>
    <n v="0"/>
    <n v="0"/>
    <n v="302.53795223460361"/>
  </r>
  <r>
    <x v="11"/>
    <d v="2025-01-03T00:00:00"/>
    <d v="2025-01-24T00:00:00"/>
    <x v="15"/>
    <n v="9"/>
    <n v="102"/>
    <n v="1.9866500085128156"/>
    <n v="5.063992369008159"/>
    <n v="516.5272216388322"/>
    <n v="202.6383008683072"/>
    <n v="313.88892077052503"/>
    <n v="25.219553162766914"/>
    <n v="339.10847393329198"/>
    <n v="0"/>
    <n v="0"/>
    <n v="0"/>
    <n v="339.108473933291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3" dataOnRows="1" applyNumberFormats="0" applyBorderFormats="0" applyFontFormats="0" applyPatternFormats="0" applyAlignmentFormats="0" applyWidthHeightFormats="1" dataCaption="Data" updatedVersion="8" minRefreshableVersion="3" asteriskTotals="1" showMemberPropertyTips="0" useAutoFormatting="1" itemPrintTitles="1" createdVersion="6" indent="0" compact="0" compactData="0" gridDropZones="1">
  <location ref="A3:O123" firstHeaderRow="1" firstDataRow="2" firstDataCol="2"/>
  <pivotFields count="17">
    <pivotField axis="axisCol" compact="0" numFmtId="17" outline="0" subtotalTop="0" showAll="0" includeNewItemsInFilter="1">
      <items count="181">
        <item m="1" x="81"/>
        <item m="1" x="105"/>
        <item m="1" x="129"/>
        <item m="1" x="153"/>
        <item m="1" x="177"/>
        <item m="1" x="57"/>
        <item m="1" x="92"/>
        <item m="1" x="116"/>
        <item m="1" x="140"/>
        <item m="1" x="164"/>
        <item m="1" x="44"/>
        <item m="1" x="68"/>
        <item m="1" x="82"/>
        <item m="1" x="106"/>
        <item m="1" x="130"/>
        <item m="1" x="154"/>
        <item m="1" x="178"/>
        <item m="1" x="58"/>
        <item m="1" x="94"/>
        <item m="1" x="118"/>
        <item m="1" x="142"/>
        <item m="1" x="166"/>
        <item m="1" x="46"/>
        <item m="1" x="70"/>
        <item m="1" x="83"/>
        <item m="1" x="107"/>
        <item m="1" x="131"/>
        <item m="1" x="155"/>
        <item m="1" x="179"/>
        <item m="1" x="59"/>
        <item m="1" x="95"/>
        <item m="1" x="119"/>
        <item m="1" x="143"/>
        <item m="1" x="167"/>
        <item m="1" x="47"/>
        <item m="1" x="71"/>
        <item m="1" x="84"/>
        <item m="1" x="108"/>
        <item m="1" x="132"/>
        <item m="1" x="156"/>
        <item m="1" x="36"/>
        <item m="1" x="60"/>
        <item m="1" x="96"/>
        <item m="1" x="120"/>
        <item m="1" x="144"/>
        <item m="1" x="168"/>
        <item m="1" x="48"/>
        <item m="1" x="72"/>
        <item m="1" x="85"/>
        <item m="1" x="109"/>
        <item m="1" x="133"/>
        <item m="1" x="157"/>
        <item m="1" x="37"/>
        <item m="1" x="61"/>
        <item m="1" x="97"/>
        <item m="1" x="121"/>
        <item m="1" x="145"/>
        <item m="1" x="169"/>
        <item m="1" x="49"/>
        <item m="1" x="73"/>
        <item m="1" x="86"/>
        <item m="1" x="110"/>
        <item m="1" x="134"/>
        <item m="1" x="158"/>
        <item m="1" x="38"/>
        <item m="1" x="62"/>
        <item m="1" x="98"/>
        <item m="1" x="122"/>
        <item m="1" x="146"/>
        <item m="1" x="170"/>
        <item m="1" x="50"/>
        <item m="1" x="74"/>
        <item m="1" x="87"/>
        <item m="1" x="111"/>
        <item m="1" x="135"/>
        <item m="1" x="159"/>
        <item m="1" x="39"/>
        <item m="1" x="63"/>
        <item m="1" x="99"/>
        <item m="1" x="123"/>
        <item m="1" x="147"/>
        <item m="1" x="171"/>
        <item m="1" x="51"/>
        <item m="1" x="75"/>
        <item m="1" x="88"/>
        <item m="1" x="112"/>
        <item m="1" x="136"/>
        <item m="1" x="160"/>
        <item m="1" x="40"/>
        <item m="1" x="64"/>
        <item m="1" x="100"/>
        <item m="1" x="124"/>
        <item m="1" x="148"/>
        <item m="1" x="172"/>
        <item m="1" x="52"/>
        <item m="1" x="76"/>
        <item m="1" x="89"/>
        <item m="1" x="113"/>
        <item m="1" x="137"/>
        <item m="1" x="161"/>
        <item m="1" x="41"/>
        <item m="1" x="65"/>
        <item m="1" x="101"/>
        <item m="1" x="125"/>
        <item m="1" x="149"/>
        <item m="1" x="173"/>
        <item m="1" x="53"/>
        <item m="1" x="77"/>
        <item m="1" x="90"/>
        <item m="1" x="114"/>
        <item m="1" x="138"/>
        <item m="1" x="162"/>
        <item m="1" x="42"/>
        <item m="1" x="66"/>
        <item m="1" x="102"/>
        <item m="1" x="126"/>
        <item m="1" x="150"/>
        <item m="1" x="174"/>
        <item m="1" x="54"/>
        <item m="1" x="78"/>
        <item m="1" x="91"/>
        <item m="1" x="115"/>
        <item m="1" x="139"/>
        <item m="1" x="163"/>
        <item m="1" x="43"/>
        <item m="1" x="67"/>
        <item m="1" x="103"/>
        <item m="1" x="127"/>
        <item m="1" x="151"/>
        <item m="1" x="175"/>
        <item m="1" x="55"/>
        <item m="1" x="79"/>
        <item m="1" x="93"/>
        <item m="1" x="117"/>
        <item m="1" x="141"/>
        <item m="1" x="165"/>
        <item m="1" x="45"/>
        <item m="1" x="69"/>
        <item m="1" x="104"/>
        <item m="1" x="128"/>
        <item m="1" x="152"/>
        <item m="1" x="176"/>
        <item m="1" x="56"/>
        <item m="1" x="80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numFmtId="14" outline="0" subtotalTop="0" showAll="0" includeNewItemsInFilter="1"/>
    <pivotField compact="0" numFmtId="14" outline="0" subtotalTop="0" showAll="0" includeNewItemsInFilter="1"/>
    <pivotField axis="axisRow" compact="0" outline="0" subtotalTop="0" showAll="0" includeNewItemsInFilter="1">
      <items count="23">
        <item x="3"/>
        <item m="1" x="16"/>
        <item x="15"/>
        <item x="8"/>
        <item x="9"/>
        <item m="1" x="17"/>
        <item x="10"/>
        <item m="1" x="18"/>
        <item x="7"/>
        <item x="6"/>
        <item m="1" x="20"/>
        <item x="0"/>
        <item x="1"/>
        <item m="1" x="19"/>
        <item x="5"/>
        <item m="1" x="21"/>
        <item x="11"/>
        <item x="12"/>
        <item x="13"/>
        <item x="14"/>
        <item x="2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compact="0" numFmtId="164" outline="0" showAll="0"/>
    <pivotField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/>
  </pivotFields>
  <rowFields count="2">
    <field x="3"/>
    <field x="-2"/>
  </rowFields>
  <rowItems count="119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</rowItems>
  <colFields count="1">
    <field x="0"/>
  </colFields>
  <colItems count="13"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 t="grand">
      <x/>
    </i>
  </colItems>
  <dataFields count="7">
    <dataField name="Sum of True-Up Charge" fld="8" baseField="0" baseItem="0"/>
    <dataField name="Sum of True-Up w/o Interest" fld="10" baseField="0" baseItem="0"/>
    <dataField name="Sum of Interest" fld="11" baseField="0" baseItem="0"/>
    <dataField name="Sum of Total True-up" fld="16" baseField="0" baseItem="0"/>
    <dataField name="Sum of Invoiced*** Charge (proj.)" fld="9" baseField="0" baseItem="0"/>
    <dataField name="Sum of Tax True Up Billing" fld="14" baseField="0" baseItem="0"/>
    <dataField name="Sum of Tax True Up" fld="15" baseField="0" baseItem="0"/>
  </dataFields>
  <formats count="171">
    <format dxfId="17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"/>
          </reference>
        </references>
      </pivotArea>
    </format>
    <format dxfId="16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2"/>
          </reference>
        </references>
      </pivotArea>
    </format>
    <format dxfId="16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3"/>
          </reference>
        </references>
      </pivotArea>
    </format>
    <format dxfId="16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4"/>
          </reference>
        </references>
      </pivotArea>
    </format>
    <format dxfId="164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5"/>
          </reference>
        </references>
      </pivotArea>
    </format>
    <format dxfId="163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6"/>
          </reference>
        </references>
      </pivotArea>
    </format>
    <format dxfId="162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7"/>
          </reference>
        </references>
      </pivotArea>
    </format>
    <format dxfId="161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8"/>
          </reference>
        </references>
      </pivotArea>
    </format>
    <format dxfId="16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9"/>
          </reference>
        </references>
      </pivotArea>
    </format>
    <format dxfId="15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0"/>
          </reference>
        </references>
      </pivotArea>
    </format>
    <format dxfId="15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1"/>
          </reference>
        </references>
      </pivotArea>
    </format>
    <format dxfId="15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2"/>
          </reference>
        </references>
      </pivotArea>
    </format>
    <format dxfId="15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3"/>
          </reference>
        </references>
      </pivotArea>
    </format>
    <format dxfId="15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4"/>
          </reference>
        </references>
      </pivotArea>
    </format>
    <format dxfId="154">
      <pivotArea field="3" grandRow="1" outline="0" axis="axisRow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53">
      <pivotArea outline="0" fieldPosition="0">
        <references count="3">
          <reference field="4294967294" count="1" selected="0">
            <x v="2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2">
      <pivotArea outline="0" fieldPosition="0">
        <references count="3">
          <reference field="4294967294" count="1" selected="0">
            <x v="3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1">
      <pivotArea grandRow="1" grandCol="1" outline="0" fieldPosition="0">
        <references count="1">
          <reference field="4294967294" count="5" selected="0">
            <x v="0"/>
            <x v="1"/>
            <x v="2"/>
            <x v="3"/>
            <x v="4"/>
          </reference>
        </references>
      </pivotArea>
    </format>
    <format dxfId="150">
      <pivotArea outline="0" fieldPosition="0"/>
    </format>
    <format dxfId="149">
      <pivotArea type="all" dataOnly="0" outline="0" fieldPosition="0"/>
    </format>
    <format dxfId="148">
      <pivotArea outline="0" fieldPosition="0"/>
    </format>
    <format dxfId="147">
      <pivotArea type="origin" dataOnly="0" labelOnly="1" outline="0" fieldPosition="0"/>
    </format>
    <format dxfId="146">
      <pivotArea field="0" type="button" dataOnly="0" labelOnly="1" outline="0" axis="axisCol" fieldPosition="0"/>
    </format>
    <format dxfId="145">
      <pivotArea type="topRight" dataOnly="0" labelOnly="1" outline="0" fieldPosition="0"/>
    </format>
    <format dxfId="144">
      <pivotArea field="3" type="button" dataOnly="0" labelOnly="1" outline="0" axis="axisRow" fieldPosition="0"/>
    </format>
    <format dxfId="143">
      <pivotArea field="-2" type="button" dataOnly="0" labelOnly="1" outline="0" axis="axisRow" fieldPosition="1"/>
    </format>
    <format dxfId="142">
      <pivotArea dataOnly="0" labelOnly="1" outline="0" fieldPosition="0">
        <references count="1">
          <reference field="3" count="0"/>
        </references>
      </pivotArea>
    </format>
    <format dxfId="14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4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3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3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3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3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7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26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25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24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23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2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1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0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9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8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7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16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15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14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13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2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1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0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9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8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7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0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0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0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0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9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9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9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9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9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9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9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9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8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8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8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8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8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8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8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8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7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7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7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76">
      <pivotArea dataOnly="0" labelOnly="1" outline="0" fieldPosition="0">
        <references count="1">
          <reference field="0" count="0"/>
        </references>
      </pivotArea>
    </format>
    <format dxfId="75">
      <pivotArea dataOnly="0" labelOnly="1" grandCol="1" outline="0" fieldPosition="0"/>
    </format>
    <format dxfId="74">
      <pivotArea type="all" dataOnly="0" outline="0" fieldPosition="0"/>
    </format>
    <format dxfId="73">
      <pivotArea outline="0" fieldPosition="0"/>
    </format>
    <format dxfId="72">
      <pivotArea type="origin" dataOnly="0" labelOnly="1" outline="0" fieldPosition="0"/>
    </format>
    <format dxfId="71">
      <pivotArea field="0" type="button" dataOnly="0" labelOnly="1" outline="0" axis="axisCol" fieldPosition="0"/>
    </format>
    <format dxfId="70">
      <pivotArea type="topRight" dataOnly="0" labelOnly="1" outline="0" fieldPosition="0"/>
    </format>
    <format dxfId="69">
      <pivotArea field="3" type="button" dataOnly="0" labelOnly="1" outline="0" axis="axisRow" fieldPosition="0"/>
    </format>
    <format dxfId="68">
      <pivotArea field="-2" type="button" dataOnly="0" labelOnly="1" outline="0" axis="axisRow" fieldPosition="1"/>
    </format>
    <format dxfId="67">
      <pivotArea dataOnly="0" labelOnly="1" outline="0" fieldPosition="0">
        <references count="1">
          <reference field="3" count="0"/>
        </references>
      </pivotArea>
    </format>
    <format dxfId="6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6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6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6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6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6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6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5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5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5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5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2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1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0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9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8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7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46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45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44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43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2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1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0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9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8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7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36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35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34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33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2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2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2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2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2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1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1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1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1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1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1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1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1">
      <pivotArea dataOnly="0" labelOnly="1" outline="0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7"/>
  <sheetViews>
    <sheetView workbookViewId="0">
      <selection activeCell="R18" sqref="A1:R18"/>
    </sheetView>
  </sheetViews>
  <sheetFormatPr defaultColWidth="8.7265625" defaultRowHeight="12.5" x14ac:dyDescent="0.25"/>
  <cols>
    <col min="1" max="16384" width="8.7265625" style="1"/>
  </cols>
  <sheetData>
    <row r="1" spans="1:2" x14ac:dyDescent="0.25">
      <c r="A1" s="1" t="s">
        <v>62</v>
      </c>
    </row>
    <row r="3" spans="1:2" x14ac:dyDescent="0.25">
      <c r="A3" s="2">
        <v>1</v>
      </c>
      <c r="B3" s="3" t="s">
        <v>64</v>
      </c>
    </row>
    <row r="4" spans="1:2" ht="13" x14ac:dyDescent="0.3">
      <c r="A4" s="2">
        <v>2</v>
      </c>
      <c r="B4" s="3" t="s">
        <v>63</v>
      </c>
    </row>
    <row r="5" spans="1:2" ht="13" x14ac:dyDescent="0.3">
      <c r="A5" s="2">
        <v>3</v>
      </c>
      <c r="B5" s="3" t="s">
        <v>65</v>
      </c>
    </row>
    <row r="6" spans="1:2" ht="13" x14ac:dyDescent="0.3">
      <c r="A6" s="2">
        <v>4</v>
      </c>
      <c r="B6" s="4" t="s">
        <v>79</v>
      </c>
    </row>
    <row r="7" spans="1:2" x14ac:dyDescent="0.25">
      <c r="A7" s="2">
        <v>5</v>
      </c>
      <c r="B7" s="3" t="s">
        <v>66</v>
      </c>
    </row>
    <row r="8" spans="1:2" x14ac:dyDescent="0.25">
      <c r="A8" s="2">
        <v>6</v>
      </c>
      <c r="B8" s="3" t="s">
        <v>67</v>
      </c>
    </row>
    <row r="9" spans="1:2" x14ac:dyDescent="0.25">
      <c r="A9" s="2">
        <v>7</v>
      </c>
      <c r="B9" s="5" t="s">
        <v>68</v>
      </c>
    </row>
    <row r="10" spans="1:2" ht="13" x14ac:dyDescent="0.3">
      <c r="A10" s="2">
        <v>8</v>
      </c>
      <c r="B10" s="3" t="s">
        <v>71</v>
      </c>
    </row>
    <row r="11" spans="1:2" x14ac:dyDescent="0.25">
      <c r="A11" s="2"/>
      <c r="B11" s="3" t="s">
        <v>72</v>
      </c>
    </row>
    <row r="12" spans="1:2" x14ac:dyDescent="0.25">
      <c r="A12" s="2"/>
      <c r="B12" s="5" t="s">
        <v>73</v>
      </c>
    </row>
    <row r="13" spans="1:2" x14ac:dyDescent="0.25">
      <c r="A13" s="2"/>
      <c r="B13" s="5" t="s">
        <v>74</v>
      </c>
    </row>
    <row r="14" spans="1:2" x14ac:dyDescent="0.25">
      <c r="A14" s="2">
        <v>9</v>
      </c>
      <c r="B14" s="3" t="s">
        <v>75</v>
      </c>
    </row>
    <row r="15" spans="1:2" x14ac:dyDescent="0.25">
      <c r="A15" s="2">
        <v>10</v>
      </c>
      <c r="B15" s="3" t="s">
        <v>77</v>
      </c>
    </row>
    <row r="16" spans="1:2" x14ac:dyDescent="0.25">
      <c r="A16" s="2">
        <v>11</v>
      </c>
      <c r="B16" s="3" t="s">
        <v>78</v>
      </c>
    </row>
    <row r="17" spans="1:1" x14ac:dyDescent="0.25">
      <c r="A17" s="2"/>
    </row>
  </sheetData>
  <phoneticPr fontId="6" type="noConversion"/>
  <pageMargins left="0.75" right="0.75" top="1" bottom="1" header="0.5" footer="0.5"/>
  <pageSetup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41"/>
  <sheetViews>
    <sheetView tabSelected="1" zoomScale="85" zoomScaleNormal="85" zoomScaleSheetLayoutView="100" workbookViewId="0">
      <selection activeCell="J13" sqref="J13"/>
    </sheetView>
  </sheetViews>
  <sheetFormatPr defaultColWidth="33.26953125" defaultRowHeight="12.5" x14ac:dyDescent="0.25"/>
  <cols>
    <col min="1" max="1" width="9.1796875" style="1" customWidth="1"/>
    <col min="2" max="2" width="14" style="1" customWidth="1"/>
    <col min="3" max="3" width="21.81640625" style="1" customWidth="1"/>
    <col min="4" max="4" width="15.54296875" style="1" customWidth="1"/>
    <col min="5" max="14" width="14" style="1" customWidth="1"/>
    <col min="15" max="15" width="15" style="1" customWidth="1"/>
    <col min="16" max="108" width="31.7265625" style="1" customWidth="1"/>
    <col min="109" max="109" width="11.453125" style="1" customWidth="1"/>
    <col min="110" max="16384" width="33.26953125" style="1"/>
  </cols>
  <sheetData>
    <row r="1" spans="2:17" ht="13" x14ac:dyDescent="0.3">
      <c r="C1" s="235" t="str">
        <f>+Transactions!B1</f>
        <v>AEPTCo Formula Rate -- FERC Docket ER18-195</v>
      </c>
      <c r="D1" s="235"/>
      <c r="E1" s="235"/>
      <c r="F1" s="235"/>
      <c r="G1" s="235"/>
      <c r="H1" s="235"/>
      <c r="I1" s="235"/>
      <c r="J1" s="6">
        <v>2024</v>
      </c>
    </row>
    <row r="2" spans="2:17" ht="13" x14ac:dyDescent="0.3">
      <c r="C2" s="235" t="s">
        <v>95</v>
      </c>
      <c r="D2" s="235"/>
      <c r="E2" s="235"/>
      <c r="F2" s="235"/>
      <c r="G2" s="235"/>
      <c r="H2" s="235"/>
      <c r="I2" s="235"/>
    </row>
    <row r="3" spans="2:17" ht="13" x14ac:dyDescent="0.3">
      <c r="C3" s="235" t="str">
        <f>"for period 01/01/"&amp;F8&amp;" - 12/31/"&amp;F8</f>
        <v>for period 01/01/2024 - 12/31/2024</v>
      </c>
      <c r="D3" s="235"/>
      <c r="E3" s="235"/>
      <c r="F3" s="235"/>
      <c r="G3" s="235"/>
      <c r="H3" s="235"/>
      <c r="I3" s="235"/>
    </row>
    <row r="4" spans="2:17" ht="13" x14ac:dyDescent="0.3">
      <c r="C4" s="235" t="s">
        <v>93</v>
      </c>
      <c r="D4" s="235"/>
      <c r="E4" s="235"/>
      <c r="F4" s="235"/>
      <c r="G4" s="235"/>
      <c r="H4" s="235"/>
      <c r="I4" s="235"/>
    </row>
    <row r="5" spans="2:17" x14ac:dyDescent="0.25">
      <c r="C5" s="7" t="str">
        <f>"Prepared:  May 24_, "&amp;J1+1&amp;""</f>
        <v>Prepared:  May 24_, 2025</v>
      </c>
      <c r="D5" s="8"/>
    </row>
    <row r="6" spans="2:17" x14ac:dyDescent="0.25">
      <c r="C6" s="9"/>
    </row>
    <row r="7" spans="2:17" ht="13" x14ac:dyDescent="0.3">
      <c r="C7" s="10"/>
    </row>
    <row r="8" spans="2:17" ht="27.75" customHeight="1" thickBot="1" x14ac:dyDescent="0.3">
      <c r="F8" s="11">
        <v>2024</v>
      </c>
    </row>
    <row r="9" spans="2:17" ht="20.25" customHeight="1" x14ac:dyDescent="0.3">
      <c r="E9" s="12" t="s">
        <v>92</v>
      </c>
      <c r="F9" s="13"/>
      <c r="G9" s="14"/>
      <c r="H9" s="15"/>
      <c r="J9" s="2"/>
    </row>
    <row r="10" spans="2:17" ht="42" customHeight="1" thickBot="1" x14ac:dyDescent="0.3">
      <c r="B10" s="16"/>
      <c r="E10" s="17" t="str">
        <f>"(per "&amp;$F8&amp;" Projections "&amp;$F8&amp;")"</f>
        <v>(per 2024 Projections 2024)</v>
      </c>
      <c r="F10" s="18" t="str">
        <f>"(per "&amp;F8&amp;" Update of May "&amp;F8+1&amp;")"</f>
        <v>(per 2024 Update of May 2025)</v>
      </c>
      <c r="G10" s="19"/>
      <c r="H10" s="20"/>
    </row>
    <row r="11" spans="2:17" ht="21.75" customHeight="1" x14ac:dyDescent="0.25">
      <c r="B11" s="21"/>
      <c r="C11" s="22" t="s">
        <v>38</v>
      </c>
      <c r="D11" s="23" t="s">
        <v>36</v>
      </c>
      <c r="E11" s="24">
        <f>Transactions!K2</f>
        <v>201660.86906411889</v>
      </c>
      <c r="F11" s="25"/>
      <c r="G11" s="26"/>
      <c r="H11" s="27"/>
    </row>
    <row r="12" spans="2:17" ht="21.75" customHeight="1" x14ac:dyDescent="0.25">
      <c r="B12" s="21"/>
      <c r="C12" s="28"/>
      <c r="D12" s="29" t="s">
        <v>41</v>
      </c>
      <c r="E12" s="30"/>
      <c r="F12" s="31">
        <f>+Transactions!J2</f>
        <v>515772.68677585007</v>
      </c>
      <c r="G12" s="32"/>
      <c r="H12" s="33"/>
    </row>
    <row r="13" spans="2:17" ht="21.75" customHeight="1" x14ac:dyDescent="0.25">
      <c r="B13" s="34"/>
      <c r="C13" s="35" t="s">
        <v>39</v>
      </c>
      <c r="D13" s="36" t="s">
        <v>37</v>
      </c>
      <c r="E13" s="37">
        <f>Transactions!K3</f>
        <v>1.9866500085128156</v>
      </c>
      <c r="F13" s="33"/>
      <c r="G13" s="38"/>
      <c r="H13" s="39"/>
    </row>
    <row r="14" spans="2:17" ht="21.75" customHeight="1" thickBot="1" x14ac:dyDescent="0.3">
      <c r="B14" s="16"/>
      <c r="C14" s="40"/>
      <c r="D14" s="41" t="s">
        <v>40</v>
      </c>
      <c r="E14" s="42"/>
      <c r="F14" s="43">
        <f>+Transactions!J3</f>
        <v>5.063992369008159</v>
      </c>
      <c r="G14" s="44"/>
      <c r="H14" s="33"/>
    </row>
    <row r="15" spans="2:17" x14ac:dyDescent="0.25">
      <c r="B15" s="21"/>
      <c r="E15" s="45"/>
    </row>
    <row r="16" spans="2:17" ht="13" x14ac:dyDescent="0.3">
      <c r="B16" s="34"/>
      <c r="C16" s="34"/>
      <c r="D16" s="46"/>
      <c r="E16" s="34"/>
      <c r="F16" s="47"/>
      <c r="G16" s="48"/>
      <c r="H16" s="48"/>
      <c r="J16" s="45"/>
      <c r="L16" s="50"/>
      <c r="M16" s="51"/>
      <c r="N16" s="51"/>
      <c r="O16" s="51"/>
      <c r="P16" s="51"/>
      <c r="Q16" s="51"/>
    </row>
    <row r="17" spans="2:17" ht="13" x14ac:dyDescent="0.3">
      <c r="C17" s="10"/>
      <c r="L17" s="52"/>
      <c r="M17" s="51"/>
      <c r="N17" s="51"/>
      <c r="O17" s="51"/>
      <c r="P17" s="51"/>
      <c r="Q17" s="51"/>
    </row>
    <row r="18" spans="2:17" x14ac:dyDescent="0.25">
      <c r="C18" s="50"/>
      <c r="D18" s="50"/>
      <c r="E18" s="50"/>
      <c r="F18" s="50"/>
      <c r="G18" s="50"/>
      <c r="H18" s="50"/>
      <c r="I18" s="50"/>
      <c r="L18" s="50"/>
      <c r="M18" s="51"/>
      <c r="N18" s="51"/>
      <c r="O18" s="51"/>
      <c r="P18" s="51"/>
      <c r="Q18" s="51"/>
    </row>
    <row r="19" spans="2:17" ht="21" customHeight="1" thickBot="1" x14ac:dyDescent="0.3">
      <c r="C19" s="53" t="s">
        <v>31</v>
      </c>
      <c r="D19" s="53" t="s">
        <v>32</v>
      </c>
      <c r="E19" s="54" t="s">
        <v>33</v>
      </c>
      <c r="F19" s="54" t="s">
        <v>34</v>
      </c>
      <c r="G19" s="53" t="s">
        <v>35</v>
      </c>
      <c r="H19" s="53" t="s">
        <v>91</v>
      </c>
      <c r="I19" s="54" t="s">
        <v>90</v>
      </c>
      <c r="L19" s="50"/>
      <c r="M19" s="51"/>
      <c r="N19" s="51"/>
      <c r="O19" s="51"/>
      <c r="P19" s="51"/>
      <c r="Q19" s="51"/>
    </row>
    <row r="20" spans="2:17" ht="53.25" customHeight="1" x14ac:dyDescent="0.25">
      <c r="C20" s="55" t="s">
        <v>49</v>
      </c>
      <c r="D20" s="56" t="str">
        <f>"Actual Charge
("&amp;F8&amp;" True-Up)"</f>
        <v>Actual Charge
(2024 True-Up)</v>
      </c>
      <c r="E20" s="57" t="str">
        <f>"Invoiced for
CY"&amp;F8&amp;" Transmission Service"</f>
        <v>Invoiced for
CY2024 Transmission Service</v>
      </c>
      <c r="F20" s="56" t="s">
        <v>98</v>
      </c>
      <c r="G20" s="58" t="s">
        <v>99</v>
      </c>
      <c r="H20" s="58" t="s">
        <v>96</v>
      </c>
      <c r="I20" s="56" t="s">
        <v>100</v>
      </c>
      <c r="L20" s="50"/>
      <c r="M20" s="51"/>
      <c r="N20" s="51"/>
      <c r="O20" s="51"/>
      <c r="P20" s="51"/>
      <c r="Q20" s="51"/>
    </row>
    <row r="21" spans="2:17" x14ac:dyDescent="0.25">
      <c r="B21" s="59"/>
      <c r="C21" s="60" t="s">
        <v>14</v>
      </c>
      <c r="D21" s="61">
        <f>GETPIVOTDATA("Sum of "&amp;T(Transactions!$J$19),Pivot!$A$3,"Customer",C21)</f>
        <v>48882.71833803576</v>
      </c>
      <c r="E21" s="61">
        <f>GETPIVOTDATA("Sum of "&amp;T(Transactions!$K$19),Pivot!$A$3,"Customer",C21)</f>
        <v>19177.132532174212</v>
      </c>
      <c r="F21" s="61">
        <f>D21-E21</f>
        <v>29705.585805861549</v>
      </c>
      <c r="G21" s="51">
        <f>+GETPIVOTDATA("Sum of "&amp;T(Transactions!$M$19),Pivot!$A$3,"Customer","AECC")</f>
        <v>2386.7092811783241</v>
      </c>
      <c r="H21" s="51">
        <f>GETPIVOTDATA("Sum of "&amp;T(Transactions!$Q$19),Pivot!$A$3,"Customer","AECC")</f>
        <v>0</v>
      </c>
      <c r="I21" s="62">
        <f>F21+G21-H21</f>
        <v>32092.295087039871</v>
      </c>
      <c r="J21" s="59"/>
      <c r="L21" s="50"/>
      <c r="M21" s="51"/>
      <c r="N21" s="51"/>
      <c r="O21" s="51"/>
      <c r="P21" s="51"/>
      <c r="Q21" s="51"/>
    </row>
    <row r="22" spans="2:17" x14ac:dyDescent="0.25">
      <c r="B22" s="59"/>
      <c r="C22" s="63" t="s">
        <v>82</v>
      </c>
      <c r="D22" s="61">
        <f>GETPIVOTDATA("Sum of "&amp;T(Transactions!$J$19),Pivot!$A$3,"Customer",C22)</f>
        <v>2501.6122302900303</v>
      </c>
      <c r="E22" s="61">
        <f>GETPIVOTDATA("Sum of "&amp;T(Transactions!$K$19),Pivot!$A$3,"Customer",C22)</f>
        <v>981.40510420533087</v>
      </c>
      <c r="F22" s="61">
        <f>D22-E22</f>
        <v>1520.2071260846994</v>
      </c>
      <c r="G22" s="51">
        <f>+GETPIVOTDATA("Sum of "&amp;T(Transactions!$M$19),Pivot!$A$3,"Customer","AECI")</f>
        <v>122.14175747457702</v>
      </c>
      <c r="H22" s="51">
        <f>GETPIVOTDATA("Sum of "&amp;T(Transactions!$Q$19),Pivot!$A$3,"Customer",C22)</f>
        <v>0</v>
      </c>
      <c r="I22" s="62">
        <f t="shared" ref="I22:I33" si="0">F22+G22-H22</f>
        <v>1642.3488835592764</v>
      </c>
      <c r="J22" s="59"/>
      <c r="L22" s="50"/>
      <c r="M22" s="51"/>
      <c r="N22" s="51"/>
      <c r="O22" s="51"/>
      <c r="P22" s="51"/>
      <c r="Q22" s="51"/>
    </row>
    <row r="23" spans="2:17" x14ac:dyDescent="0.25">
      <c r="B23" s="59"/>
      <c r="C23" s="63" t="s">
        <v>53</v>
      </c>
      <c r="D23" s="61">
        <f>GETPIVOTDATA("Sum of "&amp;T(Transactions!$J$19),Pivot!$A$3,"Customer",C23)</f>
        <v>7889.7001109147113</v>
      </c>
      <c r="E23" s="61">
        <f>GETPIVOTDATA("Sum of "&amp;T(Transactions!$K$19),Pivot!$A$3,"Customer",C23)</f>
        <v>3095.2007132629665</v>
      </c>
      <c r="F23" s="61">
        <f t="shared" ref="F23:F35" si="1">D23-E23</f>
        <v>4794.4993976517453</v>
      </c>
      <c r="G23" s="51">
        <f>+GETPIVOTDATA("Sum of "&amp;T(Transactions!$M$19),Pivot!$A$3,"Customer","Bentonville, AR")</f>
        <v>385.21631203520451</v>
      </c>
      <c r="H23" s="51">
        <f>GETPIVOTDATA("Sum of "&amp;T(Transactions!$Q$19),Pivot!$A$3,"Customer",C23)</f>
        <v>0</v>
      </c>
      <c r="I23" s="62">
        <f t="shared" si="0"/>
        <v>5179.7157096869496</v>
      </c>
      <c r="J23" s="59"/>
      <c r="L23" s="50"/>
      <c r="M23" s="51"/>
      <c r="N23" s="51"/>
      <c r="O23" s="51"/>
      <c r="P23" s="51"/>
      <c r="Q23" s="51"/>
    </row>
    <row r="24" spans="2:17" x14ac:dyDescent="0.25">
      <c r="B24" s="59"/>
      <c r="C24" s="60" t="s">
        <v>17</v>
      </c>
      <c r="D24" s="61">
        <f>GETPIVOTDATA("Sum of "&amp;T(Transactions!$J$19),Pivot!$A$3,"Customer",C24)</f>
        <v>6476.8462399614364</v>
      </c>
      <c r="E24" s="61">
        <f>GETPIVOTDATA("Sum of "&amp;T(Transactions!$K$19),Pivot!$A$3,"Customer",C24)</f>
        <v>2540.9253608878912</v>
      </c>
      <c r="F24" s="61">
        <f t="shared" si="1"/>
        <v>3935.9208790735452</v>
      </c>
      <c r="G24" s="51">
        <f>+GETPIVOTDATA("Sum of "&amp;T(Transactions!$M$19),Pivot!$A$3,"Customer","Coffeyville, KS")</f>
        <v>316.23341661940083</v>
      </c>
      <c r="H24" s="51">
        <f>GETPIVOTDATA("Sum of "&amp;T(Transactions!$Q$19),Pivot!$A$3,"Customer",C24)</f>
        <v>0</v>
      </c>
      <c r="I24" s="62">
        <f t="shared" si="0"/>
        <v>4252.1542956929461</v>
      </c>
      <c r="J24" s="59"/>
      <c r="L24" s="50"/>
      <c r="M24" s="51"/>
      <c r="N24" s="51"/>
      <c r="O24" s="51"/>
      <c r="P24" s="51"/>
      <c r="Q24" s="51"/>
    </row>
    <row r="25" spans="2:17" x14ac:dyDescent="0.25">
      <c r="B25" s="59"/>
      <c r="C25" s="63" t="s">
        <v>13</v>
      </c>
      <c r="D25" s="61">
        <f>GETPIVOTDATA("Sum of "&amp;T(Transactions!$J$19),Pivot!$A$3,"Customer",C25)</f>
        <v>51338.754637004713</v>
      </c>
      <c r="E25" s="61">
        <f>GETPIVOTDATA("Sum of "&amp;T(Transactions!$K$19),Pivot!$A$3,"Customer",C25)</f>
        <v>20140.657786302923</v>
      </c>
      <c r="F25" s="61">
        <f t="shared" si="1"/>
        <v>31198.09685070179</v>
      </c>
      <c r="G25" s="51">
        <f>+GETPIVOTDATA("Sum of "&amp;T(Transactions!$M$19),Pivot!$A$3,"Customer","ETEC")</f>
        <v>2506.6257839620685</v>
      </c>
      <c r="H25" s="51">
        <f>GETPIVOTDATA("Sum of "&amp;T(Transactions!$Q$19),Pivot!$A$3,"Customer",C25)</f>
        <v>0</v>
      </c>
      <c r="I25" s="62">
        <f t="shared" si="0"/>
        <v>33704.722634663856</v>
      </c>
      <c r="J25" s="59"/>
      <c r="L25" s="52"/>
      <c r="M25" s="51"/>
      <c r="N25" s="51"/>
      <c r="O25" s="51"/>
      <c r="P25" s="51"/>
      <c r="Q25" s="51"/>
    </row>
    <row r="26" spans="2:17" x14ac:dyDescent="0.25">
      <c r="B26" s="59"/>
      <c r="C26" s="60" t="s">
        <v>15</v>
      </c>
      <c r="D26" s="61">
        <f>GETPIVOTDATA("Sum of "&amp;T(Transactions!$J$19),Pivot!$A$3,"Customer",C26)</f>
        <v>567.16714532891376</v>
      </c>
      <c r="E26" s="61">
        <f>GETPIVOTDATA("Sum of "&amp;T(Transactions!$K$19),Pivot!$A$3,"Customer",C26)</f>
        <v>222.50480095343536</v>
      </c>
      <c r="F26" s="61">
        <f t="shared" si="1"/>
        <v>344.66234437547837</v>
      </c>
      <c r="G26" s="51">
        <f>+GETPIVOTDATA("Sum of "&amp;T(Transactions!$M$19),Pivot!$A$3,"Customer","Greenbelt")</f>
        <v>27.692058374802883</v>
      </c>
      <c r="H26" s="51">
        <f>GETPIVOTDATA("Sum of "&amp;T(Transactions!$Q$19),Pivot!$A$3,"Customer",C26)</f>
        <v>0</v>
      </c>
      <c r="I26" s="62">
        <f t="shared" si="0"/>
        <v>372.35440275028122</v>
      </c>
      <c r="J26" s="59"/>
      <c r="K26" s="64"/>
      <c r="L26" s="64"/>
      <c r="M26" s="64"/>
      <c r="N26" s="64"/>
      <c r="O26" s="51"/>
      <c r="P26" s="51"/>
      <c r="Q26" s="51"/>
    </row>
    <row r="27" spans="2:17" x14ac:dyDescent="0.25">
      <c r="B27" s="59"/>
      <c r="C27" s="60" t="s">
        <v>56</v>
      </c>
      <c r="D27" s="61">
        <f>GETPIVOTDATA("Sum of "&amp;T(Transactions!$J$19),Pivot!$A$3,"Customer",C27)</f>
        <v>2339.5644744817691</v>
      </c>
      <c r="E27" s="61">
        <f>GETPIVOTDATA("Sum of "&amp;T(Transactions!$K$19),Pivot!$A$3,"Customer",C27)</f>
        <v>917.83230393292069</v>
      </c>
      <c r="F27" s="61">
        <f t="shared" si="1"/>
        <v>1421.7321705488484</v>
      </c>
      <c r="G27" s="51">
        <f>+GETPIVOTDATA("Sum of "&amp;T(Transactions!$M$19),Pivot!$A$3,"Customer","Hope, AR")</f>
        <v>114.22974079606193</v>
      </c>
      <c r="H27" s="51">
        <f>GETPIVOTDATA("Sum of "&amp;T(Transactions!$Q$19),Pivot!$A$3,"Customer",C27)</f>
        <v>0</v>
      </c>
      <c r="I27" s="62">
        <f t="shared" si="0"/>
        <v>1535.9619113449103</v>
      </c>
      <c r="J27" s="59"/>
      <c r="K27" s="64"/>
      <c r="L27" s="64"/>
      <c r="M27" s="64"/>
      <c r="N27" s="64"/>
      <c r="O27" s="51"/>
      <c r="P27" s="51"/>
      <c r="Q27" s="51"/>
    </row>
    <row r="28" spans="2:17" x14ac:dyDescent="0.25">
      <c r="B28" s="59"/>
      <c r="C28" s="60" t="s">
        <v>16</v>
      </c>
      <c r="D28" s="61">
        <f>GETPIVOTDATA("Sum of "&amp;T(Transactions!$J$19),Pivot!$A$3,"Customer",C28)</f>
        <v>227.87965660536719</v>
      </c>
      <c r="E28" s="61">
        <f>GETPIVOTDATA("Sum of "&amp;T(Transactions!$K$19),Pivot!$A$3,"Customer",C28)</f>
        <v>89.399250383076705</v>
      </c>
      <c r="F28" s="61">
        <f t="shared" si="1"/>
        <v>138.48040622229047</v>
      </c>
      <c r="G28" s="51">
        <f>+GETPIVOTDATA("Sum of "&amp;T(Transactions!$M$19),Pivot!$A$3,"Customer","Lighthouse")</f>
        <v>11.126273454161876</v>
      </c>
      <c r="H28" s="51">
        <f>GETPIVOTDATA("Sum of "&amp;T(Transactions!$Q$19),Pivot!$A$3,"Customer",C28)</f>
        <v>0</v>
      </c>
      <c r="I28" s="62">
        <f t="shared" si="0"/>
        <v>149.60667967645236</v>
      </c>
      <c r="J28" s="59"/>
      <c r="L28" s="50"/>
      <c r="M28" s="51"/>
      <c r="N28" s="51"/>
      <c r="O28" s="51"/>
      <c r="P28" s="51"/>
      <c r="Q28" s="51"/>
    </row>
    <row r="29" spans="2:17" x14ac:dyDescent="0.25">
      <c r="B29" s="59"/>
      <c r="C29" s="63" t="s">
        <v>55</v>
      </c>
      <c r="D29" s="61">
        <f>GETPIVOTDATA("Sum of "&amp;T(Transactions!$J$19),Pivot!$A$3,"Customer",C29)</f>
        <v>1650.8615122966596</v>
      </c>
      <c r="E29" s="61">
        <f>GETPIVOTDATA("Sum of "&amp;T(Transactions!$K$19),Pivot!$A$3,"Customer",C29)</f>
        <v>647.64790277517784</v>
      </c>
      <c r="F29" s="61">
        <f t="shared" si="1"/>
        <v>1003.2136095214818</v>
      </c>
      <c r="G29" s="51">
        <f>+GETPIVOTDATA("Sum of "&amp;T(Transactions!$M$19),Pivot!$A$3,"Customer","Minden, LA")</f>
        <v>80.603669912372695</v>
      </c>
      <c r="H29" s="51">
        <f>GETPIVOTDATA("Sum of "&amp;T(Transactions!$Q$19),Pivot!$A$3,"Customer",C29)</f>
        <v>0</v>
      </c>
      <c r="I29" s="62">
        <f t="shared" si="0"/>
        <v>1083.8172794338545</v>
      </c>
      <c r="J29" s="59"/>
      <c r="L29" s="50"/>
      <c r="M29" s="51"/>
      <c r="N29" s="51"/>
      <c r="O29" s="51"/>
      <c r="P29" s="51"/>
      <c r="Q29" s="51"/>
    </row>
    <row r="30" spans="2:17" x14ac:dyDescent="0.25">
      <c r="B30" s="59"/>
      <c r="C30" s="63" t="s">
        <v>19</v>
      </c>
      <c r="D30" s="61">
        <f>GETPIVOTDATA("Sum of "&amp;T(Transactions!$J$19),Pivot!$A$3,"Customer",C30)</f>
        <v>3990.425986778429</v>
      </c>
      <c r="E30" s="61">
        <f>GETPIVOTDATA("Sum of "&amp;T(Transactions!$K$19),Pivot!$A$3,"Customer",C30)</f>
        <v>1565.4802067080986</v>
      </c>
      <c r="F30" s="61">
        <f t="shared" si="1"/>
        <v>2424.9457800703303</v>
      </c>
      <c r="G30" s="51">
        <f>+GETPIVOTDATA("Sum of "&amp;T(Transactions!$M$19),Pivot!$A$3,"Customer","OG&amp;E")</f>
        <v>194.83341070843466</v>
      </c>
      <c r="H30" s="51">
        <f>GETPIVOTDATA("Sum of "&amp;T(Transactions!$Q$19),Pivot!$A$3,"Customer",C30)</f>
        <v>0</v>
      </c>
      <c r="I30" s="62">
        <f t="shared" si="0"/>
        <v>2619.779190778765</v>
      </c>
      <c r="J30" s="59"/>
    </row>
    <row r="31" spans="2:17" x14ac:dyDescent="0.25">
      <c r="B31" s="59"/>
      <c r="C31" s="60" t="s">
        <v>8</v>
      </c>
      <c r="D31" s="61">
        <f>GETPIVOTDATA("Sum of "&amp;T(Transactions!$J$19),Pivot!$A$3,"Customer",C31)</f>
        <v>6471.7822475924277</v>
      </c>
      <c r="E31" s="61">
        <f>GETPIVOTDATA("Sum of "&amp;T(Transactions!$K$19),Pivot!$A$3,"Customer",C31)</f>
        <v>2538.938710879378</v>
      </c>
      <c r="F31" s="61">
        <f t="shared" si="1"/>
        <v>3932.8435367130496</v>
      </c>
      <c r="G31" s="51">
        <f>+GETPIVOTDATA("Sum of "&amp;T(Transactions!$M$19),Pivot!$A$3,"Customer","OMPA")</f>
        <v>315.9861660981972</v>
      </c>
      <c r="H31" s="51">
        <f>GETPIVOTDATA("Sum of "&amp;T(Transactions!$Q$19),Pivot!$A$3,"Customer",C31)</f>
        <v>0</v>
      </c>
      <c r="I31" s="62">
        <f t="shared" si="0"/>
        <v>4248.8297028112465</v>
      </c>
      <c r="J31" s="59"/>
    </row>
    <row r="32" spans="2:17" x14ac:dyDescent="0.25">
      <c r="B32" s="59"/>
      <c r="C32" s="60" t="s">
        <v>54</v>
      </c>
      <c r="D32" s="61">
        <f>GETPIVOTDATA("Sum of "&amp;T(Transactions!$J$19),Pivot!$A$3,"Customer",C32)</f>
        <v>602.61509191197092</v>
      </c>
      <c r="E32" s="61">
        <f>GETPIVOTDATA("Sum of "&amp;T(Transactions!$K$19),Pivot!$A$3,"Customer",C32)</f>
        <v>236.41135101302507</v>
      </c>
      <c r="F32" s="61">
        <f t="shared" si="1"/>
        <v>366.20374089894585</v>
      </c>
      <c r="G32" s="51">
        <f>+GETPIVOTDATA("Sum of "&amp;T(Transactions!$M$19),Pivot!$A$3,"Customer","Prescott, AR")</f>
        <v>29.422812023228072</v>
      </c>
      <c r="H32" s="51">
        <f>GETPIVOTDATA("Sum of "&amp;T(Transactions!$Q$19),Pivot!$A$3,"Customer",C32)</f>
        <v>0</v>
      </c>
      <c r="I32" s="62">
        <f t="shared" si="0"/>
        <v>395.62655292217391</v>
      </c>
      <c r="J32" s="59"/>
    </row>
    <row r="33" spans="2:11" x14ac:dyDescent="0.25">
      <c r="B33" s="59"/>
      <c r="C33" s="65" t="s">
        <v>9</v>
      </c>
      <c r="D33" s="61">
        <f>GETPIVOTDATA("Sum of "&amp;T(Transactions!$J$19),Pivot!$A$3,"Customer",C33)</f>
        <v>3256.1470932722459</v>
      </c>
      <c r="E33" s="61">
        <f>GETPIVOTDATA("Sum of "&amp;T(Transactions!$K$19),Pivot!$A$3,"Customer",C33)</f>
        <v>1277.4159554737405</v>
      </c>
      <c r="F33" s="61">
        <f t="shared" si="1"/>
        <v>1978.7311377985054</v>
      </c>
      <c r="G33" s="51">
        <f>+GETPIVOTDATA("Sum of "&amp;T(Transactions!$M$19),Pivot!$A$3,"Customer","WFEC")</f>
        <v>158.98208513391302</v>
      </c>
      <c r="H33" s="51">
        <f>GETPIVOTDATA("Sum of "&amp;T(Transactions!$Q$19),Pivot!$A$3,"Customer",C33)</f>
        <v>0</v>
      </c>
      <c r="I33" s="62">
        <f t="shared" si="0"/>
        <v>2137.7132229324184</v>
      </c>
      <c r="J33" s="59"/>
    </row>
    <row r="34" spans="2:11" ht="23" x14ac:dyDescent="0.25">
      <c r="C34" s="66" t="s">
        <v>42</v>
      </c>
      <c r="D34" s="67">
        <f t="shared" ref="D34:I34" si="2">SUM(D21:D33)</f>
        <v>136196.07476447444</v>
      </c>
      <c r="E34" s="67">
        <f t="shared" si="2"/>
        <v>53430.951978952173</v>
      </c>
      <c r="F34" s="67">
        <f t="shared" si="2"/>
        <v>82765.122785522239</v>
      </c>
      <c r="G34" s="68">
        <f t="shared" si="2"/>
        <v>6649.8027677707469</v>
      </c>
      <c r="H34" s="68">
        <f t="shared" si="2"/>
        <v>0</v>
      </c>
      <c r="I34" s="69">
        <f t="shared" si="2"/>
        <v>89414.925553292996</v>
      </c>
    </row>
    <row r="35" spans="2:11" x14ac:dyDescent="0.25">
      <c r="C35" s="70" t="s">
        <v>21</v>
      </c>
      <c r="D35" s="61">
        <f>GETPIVOTDATA("Sum of "&amp;T(Transactions!$J$19),Pivot!$A$3,"Customer",C35)</f>
        <v>193874.94784747736</v>
      </c>
      <c r="E35" s="61">
        <f>GETPIVOTDATA("Sum of "&amp;T(Transactions!$K$19),Pivot!$A$3,"Customer",C35)</f>
        <v>76058.89557591315</v>
      </c>
      <c r="F35" s="61">
        <f t="shared" si="1"/>
        <v>117816.05227156421</v>
      </c>
      <c r="G35" s="51">
        <f>+GETPIVOTDATA("Sum of "&amp;T(Transactions!$M$19),Pivot!$A$3,"Customer","PSO")</f>
        <v>9465.9862042797195</v>
      </c>
      <c r="H35" s="51">
        <f>GETPIVOTDATA("Sum of "&amp;T(Transactions!$Q$19),Pivot!$A$3,"Customer",C35)</f>
        <v>0</v>
      </c>
      <c r="I35" s="62">
        <f>F35+G35-H35</f>
        <v>127282.03847584393</v>
      </c>
    </row>
    <row r="36" spans="2:11" x14ac:dyDescent="0.25">
      <c r="C36" s="71" t="s">
        <v>22</v>
      </c>
      <c r="D36" s="61">
        <f>GETPIVOTDATA("Sum of "&amp;T(Transactions!$J$19),Pivot!$A$3,"Customer",C36)</f>
        <v>177654.98028954421</v>
      </c>
      <c r="E36" s="61">
        <f>GETPIVOTDATA("Sum of "&amp;T(Transactions!$K$19),Pivot!$A$3,"Customer",C36)</f>
        <v>69695.655598646583</v>
      </c>
      <c r="F36" s="61">
        <f>D36-E36</f>
        <v>107959.32469089763</v>
      </c>
      <c r="G36" s="51">
        <f>+GETPIVOTDATA("Sum of "&amp;T(Transactions!$M$19),Pivot!$A$3,"Customer","SWEPCO")</f>
        <v>8674.0427848645977</v>
      </c>
      <c r="H36" s="51">
        <f>GETPIVOTDATA("Sum of "&amp;T(Transactions!$Q$19),Pivot!$A$3,"Customer",C36)</f>
        <v>0</v>
      </c>
      <c r="I36" s="62">
        <f>F36+G36-H36</f>
        <v>116633.36747576222</v>
      </c>
    </row>
    <row r="37" spans="2:11" x14ac:dyDescent="0.25">
      <c r="C37" s="72" t="s">
        <v>80</v>
      </c>
      <c r="D37" s="61">
        <f>GETPIVOTDATA("Sum of "&amp;T(Transactions!$J$19),Pivot!$A$3,"Customer",C37)</f>
        <v>8046.6838743539647</v>
      </c>
      <c r="E37" s="61">
        <f>GETPIVOTDATA("Sum of "&amp;T(Transactions!$K$19),Pivot!$A$3,"Customer",C37)</f>
        <v>3156.7868635268637</v>
      </c>
      <c r="F37" s="61">
        <f>D37-E37</f>
        <v>4889.8970108271005</v>
      </c>
      <c r="G37" s="51">
        <f>+GETPIVOTDATA("Sum of "&amp;T(Transactions!$M$19),Pivot!$A$3,"Customer","SWEPCO-Valley")</f>
        <v>392.88107819251604</v>
      </c>
      <c r="H37" s="51">
        <f>GETPIVOTDATA("Sum of "&amp;T(Transactions!$Q$19),Pivot!$A$3,"Customer",C37)</f>
        <v>0</v>
      </c>
      <c r="I37" s="62">
        <f>F37+G37-H37</f>
        <v>5282.7780890196163</v>
      </c>
    </row>
    <row r="38" spans="2:11" ht="23" x14ac:dyDescent="0.25">
      <c r="C38" s="73" t="s">
        <v>50</v>
      </c>
      <c r="D38" s="74">
        <f t="shared" ref="D38:I38" si="3">SUM(D35:D37)</f>
        <v>379576.61201137555</v>
      </c>
      <c r="E38" s="74">
        <f t="shared" si="3"/>
        <v>148911.3380380866</v>
      </c>
      <c r="F38" s="74">
        <f t="shared" si="3"/>
        <v>230665.27397328895</v>
      </c>
      <c r="G38" s="75">
        <f t="shared" si="3"/>
        <v>18532.910067336834</v>
      </c>
      <c r="H38" s="75">
        <f t="shared" si="3"/>
        <v>0</v>
      </c>
      <c r="I38" s="76">
        <f t="shared" si="3"/>
        <v>249198.18404062578</v>
      </c>
      <c r="K38" s="77"/>
    </row>
    <row r="39" spans="2:11" ht="23.25" customHeight="1" thickBot="1" x14ac:dyDescent="0.3">
      <c r="C39" s="78" t="s">
        <v>43</v>
      </c>
      <c r="D39" s="79">
        <f t="shared" ref="D39:I39" si="4">SUM(D34,D38)</f>
        <v>515772.68677585002</v>
      </c>
      <c r="E39" s="80">
        <f t="shared" si="4"/>
        <v>202342.29001703876</v>
      </c>
      <c r="F39" s="79">
        <f t="shared" si="4"/>
        <v>313430.3967588112</v>
      </c>
      <c r="G39" s="80">
        <f t="shared" si="4"/>
        <v>25182.712835107581</v>
      </c>
      <c r="H39" s="80">
        <f t="shared" si="4"/>
        <v>0</v>
      </c>
      <c r="I39" s="81">
        <f t="shared" si="4"/>
        <v>338613.10959391878</v>
      </c>
      <c r="K39" s="77"/>
    </row>
    <row r="40" spans="2:11" x14ac:dyDescent="0.25">
      <c r="E40" s="50"/>
      <c r="F40" s="50"/>
      <c r="G40" s="50"/>
      <c r="H40" s="50"/>
    </row>
    <row r="41" spans="2:11" x14ac:dyDescent="0.25">
      <c r="D41" s="59"/>
      <c r="E41" s="59"/>
      <c r="F41" s="59"/>
      <c r="G41" s="59"/>
      <c r="I41" s="59"/>
    </row>
  </sheetData>
  <mergeCells count="4">
    <mergeCell ref="C1:I1"/>
    <mergeCell ref="C2:I2"/>
    <mergeCell ref="C3:I3"/>
    <mergeCell ref="C4:I4"/>
  </mergeCells>
  <phoneticPr fontId="6" type="noConversion"/>
  <printOptions horizontalCentered="1"/>
  <pageMargins left="0.5" right="0.75" top="0.9" bottom="0.53" header="0.5" footer="0.5"/>
  <pageSetup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O123"/>
  <sheetViews>
    <sheetView zoomScale="85" workbookViewId="0">
      <pane xSplit="2" ySplit="4" topLeftCell="F104" activePane="bottomRight" state="frozen"/>
      <selection activeCell="J13" sqref="J13"/>
      <selection pane="topRight" activeCell="J13" sqref="J13"/>
      <selection pane="bottomLeft" activeCell="J13" sqref="J13"/>
      <selection pane="bottomRight" activeCell="J13" sqref="J13"/>
    </sheetView>
  </sheetViews>
  <sheetFormatPr defaultColWidth="8.7265625" defaultRowHeight="12.5" x14ac:dyDescent="0.25"/>
  <cols>
    <col min="1" max="1" width="19.1796875" style="1" customWidth="1"/>
    <col min="2" max="2" width="28.54296875" style="1" bestFit="1" customWidth="1"/>
    <col min="3" max="14" width="15.453125" style="1" bestFit="1" customWidth="1"/>
    <col min="15" max="15" width="10.54296875" style="1" bestFit="1" customWidth="1"/>
    <col min="16" max="16384" width="8.7265625" style="1"/>
  </cols>
  <sheetData>
    <row r="3" spans="1:15" x14ac:dyDescent="0.25">
      <c r="A3" s="211"/>
      <c r="B3" s="212"/>
      <c r="C3" s="213" t="s">
        <v>52</v>
      </c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4"/>
    </row>
    <row r="4" spans="1:15" x14ac:dyDescent="0.25">
      <c r="A4" s="213" t="s">
        <v>0</v>
      </c>
      <c r="B4" s="213" t="s">
        <v>24</v>
      </c>
      <c r="C4" s="215">
        <v>45292</v>
      </c>
      <c r="D4" s="216">
        <v>45323</v>
      </c>
      <c r="E4" s="216">
        <v>45352</v>
      </c>
      <c r="F4" s="216">
        <v>45383</v>
      </c>
      <c r="G4" s="216">
        <v>45413</v>
      </c>
      <c r="H4" s="216">
        <v>45444</v>
      </c>
      <c r="I4" s="216">
        <v>45474</v>
      </c>
      <c r="J4" s="216">
        <v>45505</v>
      </c>
      <c r="K4" s="216">
        <v>45536</v>
      </c>
      <c r="L4" s="216">
        <v>45566</v>
      </c>
      <c r="M4" s="216">
        <v>45597</v>
      </c>
      <c r="N4" s="216">
        <v>45627</v>
      </c>
      <c r="O4" s="217" t="s">
        <v>18</v>
      </c>
    </row>
    <row r="5" spans="1:15" x14ac:dyDescent="0.25">
      <c r="A5" s="211" t="s">
        <v>14</v>
      </c>
      <c r="B5" s="211" t="s">
        <v>69</v>
      </c>
      <c r="C5" s="218">
        <v>5717.2473846102112</v>
      </c>
      <c r="D5" s="219">
        <v>3742.2903606970294</v>
      </c>
      <c r="E5" s="219">
        <v>3251.0831009032381</v>
      </c>
      <c r="F5" s="219">
        <v>2942.1795663937405</v>
      </c>
      <c r="G5" s="219">
        <v>3813.1862538631435</v>
      </c>
      <c r="H5" s="219">
        <v>5069.0563613771674</v>
      </c>
      <c r="I5" s="219">
        <v>4866.4966666168411</v>
      </c>
      <c r="J5" s="219">
        <v>5150.0802392812975</v>
      </c>
      <c r="K5" s="219">
        <v>4334.7774678709839</v>
      </c>
      <c r="L5" s="219">
        <v>3980.2980020404129</v>
      </c>
      <c r="M5" s="219">
        <v>2344.6284668507774</v>
      </c>
      <c r="N5" s="219">
        <v>3671.3944675309153</v>
      </c>
      <c r="O5" s="220">
        <v>48882.71833803576</v>
      </c>
    </row>
    <row r="6" spans="1:15" ht="13" x14ac:dyDescent="0.3">
      <c r="A6" s="221"/>
      <c r="B6" s="222" t="s">
        <v>25</v>
      </c>
      <c r="C6" s="223">
        <v>3474.3195249992423</v>
      </c>
      <c r="D6" s="210">
        <v>2274.1560044060589</v>
      </c>
      <c r="E6" s="210">
        <v>1975.6537954380105</v>
      </c>
      <c r="F6" s="210">
        <v>1787.9359114477948</v>
      </c>
      <c r="G6" s="210">
        <v>2317.2387974529934</v>
      </c>
      <c r="H6" s="210">
        <v>3080.4197028558392</v>
      </c>
      <c r="I6" s="210">
        <v>2957.3260084360254</v>
      </c>
      <c r="J6" s="210">
        <v>3129.6571806237644</v>
      </c>
      <c r="K6" s="210">
        <v>2634.2050605840136</v>
      </c>
      <c r="L6" s="210">
        <v>2418.7910953493401</v>
      </c>
      <c r="M6" s="210">
        <v>1424.8095129093438</v>
      </c>
      <c r="N6" s="210">
        <v>2231.0732113591239</v>
      </c>
      <c r="O6" s="224">
        <v>29705.585805861556</v>
      </c>
    </row>
    <row r="7" spans="1:15" ht="13" x14ac:dyDescent="0.3">
      <c r="A7" s="221"/>
      <c r="B7" s="222" t="s">
        <v>26</v>
      </c>
      <c r="C7" s="223">
        <v>279.14583843886129</v>
      </c>
      <c r="D7" s="210">
        <v>182.71813516945835</v>
      </c>
      <c r="E7" s="210">
        <v>158.73483461270942</v>
      </c>
      <c r="F7" s="210">
        <v>143.65255281928998</v>
      </c>
      <c r="G7" s="210">
        <v>186.17964246630871</v>
      </c>
      <c r="H7" s="210">
        <v>247.49777172480083</v>
      </c>
      <c r="I7" s="210">
        <v>237.60775087665692</v>
      </c>
      <c r="J7" s="210">
        <v>251.45378006405838</v>
      </c>
      <c r="K7" s="210">
        <v>211.64644615027922</v>
      </c>
      <c r="L7" s="210">
        <v>194.3389096660274</v>
      </c>
      <c r="M7" s="210">
        <v>114.47699131726553</v>
      </c>
      <c r="N7" s="210">
        <v>179.25662787260799</v>
      </c>
      <c r="O7" s="224">
        <v>2386.7092811783241</v>
      </c>
    </row>
    <row r="8" spans="1:15" ht="13" x14ac:dyDescent="0.3">
      <c r="A8" s="221"/>
      <c r="B8" s="222" t="s">
        <v>27</v>
      </c>
      <c r="C8" s="223">
        <v>3753.4653634381034</v>
      </c>
      <c r="D8" s="210">
        <v>2456.8741395755173</v>
      </c>
      <c r="E8" s="210">
        <v>2134.3886300507202</v>
      </c>
      <c r="F8" s="210">
        <v>1931.5884642670846</v>
      </c>
      <c r="G8" s="210">
        <v>2503.4184399193023</v>
      </c>
      <c r="H8" s="210">
        <v>3327.9174745806399</v>
      </c>
      <c r="I8" s="210">
        <v>3194.9337593126825</v>
      </c>
      <c r="J8" s="210">
        <v>3381.1109606878226</v>
      </c>
      <c r="K8" s="210">
        <v>2845.8515067342928</v>
      </c>
      <c r="L8" s="210">
        <v>2613.1300050153677</v>
      </c>
      <c r="M8" s="210">
        <v>1539.2865042266094</v>
      </c>
      <c r="N8" s="210">
        <v>2410.329839231732</v>
      </c>
      <c r="O8" s="224">
        <v>32092.295087039878</v>
      </c>
    </row>
    <row r="9" spans="1:15" x14ac:dyDescent="0.25">
      <c r="A9" s="221"/>
      <c r="B9" s="222" t="s">
        <v>48</v>
      </c>
      <c r="C9" s="225">
        <v>2242.9278596109689</v>
      </c>
      <c r="D9" s="82">
        <v>1468.1343562909708</v>
      </c>
      <c r="E9" s="82">
        <v>1275.4293054652276</v>
      </c>
      <c r="F9" s="82">
        <v>1154.2436549459458</v>
      </c>
      <c r="G9" s="82">
        <v>1495.9474564101502</v>
      </c>
      <c r="H9" s="82">
        <v>1988.6366585213284</v>
      </c>
      <c r="I9" s="82">
        <v>1909.1706581808157</v>
      </c>
      <c r="J9" s="82">
        <v>2020.4230586575334</v>
      </c>
      <c r="K9" s="82">
        <v>1700.5724072869702</v>
      </c>
      <c r="L9" s="82">
        <v>1561.506906691073</v>
      </c>
      <c r="M9" s="82">
        <v>919.81895394143362</v>
      </c>
      <c r="N9" s="82">
        <v>1440.3212561717912</v>
      </c>
      <c r="O9" s="226">
        <v>19177.132532174212</v>
      </c>
    </row>
    <row r="10" spans="1:15" x14ac:dyDescent="0.25">
      <c r="A10" s="221"/>
      <c r="B10" s="222" t="s">
        <v>86</v>
      </c>
      <c r="C10" s="225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226">
        <v>0</v>
      </c>
    </row>
    <row r="11" spans="1:15" x14ac:dyDescent="0.25">
      <c r="A11" s="221"/>
      <c r="B11" s="222" t="s">
        <v>88</v>
      </c>
      <c r="C11" s="225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226">
        <v>0</v>
      </c>
    </row>
    <row r="12" spans="1:15" x14ac:dyDescent="0.25">
      <c r="A12" s="211" t="s">
        <v>17</v>
      </c>
      <c r="B12" s="211" t="s">
        <v>69</v>
      </c>
      <c r="C12" s="218">
        <v>526.65520637684858</v>
      </c>
      <c r="D12" s="219">
        <v>501.33524453180775</v>
      </c>
      <c r="E12" s="219">
        <v>501.33524453180775</v>
      </c>
      <c r="F12" s="219">
        <v>501.33524453180775</v>
      </c>
      <c r="G12" s="219">
        <v>536.78319111486485</v>
      </c>
      <c r="H12" s="219">
        <v>607.67908428097905</v>
      </c>
      <c r="I12" s="219">
        <v>592.48710717395466</v>
      </c>
      <c r="J12" s="219">
        <v>597.55109954296279</v>
      </c>
      <c r="K12" s="219">
        <v>592.48710717395466</v>
      </c>
      <c r="L12" s="219">
        <v>541.84718348387298</v>
      </c>
      <c r="M12" s="219">
        <v>460.82330557974245</v>
      </c>
      <c r="N12" s="219">
        <v>516.5272216388322</v>
      </c>
      <c r="O12" s="220">
        <v>6476.8462399614364</v>
      </c>
    </row>
    <row r="13" spans="1:15" ht="13" x14ac:dyDescent="0.3">
      <c r="A13" s="221"/>
      <c r="B13" s="222" t="s">
        <v>25</v>
      </c>
      <c r="C13" s="223">
        <v>320.04360549151579</v>
      </c>
      <c r="D13" s="210">
        <v>304.65689368903901</v>
      </c>
      <c r="E13" s="210">
        <v>304.65689368903901</v>
      </c>
      <c r="F13" s="210">
        <v>304.65689368903901</v>
      </c>
      <c r="G13" s="210">
        <v>326.19829021250644</v>
      </c>
      <c r="H13" s="210">
        <v>369.28108325944117</v>
      </c>
      <c r="I13" s="210">
        <v>360.04905617795521</v>
      </c>
      <c r="J13" s="210">
        <v>363.12639853845053</v>
      </c>
      <c r="K13" s="210">
        <v>360.04905617795521</v>
      </c>
      <c r="L13" s="210">
        <v>329.2756325730017</v>
      </c>
      <c r="M13" s="210">
        <v>280.03815480507626</v>
      </c>
      <c r="N13" s="210">
        <v>313.88892077052503</v>
      </c>
      <c r="O13" s="224">
        <v>3935.9208790735438</v>
      </c>
    </row>
    <row r="14" spans="1:15" ht="13" x14ac:dyDescent="0.3">
      <c r="A14" s="221"/>
      <c r="B14" s="222" t="s">
        <v>26</v>
      </c>
      <c r="C14" s="223">
        <v>25.714054205174111</v>
      </c>
      <c r="D14" s="210">
        <v>24.477801599156123</v>
      </c>
      <c r="E14" s="210">
        <v>24.477801599156123</v>
      </c>
      <c r="F14" s="210">
        <v>24.477801599156123</v>
      </c>
      <c r="G14" s="210">
        <v>26.208555247581305</v>
      </c>
      <c r="H14" s="210">
        <v>29.670062544431666</v>
      </c>
      <c r="I14" s="210">
        <v>28.928310980820875</v>
      </c>
      <c r="J14" s="210">
        <v>29.175561502024472</v>
      </c>
      <c r="K14" s="210">
        <v>28.928310980820875</v>
      </c>
      <c r="L14" s="210">
        <v>26.455805768784902</v>
      </c>
      <c r="M14" s="210">
        <v>22.499797429527348</v>
      </c>
      <c r="N14" s="210">
        <v>25.219553162766914</v>
      </c>
      <c r="O14" s="224">
        <v>316.23341661940083</v>
      </c>
    </row>
    <row r="15" spans="1:15" ht="13" x14ac:dyDescent="0.3">
      <c r="A15" s="221"/>
      <c r="B15" s="222" t="s">
        <v>27</v>
      </c>
      <c r="C15" s="223">
        <v>345.75765969668993</v>
      </c>
      <c r="D15" s="210">
        <v>329.13469528819513</v>
      </c>
      <c r="E15" s="210">
        <v>329.13469528819513</v>
      </c>
      <c r="F15" s="210">
        <v>329.13469528819513</v>
      </c>
      <c r="G15" s="210">
        <v>352.40684546008777</v>
      </c>
      <c r="H15" s="210">
        <v>398.95114580387286</v>
      </c>
      <c r="I15" s="210">
        <v>388.97736715877608</v>
      </c>
      <c r="J15" s="210">
        <v>392.30196004047502</v>
      </c>
      <c r="K15" s="210">
        <v>388.97736715877608</v>
      </c>
      <c r="L15" s="210">
        <v>355.7314383417866</v>
      </c>
      <c r="M15" s="210">
        <v>302.53795223460361</v>
      </c>
      <c r="N15" s="210">
        <v>339.10847393329198</v>
      </c>
      <c r="O15" s="224">
        <v>4252.1542956929452</v>
      </c>
    </row>
    <row r="16" spans="1:15" x14ac:dyDescent="0.25">
      <c r="A16" s="221"/>
      <c r="B16" s="222" t="s">
        <v>48</v>
      </c>
      <c r="C16" s="225">
        <v>206.61160088533282</v>
      </c>
      <c r="D16" s="82">
        <v>196.67835084276874</v>
      </c>
      <c r="E16" s="82">
        <v>196.67835084276874</v>
      </c>
      <c r="F16" s="82">
        <v>196.67835084276874</v>
      </c>
      <c r="G16" s="82">
        <v>210.58490090235844</v>
      </c>
      <c r="H16" s="82">
        <v>238.39800102153788</v>
      </c>
      <c r="I16" s="82">
        <v>232.43805099599942</v>
      </c>
      <c r="J16" s="82">
        <v>234.42470100451223</v>
      </c>
      <c r="K16" s="82">
        <v>232.43805099599942</v>
      </c>
      <c r="L16" s="82">
        <v>212.57155091087128</v>
      </c>
      <c r="M16" s="82">
        <v>180.78515077466622</v>
      </c>
      <c r="N16" s="82">
        <v>202.6383008683072</v>
      </c>
      <c r="O16" s="226">
        <v>2540.9253608878912</v>
      </c>
    </row>
    <row r="17" spans="1:15" x14ac:dyDescent="0.25">
      <c r="A17" s="221"/>
      <c r="B17" s="222" t="s">
        <v>86</v>
      </c>
      <c r="C17" s="225">
        <v>0</v>
      </c>
      <c r="D17" s="82">
        <v>0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82">
        <v>0</v>
      </c>
      <c r="O17" s="226">
        <v>0</v>
      </c>
    </row>
    <row r="18" spans="1:15" x14ac:dyDescent="0.25">
      <c r="A18" s="221"/>
      <c r="B18" s="222" t="s">
        <v>88</v>
      </c>
      <c r="C18" s="225">
        <v>0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  <c r="N18" s="82">
        <v>0</v>
      </c>
      <c r="O18" s="226">
        <v>0</v>
      </c>
    </row>
    <row r="19" spans="1:15" x14ac:dyDescent="0.25">
      <c r="A19" s="211" t="s">
        <v>13</v>
      </c>
      <c r="B19" s="211" t="s">
        <v>69</v>
      </c>
      <c r="C19" s="218">
        <v>7352.9169197998472</v>
      </c>
      <c r="D19" s="219">
        <v>4891.8166284618819</v>
      </c>
      <c r="E19" s="219">
        <v>3706.8424141139722</v>
      </c>
      <c r="F19" s="219">
        <v>2770.0038258474628</v>
      </c>
      <c r="G19" s="219">
        <v>3782.8022996490949</v>
      </c>
      <c r="H19" s="219">
        <v>4643.6810023804819</v>
      </c>
      <c r="I19" s="219">
        <v>4810.7927505577509</v>
      </c>
      <c r="J19" s="219">
        <v>4760.1528268676693</v>
      </c>
      <c r="K19" s="219">
        <v>4132.2177731106576</v>
      </c>
      <c r="L19" s="219">
        <v>3458.7067880325726</v>
      </c>
      <c r="M19" s="219">
        <v>2658.5959937292832</v>
      </c>
      <c r="N19" s="219">
        <v>4370.2254144540411</v>
      </c>
      <c r="O19" s="220">
        <v>51338.754637004713</v>
      </c>
    </row>
    <row r="20" spans="1:15" ht="13" x14ac:dyDescent="0.3">
      <c r="A20" s="221"/>
      <c r="B20" s="222" t="s">
        <v>25</v>
      </c>
      <c r="C20" s="223">
        <v>4468.3011074392389</v>
      </c>
      <c r="D20" s="210">
        <v>2972.7127202385018</v>
      </c>
      <c r="E20" s="210">
        <v>2252.6146078825914</v>
      </c>
      <c r="F20" s="210">
        <v>1683.3062711909527</v>
      </c>
      <c r="G20" s="210">
        <v>2298.7747432900214</v>
      </c>
      <c r="H20" s="210">
        <v>2821.9229445742303</v>
      </c>
      <c r="I20" s="210">
        <v>2923.4752424705762</v>
      </c>
      <c r="J20" s="210">
        <v>2892.701818865623</v>
      </c>
      <c r="K20" s="210">
        <v>2511.1113661642003</v>
      </c>
      <c r="L20" s="210">
        <v>2101.8248322183194</v>
      </c>
      <c r="M20" s="210">
        <v>1615.6047392600551</v>
      </c>
      <c r="N20" s="210">
        <v>2655.7464571074815</v>
      </c>
      <c r="O20" s="224">
        <v>31198.096850701793</v>
      </c>
    </row>
    <row r="21" spans="1:15" ht="13" x14ac:dyDescent="0.3">
      <c r="A21" s="221"/>
      <c r="B21" s="222" t="s">
        <v>26</v>
      </c>
      <c r="C21" s="223">
        <v>359.00775678762318</v>
      </c>
      <c r="D21" s="210">
        <v>238.84400348267491</v>
      </c>
      <c r="E21" s="210">
        <v>180.98738152103317</v>
      </c>
      <c r="F21" s="210">
        <v>135.24603509836768</v>
      </c>
      <c r="G21" s="210">
        <v>184.69613933908713</v>
      </c>
      <c r="H21" s="210">
        <v>226.72872794369866</v>
      </c>
      <c r="I21" s="210">
        <v>234.88799514341738</v>
      </c>
      <c r="J21" s="210">
        <v>232.41548993138136</v>
      </c>
      <c r="K21" s="210">
        <v>201.75642530213531</v>
      </c>
      <c r="L21" s="210">
        <v>168.87210598205692</v>
      </c>
      <c r="M21" s="210">
        <v>129.80652363188855</v>
      </c>
      <c r="N21" s="210">
        <v>213.3771997987044</v>
      </c>
      <c r="O21" s="224">
        <v>2506.6257839620685</v>
      </c>
    </row>
    <row r="22" spans="1:15" ht="13" x14ac:dyDescent="0.3">
      <c r="A22" s="221"/>
      <c r="B22" s="222" t="s">
        <v>27</v>
      </c>
      <c r="C22" s="223">
        <v>4827.3088642268622</v>
      </c>
      <c r="D22" s="210">
        <v>3211.5567237211767</v>
      </c>
      <c r="E22" s="210">
        <v>2433.6019894036244</v>
      </c>
      <c r="F22" s="210">
        <v>1818.5523062893203</v>
      </c>
      <c r="G22" s="210">
        <v>2483.4708826291085</v>
      </c>
      <c r="H22" s="210">
        <v>3048.651672517929</v>
      </c>
      <c r="I22" s="210">
        <v>3158.3632376139935</v>
      </c>
      <c r="J22" s="210">
        <v>3125.1173087970042</v>
      </c>
      <c r="K22" s="210">
        <v>2712.8677914663358</v>
      </c>
      <c r="L22" s="210">
        <v>2270.6969382003763</v>
      </c>
      <c r="M22" s="210">
        <v>1745.4112628919436</v>
      </c>
      <c r="N22" s="210">
        <v>2869.1236569061857</v>
      </c>
      <c r="O22" s="224">
        <v>33704.722634663864</v>
      </c>
    </row>
    <row r="23" spans="1:15" x14ac:dyDescent="0.25">
      <c r="A23" s="221"/>
      <c r="B23" s="222" t="s">
        <v>48</v>
      </c>
      <c r="C23" s="225">
        <v>2884.6158123606083</v>
      </c>
      <c r="D23" s="82">
        <v>1919.1039082233799</v>
      </c>
      <c r="E23" s="82">
        <v>1454.227806231381</v>
      </c>
      <c r="F23" s="82">
        <v>1086.6975546565102</v>
      </c>
      <c r="G23" s="82">
        <v>1484.0275563590733</v>
      </c>
      <c r="H23" s="82">
        <v>1821.7580578062518</v>
      </c>
      <c r="I23" s="82">
        <v>1887.3175080871747</v>
      </c>
      <c r="J23" s="82">
        <v>1867.4510080020466</v>
      </c>
      <c r="K23" s="82">
        <v>1621.1064069464576</v>
      </c>
      <c r="L23" s="82">
        <v>1356.8819558142532</v>
      </c>
      <c r="M23" s="82">
        <v>1042.9912544692281</v>
      </c>
      <c r="N23" s="82">
        <v>1714.4789573465598</v>
      </c>
      <c r="O23" s="226">
        <v>20140.657786302923</v>
      </c>
    </row>
    <row r="24" spans="1:15" x14ac:dyDescent="0.25">
      <c r="A24" s="221"/>
      <c r="B24" s="222" t="s">
        <v>86</v>
      </c>
      <c r="C24" s="225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0</v>
      </c>
      <c r="J24" s="82">
        <v>0</v>
      </c>
      <c r="K24" s="82">
        <v>0</v>
      </c>
      <c r="L24" s="82">
        <v>0</v>
      </c>
      <c r="M24" s="82">
        <v>0</v>
      </c>
      <c r="N24" s="82">
        <v>0</v>
      </c>
      <c r="O24" s="226">
        <v>0</v>
      </c>
    </row>
    <row r="25" spans="1:15" x14ac:dyDescent="0.25">
      <c r="A25" s="221"/>
      <c r="B25" s="222" t="s">
        <v>88</v>
      </c>
      <c r="C25" s="225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2">
        <v>0</v>
      </c>
      <c r="O25" s="226">
        <v>0</v>
      </c>
    </row>
    <row r="26" spans="1:15" x14ac:dyDescent="0.25">
      <c r="A26" s="211" t="s">
        <v>15</v>
      </c>
      <c r="B26" s="211" t="s">
        <v>69</v>
      </c>
      <c r="C26" s="218">
        <v>40.511938952065272</v>
      </c>
      <c r="D26" s="219">
        <v>25.319961845040794</v>
      </c>
      <c r="E26" s="219">
        <v>25.319961845040794</v>
      </c>
      <c r="F26" s="219">
        <v>30.383954214048956</v>
      </c>
      <c r="G26" s="219">
        <v>45.575931321073433</v>
      </c>
      <c r="H26" s="219">
        <v>70.89589316611422</v>
      </c>
      <c r="I26" s="219">
        <v>86.087870273138705</v>
      </c>
      <c r="J26" s="219">
        <v>96.215855011155014</v>
      </c>
      <c r="K26" s="219">
        <v>55.70391605908975</v>
      </c>
      <c r="L26" s="219">
        <v>30.383954214048956</v>
      </c>
      <c r="M26" s="219">
        <v>30.383954214048956</v>
      </c>
      <c r="N26" s="219">
        <v>30.383954214048956</v>
      </c>
      <c r="O26" s="220">
        <v>567.16714532891376</v>
      </c>
    </row>
    <row r="27" spans="1:15" ht="13" x14ac:dyDescent="0.3">
      <c r="A27" s="221"/>
      <c r="B27" s="222" t="s">
        <v>25</v>
      </c>
      <c r="C27" s="223">
        <v>24.618738883962749</v>
      </c>
      <c r="D27" s="210">
        <v>15.386711802476716</v>
      </c>
      <c r="E27" s="210">
        <v>15.386711802476716</v>
      </c>
      <c r="F27" s="210">
        <v>18.464054162972062</v>
      </c>
      <c r="G27" s="210">
        <v>27.696081244458092</v>
      </c>
      <c r="H27" s="210">
        <v>43.082793046934803</v>
      </c>
      <c r="I27" s="210">
        <v>52.314820128420841</v>
      </c>
      <c r="J27" s="210">
        <v>58.469504849411521</v>
      </c>
      <c r="K27" s="210">
        <v>33.85076596544878</v>
      </c>
      <c r="L27" s="210">
        <v>18.464054162972062</v>
      </c>
      <c r="M27" s="210">
        <v>18.464054162972062</v>
      </c>
      <c r="N27" s="210">
        <v>18.464054162972062</v>
      </c>
      <c r="O27" s="224">
        <v>344.66234437547843</v>
      </c>
    </row>
    <row r="28" spans="1:15" ht="13" x14ac:dyDescent="0.3">
      <c r="A28" s="221"/>
      <c r="B28" s="222" t="s">
        <v>26</v>
      </c>
      <c r="C28" s="223">
        <v>1.9780041696287778</v>
      </c>
      <c r="D28" s="210">
        <v>1.2362526060179861</v>
      </c>
      <c r="E28" s="210">
        <v>1.2362526060179861</v>
      </c>
      <c r="F28" s="210">
        <v>1.4835031272215833</v>
      </c>
      <c r="G28" s="210">
        <v>2.2252546908323749</v>
      </c>
      <c r="H28" s="210">
        <v>3.4615072968503613</v>
      </c>
      <c r="I28" s="210">
        <v>4.2032588604611529</v>
      </c>
      <c r="J28" s="210">
        <v>4.6977599028683477</v>
      </c>
      <c r="K28" s="210">
        <v>2.7197557332395692</v>
      </c>
      <c r="L28" s="210">
        <v>1.4835031272215833</v>
      </c>
      <c r="M28" s="210">
        <v>1.4835031272215833</v>
      </c>
      <c r="N28" s="210">
        <v>1.4835031272215833</v>
      </c>
      <c r="O28" s="224">
        <v>27.692058374802883</v>
      </c>
    </row>
    <row r="29" spans="1:15" ht="13" x14ac:dyDescent="0.3">
      <c r="A29" s="221"/>
      <c r="B29" s="222" t="s">
        <v>27</v>
      </c>
      <c r="C29" s="223">
        <v>26.596743053591528</v>
      </c>
      <c r="D29" s="210">
        <v>16.622964408494703</v>
      </c>
      <c r="E29" s="210">
        <v>16.622964408494703</v>
      </c>
      <c r="F29" s="210">
        <v>19.947557290193643</v>
      </c>
      <c r="G29" s="210">
        <v>29.921335935290468</v>
      </c>
      <c r="H29" s="210">
        <v>46.544300343785167</v>
      </c>
      <c r="I29" s="210">
        <v>56.518078988881996</v>
      </c>
      <c r="J29" s="210">
        <v>63.16726475227987</v>
      </c>
      <c r="K29" s="210">
        <v>36.570521698688346</v>
      </c>
      <c r="L29" s="210">
        <v>19.947557290193643</v>
      </c>
      <c r="M29" s="210">
        <v>19.947557290193643</v>
      </c>
      <c r="N29" s="210">
        <v>19.947557290193643</v>
      </c>
      <c r="O29" s="224">
        <v>372.35440275028134</v>
      </c>
    </row>
    <row r="30" spans="1:15" x14ac:dyDescent="0.25">
      <c r="A30" s="221"/>
      <c r="B30" s="222" t="s">
        <v>48</v>
      </c>
      <c r="C30" s="225">
        <v>15.893200068102525</v>
      </c>
      <c r="D30" s="82">
        <v>9.9332500425640777</v>
      </c>
      <c r="E30" s="82">
        <v>9.9332500425640777</v>
      </c>
      <c r="F30" s="82">
        <v>11.919900051076894</v>
      </c>
      <c r="G30" s="82">
        <v>17.879850076615341</v>
      </c>
      <c r="H30" s="82">
        <v>27.813100119179417</v>
      </c>
      <c r="I30" s="82">
        <v>33.773050144717864</v>
      </c>
      <c r="J30" s="82">
        <v>37.746350161743493</v>
      </c>
      <c r="K30" s="82">
        <v>21.85315009364097</v>
      </c>
      <c r="L30" s="82">
        <v>11.919900051076894</v>
      </c>
      <c r="M30" s="82">
        <v>11.919900051076894</v>
      </c>
      <c r="N30" s="82">
        <v>11.919900051076894</v>
      </c>
      <c r="O30" s="226">
        <v>222.50480095343536</v>
      </c>
    </row>
    <row r="31" spans="1:15" x14ac:dyDescent="0.25">
      <c r="A31" s="221"/>
      <c r="B31" s="222" t="s">
        <v>86</v>
      </c>
      <c r="C31" s="225">
        <v>0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82">
        <v>0</v>
      </c>
      <c r="J31" s="82">
        <v>0</v>
      </c>
      <c r="K31" s="82">
        <v>0</v>
      </c>
      <c r="L31" s="82">
        <v>0</v>
      </c>
      <c r="M31" s="82">
        <v>0</v>
      </c>
      <c r="N31" s="82">
        <v>0</v>
      </c>
      <c r="O31" s="226">
        <v>0</v>
      </c>
    </row>
    <row r="32" spans="1:15" x14ac:dyDescent="0.25">
      <c r="A32" s="221"/>
      <c r="B32" s="222" t="s">
        <v>88</v>
      </c>
      <c r="C32" s="225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226">
        <v>0</v>
      </c>
    </row>
    <row r="33" spans="1:15" x14ac:dyDescent="0.25">
      <c r="A33" s="211" t="s">
        <v>16</v>
      </c>
      <c r="B33" s="211" t="s">
        <v>69</v>
      </c>
      <c r="C33" s="218">
        <v>20.255969476032636</v>
      </c>
      <c r="D33" s="219">
        <v>15.191977107024478</v>
      </c>
      <c r="E33" s="219">
        <v>15.191977107024478</v>
      </c>
      <c r="F33" s="219">
        <v>10.127984738016318</v>
      </c>
      <c r="G33" s="219">
        <v>20.255969476032636</v>
      </c>
      <c r="H33" s="219">
        <v>20.255969476032636</v>
      </c>
      <c r="I33" s="219">
        <v>30.383954214048956</v>
      </c>
      <c r="J33" s="219">
        <v>30.383954214048956</v>
      </c>
      <c r="K33" s="219">
        <v>15.191977107024478</v>
      </c>
      <c r="L33" s="219">
        <v>30.383954214048956</v>
      </c>
      <c r="M33" s="219">
        <v>5.063992369008159</v>
      </c>
      <c r="N33" s="219">
        <v>15.191977107024478</v>
      </c>
      <c r="O33" s="220">
        <v>227.87965660536719</v>
      </c>
    </row>
    <row r="34" spans="1:15" ht="13" x14ac:dyDescent="0.3">
      <c r="A34" s="221"/>
      <c r="B34" s="222" t="s">
        <v>25</v>
      </c>
      <c r="C34" s="223">
        <v>12.309369441981374</v>
      </c>
      <c r="D34" s="210">
        <v>9.2320270814860308</v>
      </c>
      <c r="E34" s="210">
        <v>9.2320270814860308</v>
      </c>
      <c r="F34" s="210">
        <v>6.1546847209906872</v>
      </c>
      <c r="G34" s="210">
        <v>12.309369441981374</v>
      </c>
      <c r="H34" s="210">
        <v>12.309369441981374</v>
      </c>
      <c r="I34" s="210">
        <v>18.464054162972062</v>
      </c>
      <c r="J34" s="210">
        <v>18.464054162972062</v>
      </c>
      <c r="K34" s="210">
        <v>9.2320270814860308</v>
      </c>
      <c r="L34" s="210">
        <v>18.464054162972062</v>
      </c>
      <c r="M34" s="210">
        <v>3.0773423604953436</v>
      </c>
      <c r="N34" s="210">
        <v>9.2320270814860308</v>
      </c>
      <c r="O34" s="224">
        <v>138.48040622229044</v>
      </c>
    </row>
    <row r="35" spans="1:15" ht="13" x14ac:dyDescent="0.3">
      <c r="A35" s="221"/>
      <c r="B35" s="222" t="s">
        <v>26</v>
      </c>
      <c r="C35" s="223">
        <v>0.98900208481438889</v>
      </c>
      <c r="D35" s="210">
        <v>0.74175156361079164</v>
      </c>
      <c r="E35" s="210">
        <v>0.74175156361079164</v>
      </c>
      <c r="F35" s="210">
        <v>0.49450104240719445</v>
      </c>
      <c r="G35" s="210">
        <v>0.98900208481438889</v>
      </c>
      <c r="H35" s="210">
        <v>0.98900208481438889</v>
      </c>
      <c r="I35" s="210">
        <v>1.4835031272215833</v>
      </c>
      <c r="J35" s="210">
        <v>1.4835031272215833</v>
      </c>
      <c r="K35" s="210">
        <v>0.74175156361079164</v>
      </c>
      <c r="L35" s="210">
        <v>1.4835031272215833</v>
      </c>
      <c r="M35" s="210">
        <v>0.24725052120359722</v>
      </c>
      <c r="N35" s="210">
        <v>0.74175156361079164</v>
      </c>
      <c r="O35" s="224">
        <v>11.126273454161876</v>
      </c>
    </row>
    <row r="36" spans="1:15" ht="13" x14ac:dyDescent="0.3">
      <c r="A36" s="221"/>
      <c r="B36" s="222" t="s">
        <v>27</v>
      </c>
      <c r="C36" s="223">
        <v>13.298371526795764</v>
      </c>
      <c r="D36" s="210">
        <v>9.9737786450968215</v>
      </c>
      <c r="E36" s="210">
        <v>9.9737786450968215</v>
      </c>
      <c r="F36" s="210">
        <v>6.6491857633978819</v>
      </c>
      <c r="G36" s="210">
        <v>13.298371526795764</v>
      </c>
      <c r="H36" s="210">
        <v>13.298371526795764</v>
      </c>
      <c r="I36" s="210">
        <v>19.947557290193643</v>
      </c>
      <c r="J36" s="210">
        <v>19.947557290193643</v>
      </c>
      <c r="K36" s="210">
        <v>9.9737786450968215</v>
      </c>
      <c r="L36" s="210">
        <v>19.947557290193643</v>
      </c>
      <c r="M36" s="210">
        <v>3.324592881698941</v>
      </c>
      <c r="N36" s="210">
        <v>9.9737786450968215</v>
      </c>
      <c r="O36" s="224">
        <v>149.60667967645233</v>
      </c>
    </row>
    <row r="37" spans="1:15" x14ac:dyDescent="0.25">
      <c r="A37" s="221"/>
      <c r="B37" s="222" t="s">
        <v>48</v>
      </c>
      <c r="C37" s="225">
        <v>7.9466000340512624</v>
      </c>
      <c r="D37" s="82">
        <v>5.959950025538447</v>
      </c>
      <c r="E37" s="82">
        <v>5.959950025538447</v>
      </c>
      <c r="F37" s="82">
        <v>3.9733000170256312</v>
      </c>
      <c r="G37" s="82">
        <v>7.9466000340512624</v>
      </c>
      <c r="H37" s="82">
        <v>7.9466000340512624</v>
      </c>
      <c r="I37" s="82">
        <v>11.919900051076894</v>
      </c>
      <c r="J37" s="82">
        <v>11.919900051076894</v>
      </c>
      <c r="K37" s="82">
        <v>5.959950025538447</v>
      </c>
      <c r="L37" s="82">
        <v>11.919900051076894</v>
      </c>
      <c r="M37" s="82">
        <v>1.9866500085128156</v>
      </c>
      <c r="N37" s="82">
        <v>5.959950025538447</v>
      </c>
      <c r="O37" s="226">
        <v>89.399250383076705</v>
      </c>
    </row>
    <row r="38" spans="1:15" x14ac:dyDescent="0.25">
      <c r="A38" s="221"/>
      <c r="B38" s="222" t="s">
        <v>86</v>
      </c>
      <c r="C38" s="225">
        <v>0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v>0</v>
      </c>
      <c r="O38" s="226">
        <v>0</v>
      </c>
    </row>
    <row r="39" spans="1:15" x14ac:dyDescent="0.25">
      <c r="A39" s="221"/>
      <c r="B39" s="222" t="s">
        <v>88</v>
      </c>
      <c r="C39" s="225">
        <v>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82">
        <v>0</v>
      </c>
      <c r="N39" s="82">
        <v>0</v>
      </c>
      <c r="O39" s="226">
        <v>0</v>
      </c>
    </row>
    <row r="40" spans="1:15" x14ac:dyDescent="0.25">
      <c r="A40" s="211" t="s">
        <v>19</v>
      </c>
      <c r="B40" s="211" t="s">
        <v>69</v>
      </c>
      <c r="C40" s="218">
        <v>329.15950398553031</v>
      </c>
      <c r="D40" s="219">
        <v>329.15950398553031</v>
      </c>
      <c r="E40" s="219">
        <v>324.09551161652217</v>
      </c>
      <c r="F40" s="219">
        <v>329.15950398553031</v>
      </c>
      <c r="G40" s="219">
        <v>258.2636108194161</v>
      </c>
      <c r="H40" s="219">
        <v>298.77554977148139</v>
      </c>
      <c r="I40" s="219">
        <v>339.28748872354663</v>
      </c>
      <c r="J40" s="219">
        <v>354.47946583057114</v>
      </c>
      <c r="K40" s="219">
        <v>364.60745056858747</v>
      </c>
      <c r="L40" s="219">
        <v>369.6714429375956</v>
      </c>
      <c r="M40" s="219">
        <v>364.60745056858747</v>
      </c>
      <c r="N40" s="219">
        <v>329.15950398553031</v>
      </c>
      <c r="O40" s="220">
        <v>3990.425986778429</v>
      </c>
    </row>
    <row r="41" spans="1:15" ht="13" x14ac:dyDescent="0.3">
      <c r="A41" s="221"/>
      <c r="B41" s="222" t="s">
        <v>25</v>
      </c>
      <c r="C41" s="223">
        <v>200.02725343219728</v>
      </c>
      <c r="D41" s="210">
        <v>200.02725343219728</v>
      </c>
      <c r="E41" s="210">
        <v>196.94991107170199</v>
      </c>
      <c r="F41" s="210">
        <v>200.02725343219728</v>
      </c>
      <c r="G41" s="210">
        <v>156.94446038526252</v>
      </c>
      <c r="H41" s="210">
        <v>181.56319926922527</v>
      </c>
      <c r="I41" s="210">
        <v>206.18193815318799</v>
      </c>
      <c r="J41" s="210">
        <v>215.41396523467407</v>
      </c>
      <c r="K41" s="210">
        <v>221.56864995566474</v>
      </c>
      <c r="L41" s="210">
        <v>224.64599231616006</v>
      </c>
      <c r="M41" s="210">
        <v>221.56864995566474</v>
      </c>
      <c r="N41" s="210">
        <v>200.02725343219728</v>
      </c>
      <c r="O41" s="224">
        <v>2424.9457800703308</v>
      </c>
    </row>
    <row r="42" spans="1:15" ht="13" x14ac:dyDescent="0.3">
      <c r="A42" s="221"/>
      <c r="B42" s="222" t="s">
        <v>26</v>
      </c>
      <c r="C42" s="223">
        <v>16.071283878233821</v>
      </c>
      <c r="D42" s="210">
        <v>16.071283878233821</v>
      </c>
      <c r="E42" s="210">
        <v>15.824033357030222</v>
      </c>
      <c r="F42" s="210">
        <v>16.071283878233821</v>
      </c>
      <c r="G42" s="210">
        <v>12.609776581383457</v>
      </c>
      <c r="H42" s="210">
        <v>14.587780751012236</v>
      </c>
      <c r="I42" s="210">
        <v>16.565784920641015</v>
      </c>
      <c r="J42" s="210">
        <v>17.307536484251806</v>
      </c>
      <c r="K42" s="210">
        <v>17.802037526658999</v>
      </c>
      <c r="L42" s="210">
        <v>18.049288047862596</v>
      </c>
      <c r="M42" s="210">
        <v>17.802037526658999</v>
      </c>
      <c r="N42" s="210">
        <v>16.071283878233821</v>
      </c>
      <c r="O42" s="224">
        <v>194.83341070843466</v>
      </c>
    </row>
    <row r="43" spans="1:15" ht="13" x14ac:dyDescent="0.3">
      <c r="A43" s="221"/>
      <c r="B43" s="222" t="s">
        <v>27</v>
      </c>
      <c r="C43" s="223">
        <v>216.09853731043111</v>
      </c>
      <c r="D43" s="210">
        <v>216.09853731043111</v>
      </c>
      <c r="E43" s="210">
        <v>212.77394442873222</v>
      </c>
      <c r="F43" s="210">
        <v>216.09853731043111</v>
      </c>
      <c r="G43" s="210">
        <v>169.55423696664599</v>
      </c>
      <c r="H43" s="210">
        <v>196.15098002023751</v>
      </c>
      <c r="I43" s="210">
        <v>222.74772307382901</v>
      </c>
      <c r="J43" s="210">
        <v>232.72150171892588</v>
      </c>
      <c r="K43" s="210">
        <v>239.37068748232375</v>
      </c>
      <c r="L43" s="210">
        <v>242.69528036402266</v>
      </c>
      <c r="M43" s="210">
        <v>239.37068748232375</v>
      </c>
      <c r="N43" s="210">
        <v>216.09853731043111</v>
      </c>
      <c r="O43" s="224">
        <v>2619.779190778766</v>
      </c>
    </row>
    <row r="44" spans="1:15" x14ac:dyDescent="0.25">
      <c r="A44" s="221"/>
      <c r="B44" s="222" t="s">
        <v>48</v>
      </c>
      <c r="C44" s="225">
        <v>129.13225055333302</v>
      </c>
      <c r="D44" s="82">
        <v>129.13225055333302</v>
      </c>
      <c r="E44" s="82">
        <v>127.1456005448202</v>
      </c>
      <c r="F44" s="82">
        <v>129.13225055333302</v>
      </c>
      <c r="G44" s="82">
        <v>101.3191504341536</v>
      </c>
      <c r="H44" s="82">
        <v>117.21235050225611</v>
      </c>
      <c r="I44" s="82">
        <v>133.10555057035864</v>
      </c>
      <c r="J44" s="82">
        <v>139.06550059589708</v>
      </c>
      <c r="K44" s="82">
        <v>143.03880061292273</v>
      </c>
      <c r="L44" s="82">
        <v>145.02545062143554</v>
      </c>
      <c r="M44" s="82">
        <v>143.03880061292273</v>
      </c>
      <c r="N44" s="82">
        <v>129.13225055333302</v>
      </c>
      <c r="O44" s="226">
        <v>1565.4802067080986</v>
      </c>
    </row>
    <row r="45" spans="1:15" x14ac:dyDescent="0.25">
      <c r="A45" s="221"/>
      <c r="B45" s="222" t="s">
        <v>86</v>
      </c>
      <c r="C45" s="225">
        <v>0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82">
        <v>0</v>
      </c>
      <c r="J45" s="82">
        <v>0</v>
      </c>
      <c r="K45" s="82">
        <v>0</v>
      </c>
      <c r="L45" s="82">
        <v>0</v>
      </c>
      <c r="M45" s="82">
        <v>0</v>
      </c>
      <c r="N45" s="82">
        <v>0</v>
      </c>
      <c r="O45" s="226">
        <v>0</v>
      </c>
    </row>
    <row r="46" spans="1:15" x14ac:dyDescent="0.25">
      <c r="A46" s="221"/>
      <c r="B46" s="222" t="s">
        <v>88</v>
      </c>
      <c r="C46" s="225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82">
        <v>0</v>
      </c>
      <c r="J46" s="82">
        <v>0</v>
      </c>
      <c r="K46" s="82">
        <v>0</v>
      </c>
      <c r="L46" s="82">
        <v>0</v>
      </c>
      <c r="M46" s="82">
        <v>0</v>
      </c>
      <c r="N46" s="82">
        <v>0</v>
      </c>
      <c r="O46" s="226">
        <v>0</v>
      </c>
    </row>
    <row r="47" spans="1:15" x14ac:dyDescent="0.25">
      <c r="A47" s="211" t="s">
        <v>8</v>
      </c>
      <c r="B47" s="211" t="s">
        <v>69</v>
      </c>
      <c r="C47" s="218">
        <v>476.01528268676697</v>
      </c>
      <c r="D47" s="219">
        <v>313.96752687850585</v>
      </c>
      <c r="E47" s="219">
        <v>303.83954214048953</v>
      </c>
      <c r="F47" s="219">
        <v>465.88729794875064</v>
      </c>
      <c r="G47" s="219">
        <v>597.55109954296279</v>
      </c>
      <c r="H47" s="219">
        <v>724.15090876816669</v>
      </c>
      <c r="I47" s="219">
        <v>764.66284772023198</v>
      </c>
      <c r="J47" s="219">
        <v>795.04680193428101</v>
      </c>
      <c r="K47" s="219">
        <v>739.3428858751912</v>
      </c>
      <c r="L47" s="219">
        <v>587.42311480494641</v>
      </c>
      <c r="M47" s="219">
        <v>313.96752687850585</v>
      </c>
      <c r="N47" s="219">
        <v>389.92741241362825</v>
      </c>
      <c r="O47" s="220">
        <v>6471.7822475924277</v>
      </c>
    </row>
    <row r="48" spans="1:15" ht="13" x14ac:dyDescent="0.3">
      <c r="A48" s="221"/>
      <c r="B48" s="222" t="s">
        <v>25</v>
      </c>
      <c r="C48" s="223">
        <v>289.27018188656234</v>
      </c>
      <c r="D48" s="210">
        <v>190.79522635071129</v>
      </c>
      <c r="E48" s="210">
        <v>184.64054162972059</v>
      </c>
      <c r="F48" s="210">
        <v>283.11549716557158</v>
      </c>
      <c r="G48" s="210">
        <v>363.12639853845053</v>
      </c>
      <c r="H48" s="210">
        <v>440.05995755083404</v>
      </c>
      <c r="I48" s="210">
        <v>464.67869643479685</v>
      </c>
      <c r="J48" s="210">
        <v>483.14275059776895</v>
      </c>
      <c r="K48" s="210">
        <v>449.29198463232012</v>
      </c>
      <c r="L48" s="210">
        <v>356.97171381745977</v>
      </c>
      <c r="M48" s="210">
        <v>190.79522635071129</v>
      </c>
      <c r="N48" s="210">
        <v>236.95536175814144</v>
      </c>
      <c r="O48" s="224">
        <v>3932.8435367130492</v>
      </c>
    </row>
    <row r="49" spans="1:15" ht="13" x14ac:dyDescent="0.3">
      <c r="A49" s="221"/>
      <c r="B49" s="222" t="s">
        <v>26</v>
      </c>
      <c r="C49" s="223">
        <v>23.241548993138139</v>
      </c>
      <c r="D49" s="210">
        <v>15.329532314623027</v>
      </c>
      <c r="E49" s="210">
        <v>14.835031272215833</v>
      </c>
      <c r="F49" s="210">
        <v>22.747047950730945</v>
      </c>
      <c r="G49" s="210">
        <v>29.175561502024472</v>
      </c>
      <c r="H49" s="210">
        <v>35.356824532114402</v>
      </c>
      <c r="I49" s="210">
        <v>37.334828701743177</v>
      </c>
      <c r="J49" s="210">
        <v>38.818331828964759</v>
      </c>
      <c r="K49" s="210">
        <v>36.098576095725193</v>
      </c>
      <c r="L49" s="210">
        <v>28.681060459617274</v>
      </c>
      <c r="M49" s="210">
        <v>15.329532314623027</v>
      </c>
      <c r="N49" s="210">
        <v>19.038290132676984</v>
      </c>
      <c r="O49" s="224">
        <v>315.9861660981972</v>
      </c>
    </row>
    <row r="50" spans="1:15" ht="13" x14ac:dyDescent="0.3">
      <c r="A50" s="221"/>
      <c r="B50" s="222" t="s">
        <v>27</v>
      </c>
      <c r="C50" s="223">
        <v>312.51173087970051</v>
      </c>
      <c r="D50" s="210">
        <v>206.12475866533433</v>
      </c>
      <c r="E50" s="210">
        <v>199.47557290193643</v>
      </c>
      <c r="F50" s="210">
        <v>305.8625451163025</v>
      </c>
      <c r="G50" s="210">
        <v>392.30196004047502</v>
      </c>
      <c r="H50" s="210">
        <v>475.41678208294843</v>
      </c>
      <c r="I50" s="210">
        <v>502.01352513654001</v>
      </c>
      <c r="J50" s="210">
        <v>521.9610824267337</v>
      </c>
      <c r="K50" s="210">
        <v>485.39056072804533</v>
      </c>
      <c r="L50" s="210">
        <v>385.65277427707707</v>
      </c>
      <c r="M50" s="210">
        <v>206.12475866533433</v>
      </c>
      <c r="N50" s="210">
        <v>255.99365189081843</v>
      </c>
      <c r="O50" s="224">
        <v>4248.8297028112465</v>
      </c>
    </row>
    <row r="51" spans="1:15" x14ac:dyDescent="0.25">
      <c r="A51" s="221"/>
      <c r="B51" s="222" t="s">
        <v>48</v>
      </c>
      <c r="C51" s="225">
        <v>186.74510080020465</v>
      </c>
      <c r="D51" s="82">
        <v>123.17230052779456</v>
      </c>
      <c r="E51" s="82">
        <v>119.19900051076894</v>
      </c>
      <c r="F51" s="82">
        <v>182.77180078317903</v>
      </c>
      <c r="G51" s="82">
        <v>234.42470100451223</v>
      </c>
      <c r="H51" s="82">
        <v>284.09095121733264</v>
      </c>
      <c r="I51" s="82">
        <v>299.98415128543513</v>
      </c>
      <c r="J51" s="82">
        <v>311.90405133651205</v>
      </c>
      <c r="K51" s="82">
        <v>290.05090124287108</v>
      </c>
      <c r="L51" s="82">
        <v>230.45140098748661</v>
      </c>
      <c r="M51" s="82">
        <v>123.17230052779456</v>
      </c>
      <c r="N51" s="82">
        <v>152.97205065548681</v>
      </c>
      <c r="O51" s="226">
        <v>2538.938710879378</v>
      </c>
    </row>
    <row r="52" spans="1:15" x14ac:dyDescent="0.25">
      <c r="A52" s="221"/>
      <c r="B52" s="222" t="s">
        <v>86</v>
      </c>
      <c r="C52" s="225">
        <v>0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82">
        <v>0</v>
      </c>
      <c r="J52" s="82">
        <v>0</v>
      </c>
      <c r="K52" s="82">
        <v>0</v>
      </c>
      <c r="L52" s="82">
        <v>0</v>
      </c>
      <c r="M52" s="82">
        <v>0</v>
      </c>
      <c r="N52" s="82">
        <v>0</v>
      </c>
      <c r="O52" s="226">
        <v>0</v>
      </c>
    </row>
    <row r="53" spans="1:15" x14ac:dyDescent="0.25">
      <c r="A53" s="221"/>
      <c r="B53" s="222" t="s">
        <v>88</v>
      </c>
      <c r="C53" s="225">
        <v>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82">
        <v>0</v>
      </c>
      <c r="J53" s="82">
        <v>0</v>
      </c>
      <c r="K53" s="82">
        <v>0</v>
      </c>
      <c r="L53" s="82">
        <v>0</v>
      </c>
      <c r="M53" s="82">
        <v>0</v>
      </c>
      <c r="N53" s="82">
        <v>0</v>
      </c>
      <c r="O53" s="226">
        <v>0</v>
      </c>
    </row>
    <row r="54" spans="1:15" x14ac:dyDescent="0.25">
      <c r="A54" s="211" t="s">
        <v>21</v>
      </c>
      <c r="B54" s="211" t="s">
        <v>69</v>
      </c>
      <c r="C54" s="218">
        <v>16468.103184014533</v>
      </c>
      <c r="D54" s="219">
        <v>11839.614158741075</v>
      </c>
      <c r="E54" s="219">
        <v>11221.80708972208</v>
      </c>
      <c r="F54" s="219">
        <v>14062.706808735658</v>
      </c>
      <c r="G54" s="219">
        <v>16432.655237431474</v>
      </c>
      <c r="H54" s="219">
        <v>20661.088865553287</v>
      </c>
      <c r="I54" s="219">
        <v>21010.504339014853</v>
      </c>
      <c r="J54" s="219">
        <v>21020.632323752867</v>
      </c>
      <c r="K54" s="219">
        <v>19541.946552002486</v>
      </c>
      <c r="L54" s="219">
        <v>17364.429833328977</v>
      </c>
      <c r="M54" s="219">
        <v>11242.063059198113</v>
      </c>
      <c r="N54" s="219">
        <v>13009.396395981961</v>
      </c>
      <c r="O54" s="220">
        <v>193874.94784747736</v>
      </c>
    </row>
    <row r="55" spans="1:15" ht="13" x14ac:dyDescent="0.3">
      <c r="A55" s="221"/>
      <c r="B55" s="222" t="s">
        <v>25</v>
      </c>
      <c r="C55" s="223">
        <v>10007.517356330856</v>
      </c>
      <c r="D55" s="210">
        <v>7194.8264388381122</v>
      </c>
      <c r="E55" s="210">
        <v>6819.3906708576815</v>
      </c>
      <c r="F55" s="210">
        <v>8545.7797350955698</v>
      </c>
      <c r="G55" s="210">
        <v>9985.975959807387</v>
      </c>
      <c r="H55" s="210">
        <v>12555.556830820999</v>
      </c>
      <c r="I55" s="210">
        <v>12767.893453695182</v>
      </c>
      <c r="J55" s="210">
        <v>12774.048138416169</v>
      </c>
      <c r="K55" s="210">
        <v>11875.464169151532</v>
      </c>
      <c r="L55" s="210">
        <v>10552.206954138532</v>
      </c>
      <c r="M55" s="210">
        <v>6831.7000402996628</v>
      </c>
      <c r="N55" s="210">
        <v>7905.6925241125382</v>
      </c>
      <c r="O55" s="224">
        <v>117816.05227156421</v>
      </c>
    </row>
    <row r="56" spans="1:15" ht="13" x14ac:dyDescent="0.3">
      <c r="A56" s="221"/>
      <c r="B56" s="222" t="s">
        <v>26</v>
      </c>
      <c r="C56" s="223">
        <v>804.0586949540982</v>
      </c>
      <c r="D56" s="210">
        <v>578.07171857401033</v>
      </c>
      <c r="E56" s="210">
        <v>547.90715498717145</v>
      </c>
      <c r="F56" s="210">
        <v>686.61469738238952</v>
      </c>
      <c r="G56" s="210">
        <v>802.32794130567288</v>
      </c>
      <c r="H56" s="210">
        <v>1008.7821265106767</v>
      </c>
      <c r="I56" s="210">
        <v>1025.8424124737248</v>
      </c>
      <c r="J56" s="210">
        <v>1026.3369135161322</v>
      </c>
      <c r="K56" s="210">
        <v>954.13976132468167</v>
      </c>
      <c r="L56" s="210">
        <v>847.82203720713494</v>
      </c>
      <c r="M56" s="210">
        <v>548.89615707198584</v>
      </c>
      <c r="N56" s="210">
        <v>635.18658897204125</v>
      </c>
      <c r="O56" s="224">
        <v>9465.9862042797195</v>
      </c>
    </row>
    <row r="57" spans="1:15" ht="13" x14ac:dyDescent="0.3">
      <c r="A57" s="221"/>
      <c r="B57" s="222" t="s">
        <v>27</v>
      </c>
      <c r="C57" s="223">
        <v>10811.576051284954</v>
      </c>
      <c r="D57" s="210">
        <v>7772.8981574121226</v>
      </c>
      <c r="E57" s="210">
        <v>7367.2978258448529</v>
      </c>
      <c r="F57" s="210">
        <v>9232.3944324779586</v>
      </c>
      <c r="G57" s="210">
        <v>10788.30390111306</v>
      </c>
      <c r="H57" s="210">
        <v>13564.338957331674</v>
      </c>
      <c r="I57" s="210">
        <v>13793.735866168907</v>
      </c>
      <c r="J57" s="210">
        <v>13800.3850519323</v>
      </c>
      <c r="K57" s="210">
        <v>12829.603930476213</v>
      </c>
      <c r="L57" s="210">
        <v>11400.028991345667</v>
      </c>
      <c r="M57" s="210">
        <v>7380.5961973716485</v>
      </c>
      <c r="N57" s="210">
        <v>8540.8791130845802</v>
      </c>
      <c r="O57" s="224">
        <v>127282.03847584393</v>
      </c>
    </row>
    <row r="58" spans="1:15" x14ac:dyDescent="0.25">
      <c r="A58" s="221"/>
      <c r="B58" s="222" t="s">
        <v>48</v>
      </c>
      <c r="C58" s="225">
        <v>6460.5858276836761</v>
      </c>
      <c r="D58" s="82">
        <v>4644.7877199029626</v>
      </c>
      <c r="E58" s="82">
        <v>4402.416418864399</v>
      </c>
      <c r="F58" s="82">
        <v>5516.9270736400886</v>
      </c>
      <c r="G58" s="82">
        <v>6446.6792776240864</v>
      </c>
      <c r="H58" s="82">
        <v>8105.5320347322877</v>
      </c>
      <c r="I58" s="82">
        <v>8242.6108853196711</v>
      </c>
      <c r="J58" s="82">
        <v>8246.5841853366983</v>
      </c>
      <c r="K58" s="82">
        <v>7666.4823828509552</v>
      </c>
      <c r="L58" s="82">
        <v>6812.2228791904445</v>
      </c>
      <c r="M58" s="82">
        <v>4410.3630188984507</v>
      </c>
      <c r="N58" s="82">
        <v>5103.703871869423</v>
      </c>
      <c r="O58" s="226">
        <v>76058.89557591315</v>
      </c>
    </row>
    <row r="59" spans="1:15" x14ac:dyDescent="0.25">
      <c r="A59" s="221"/>
      <c r="B59" s="222" t="s">
        <v>86</v>
      </c>
      <c r="C59" s="225">
        <v>0</v>
      </c>
      <c r="D59" s="82">
        <v>0</v>
      </c>
      <c r="E59" s="82">
        <v>0</v>
      </c>
      <c r="F59" s="82">
        <v>0</v>
      </c>
      <c r="G59" s="82">
        <v>0</v>
      </c>
      <c r="H59" s="82">
        <v>0</v>
      </c>
      <c r="I59" s="82">
        <v>0</v>
      </c>
      <c r="J59" s="82">
        <v>0</v>
      </c>
      <c r="K59" s="82">
        <v>0</v>
      </c>
      <c r="L59" s="82">
        <v>0</v>
      </c>
      <c r="M59" s="82">
        <v>0</v>
      </c>
      <c r="N59" s="82">
        <v>0</v>
      </c>
      <c r="O59" s="226">
        <v>0</v>
      </c>
    </row>
    <row r="60" spans="1:15" x14ac:dyDescent="0.25">
      <c r="A60" s="221"/>
      <c r="B60" s="222" t="s">
        <v>88</v>
      </c>
      <c r="C60" s="225">
        <v>0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226">
        <v>0</v>
      </c>
    </row>
    <row r="61" spans="1:15" x14ac:dyDescent="0.25">
      <c r="A61" s="211" t="s">
        <v>22</v>
      </c>
      <c r="B61" s="211" t="s">
        <v>69</v>
      </c>
      <c r="C61" s="218">
        <v>16741.558771940974</v>
      </c>
      <c r="D61" s="219">
        <v>13222.084075480303</v>
      </c>
      <c r="E61" s="219">
        <v>11657.310433456782</v>
      </c>
      <c r="F61" s="219">
        <v>12589.085029354283</v>
      </c>
      <c r="G61" s="219">
        <v>15040.057335954232</v>
      </c>
      <c r="H61" s="219">
        <v>17637.885421255418</v>
      </c>
      <c r="I61" s="219">
        <v>17774.613215218636</v>
      </c>
      <c r="J61" s="219">
        <v>18098.708726835161</v>
      </c>
      <c r="K61" s="219">
        <v>16144.007672398011</v>
      </c>
      <c r="L61" s="219">
        <v>14143.730686639788</v>
      </c>
      <c r="M61" s="219">
        <v>11844.678151110083</v>
      </c>
      <c r="N61" s="219">
        <v>12761.26076990056</v>
      </c>
      <c r="O61" s="220">
        <v>177654.98028954421</v>
      </c>
    </row>
    <row r="62" spans="1:15" ht="13" x14ac:dyDescent="0.3">
      <c r="A62" s="221"/>
      <c r="B62" s="222" t="s">
        <v>25</v>
      </c>
      <c r="C62" s="223">
        <v>10173.693843797606</v>
      </c>
      <c r="D62" s="210">
        <v>8034.9409032533413</v>
      </c>
      <c r="E62" s="210">
        <v>7084.0421138602796</v>
      </c>
      <c r="F62" s="210">
        <v>7650.2731081914235</v>
      </c>
      <c r="G62" s="210">
        <v>9139.7068106711704</v>
      </c>
      <c r="H62" s="210">
        <v>10718.383441605281</v>
      </c>
      <c r="I62" s="210">
        <v>10801.471685338653</v>
      </c>
      <c r="J62" s="210">
        <v>10998.421596410357</v>
      </c>
      <c r="K62" s="210">
        <v>9810.5674452591556</v>
      </c>
      <c r="L62" s="210">
        <v>8595.0172128634949</v>
      </c>
      <c r="M62" s="210">
        <v>7197.9037811986082</v>
      </c>
      <c r="N62" s="210">
        <v>7754.9027484482649</v>
      </c>
      <c r="O62" s="224">
        <v>107959.32469089764</v>
      </c>
    </row>
    <row r="63" spans="1:15" ht="13" x14ac:dyDescent="0.3">
      <c r="A63" s="221"/>
      <c r="B63" s="222" t="s">
        <v>26</v>
      </c>
      <c r="C63" s="223">
        <v>817.41022309909249</v>
      </c>
      <c r="D63" s="210">
        <v>645.57111086259238</v>
      </c>
      <c r="E63" s="210">
        <v>569.17069981068073</v>
      </c>
      <c r="F63" s="210">
        <v>614.66479571214268</v>
      </c>
      <c r="G63" s="210">
        <v>734.33404797468381</v>
      </c>
      <c r="H63" s="210">
        <v>861.17356535212912</v>
      </c>
      <c r="I63" s="210">
        <v>867.84932942462626</v>
      </c>
      <c r="J63" s="210">
        <v>883.67336278165646</v>
      </c>
      <c r="K63" s="210">
        <v>788.23466159706788</v>
      </c>
      <c r="L63" s="210">
        <v>690.57070572164707</v>
      </c>
      <c r="M63" s="210">
        <v>578.3189690952139</v>
      </c>
      <c r="N63" s="210">
        <v>623.07131343306503</v>
      </c>
      <c r="O63" s="224">
        <v>8674.0427848645977</v>
      </c>
    </row>
    <row r="64" spans="1:15" ht="13" x14ac:dyDescent="0.3">
      <c r="A64" s="221"/>
      <c r="B64" s="222" t="s">
        <v>27</v>
      </c>
      <c r="C64" s="223">
        <v>10991.104066896698</v>
      </c>
      <c r="D64" s="210">
        <v>8680.5120141159332</v>
      </c>
      <c r="E64" s="210">
        <v>7653.2128136709607</v>
      </c>
      <c r="F64" s="210">
        <v>8264.9379039035666</v>
      </c>
      <c r="G64" s="210">
        <v>9874.0408586458543</v>
      </c>
      <c r="H64" s="210">
        <v>11579.55700695741</v>
      </c>
      <c r="I64" s="210">
        <v>11669.321014763278</v>
      </c>
      <c r="J64" s="210">
        <v>11882.094959192013</v>
      </c>
      <c r="K64" s="210">
        <v>10598.802106856223</v>
      </c>
      <c r="L64" s="210">
        <v>9285.5879185851427</v>
      </c>
      <c r="M64" s="210">
        <v>7776.2227502938222</v>
      </c>
      <c r="N64" s="210">
        <v>8377.9740618813303</v>
      </c>
      <c r="O64" s="224">
        <v>116633.36747576224</v>
      </c>
    </row>
    <row r="65" spans="1:15" x14ac:dyDescent="0.25">
      <c r="A65" s="221"/>
      <c r="B65" s="222" t="s">
        <v>48</v>
      </c>
      <c r="C65" s="225">
        <v>6567.8649281433682</v>
      </c>
      <c r="D65" s="82">
        <v>5187.1431722269617</v>
      </c>
      <c r="E65" s="82">
        <v>4573.2683195965019</v>
      </c>
      <c r="F65" s="82">
        <v>4938.8119211628591</v>
      </c>
      <c r="G65" s="82">
        <v>5900.3505252830619</v>
      </c>
      <c r="H65" s="82">
        <v>6919.5019796501365</v>
      </c>
      <c r="I65" s="82">
        <v>6973.141529879983</v>
      </c>
      <c r="J65" s="82">
        <v>7100.2871304248029</v>
      </c>
      <c r="K65" s="82">
        <v>6333.4402271388562</v>
      </c>
      <c r="L65" s="82">
        <v>5548.7134737762935</v>
      </c>
      <c r="M65" s="82">
        <v>4646.7743699114753</v>
      </c>
      <c r="N65" s="82">
        <v>5006.3580214522954</v>
      </c>
      <c r="O65" s="226">
        <v>69695.655598646583</v>
      </c>
    </row>
    <row r="66" spans="1:15" x14ac:dyDescent="0.25">
      <c r="A66" s="221"/>
      <c r="B66" s="222" t="s">
        <v>86</v>
      </c>
      <c r="C66" s="225">
        <v>0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82">
        <v>0</v>
      </c>
      <c r="J66" s="82">
        <v>0</v>
      </c>
      <c r="K66" s="82">
        <v>0</v>
      </c>
      <c r="L66" s="82">
        <v>0</v>
      </c>
      <c r="M66" s="82">
        <v>0</v>
      </c>
      <c r="N66" s="82">
        <v>0</v>
      </c>
      <c r="O66" s="226">
        <v>0</v>
      </c>
    </row>
    <row r="67" spans="1:15" x14ac:dyDescent="0.25">
      <c r="A67" s="221"/>
      <c r="B67" s="222" t="s">
        <v>88</v>
      </c>
      <c r="C67" s="225">
        <v>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82">
        <v>0</v>
      </c>
      <c r="J67" s="82">
        <v>0</v>
      </c>
      <c r="K67" s="82">
        <v>0</v>
      </c>
      <c r="L67" s="82">
        <v>0</v>
      </c>
      <c r="M67" s="82">
        <v>0</v>
      </c>
      <c r="N67" s="82">
        <v>0</v>
      </c>
      <c r="O67" s="226">
        <v>0</v>
      </c>
    </row>
    <row r="68" spans="1:15" x14ac:dyDescent="0.25">
      <c r="A68" s="211" t="s">
        <v>9</v>
      </c>
      <c r="B68" s="211" t="s">
        <v>69</v>
      </c>
      <c r="C68" s="218">
        <v>379.79942767561192</v>
      </c>
      <c r="D68" s="219">
        <v>273.45558792644056</v>
      </c>
      <c r="E68" s="219">
        <v>248.13562608139978</v>
      </c>
      <c r="F68" s="219">
        <v>217.75167186735084</v>
      </c>
      <c r="G68" s="219">
        <v>253.19961845040794</v>
      </c>
      <c r="H68" s="219">
        <v>298.77554977148139</v>
      </c>
      <c r="I68" s="219">
        <v>303.83954214048953</v>
      </c>
      <c r="J68" s="219">
        <v>283.58357266445688</v>
      </c>
      <c r="K68" s="219">
        <v>278.51958029544875</v>
      </c>
      <c r="L68" s="219">
        <v>258.2636108194161</v>
      </c>
      <c r="M68" s="219">
        <v>202.55969476032635</v>
      </c>
      <c r="N68" s="219">
        <v>258.2636108194161</v>
      </c>
      <c r="O68" s="220">
        <v>3256.1470932722459</v>
      </c>
    </row>
    <row r="69" spans="1:15" ht="13" x14ac:dyDescent="0.3">
      <c r="A69" s="221"/>
      <c r="B69" s="222" t="s">
        <v>25</v>
      </c>
      <c r="C69" s="223">
        <v>230.80067703715076</v>
      </c>
      <c r="D69" s="210">
        <v>166.17648746674851</v>
      </c>
      <c r="E69" s="210">
        <v>150.78977566427182</v>
      </c>
      <c r="F69" s="210">
        <v>132.32572150129977</v>
      </c>
      <c r="G69" s="210">
        <v>153.86711802476717</v>
      </c>
      <c r="H69" s="210">
        <v>181.56319926922527</v>
      </c>
      <c r="I69" s="210">
        <v>184.64054162972059</v>
      </c>
      <c r="J69" s="210">
        <v>172.33117218773921</v>
      </c>
      <c r="K69" s="210">
        <v>169.25382982724389</v>
      </c>
      <c r="L69" s="210">
        <v>156.94446038526252</v>
      </c>
      <c r="M69" s="210">
        <v>123.09369441981373</v>
      </c>
      <c r="N69" s="210">
        <v>156.94446038526252</v>
      </c>
      <c r="O69" s="224">
        <v>1978.7311377985059</v>
      </c>
    </row>
    <row r="70" spans="1:15" ht="13" x14ac:dyDescent="0.3">
      <c r="A70" s="221"/>
      <c r="B70" s="222" t="s">
        <v>26</v>
      </c>
      <c r="C70" s="223">
        <v>18.543789090269794</v>
      </c>
      <c r="D70" s="210">
        <v>13.351528144994251</v>
      </c>
      <c r="E70" s="210">
        <v>12.115275538976265</v>
      </c>
      <c r="F70" s="210">
        <v>10.63177241175468</v>
      </c>
      <c r="G70" s="210">
        <v>12.362526060179862</v>
      </c>
      <c r="H70" s="210">
        <v>14.587780751012236</v>
      </c>
      <c r="I70" s="210">
        <v>14.835031272215833</v>
      </c>
      <c r="J70" s="210">
        <v>13.846029187401445</v>
      </c>
      <c r="K70" s="210">
        <v>13.598778666197846</v>
      </c>
      <c r="L70" s="210">
        <v>12.609776581383457</v>
      </c>
      <c r="M70" s="210">
        <v>9.8900208481438892</v>
      </c>
      <c r="N70" s="210">
        <v>12.609776581383457</v>
      </c>
      <c r="O70" s="224">
        <v>158.98208513391302</v>
      </c>
    </row>
    <row r="71" spans="1:15" ht="13" x14ac:dyDescent="0.3">
      <c r="A71" s="221"/>
      <c r="B71" s="222" t="s">
        <v>27</v>
      </c>
      <c r="C71" s="223">
        <v>249.34446612742056</v>
      </c>
      <c r="D71" s="210">
        <v>179.52801561174277</v>
      </c>
      <c r="E71" s="210">
        <v>162.90505120324809</v>
      </c>
      <c r="F71" s="210">
        <v>142.95749391305444</v>
      </c>
      <c r="G71" s="210">
        <v>166.22964408494704</v>
      </c>
      <c r="H71" s="210">
        <v>196.15098002023751</v>
      </c>
      <c r="I71" s="210">
        <v>199.47557290193643</v>
      </c>
      <c r="J71" s="210">
        <v>186.17720137514067</v>
      </c>
      <c r="K71" s="210">
        <v>182.85260849344175</v>
      </c>
      <c r="L71" s="210">
        <v>169.55423696664599</v>
      </c>
      <c r="M71" s="210">
        <v>132.98371526795762</v>
      </c>
      <c r="N71" s="210">
        <v>169.55423696664599</v>
      </c>
      <c r="O71" s="224">
        <v>2137.7132229324188</v>
      </c>
    </row>
    <row r="72" spans="1:15" x14ac:dyDescent="0.25">
      <c r="A72" s="221"/>
      <c r="B72" s="222" t="s">
        <v>48</v>
      </c>
      <c r="C72" s="225">
        <v>148.99875063846116</v>
      </c>
      <c r="D72" s="82">
        <v>107.27910045969205</v>
      </c>
      <c r="E72" s="82">
        <v>97.345850417127963</v>
      </c>
      <c r="F72" s="82">
        <v>85.425950366051069</v>
      </c>
      <c r="G72" s="82">
        <v>99.332500425640774</v>
      </c>
      <c r="H72" s="82">
        <v>117.21235050225611</v>
      </c>
      <c r="I72" s="82">
        <v>119.19900051076894</v>
      </c>
      <c r="J72" s="82">
        <v>111.25240047671767</v>
      </c>
      <c r="K72" s="82">
        <v>109.26575046820486</v>
      </c>
      <c r="L72" s="82">
        <v>101.3191504341536</v>
      </c>
      <c r="M72" s="82">
        <v>79.466000340512622</v>
      </c>
      <c r="N72" s="82">
        <v>101.3191504341536</v>
      </c>
      <c r="O72" s="226">
        <v>1277.4159554737405</v>
      </c>
    </row>
    <row r="73" spans="1:15" x14ac:dyDescent="0.25">
      <c r="A73" s="221"/>
      <c r="B73" s="222" t="s">
        <v>86</v>
      </c>
      <c r="C73" s="225">
        <v>0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82">
        <v>0</v>
      </c>
      <c r="J73" s="82">
        <v>0</v>
      </c>
      <c r="K73" s="82">
        <v>0</v>
      </c>
      <c r="L73" s="82">
        <v>0</v>
      </c>
      <c r="M73" s="82">
        <v>0</v>
      </c>
      <c r="N73" s="82">
        <v>0</v>
      </c>
      <c r="O73" s="226">
        <v>0</v>
      </c>
    </row>
    <row r="74" spans="1:15" x14ac:dyDescent="0.25">
      <c r="A74" s="221"/>
      <c r="B74" s="222" t="s">
        <v>88</v>
      </c>
      <c r="C74" s="225">
        <v>0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82">
        <v>0</v>
      </c>
      <c r="J74" s="82">
        <v>0</v>
      </c>
      <c r="K74" s="82">
        <v>0</v>
      </c>
      <c r="L74" s="82">
        <v>0</v>
      </c>
      <c r="M74" s="82">
        <v>0</v>
      </c>
      <c r="N74" s="82">
        <v>0</v>
      </c>
      <c r="O74" s="226">
        <v>0</v>
      </c>
    </row>
    <row r="75" spans="1:15" x14ac:dyDescent="0.25">
      <c r="A75" s="211" t="s">
        <v>53</v>
      </c>
      <c r="B75" s="211" t="s">
        <v>69</v>
      </c>
      <c r="C75" s="218">
        <v>734.27889350618307</v>
      </c>
      <c r="D75" s="219">
        <v>506.39923690081588</v>
      </c>
      <c r="E75" s="219">
        <v>465.88729794875064</v>
      </c>
      <c r="F75" s="219">
        <v>511.46322926982407</v>
      </c>
      <c r="G75" s="219">
        <v>597.55109954296279</v>
      </c>
      <c r="H75" s="219">
        <v>876.07067983841148</v>
      </c>
      <c r="I75" s="219">
        <v>830.49474851733805</v>
      </c>
      <c r="J75" s="219">
        <v>860.87870273138708</v>
      </c>
      <c r="K75" s="219">
        <v>789.98280956527276</v>
      </c>
      <c r="L75" s="219">
        <v>703.89493929213404</v>
      </c>
      <c r="M75" s="219">
        <v>455.75931321073432</v>
      </c>
      <c r="N75" s="219">
        <v>557.0391605908975</v>
      </c>
      <c r="O75" s="220">
        <v>7889.7001109147113</v>
      </c>
    </row>
    <row r="76" spans="1:15" x14ac:dyDescent="0.25">
      <c r="A76" s="221"/>
      <c r="B76" s="222" t="s">
        <v>25</v>
      </c>
      <c r="C76" s="225">
        <v>446.2146422718248</v>
      </c>
      <c r="D76" s="82">
        <v>307.73423604953433</v>
      </c>
      <c r="E76" s="82">
        <v>283.11549716557158</v>
      </c>
      <c r="F76" s="82">
        <v>310.81157841002971</v>
      </c>
      <c r="G76" s="82">
        <v>363.12639853845053</v>
      </c>
      <c r="H76" s="82">
        <v>532.38022836569439</v>
      </c>
      <c r="I76" s="82">
        <v>504.68414712123632</v>
      </c>
      <c r="J76" s="82">
        <v>523.14820128420843</v>
      </c>
      <c r="K76" s="82">
        <v>480.06540823727352</v>
      </c>
      <c r="L76" s="82">
        <v>427.7505881088527</v>
      </c>
      <c r="M76" s="82">
        <v>276.96081244458094</v>
      </c>
      <c r="N76" s="82">
        <v>338.50765965448778</v>
      </c>
      <c r="O76" s="226">
        <v>4794.4993976517453</v>
      </c>
    </row>
    <row r="77" spans="1:15" x14ac:dyDescent="0.25">
      <c r="A77" s="221"/>
      <c r="B77" s="222" t="s">
        <v>26</v>
      </c>
      <c r="C77" s="225">
        <v>35.851325574521596</v>
      </c>
      <c r="D77" s="82">
        <v>24.725052120359724</v>
      </c>
      <c r="E77" s="82">
        <v>22.747047950730945</v>
      </c>
      <c r="F77" s="82">
        <v>24.972302641563321</v>
      </c>
      <c r="G77" s="82">
        <v>29.175561502024472</v>
      </c>
      <c r="H77" s="82">
        <v>42.774340168222317</v>
      </c>
      <c r="I77" s="82">
        <v>40.549085477389944</v>
      </c>
      <c r="J77" s="82">
        <v>42.032588604611526</v>
      </c>
      <c r="K77" s="82">
        <v>38.571081307761169</v>
      </c>
      <c r="L77" s="82">
        <v>34.367822447300014</v>
      </c>
      <c r="M77" s="82">
        <v>22.252546908323751</v>
      </c>
      <c r="N77" s="82">
        <v>27.197557332395693</v>
      </c>
      <c r="O77" s="226">
        <v>385.21631203520451</v>
      </c>
    </row>
    <row r="78" spans="1:15" x14ac:dyDescent="0.25">
      <c r="A78" s="221"/>
      <c r="B78" s="222" t="s">
        <v>27</v>
      </c>
      <c r="C78" s="225">
        <v>482.06596784634638</v>
      </c>
      <c r="D78" s="82">
        <v>332.45928816989408</v>
      </c>
      <c r="E78" s="82">
        <v>305.8625451163025</v>
      </c>
      <c r="F78" s="82">
        <v>335.78388105159303</v>
      </c>
      <c r="G78" s="82">
        <v>392.30196004047502</v>
      </c>
      <c r="H78" s="82">
        <v>575.15456853391674</v>
      </c>
      <c r="I78" s="82">
        <v>545.23323259862627</v>
      </c>
      <c r="J78" s="82">
        <v>565.18078988881996</v>
      </c>
      <c r="K78" s="82">
        <v>518.63648954503469</v>
      </c>
      <c r="L78" s="82">
        <v>462.1184105561527</v>
      </c>
      <c r="M78" s="82">
        <v>299.21335935290472</v>
      </c>
      <c r="N78" s="82">
        <v>365.7052169868835</v>
      </c>
      <c r="O78" s="226">
        <v>5179.7157096869505</v>
      </c>
    </row>
    <row r="79" spans="1:15" x14ac:dyDescent="0.25">
      <c r="A79" s="221"/>
      <c r="B79" s="222" t="s">
        <v>48</v>
      </c>
      <c r="C79" s="225">
        <v>288.06425123435827</v>
      </c>
      <c r="D79" s="82">
        <v>198.66500085128155</v>
      </c>
      <c r="E79" s="82">
        <v>182.77180078317903</v>
      </c>
      <c r="F79" s="82">
        <v>200.65165085979439</v>
      </c>
      <c r="G79" s="82">
        <v>234.42470100451223</v>
      </c>
      <c r="H79" s="82">
        <v>343.69045147271709</v>
      </c>
      <c r="I79" s="82">
        <v>325.81060139610173</v>
      </c>
      <c r="J79" s="82">
        <v>337.73050144717865</v>
      </c>
      <c r="K79" s="82">
        <v>309.91740132799924</v>
      </c>
      <c r="L79" s="82">
        <v>276.14435118328134</v>
      </c>
      <c r="M79" s="82">
        <v>178.79850076615341</v>
      </c>
      <c r="N79" s="82">
        <v>218.53150093640971</v>
      </c>
      <c r="O79" s="226">
        <v>3095.2007132629665</v>
      </c>
    </row>
    <row r="80" spans="1:15" x14ac:dyDescent="0.25">
      <c r="A80" s="221"/>
      <c r="B80" s="222" t="s">
        <v>86</v>
      </c>
      <c r="C80" s="225">
        <v>0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82">
        <v>0</v>
      </c>
      <c r="J80" s="82">
        <v>0</v>
      </c>
      <c r="K80" s="82">
        <v>0</v>
      </c>
      <c r="L80" s="82">
        <v>0</v>
      </c>
      <c r="M80" s="82">
        <v>0</v>
      </c>
      <c r="N80" s="82">
        <v>0</v>
      </c>
      <c r="O80" s="226">
        <v>0</v>
      </c>
    </row>
    <row r="81" spans="1:15" x14ac:dyDescent="0.25">
      <c r="A81" s="221"/>
      <c r="B81" s="222" t="s">
        <v>88</v>
      </c>
      <c r="C81" s="225">
        <v>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82">
        <v>0</v>
      </c>
      <c r="J81" s="82">
        <v>0</v>
      </c>
      <c r="K81" s="82">
        <v>0</v>
      </c>
      <c r="L81" s="82">
        <v>0</v>
      </c>
      <c r="M81" s="82">
        <v>0</v>
      </c>
      <c r="N81" s="82">
        <v>0</v>
      </c>
      <c r="O81" s="226">
        <v>0</v>
      </c>
    </row>
    <row r="82" spans="1:15" x14ac:dyDescent="0.25">
      <c r="A82" s="211" t="s">
        <v>54</v>
      </c>
      <c r="B82" s="211" t="s">
        <v>69</v>
      </c>
      <c r="C82" s="218">
        <v>45.575931321073433</v>
      </c>
      <c r="D82" s="219">
        <v>40.511938952065272</v>
      </c>
      <c r="E82" s="219">
        <v>50.639923690081588</v>
      </c>
      <c r="F82" s="219">
        <v>35.44794658305711</v>
      </c>
      <c r="G82" s="219">
        <v>50.639923690081588</v>
      </c>
      <c r="H82" s="219">
        <v>50.639923690081588</v>
      </c>
      <c r="I82" s="219">
        <v>60.767908428097911</v>
      </c>
      <c r="J82" s="219">
        <v>60.767908428097911</v>
      </c>
      <c r="K82" s="219">
        <v>55.70391605908975</v>
      </c>
      <c r="L82" s="219">
        <v>50.639923690081588</v>
      </c>
      <c r="M82" s="219">
        <v>50.639923690081588</v>
      </c>
      <c r="N82" s="219">
        <v>50.639923690081588</v>
      </c>
      <c r="O82" s="220">
        <v>602.61509191197092</v>
      </c>
    </row>
    <row r="83" spans="1:15" x14ac:dyDescent="0.25">
      <c r="A83" s="221"/>
      <c r="B83" s="222" t="s">
        <v>25</v>
      </c>
      <c r="C83" s="225">
        <v>27.696081244458092</v>
      </c>
      <c r="D83" s="82">
        <v>24.618738883962749</v>
      </c>
      <c r="E83" s="82">
        <v>30.773423604953432</v>
      </c>
      <c r="F83" s="82">
        <v>21.541396523467402</v>
      </c>
      <c r="G83" s="82">
        <v>30.773423604953432</v>
      </c>
      <c r="H83" s="82">
        <v>30.773423604953432</v>
      </c>
      <c r="I83" s="82">
        <v>36.928108325944123</v>
      </c>
      <c r="J83" s="82">
        <v>36.928108325944123</v>
      </c>
      <c r="K83" s="82">
        <v>33.85076596544878</v>
      </c>
      <c r="L83" s="82">
        <v>30.773423604953432</v>
      </c>
      <c r="M83" s="82">
        <v>30.773423604953432</v>
      </c>
      <c r="N83" s="82">
        <v>30.773423604953432</v>
      </c>
      <c r="O83" s="226">
        <v>366.20374089894591</v>
      </c>
    </row>
    <row r="84" spans="1:15" x14ac:dyDescent="0.25">
      <c r="A84" s="221"/>
      <c r="B84" s="222" t="s">
        <v>26</v>
      </c>
      <c r="C84" s="225">
        <v>2.2252546908323749</v>
      </c>
      <c r="D84" s="82">
        <v>1.9780041696287778</v>
      </c>
      <c r="E84" s="82">
        <v>2.4725052120359723</v>
      </c>
      <c r="F84" s="82">
        <v>1.7307536484251806</v>
      </c>
      <c r="G84" s="82">
        <v>2.4725052120359723</v>
      </c>
      <c r="H84" s="82">
        <v>2.4725052120359723</v>
      </c>
      <c r="I84" s="82">
        <v>2.9670062544431666</v>
      </c>
      <c r="J84" s="82">
        <v>2.9670062544431666</v>
      </c>
      <c r="K84" s="82">
        <v>2.7197557332395692</v>
      </c>
      <c r="L84" s="82">
        <v>2.4725052120359723</v>
      </c>
      <c r="M84" s="82">
        <v>2.4725052120359723</v>
      </c>
      <c r="N84" s="82">
        <v>2.4725052120359723</v>
      </c>
      <c r="O84" s="226">
        <v>29.422812023228072</v>
      </c>
    </row>
    <row r="85" spans="1:15" x14ac:dyDescent="0.25">
      <c r="A85" s="221"/>
      <c r="B85" s="222" t="s">
        <v>27</v>
      </c>
      <c r="C85" s="225">
        <v>29.921335935290468</v>
      </c>
      <c r="D85" s="82">
        <v>26.596743053591528</v>
      </c>
      <c r="E85" s="82">
        <v>33.245928816989405</v>
      </c>
      <c r="F85" s="82">
        <v>23.272150171892584</v>
      </c>
      <c r="G85" s="82">
        <v>33.245928816989405</v>
      </c>
      <c r="H85" s="82">
        <v>33.245928816989405</v>
      </c>
      <c r="I85" s="82">
        <v>39.895114580387286</v>
      </c>
      <c r="J85" s="82">
        <v>39.895114580387286</v>
      </c>
      <c r="K85" s="82">
        <v>36.570521698688346</v>
      </c>
      <c r="L85" s="82">
        <v>33.245928816989405</v>
      </c>
      <c r="M85" s="82">
        <v>33.245928816989405</v>
      </c>
      <c r="N85" s="82">
        <v>33.245928816989405</v>
      </c>
      <c r="O85" s="226">
        <v>395.62655292217403</v>
      </c>
    </row>
    <row r="86" spans="1:15" x14ac:dyDescent="0.25">
      <c r="A86" s="221"/>
      <c r="B86" s="222" t="s">
        <v>48</v>
      </c>
      <c r="C86" s="225">
        <v>17.879850076615341</v>
      </c>
      <c r="D86" s="82">
        <v>15.893200068102525</v>
      </c>
      <c r="E86" s="82">
        <v>19.866500085128155</v>
      </c>
      <c r="F86" s="82">
        <v>13.906550059589708</v>
      </c>
      <c r="G86" s="82">
        <v>19.866500085128155</v>
      </c>
      <c r="H86" s="82">
        <v>19.866500085128155</v>
      </c>
      <c r="I86" s="82">
        <v>23.839800102153788</v>
      </c>
      <c r="J86" s="82">
        <v>23.839800102153788</v>
      </c>
      <c r="K86" s="82">
        <v>21.85315009364097</v>
      </c>
      <c r="L86" s="82">
        <v>19.866500085128155</v>
      </c>
      <c r="M86" s="82">
        <v>19.866500085128155</v>
      </c>
      <c r="N86" s="82">
        <v>19.866500085128155</v>
      </c>
      <c r="O86" s="226">
        <v>236.41135101302507</v>
      </c>
    </row>
    <row r="87" spans="1:15" x14ac:dyDescent="0.25">
      <c r="A87" s="221"/>
      <c r="B87" s="222" t="s">
        <v>86</v>
      </c>
      <c r="C87" s="225">
        <v>0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82">
        <v>0</v>
      </c>
      <c r="J87" s="82">
        <v>0</v>
      </c>
      <c r="K87" s="82">
        <v>0</v>
      </c>
      <c r="L87" s="82">
        <v>0</v>
      </c>
      <c r="M87" s="82">
        <v>0</v>
      </c>
      <c r="N87" s="82">
        <v>0</v>
      </c>
      <c r="O87" s="226">
        <v>0</v>
      </c>
    </row>
    <row r="88" spans="1:15" x14ac:dyDescent="0.25">
      <c r="A88" s="221"/>
      <c r="B88" s="222" t="s">
        <v>88</v>
      </c>
      <c r="C88" s="225">
        <v>0</v>
      </c>
      <c r="D88" s="82">
        <v>0</v>
      </c>
      <c r="E88" s="82">
        <v>0</v>
      </c>
      <c r="F88" s="82">
        <v>0</v>
      </c>
      <c r="G88" s="82">
        <v>0</v>
      </c>
      <c r="H88" s="82">
        <v>0</v>
      </c>
      <c r="I88" s="82">
        <v>0</v>
      </c>
      <c r="J88" s="82">
        <v>0</v>
      </c>
      <c r="K88" s="82">
        <v>0</v>
      </c>
      <c r="L88" s="82">
        <v>0</v>
      </c>
      <c r="M88" s="82">
        <v>0</v>
      </c>
      <c r="N88" s="82">
        <v>0</v>
      </c>
      <c r="O88" s="226">
        <v>0</v>
      </c>
    </row>
    <row r="89" spans="1:15" x14ac:dyDescent="0.25">
      <c r="A89" s="211" t="s">
        <v>55</v>
      </c>
      <c r="B89" s="211" t="s">
        <v>69</v>
      </c>
      <c r="C89" s="218">
        <v>131.66380159421215</v>
      </c>
      <c r="D89" s="219">
        <v>96.215855011155014</v>
      </c>
      <c r="E89" s="219">
        <v>91.151862642146867</v>
      </c>
      <c r="F89" s="219">
        <v>111.4078321181795</v>
      </c>
      <c r="G89" s="219">
        <v>156.98376343925293</v>
      </c>
      <c r="H89" s="219">
        <v>182.30372528429373</v>
      </c>
      <c r="I89" s="219">
        <v>192.43171002231003</v>
      </c>
      <c r="J89" s="219">
        <v>207.62368712933451</v>
      </c>
      <c r="K89" s="219">
        <v>146.8557787012366</v>
      </c>
      <c r="L89" s="219">
        <v>131.66380159421215</v>
      </c>
      <c r="M89" s="219">
        <v>111.4078321181795</v>
      </c>
      <c r="N89" s="219">
        <v>91.151862642146867</v>
      </c>
      <c r="O89" s="220">
        <v>1650.8615122966596</v>
      </c>
    </row>
    <row r="90" spans="1:15" x14ac:dyDescent="0.25">
      <c r="A90" s="221"/>
      <c r="B90" s="222" t="s">
        <v>25</v>
      </c>
      <c r="C90" s="225">
        <v>80.010901372878948</v>
      </c>
      <c r="D90" s="82">
        <v>58.469504849411521</v>
      </c>
      <c r="E90" s="82">
        <v>55.392162488916185</v>
      </c>
      <c r="F90" s="82">
        <v>67.701531930897559</v>
      </c>
      <c r="G90" s="82">
        <v>95.397613175355644</v>
      </c>
      <c r="H90" s="82">
        <v>110.78432497783237</v>
      </c>
      <c r="I90" s="82">
        <v>116.93900969882304</v>
      </c>
      <c r="J90" s="82">
        <v>126.17103678030908</v>
      </c>
      <c r="K90" s="82">
        <v>89.242928454364943</v>
      </c>
      <c r="L90" s="82">
        <v>80.010901372878948</v>
      </c>
      <c r="M90" s="82">
        <v>67.701531930897559</v>
      </c>
      <c r="N90" s="82">
        <v>55.392162488916185</v>
      </c>
      <c r="O90" s="226">
        <v>1003.213609521482</v>
      </c>
    </row>
    <row r="91" spans="1:15" x14ac:dyDescent="0.25">
      <c r="A91" s="221"/>
      <c r="B91" s="222" t="s">
        <v>26</v>
      </c>
      <c r="C91" s="225">
        <v>6.4285135512935279</v>
      </c>
      <c r="D91" s="82">
        <v>4.6977599028683477</v>
      </c>
      <c r="E91" s="82">
        <v>4.4505093816647499</v>
      </c>
      <c r="F91" s="82">
        <v>5.4395114664791384</v>
      </c>
      <c r="G91" s="82">
        <v>7.6647661573115133</v>
      </c>
      <c r="H91" s="82">
        <v>8.9010187633294997</v>
      </c>
      <c r="I91" s="82">
        <v>9.3955198057366953</v>
      </c>
      <c r="J91" s="82">
        <v>10.137271369347486</v>
      </c>
      <c r="K91" s="82">
        <v>7.1702651149043186</v>
      </c>
      <c r="L91" s="82">
        <v>6.4285135512935279</v>
      </c>
      <c r="M91" s="82">
        <v>5.4395114664791384</v>
      </c>
      <c r="N91" s="82">
        <v>4.4505093816647499</v>
      </c>
      <c r="O91" s="226">
        <v>80.603669912372695</v>
      </c>
    </row>
    <row r="92" spans="1:15" x14ac:dyDescent="0.25">
      <c r="A92" s="221"/>
      <c r="B92" s="222" t="s">
        <v>27</v>
      </c>
      <c r="C92" s="225">
        <v>86.439414924172482</v>
      </c>
      <c r="D92" s="82">
        <v>63.16726475227987</v>
      </c>
      <c r="E92" s="82">
        <v>59.842671870580936</v>
      </c>
      <c r="F92" s="82">
        <v>73.141043397376691</v>
      </c>
      <c r="G92" s="82">
        <v>103.06237933266716</v>
      </c>
      <c r="H92" s="82">
        <v>119.68534374116187</v>
      </c>
      <c r="I92" s="82">
        <v>126.33452950455974</v>
      </c>
      <c r="J92" s="82">
        <v>136.30830814965657</v>
      </c>
      <c r="K92" s="82">
        <v>96.413193569269268</v>
      </c>
      <c r="L92" s="82">
        <v>86.439414924172482</v>
      </c>
      <c r="M92" s="82">
        <v>73.141043397376691</v>
      </c>
      <c r="N92" s="82">
        <v>59.842671870580936</v>
      </c>
      <c r="O92" s="226">
        <v>1083.8172794338548</v>
      </c>
    </row>
    <row r="93" spans="1:15" x14ac:dyDescent="0.25">
      <c r="A93" s="221"/>
      <c r="B93" s="222" t="s">
        <v>48</v>
      </c>
      <c r="C93" s="225">
        <v>51.652900221333205</v>
      </c>
      <c r="D93" s="82">
        <v>37.746350161743493</v>
      </c>
      <c r="E93" s="82">
        <v>35.759700153230682</v>
      </c>
      <c r="F93" s="82">
        <v>43.70630018728194</v>
      </c>
      <c r="G93" s="82">
        <v>61.586150263897281</v>
      </c>
      <c r="H93" s="82">
        <v>71.519400306461364</v>
      </c>
      <c r="I93" s="82">
        <v>75.492700323486986</v>
      </c>
      <c r="J93" s="82">
        <v>81.452650349025433</v>
      </c>
      <c r="K93" s="82">
        <v>57.612850246871652</v>
      </c>
      <c r="L93" s="82">
        <v>51.652900221333205</v>
      </c>
      <c r="M93" s="82">
        <v>43.70630018728194</v>
      </c>
      <c r="N93" s="82">
        <v>35.759700153230682</v>
      </c>
      <c r="O93" s="226">
        <v>647.64790277517784</v>
      </c>
    </row>
    <row r="94" spans="1:15" x14ac:dyDescent="0.25">
      <c r="A94" s="221"/>
      <c r="B94" s="222" t="s">
        <v>86</v>
      </c>
      <c r="C94" s="225">
        <v>0</v>
      </c>
      <c r="D94" s="82">
        <v>0</v>
      </c>
      <c r="E94" s="82">
        <v>0</v>
      </c>
      <c r="F94" s="82">
        <v>0</v>
      </c>
      <c r="G94" s="82">
        <v>0</v>
      </c>
      <c r="H94" s="82">
        <v>0</v>
      </c>
      <c r="I94" s="82">
        <v>0</v>
      </c>
      <c r="J94" s="82">
        <v>0</v>
      </c>
      <c r="K94" s="82">
        <v>0</v>
      </c>
      <c r="L94" s="82">
        <v>0</v>
      </c>
      <c r="M94" s="82">
        <v>0</v>
      </c>
      <c r="N94" s="82">
        <v>0</v>
      </c>
      <c r="O94" s="226">
        <v>0</v>
      </c>
    </row>
    <row r="95" spans="1:15" x14ac:dyDescent="0.25">
      <c r="A95" s="221"/>
      <c r="B95" s="222" t="s">
        <v>88</v>
      </c>
      <c r="C95" s="225">
        <v>0</v>
      </c>
      <c r="D95" s="82">
        <v>0</v>
      </c>
      <c r="E95" s="82">
        <v>0</v>
      </c>
      <c r="F95" s="82">
        <v>0</v>
      </c>
      <c r="G95" s="82">
        <v>0</v>
      </c>
      <c r="H95" s="82">
        <v>0</v>
      </c>
      <c r="I95" s="82">
        <v>0</v>
      </c>
      <c r="J95" s="82">
        <v>0</v>
      </c>
      <c r="K95" s="82">
        <v>0</v>
      </c>
      <c r="L95" s="82">
        <v>0</v>
      </c>
      <c r="M95" s="82">
        <v>0</v>
      </c>
      <c r="N95" s="82">
        <v>0</v>
      </c>
      <c r="O95" s="226">
        <v>0</v>
      </c>
    </row>
    <row r="96" spans="1:15" x14ac:dyDescent="0.25">
      <c r="A96" s="211" t="s">
        <v>56</v>
      </c>
      <c r="B96" s="211" t="s">
        <v>69</v>
      </c>
      <c r="C96" s="218">
        <v>172.17574054627741</v>
      </c>
      <c r="D96" s="219">
        <v>162.04775580826109</v>
      </c>
      <c r="E96" s="219">
        <v>162.04775580826109</v>
      </c>
      <c r="F96" s="219">
        <v>167.11174817726925</v>
      </c>
      <c r="G96" s="219">
        <v>202.55969476032635</v>
      </c>
      <c r="H96" s="219">
        <v>238.00764134338348</v>
      </c>
      <c r="I96" s="219">
        <v>238.00764134338348</v>
      </c>
      <c r="J96" s="219">
        <v>258.2636108194161</v>
      </c>
      <c r="K96" s="219">
        <v>217.75167186735084</v>
      </c>
      <c r="L96" s="219">
        <v>187.3677176533019</v>
      </c>
      <c r="M96" s="219">
        <v>172.17574054627741</v>
      </c>
      <c r="N96" s="219">
        <v>162.04775580826109</v>
      </c>
      <c r="O96" s="220">
        <v>2339.5644744817691</v>
      </c>
    </row>
    <row r="97" spans="1:15" x14ac:dyDescent="0.25">
      <c r="A97" s="221"/>
      <c r="B97" s="222" t="s">
        <v>25</v>
      </c>
      <c r="C97" s="225">
        <v>104.62964025684168</v>
      </c>
      <c r="D97" s="82">
        <v>98.474955535850995</v>
      </c>
      <c r="E97" s="82">
        <v>98.474955535850995</v>
      </c>
      <c r="F97" s="82">
        <v>101.55229789634633</v>
      </c>
      <c r="G97" s="82">
        <v>123.09369441981373</v>
      </c>
      <c r="H97" s="82">
        <v>144.63509094328117</v>
      </c>
      <c r="I97" s="82">
        <v>144.63509094328117</v>
      </c>
      <c r="J97" s="82">
        <v>156.94446038526252</v>
      </c>
      <c r="K97" s="82">
        <v>132.32572150129977</v>
      </c>
      <c r="L97" s="82">
        <v>113.86166733832772</v>
      </c>
      <c r="M97" s="82">
        <v>104.62964025684168</v>
      </c>
      <c r="N97" s="82">
        <v>98.474955535850995</v>
      </c>
      <c r="O97" s="226">
        <v>1421.7321705488489</v>
      </c>
    </row>
    <row r="98" spans="1:15" x14ac:dyDescent="0.25">
      <c r="A98" s="221"/>
      <c r="B98" s="222" t="s">
        <v>26</v>
      </c>
      <c r="C98" s="225">
        <v>8.4065177209223059</v>
      </c>
      <c r="D98" s="82">
        <v>7.9120166785151111</v>
      </c>
      <c r="E98" s="82">
        <v>7.9120166785151111</v>
      </c>
      <c r="F98" s="82">
        <v>8.1592671997187072</v>
      </c>
      <c r="G98" s="82">
        <v>9.8900208481438892</v>
      </c>
      <c r="H98" s="82">
        <v>11.620774496569069</v>
      </c>
      <c r="I98" s="82">
        <v>11.620774496569069</v>
      </c>
      <c r="J98" s="82">
        <v>12.609776581383457</v>
      </c>
      <c r="K98" s="82">
        <v>10.63177241175468</v>
      </c>
      <c r="L98" s="82">
        <v>9.1482692845330966</v>
      </c>
      <c r="M98" s="82">
        <v>8.4065177209223059</v>
      </c>
      <c r="N98" s="82">
        <v>7.9120166785151111</v>
      </c>
      <c r="O98" s="226">
        <v>114.22974079606193</v>
      </c>
    </row>
    <row r="99" spans="1:15" x14ac:dyDescent="0.25">
      <c r="A99" s="221"/>
      <c r="B99" s="222" t="s">
        <v>27</v>
      </c>
      <c r="C99" s="225">
        <v>113.03615797776399</v>
      </c>
      <c r="D99" s="82">
        <v>106.38697221436611</v>
      </c>
      <c r="E99" s="82">
        <v>106.38697221436611</v>
      </c>
      <c r="F99" s="82">
        <v>109.71156509606504</v>
      </c>
      <c r="G99" s="82">
        <v>132.98371526795762</v>
      </c>
      <c r="H99" s="82">
        <v>156.25586543985025</v>
      </c>
      <c r="I99" s="82">
        <v>156.25586543985025</v>
      </c>
      <c r="J99" s="82">
        <v>169.55423696664599</v>
      </c>
      <c r="K99" s="82">
        <v>142.95749391305444</v>
      </c>
      <c r="L99" s="82">
        <v>123.00993662286082</v>
      </c>
      <c r="M99" s="82">
        <v>113.03615797776399</v>
      </c>
      <c r="N99" s="82">
        <v>106.38697221436611</v>
      </c>
      <c r="O99" s="226">
        <v>1535.9619113449105</v>
      </c>
    </row>
    <row r="100" spans="1:15" x14ac:dyDescent="0.25">
      <c r="A100" s="221"/>
      <c r="B100" s="222" t="s">
        <v>48</v>
      </c>
      <c r="C100" s="225">
        <v>67.546100289435728</v>
      </c>
      <c r="D100" s="82">
        <v>63.572800272410099</v>
      </c>
      <c r="E100" s="82">
        <v>63.572800272410099</v>
      </c>
      <c r="F100" s="82">
        <v>65.559450280922917</v>
      </c>
      <c r="G100" s="82">
        <v>79.466000340512622</v>
      </c>
      <c r="H100" s="82">
        <v>93.372550400102327</v>
      </c>
      <c r="I100" s="82">
        <v>93.372550400102327</v>
      </c>
      <c r="J100" s="82">
        <v>101.3191504341536</v>
      </c>
      <c r="K100" s="82">
        <v>85.425950366051069</v>
      </c>
      <c r="L100" s="82">
        <v>73.506050314974175</v>
      </c>
      <c r="M100" s="82">
        <v>67.546100289435728</v>
      </c>
      <c r="N100" s="82">
        <v>63.572800272410099</v>
      </c>
      <c r="O100" s="226">
        <v>917.83230393292069</v>
      </c>
    </row>
    <row r="101" spans="1:15" x14ac:dyDescent="0.25">
      <c r="A101" s="221"/>
      <c r="B101" s="222" t="s">
        <v>86</v>
      </c>
      <c r="C101" s="225">
        <v>0</v>
      </c>
      <c r="D101" s="82">
        <v>0</v>
      </c>
      <c r="E101" s="82">
        <v>0</v>
      </c>
      <c r="F101" s="82">
        <v>0</v>
      </c>
      <c r="G101" s="82">
        <v>0</v>
      </c>
      <c r="H101" s="82">
        <v>0</v>
      </c>
      <c r="I101" s="82">
        <v>0</v>
      </c>
      <c r="J101" s="82">
        <v>0</v>
      </c>
      <c r="K101" s="82">
        <v>0</v>
      </c>
      <c r="L101" s="82">
        <v>0</v>
      </c>
      <c r="M101" s="82">
        <v>0</v>
      </c>
      <c r="N101" s="82">
        <v>0</v>
      </c>
      <c r="O101" s="226">
        <v>0</v>
      </c>
    </row>
    <row r="102" spans="1:15" x14ac:dyDescent="0.25">
      <c r="A102" s="221"/>
      <c r="B102" s="222" t="s">
        <v>88</v>
      </c>
      <c r="C102" s="225">
        <v>0</v>
      </c>
      <c r="D102" s="82">
        <v>0</v>
      </c>
      <c r="E102" s="82">
        <v>0</v>
      </c>
      <c r="F102" s="82">
        <v>0</v>
      </c>
      <c r="G102" s="82">
        <v>0</v>
      </c>
      <c r="H102" s="82">
        <v>0</v>
      </c>
      <c r="I102" s="82">
        <v>0</v>
      </c>
      <c r="J102" s="82">
        <v>0</v>
      </c>
      <c r="K102" s="82">
        <v>0</v>
      </c>
      <c r="L102" s="82">
        <v>0</v>
      </c>
      <c r="M102" s="82">
        <v>0</v>
      </c>
      <c r="N102" s="82">
        <v>0</v>
      </c>
      <c r="O102" s="226">
        <v>0</v>
      </c>
    </row>
    <row r="103" spans="1:15" x14ac:dyDescent="0.25">
      <c r="A103" s="211" t="s">
        <v>80</v>
      </c>
      <c r="B103" s="211" t="s">
        <v>69</v>
      </c>
      <c r="C103" s="218">
        <v>1093.8223517057622</v>
      </c>
      <c r="D103" s="219">
        <v>739.3428858751912</v>
      </c>
      <c r="E103" s="219">
        <v>572.23113769792201</v>
      </c>
      <c r="F103" s="219">
        <v>384.86342004462006</v>
      </c>
      <c r="G103" s="219">
        <v>607.67908428097905</v>
      </c>
      <c r="H103" s="219">
        <v>744.40687824419933</v>
      </c>
      <c r="I103" s="219">
        <v>784.91881719626463</v>
      </c>
      <c r="J103" s="219">
        <v>795.04680193428101</v>
      </c>
      <c r="K103" s="219">
        <v>638.06303849502808</v>
      </c>
      <c r="L103" s="219">
        <v>567.16714532891376</v>
      </c>
      <c r="M103" s="219">
        <v>470.95129031775878</v>
      </c>
      <c r="N103" s="219">
        <v>648.19102323304435</v>
      </c>
      <c r="O103" s="220">
        <v>8046.6838743539647</v>
      </c>
    </row>
    <row r="104" spans="1:15" x14ac:dyDescent="0.25">
      <c r="A104" s="221"/>
      <c r="B104" s="222" t="s">
        <v>25</v>
      </c>
      <c r="C104" s="225">
        <v>664.70594986699405</v>
      </c>
      <c r="D104" s="82">
        <v>449.29198463232012</v>
      </c>
      <c r="E104" s="82">
        <v>347.73968673597381</v>
      </c>
      <c r="F104" s="82">
        <v>233.87801939764609</v>
      </c>
      <c r="G104" s="82">
        <v>369.28108325944117</v>
      </c>
      <c r="H104" s="82">
        <v>452.36932699281545</v>
      </c>
      <c r="I104" s="82">
        <v>476.98806587677819</v>
      </c>
      <c r="J104" s="82">
        <v>483.14275059776895</v>
      </c>
      <c r="K104" s="82">
        <v>387.74513742241334</v>
      </c>
      <c r="L104" s="82">
        <v>344.66234437547843</v>
      </c>
      <c r="M104" s="82">
        <v>286.1928395260669</v>
      </c>
      <c r="N104" s="82">
        <v>393.89982214340398</v>
      </c>
      <c r="O104" s="226">
        <v>4889.8970108271005</v>
      </c>
    </row>
    <row r="105" spans="1:15" x14ac:dyDescent="0.25">
      <c r="A105" s="221"/>
      <c r="B105" s="222" t="s">
        <v>26</v>
      </c>
      <c r="C105" s="225">
        <v>53.406112579977005</v>
      </c>
      <c r="D105" s="82">
        <v>36.098576095725193</v>
      </c>
      <c r="E105" s="82">
        <v>27.939308896006484</v>
      </c>
      <c r="F105" s="82">
        <v>18.791039611473391</v>
      </c>
      <c r="G105" s="82">
        <v>29.670062544431666</v>
      </c>
      <c r="H105" s="82">
        <v>36.34582661692879</v>
      </c>
      <c r="I105" s="82">
        <v>38.323830786557572</v>
      </c>
      <c r="J105" s="82">
        <v>38.818331828964759</v>
      </c>
      <c r="K105" s="82">
        <v>31.153565671653251</v>
      </c>
      <c r="L105" s="82">
        <v>27.69205837480289</v>
      </c>
      <c r="M105" s="82">
        <v>22.994298471934542</v>
      </c>
      <c r="N105" s="82">
        <v>31.648066714060445</v>
      </c>
      <c r="O105" s="226">
        <v>392.88107819251604</v>
      </c>
    </row>
    <row r="106" spans="1:15" x14ac:dyDescent="0.25">
      <c r="A106" s="221"/>
      <c r="B106" s="222" t="s">
        <v>27</v>
      </c>
      <c r="C106" s="225">
        <v>718.11206244697109</v>
      </c>
      <c r="D106" s="82">
        <v>485.39056072804533</v>
      </c>
      <c r="E106" s="82">
        <v>375.67899563198029</v>
      </c>
      <c r="F106" s="82">
        <v>252.66905900911948</v>
      </c>
      <c r="G106" s="82">
        <v>398.95114580387286</v>
      </c>
      <c r="H106" s="82">
        <v>488.71515360974422</v>
      </c>
      <c r="I106" s="82">
        <v>515.3118966633358</v>
      </c>
      <c r="J106" s="82">
        <v>521.9610824267337</v>
      </c>
      <c r="K106" s="82">
        <v>418.8987030940666</v>
      </c>
      <c r="L106" s="82">
        <v>372.35440275028134</v>
      </c>
      <c r="M106" s="82">
        <v>309.18713799800145</v>
      </c>
      <c r="N106" s="82">
        <v>425.54788885746444</v>
      </c>
      <c r="O106" s="226">
        <v>5282.7780890196154</v>
      </c>
    </row>
    <row r="107" spans="1:15" x14ac:dyDescent="0.25">
      <c r="A107" s="221"/>
      <c r="B107" s="222" t="s">
        <v>48</v>
      </c>
      <c r="C107" s="225">
        <v>429.11640183876818</v>
      </c>
      <c r="D107" s="82">
        <v>290.05090124287108</v>
      </c>
      <c r="E107" s="82">
        <v>224.49145096194817</v>
      </c>
      <c r="F107" s="82">
        <v>150.98540064697397</v>
      </c>
      <c r="G107" s="82">
        <v>238.39800102153788</v>
      </c>
      <c r="H107" s="82">
        <v>292.03755125138389</v>
      </c>
      <c r="I107" s="82">
        <v>307.93075131948643</v>
      </c>
      <c r="J107" s="82">
        <v>311.90405133651205</v>
      </c>
      <c r="K107" s="82">
        <v>250.31790107261477</v>
      </c>
      <c r="L107" s="82">
        <v>222.50480095343534</v>
      </c>
      <c r="M107" s="82">
        <v>184.75845079169184</v>
      </c>
      <c r="N107" s="82">
        <v>254.2912010896404</v>
      </c>
      <c r="O107" s="226">
        <v>3156.7868635268637</v>
      </c>
    </row>
    <row r="108" spans="1:15" x14ac:dyDescent="0.25">
      <c r="A108" s="221"/>
      <c r="B108" s="222" t="s">
        <v>86</v>
      </c>
      <c r="C108" s="225">
        <v>0</v>
      </c>
      <c r="D108" s="82">
        <v>0</v>
      </c>
      <c r="E108" s="82">
        <v>0</v>
      </c>
      <c r="F108" s="82">
        <v>0</v>
      </c>
      <c r="G108" s="82">
        <v>0</v>
      </c>
      <c r="H108" s="82">
        <v>0</v>
      </c>
      <c r="I108" s="82">
        <v>0</v>
      </c>
      <c r="J108" s="82">
        <v>0</v>
      </c>
      <c r="K108" s="82">
        <v>0</v>
      </c>
      <c r="L108" s="82">
        <v>0</v>
      </c>
      <c r="M108" s="82">
        <v>0</v>
      </c>
      <c r="N108" s="82">
        <v>0</v>
      </c>
      <c r="O108" s="226">
        <v>0</v>
      </c>
    </row>
    <row r="109" spans="1:15" x14ac:dyDescent="0.25">
      <c r="A109" s="221"/>
      <c r="B109" s="222" t="s">
        <v>88</v>
      </c>
      <c r="C109" s="225">
        <v>0</v>
      </c>
      <c r="D109" s="82">
        <v>0</v>
      </c>
      <c r="E109" s="82">
        <v>0</v>
      </c>
      <c r="F109" s="82">
        <v>0</v>
      </c>
      <c r="G109" s="82">
        <v>0</v>
      </c>
      <c r="H109" s="82">
        <v>0</v>
      </c>
      <c r="I109" s="82">
        <v>0</v>
      </c>
      <c r="J109" s="82">
        <v>0</v>
      </c>
      <c r="K109" s="82">
        <v>0</v>
      </c>
      <c r="L109" s="82">
        <v>0</v>
      </c>
      <c r="M109" s="82">
        <v>0</v>
      </c>
      <c r="N109" s="82">
        <v>0</v>
      </c>
      <c r="O109" s="226">
        <v>0</v>
      </c>
    </row>
    <row r="110" spans="1:15" x14ac:dyDescent="0.25">
      <c r="A110" s="211" t="s">
        <v>82</v>
      </c>
      <c r="B110" s="211" t="s">
        <v>69</v>
      </c>
      <c r="C110" s="218">
        <v>293.7115574024732</v>
      </c>
      <c r="D110" s="219">
        <v>182.30372528429373</v>
      </c>
      <c r="E110" s="219">
        <v>146.8557787012366</v>
      </c>
      <c r="F110" s="219">
        <v>136.72779396322028</v>
      </c>
      <c r="G110" s="219">
        <v>182.30372528429373</v>
      </c>
      <c r="H110" s="219">
        <v>268.39159555743242</v>
      </c>
      <c r="I110" s="219">
        <v>268.39159555743242</v>
      </c>
      <c r="J110" s="219">
        <v>273.45558792644056</v>
      </c>
      <c r="K110" s="219">
        <v>243.07163371239164</v>
      </c>
      <c r="L110" s="219">
        <v>207.62368712933451</v>
      </c>
      <c r="M110" s="219">
        <v>111.4078321181795</v>
      </c>
      <c r="N110" s="219">
        <v>187.3677176533019</v>
      </c>
      <c r="O110" s="220">
        <v>2501.6122302900303</v>
      </c>
    </row>
    <row r="111" spans="1:15" x14ac:dyDescent="0.25">
      <c r="A111" s="221"/>
      <c r="B111" s="222" t="s">
        <v>25</v>
      </c>
      <c r="C111" s="225">
        <v>178.48585690872989</v>
      </c>
      <c r="D111" s="82">
        <v>110.78432497783237</v>
      </c>
      <c r="E111" s="82">
        <v>89.242928454364943</v>
      </c>
      <c r="F111" s="82">
        <v>83.088243733374256</v>
      </c>
      <c r="G111" s="82">
        <v>110.78432497783237</v>
      </c>
      <c r="H111" s="82">
        <v>163.09914510625322</v>
      </c>
      <c r="I111" s="82">
        <v>163.09914510625322</v>
      </c>
      <c r="J111" s="82">
        <v>166.17648746674851</v>
      </c>
      <c r="K111" s="82">
        <v>147.71243330377649</v>
      </c>
      <c r="L111" s="82">
        <v>126.17103678030908</v>
      </c>
      <c r="M111" s="82">
        <v>67.701531930897559</v>
      </c>
      <c r="N111" s="82">
        <v>113.86166733832772</v>
      </c>
      <c r="O111" s="226">
        <v>1520.2071260846997</v>
      </c>
    </row>
    <row r="112" spans="1:15" x14ac:dyDescent="0.25">
      <c r="A112" s="221"/>
      <c r="B112" s="222" t="s">
        <v>26</v>
      </c>
      <c r="C112" s="225">
        <v>14.340530229808637</v>
      </c>
      <c r="D112" s="82">
        <v>8.9010187633294997</v>
      </c>
      <c r="E112" s="82">
        <v>7.1702651149043186</v>
      </c>
      <c r="F112" s="82">
        <v>6.6757640724971257</v>
      </c>
      <c r="G112" s="82">
        <v>8.9010187633294997</v>
      </c>
      <c r="H112" s="82">
        <v>13.104277623790653</v>
      </c>
      <c r="I112" s="82">
        <v>13.104277623790653</v>
      </c>
      <c r="J112" s="82">
        <v>13.351528144994251</v>
      </c>
      <c r="K112" s="82">
        <v>11.868025017772666</v>
      </c>
      <c r="L112" s="82">
        <v>10.137271369347486</v>
      </c>
      <c r="M112" s="82">
        <v>5.4395114664791384</v>
      </c>
      <c r="N112" s="82">
        <v>9.1482692845330966</v>
      </c>
      <c r="O112" s="226">
        <v>122.14175747457702</v>
      </c>
    </row>
    <row r="113" spans="1:15" x14ac:dyDescent="0.25">
      <c r="A113" s="221"/>
      <c r="B113" s="222" t="s">
        <v>27</v>
      </c>
      <c r="C113" s="225">
        <v>192.82638713853854</v>
      </c>
      <c r="D113" s="82">
        <v>119.68534374116187</v>
      </c>
      <c r="E113" s="82">
        <v>96.413193569269268</v>
      </c>
      <c r="F113" s="82">
        <v>89.764007805871387</v>
      </c>
      <c r="G113" s="82">
        <v>119.68534374116187</v>
      </c>
      <c r="H113" s="82">
        <v>176.20342273004388</v>
      </c>
      <c r="I113" s="82">
        <v>176.20342273004388</v>
      </c>
      <c r="J113" s="82">
        <v>179.52801561174277</v>
      </c>
      <c r="K113" s="82">
        <v>159.58045832154914</v>
      </c>
      <c r="L113" s="82">
        <v>136.30830814965657</v>
      </c>
      <c r="M113" s="82">
        <v>73.141043397376691</v>
      </c>
      <c r="N113" s="82">
        <v>123.00993662286082</v>
      </c>
      <c r="O113" s="226">
        <v>1642.3488835592766</v>
      </c>
    </row>
    <row r="114" spans="1:15" x14ac:dyDescent="0.25">
      <c r="A114" s="221"/>
      <c r="B114" s="222" t="s">
        <v>48</v>
      </c>
      <c r="C114" s="225">
        <v>115.2257004937433</v>
      </c>
      <c r="D114" s="82">
        <v>71.519400306461364</v>
      </c>
      <c r="E114" s="82">
        <v>57.612850246871652</v>
      </c>
      <c r="F114" s="82">
        <v>53.639550229846023</v>
      </c>
      <c r="G114" s="82">
        <v>71.519400306461364</v>
      </c>
      <c r="H114" s="82">
        <v>105.29245045117922</v>
      </c>
      <c r="I114" s="82">
        <v>105.29245045117922</v>
      </c>
      <c r="J114" s="82">
        <v>107.27910045969205</v>
      </c>
      <c r="K114" s="82">
        <v>95.359200408615152</v>
      </c>
      <c r="L114" s="82">
        <v>81.452650349025433</v>
      </c>
      <c r="M114" s="82">
        <v>43.70630018728194</v>
      </c>
      <c r="N114" s="82">
        <v>73.506050314974175</v>
      </c>
      <c r="O114" s="226">
        <v>981.40510420533087</v>
      </c>
    </row>
    <row r="115" spans="1:15" x14ac:dyDescent="0.25">
      <c r="A115" s="221"/>
      <c r="B115" s="222" t="s">
        <v>86</v>
      </c>
      <c r="C115" s="225">
        <v>0</v>
      </c>
      <c r="D115" s="82">
        <v>0</v>
      </c>
      <c r="E115" s="82">
        <v>0</v>
      </c>
      <c r="F115" s="82">
        <v>0</v>
      </c>
      <c r="G115" s="82">
        <v>0</v>
      </c>
      <c r="H115" s="82">
        <v>0</v>
      </c>
      <c r="I115" s="82">
        <v>0</v>
      </c>
      <c r="J115" s="82">
        <v>0</v>
      </c>
      <c r="K115" s="82">
        <v>0</v>
      </c>
      <c r="L115" s="82">
        <v>0</v>
      </c>
      <c r="M115" s="82">
        <v>0</v>
      </c>
      <c r="N115" s="82">
        <v>0</v>
      </c>
      <c r="O115" s="226">
        <v>0</v>
      </c>
    </row>
    <row r="116" spans="1:15" x14ac:dyDescent="0.25">
      <c r="A116" s="221"/>
      <c r="B116" s="222" t="s">
        <v>88</v>
      </c>
      <c r="C116" s="225">
        <v>0</v>
      </c>
      <c r="D116" s="82">
        <v>0</v>
      </c>
      <c r="E116" s="82">
        <v>0</v>
      </c>
      <c r="F116" s="82">
        <v>0</v>
      </c>
      <c r="G116" s="82">
        <v>0</v>
      </c>
      <c r="H116" s="82">
        <v>0</v>
      </c>
      <c r="I116" s="82">
        <v>0</v>
      </c>
      <c r="J116" s="82">
        <v>0</v>
      </c>
      <c r="K116" s="82">
        <v>0</v>
      </c>
      <c r="L116" s="82">
        <v>0</v>
      </c>
      <c r="M116" s="82">
        <v>0</v>
      </c>
      <c r="N116" s="82">
        <v>0</v>
      </c>
      <c r="O116" s="226">
        <v>0</v>
      </c>
    </row>
    <row r="117" spans="1:15" x14ac:dyDescent="0.25">
      <c r="A117" s="211" t="s">
        <v>70</v>
      </c>
      <c r="B117" s="212"/>
      <c r="C117" s="218">
        <v>50523.451865594412</v>
      </c>
      <c r="D117" s="219">
        <v>36881.056423486421</v>
      </c>
      <c r="E117" s="219">
        <v>32743.774658006758</v>
      </c>
      <c r="F117" s="219">
        <v>35265.642857772815</v>
      </c>
      <c r="G117" s="219">
        <v>42578.047838620601</v>
      </c>
      <c r="H117" s="219">
        <v>52392.065049758414</v>
      </c>
      <c r="I117" s="219">
        <v>52954.168202718334</v>
      </c>
      <c r="J117" s="219">
        <v>53642.871164903423</v>
      </c>
      <c r="K117" s="219">
        <v>48290.231230861798</v>
      </c>
      <c r="L117" s="219">
        <v>42613.49578520366</v>
      </c>
      <c r="M117" s="219">
        <v>30839.713527259693</v>
      </c>
      <c r="N117" s="219">
        <v>37048.168171663689</v>
      </c>
      <c r="O117" s="220">
        <v>515772.68677585002</v>
      </c>
    </row>
    <row r="118" spans="1:15" ht="13" x14ac:dyDescent="0.3">
      <c r="A118" s="211" t="s">
        <v>28</v>
      </c>
      <c r="B118" s="212"/>
      <c r="C118" s="227">
        <v>30702.644730662047</v>
      </c>
      <c r="D118" s="228">
        <v>22412.284411487584</v>
      </c>
      <c r="E118" s="228">
        <v>19898.095702962888</v>
      </c>
      <c r="F118" s="228">
        <v>21430.612198489573</v>
      </c>
      <c r="G118" s="228">
        <v>25874.294567044843</v>
      </c>
      <c r="H118" s="228">
        <v>31838.18406168482</v>
      </c>
      <c r="I118" s="228">
        <v>32179.769063699809</v>
      </c>
      <c r="J118" s="228">
        <v>32598.287624727174</v>
      </c>
      <c r="K118" s="228">
        <v>29345.536749683601</v>
      </c>
      <c r="L118" s="228">
        <v>25895.835963568319</v>
      </c>
      <c r="M118" s="228">
        <v>18741.014975416645</v>
      </c>
      <c r="N118" s="228">
        <v>22513.836709383937</v>
      </c>
      <c r="O118" s="229">
        <v>313430.39675881132</v>
      </c>
    </row>
    <row r="119" spans="1:15" ht="13" x14ac:dyDescent="0.3">
      <c r="A119" s="211" t="s">
        <v>29</v>
      </c>
      <c r="B119" s="212"/>
      <c r="C119" s="227">
        <v>2466.8184500482903</v>
      </c>
      <c r="D119" s="228">
        <v>1800.7255459257988</v>
      </c>
      <c r="E119" s="228">
        <v>1598.7218701024597</v>
      </c>
      <c r="F119" s="228">
        <v>1721.8526296618511</v>
      </c>
      <c r="G119" s="228">
        <v>2078.8823822798454</v>
      </c>
      <c r="H119" s="228">
        <v>2558.0538923724166</v>
      </c>
      <c r="I119" s="228">
        <v>2585.4987002260159</v>
      </c>
      <c r="J119" s="228">
        <v>2619.1247711097062</v>
      </c>
      <c r="K119" s="228">
        <v>2357.7809701975034</v>
      </c>
      <c r="L119" s="228">
        <v>2080.6131359282708</v>
      </c>
      <c r="M119" s="228">
        <v>1505.755674129907</v>
      </c>
      <c r="N119" s="228">
        <v>1808.8848131255172</v>
      </c>
      <c r="O119" s="229">
        <v>25182.712835107581</v>
      </c>
    </row>
    <row r="120" spans="1:15" ht="13" x14ac:dyDescent="0.3">
      <c r="A120" s="211" t="s">
        <v>30</v>
      </c>
      <c r="B120" s="212"/>
      <c r="C120" s="227">
        <v>33169.463180710321</v>
      </c>
      <c r="D120" s="228">
        <v>24213.009957413386</v>
      </c>
      <c r="E120" s="228">
        <v>21496.817573065349</v>
      </c>
      <c r="F120" s="228">
        <v>23152.464828151424</v>
      </c>
      <c r="G120" s="228">
        <v>27953.176949324694</v>
      </c>
      <c r="H120" s="228">
        <v>34396.237954057244</v>
      </c>
      <c r="I120" s="228">
        <v>34765.267763925825</v>
      </c>
      <c r="J120" s="228">
        <v>35217.41239583688</v>
      </c>
      <c r="K120" s="228">
        <v>31703.317719881099</v>
      </c>
      <c r="L120" s="228">
        <v>27976.449099496585</v>
      </c>
      <c r="M120" s="228">
        <v>20246.770649546543</v>
      </c>
      <c r="N120" s="228">
        <v>24322.721522509451</v>
      </c>
      <c r="O120" s="229">
        <v>338613.10959391884</v>
      </c>
    </row>
    <row r="121" spans="1:15" x14ac:dyDescent="0.25">
      <c r="A121" s="211" t="s">
        <v>60</v>
      </c>
      <c r="B121" s="212"/>
      <c r="C121" s="218">
        <v>19820.807134932362</v>
      </c>
      <c r="D121" s="219">
        <v>14468.772011998837</v>
      </c>
      <c r="E121" s="219">
        <v>12845.678955043866</v>
      </c>
      <c r="F121" s="219">
        <v>13835.030659283246</v>
      </c>
      <c r="G121" s="219">
        <v>16703.753271575755</v>
      </c>
      <c r="H121" s="219">
        <v>20553.880988073593</v>
      </c>
      <c r="I121" s="219">
        <v>20774.399139018511</v>
      </c>
      <c r="J121" s="219">
        <v>21044.583540176252</v>
      </c>
      <c r="K121" s="219">
        <v>18944.694481178212</v>
      </c>
      <c r="L121" s="219">
        <v>16717.659821635349</v>
      </c>
      <c r="M121" s="219">
        <v>12098.698551843048</v>
      </c>
      <c r="N121" s="219">
        <v>14534.331462279759</v>
      </c>
      <c r="O121" s="220">
        <v>202342.29001703876</v>
      </c>
    </row>
    <row r="122" spans="1:15" x14ac:dyDescent="0.25">
      <c r="A122" s="211" t="s">
        <v>87</v>
      </c>
      <c r="B122" s="212"/>
      <c r="C122" s="218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20">
        <v>0</v>
      </c>
    </row>
    <row r="123" spans="1:15" x14ac:dyDescent="0.25">
      <c r="A123" s="230" t="s">
        <v>89</v>
      </c>
      <c r="B123" s="231"/>
      <c r="C123" s="232">
        <v>0</v>
      </c>
      <c r="D123" s="233">
        <v>0</v>
      </c>
      <c r="E123" s="233">
        <v>0</v>
      </c>
      <c r="F123" s="233">
        <v>0</v>
      </c>
      <c r="G123" s="233">
        <v>0</v>
      </c>
      <c r="H123" s="233">
        <v>0</v>
      </c>
      <c r="I123" s="233">
        <v>0</v>
      </c>
      <c r="J123" s="233">
        <v>0</v>
      </c>
      <c r="K123" s="233">
        <v>0</v>
      </c>
      <c r="L123" s="233">
        <v>0</v>
      </c>
      <c r="M123" s="233">
        <v>0</v>
      </c>
      <c r="N123" s="233">
        <v>0</v>
      </c>
      <c r="O123" s="234">
        <v>0</v>
      </c>
    </row>
  </sheetData>
  <phoneticPr fontId="6" type="noConversion"/>
  <pageMargins left="0.5" right="0.5" top="0.73" bottom="0.98" header="0.5" footer="0.5"/>
  <pageSetup scale="53"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S220"/>
  <sheetViews>
    <sheetView showGridLines="0" zoomScale="80" zoomScaleNormal="80" zoomScaleSheetLayoutView="100" workbookViewId="0">
      <selection activeCell="J13" sqref="J13"/>
    </sheetView>
  </sheetViews>
  <sheetFormatPr defaultColWidth="8.7265625" defaultRowHeight="12.5" x14ac:dyDescent="0.25"/>
  <cols>
    <col min="1" max="1" width="0.54296875" style="1" customWidth="1"/>
    <col min="2" max="2" width="10.26953125" style="1" bestFit="1" customWidth="1"/>
    <col min="3" max="3" width="10.7265625" style="1" bestFit="1" customWidth="1"/>
    <col min="4" max="4" width="11" style="130" customWidth="1"/>
    <col min="5" max="5" width="24.26953125" style="1" customWidth="1"/>
    <col min="6" max="6" width="7.7265625" style="130" customWidth="1"/>
    <col min="7" max="7" width="7.453125" style="130" bestFit="1" customWidth="1"/>
    <col min="8" max="8" width="11.1796875" style="130" bestFit="1" customWidth="1"/>
    <col min="9" max="9" width="11.26953125" style="131" customWidth="1"/>
    <col min="10" max="10" width="14.81640625" style="130" bestFit="1" customWidth="1"/>
    <col min="11" max="11" width="14.81640625" style="132" bestFit="1" customWidth="1"/>
    <col min="12" max="12" width="14.7265625" style="130" customWidth="1"/>
    <col min="13" max="13" width="13.453125" style="93" bestFit="1" customWidth="1"/>
    <col min="14" max="15" width="13.453125" style="93" customWidth="1"/>
    <col min="16" max="16" width="14.81640625" style="93" bestFit="1" customWidth="1"/>
    <col min="17" max="17" width="13.453125" style="93" customWidth="1"/>
    <col min="18" max="18" width="15.54296875" style="197" customWidth="1"/>
    <col min="19" max="16384" width="8.7265625" style="1"/>
  </cols>
  <sheetData>
    <row r="1" spans="2:19" ht="21.5" x14ac:dyDescent="0.3">
      <c r="B1" s="10" t="s">
        <v>94</v>
      </c>
      <c r="C1" s="83"/>
      <c r="D1" s="84"/>
      <c r="E1" s="83"/>
      <c r="F1" s="85" t="s">
        <v>12</v>
      </c>
      <c r="G1" s="86"/>
      <c r="H1" s="87"/>
      <c r="I1" s="88"/>
      <c r="J1" s="200" t="str">
        <f>"True-Up ARR
(CY"&amp;R1&amp;")"</f>
        <v>True-Up ARR
(CY2024)</v>
      </c>
      <c r="K1" s="200" t="str">
        <f>"Projected ARR
(Jan'"&amp;RIGHT(R$1,2)&amp;" - Dec'"&amp;RIGHT(R$1,2)&amp;")"</f>
        <v>Projected ARR
(Jan'24 - Dec'24)</v>
      </c>
      <c r="L1" s="89" t="s">
        <v>44</v>
      </c>
      <c r="M1" s="90"/>
      <c r="N1" s="50"/>
      <c r="O1" s="50"/>
      <c r="P1" s="50"/>
      <c r="Q1" s="50"/>
      <c r="R1" s="91">
        <v>2024</v>
      </c>
      <c r="S1" s="2"/>
    </row>
    <row r="2" spans="2:19" ht="13" x14ac:dyDescent="0.3">
      <c r="B2" s="10" t="s">
        <v>51</v>
      </c>
      <c r="C2" s="83"/>
      <c r="D2" s="84"/>
      <c r="E2" s="83"/>
      <c r="F2" s="92">
        <v>1</v>
      </c>
      <c r="G2" s="236"/>
      <c r="H2" s="236"/>
      <c r="I2" s="94" t="s">
        <v>6</v>
      </c>
      <c r="J2" s="95">
        <v>515772.68677585007</v>
      </c>
      <c r="K2" s="95">
        <v>201660.86906411889</v>
      </c>
      <c r="L2" s="207"/>
      <c r="M2" s="97"/>
      <c r="N2" s="50"/>
      <c r="O2" s="50"/>
      <c r="P2" s="50"/>
      <c r="Q2" s="50"/>
      <c r="R2" s="1"/>
    </row>
    <row r="3" spans="2:19" ht="13" x14ac:dyDescent="0.3">
      <c r="B3" s="10" t="str">
        <f>"for CY"&amp;R1&amp;" SPP Network Transmission Service"</f>
        <v>for CY2024 SPP Network Transmission Service</v>
      </c>
      <c r="C3" s="83"/>
      <c r="D3" s="84"/>
      <c r="E3" s="83"/>
      <c r="F3" s="92"/>
      <c r="G3" s="236"/>
      <c r="H3" s="236"/>
      <c r="I3" s="94" t="s">
        <v>10</v>
      </c>
      <c r="J3" s="98">
        <v>5.063992369008159</v>
      </c>
      <c r="K3" s="98">
        <v>1.9866500085128156</v>
      </c>
      <c r="L3" s="119" t="str">
        <f>"Inv. Jan-Dec'"&amp;RIGHT(R1,2)</f>
        <v>Inv. Jan-Dec'24</v>
      </c>
      <c r="M3" s="97"/>
      <c r="N3" s="50"/>
      <c r="O3" s="50"/>
      <c r="P3" s="50"/>
      <c r="Q3" s="50"/>
      <c r="R3" s="1"/>
    </row>
    <row r="4" spans="2:19" ht="13" x14ac:dyDescent="0.3">
      <c r="B4" s="9"/>
      <c r="C4" s="83"/>
      <c r="D4" s="84"/>
      <c r="E4" s="83"/>
      <c r="F4" s="92"/>
      <c r="G4" s="93"/>
      <c r="H4" s="93"/>
      <c r="I4" s="49"/>
      <c r="J4" s="93"/>
      <c r="K4" s="99"/>
      <c r="L4" s="93"/>
      <c r="M4" s="100"/>
      <c r="R4" s="1"/>
    </row>
    <row r="5" spans="2:19" ht="13" x14ac:dyDescent="0.3">
      <c r="B5" s="9"/>
      <c r="C5" s="83"/>
      <c r="D5" s="84"/>
      <c r="E5" s="83"/>
      <c r="F5" s="92"/>
      <c r="G5" s="93"/>
      <c r="H5" s="93"/>
      <c r="I5" s="94"/>
      <c r="J5" s="93"/>
      <c r="K5" s="95">
        <v>0</v>
      </c>
      <c r="L5" s="198"/>
      <c r="M5" s="101"/>
      <c r="N5" s="102"/>
      <c r="O5" s="102"/>
      <c r="P5" s="102"/>
      <c r="Q5" s="102"/>
      <c r="R5" s="103"/>
    </row>
    <row r="6" spans="2:19" ht="13" x14ac:dyDescent="0.3">
      <c r="B6" s="10" t="s">
        <v>23</v>
      </c>
      <c r="D6" s="84"/>
      <c r="E6" s="83"/>
      <c r="F6" s="104"/>
      <c r="G6" s="105"/>
      <c r="H6" s="106"/>
      <c r="I6" s="107"/>
      <c r="J6" s="108"/>
      <c r="K6" s="98">
        <v>0</v>
      </c>
      <c r="L6" s="109"/>
      <c r="M6" s="101"/>
      <c r="N6" s="102"/>
      <c r="O6" s="102"/>
      <c r="P6" s="102"/>
      <c r="Q6" s="102"/>
      <c r="R6" s="1"/>
    </row>
    <row r="7" spans="2:19" ht="13" x14ac:dyDescent="0.3">
      <c r="B7" s="9" t="s">
        <v>76</v>
      </c>
      <c r="D7" s="84"/>
      <c r="E7" s="83"/>
      <c r="F7" s="92"/>
      <c r="G7" s="237"/>
      <c r="H7" s="236"/>
      <c r="I7" s="94"/>
      <c r="J7" s="110"/>
      <c r="K7" s="96"/>
      <c r="L7" s="96"/>
      <c r="M7" s="111"/>
      <c r="N7" s="112"/>
      <c r="O7" s="112"/>
      <c r="P7" s="112"/>
      <c r="Q7" s="112"/>
      <c r="R7" s="1"/>
    </row>
    <row r="8" spans="2:19" ht="13" x14ac:dyDescent="0.3">
      <c r="B8" s="10"/>
      <c r="C8" s="83"/>
      <c r="D8" s="84"/>
      <c r="E8" s="83"/>
      <c r="F8" s="92"/>
      <c r="G8" s="236"/>
      <c r="H8" s="236"/>
      <c r="I8" s="94"/>
      <c r="J8" s="113"/>
      <c r="K8" s="96"/>
      <c r="L8" s="114"/>
      <c r="M8" s="97"/>
      <c r="N8" s="50"/>
      <c r="O8" s="50"/>
      <c r="P8" s="50"/>
      <c r="Q8" s="50"/>
      <c r="R8" s="103"/>
    </row>
    <row r="9" spans="2:19" ht="13" x14ac:dyDescent="0.3">
      <c r="B9" s="115"/>
      <c r="C9" s="83"/>
      <c r="D9" s="84"/>
      <c r="E9" s="83"/>
      <c r="F9" s="92"/>
      <c r="G9" s="93"/>
      <c r="H9" s="93"/>
      <c r="I9" s="116"/>
      <c r="J9" s="117"/>
      <c r="K9" s="118"/>
      <c r="L9" s="119"/>
      <c r="M9" s="97"/>
      <c r="N9" s="50"/>
      <c r="O9" s="50"/>
      <c r="P9" s="50"/>
      <c r="Q9" s="50"/>
      <c r="R9" s="103"/>
    </row>
    <row r="10" spans="2:19" ht="13.5" thickBot="1" x14ac:dyDescent="0.35">
      <c r="B10" s="9"/>
      <c r="D10" s="1"/>
      <c r="E10" s="120"/>
      <c r="F10" s="121"/>
      <c r="G10" s="122"/>
      <c r="H10" s="123"/>
      <c r="I10" s="124"/>
      <c r="J10" s="125"/>
      <c r="K10" s="125"/>
      <c r="L10" s="126"/>
      <c r="M10" s="127"/>
      <c r="R10" s="128"/>
    </row>
    <row r="11" spans="2:19" ht="13" x14ac:dyDescent="0.3">
      <c r="B11" s="129"/>
      <c r="E11" s="120"/>
      <c r="L11" s="133"/>
      <c r="M11" s="1"/>
      <c r="N11" s="1"/>
      <c r="O11" s="1"/>
      <c r="P11" s="1"/>
      <c r="Q11" s="1"/>
      <c r="R11" s="103"/>
    </row>
    <row r="12" spans="2:19" x14ac:dyDescent="0.25">
      <c r="E12" s="120"/>
      <c r="L12" s="133"/>
      <c r="R12" s="134" t="s">
        <v>59</v>
      </c>
    </row>
    <row r="13" spans="2:19" ht="13" x14ac:dyDescent="0.3">
      <c r="E13" s="120"/>
      <c r="F13" s="135"/>
      <c r="G13" s="136"/>
      <c r="H13" s="136"/>
      <c r="I13" s="137" t="s">
        <v>57</v>
      </c>
      <c r="J13" s="138">
        <f t="shared" ref="J13:R13" si="0">SUM(J56:J211)</f>
        <v>136196.07476447435</v>
      </c>
      <c r="K13" s="138">
        <f t="shared" si="0"/>
        <v>53430.951978952202</v>
      </c>
      <c r="L13" s="139">
        <f t="shared" si="0"/>
        <v>82765.122785522355</v>
      </c>
      <c r="M13" s="140">
        <f t="shared" si="0"/>
        <v>6649.8027677707414</v>
      </c>
      <c r="N13" s="138">
        <f t="shared" si="0"/>
        <v>89414.92555329304</v>
      </c>
      <c r="O13" s="138">
        <f t="shared" si="0"/>
        <v>0</v>
      </c>
      <c r="P13" s="138">
        <f t="shared" si="0"/>
        <v>0</v>
      </c>
      <c r="Q13" s="138">
        <f t="shared" si="0"/>
        <v>0</v>
      </c>
      <c r="R13" s="139">
        <f t="shared" si="0"/>
        <v>89414.92555329304</v>
      </c>
    </row>
    <row r="14" spans="2:19" ht="13" x14ac:dyDescent="0.3">
      <c r="E14" s="120"/>
      <c r="F14" s="141"/>
      <c r="G14" s="141"/>
      <c r="H14" s="141"/>
      <c r="I14" s="142" t="s">
        <v>58</v>
      </c>
      <c r="J14" s="138">
        <f>SUM(J20:J211)</f>
        <v>515772.68677584972</v>
      </c>
      <c r="K14" s="138">
        <f>SUM(K20:K211)</f>
        <v>202342.29001703893</v>
      </c>
      <c r="L14" s="139">
        <f>SUM(L20:L211)</f>
        <v>313430.39675881097</v>
      </c>
      <c r="M14" s="199">
        <v>25182.712835107581</v>
      </c>
      <c r="N14" s="138">
        <f>SUM(N20:N211)</f>
        <v>338613.10959391872</v>
      </c>
      <c r="O14" s="138">
        <f>SUM(O20:O211)</f>
        <v>0</v>
      </c>
      <c r="P14" s="138">
        <f>SUM(P20:P211)</f>
        <v>0</v>
      </c>
      <c r="Q14" s="138">
        <f>SUM(Q20:Q211)</f>
        <v>0</v>
      </c>
      <c r="R14" s="139">
        <f>SUM(R20:R211)</f>
        <v>338613.10959391872</v>
      </c>
    </row>
    <row r="15" spans="2:19" x14ac:dyDescent="0.25">
      <c r="B15" s="143" t="s">
        <v>81</v>
      </c>
      <c r="E15" s="120"/>
      <c r="J15" s="131"/>
      <c r="L15" s="133"/>
      <c r="M15" s="208"/>
      <c r="N15" s="144"/>
      <c r="O15" s="144"/>
      <c r="P15" s="144"/>
      <c r="Q15" s="144"/>
      <c r="R15" s="145" t="s">
        <v>20</v>
      </c>
    </row>
    <row r="16" spans="2:19" x14ac:dyDescent="0.25">
      <c r="B16" s="146" t="str">
        <f>"** Actual Trued-Up CY"&amp;R1&amp;" Charge reflects "&amp;R1&amp;" True-UP Rate x MW"</f>
        <v>** Actual Trued-Up CY2024 Charge reflects 2024 True-UP Rate x MW</v>
      </c>
      <c r="E16" s="120"/>
      <c r="F16" s="93"/>
      <c r="G16" s="5"/>
      <c r="J16" s="147"/>
      <c r="L16" s="148" t="s">
        <v>11</v>
      </c>
      <c r="M16" s="144"/>
      <c r="N16" s="144"/>
      <c r="O16" s="144"/>
      <c r="P16" s="144"/>
      <c r="Q16" s="144"/>
      <c r="R16" s="149"/>
    </row>
    <row r="17" spans="1:18" x14ac:dyDescent="0.25">
      <c r="B17" s="150" t="s">
        <v>61</v>
      </c>
      <c r="E17" s="120"/>
      <c r="I17" s="151"/>
      <c r="J17" s="152"/>
      <c r="K17" s="153"/>
      <c r="L17" s="153"/>
      <c r="M17" s="153"/>
      <c r="N17" s="153"/>
      <c r="O17" s="153"/>
      <c r="P17" s="153"/>
      <c r="Q17" s="153"/>
      <c r="R17" s="154"/>
    </row>
    <row r="18" spans="1:18" ht="3.65" customHeight="1" x14ac:dyDescent="0.25">
      <c r="I18" s="155"/>
      <c r="J18" s="152"/>
      <c r="K18" s="155"/>
      <c r="L18" s="155"/>
      <c r="M18" s="156"/>
      <c r="N18" s="156"/>
      <c r="O18" s="156"/>
      <c r="P18" s="156"/>
      <c r="Q18" s="156"/>
      <c r="R18" s="157"/>
    </row>
    <row r="19" spans="1:18" ht="38.25" customHeight="1" x14ac:dyDescent="0.25">
      <c r="B19" s="158" t="s">
        <v>52</v>
      </c>
      <c r="C19" s="209" t="s">
        <v>4</v>
      </c>
      <c r="D19" s="209" t="s">
        <v>5</v>
      </c>
      <c r="E19" s="201" t="s">
        <v>0</v>
      </c>
      <c r="F19" s="202" t="s">
        <v>12</v>
      </c>
      <c r="G19" s="203" t="s">
        <v>1</v>
      </c>
      <c r="H19" s="159" t="s">
        <v>47</v>
      </c>
      <c r="I19" s="159" t="s">
        <v>45</v>
      </c>
      <c r="J19" s="160" t="str">
        <f>"True-Up Charge"</f>
        <v>True-Up Charge</v>
      </c>
      <c r="K19" s="160" t="s">
        <v>46</v>
      </c>
      <c r="L19" s="161" t="s">
        <v>3</v>
      </c>
      <c r="M19" s="162" t="s">
        <v>7</v>
      </c>
      <c r="N19" s="163" t="s">
        <v>97</v>
      </c>
      <c r="O19" s="163" t="s">
        <v>83</v>
      </c>
      <c r="P19" s="163" t="s">
        <v>84</v>
      </c>
      <c r="Q19" s="163" t="s">
        <v>85</v>
      </c>
      <c r="R19" s="164" t="s">
        <v>2</v>
      </c>
    </row>
    <row r="20" spans="1:18" s="50" customFormat="1" ht="12.75" customHeight="1" x14ac:dyDescent="0.25">
      <c r="A20" s="93">
        <v>1</v>
      </c>
      <c r="B20" s="165">
        <f>DATE($R$1,A20,1)</f>
        <v>45292</v>
      </c>
      <c r="C20" s="204">
        <v>45327</v>
      </c>
      <c r="D20" s="204">
        <v>45348</v>
      </c>
      <c r="E20" s="166" t="s">
        <v>21</v>
      </c>
      <c r="F20" s="93">
        <v>9</v>
      </c>
      <c r="G20" s="167">
        <v>3252</v>
      </c>
      <c r="H20" s="168">
        <f>+$K$3</f>
        <v>1.9866500085128156</v>
      </c>
      <c r="I20" s="168">
        <f t="shared" ref="I20:I63" si="1">$J$3</f>
        <v>5.063992369008159</v>
      </c>
      <c r="J20" s="169">
        <f t="shared" ref="J20:J108" si="2">+$G20*I20</f>
        <v>16468.103184014533</v>
      </c>
      <c r="K20" s="170">
        <f>+$G20*H20</f>
        <v>6460.5858276836761</v>
      </c>
      <c r="L20" s="171">
        <f t="shared" ref="L20:L34" si="3">+J20-K20</f>
        <v>10007.517356330856</v>
      </c>
      <c r="M20" s="172">
        <f>G20/$G$212*$M$14</f>
        <v>804.0586949540982</v>
      </c>
      <c r="N20" s="173">
        <f>SUM(L20:M20)</f>
        <v>10811.576051284954</v>
      </c>
      <c r="O20" s="172">
        <v>0</v>
      </c>
      <c r="P20" s="172">
        <v>0</v>
      </c>
      <c r="Q20" s="172">
        <v>0</v>
      </c>
      <c r="R20" s="173">
        <f>+N20-Q20</f>
        <v>10811.576051284954</v>
      </c>
    </row>
    <row r="21" spans="1:18" x14ac:dyDescent="0.25">
      <c r="A21" s="130">
        <v>2</v>
      </c>
      <c r="B21" s="165">
        <f t="shared" ref="B21:B108" si="4">DATE($R$1,A21,1)</f>
        <v>45323</v>
      </c>
      <c r="C21" s="204">
        <v>45356</v>
      </c>
      <c r="D21" s="204">
        <v>45376</v>
      </c>
      <c r="E21" s="174" t="s">
        <v>21</v>
      </c>
      <c r="F21" s="130">
        <v>9</v>
      </c>
      <c r="G21" s="167">
        <v>2338</v>
      </c>
      <c r="H21" s="168">
        <f t="shared" ref="H21:H84" si="5">+$K$3</f>
        <v>1.9866500085128156</v>
      </c>
      <c r="I21" s="168">
        <f t="shared" si="1"/>
        <v>5.063992369008159</v>
      </c>
      <c r="J21" s="169">
        <f t="shared" si="2"/>
        <v>11839.614158741075</v>
      </c>
      <c r="K21" s="170">
        <f t="shared" ref="K21:K33" si="6">+$G21*H21</f>
        <v>4644.7877199029626</v>
      </c>
      <c r="L21" s="171">
        <f t="shared" si="3"/>
        <v>7194.8264388381122</v>
      </c>
      <c r="M21" s="172">
        <f t="shared" ref="M21:M84" si="7">G21/$G$212*$M$14</f>
        <v>578.07171857401033</v>
      </c>
      <c r="N21" s="173">
        <f t="shared" ref="N21:N84" si="8">SUM(L21:M21)</f>
        <v>7772.8981574121226</v>
      </c>
      <c r="O21" s="172">
        <v>0</v>
      </c>
      <c r="P21" s="172">
        <v>0</v>
      </c>
      <c r="Q21" s="172">
        <v>0</v>
      </c>
      <c r="R21" s="173">
        <f t="shared" ref="R21:R84" si="9">+N21-Q21</f>
        <v>7772.8981574121226</v>
      </c>
    </row>
    <row r="22" spans="1:18" x14ac:dyDescent="0.25">
      <c r="A22" s="130">
        <v>3</v>
      </c>
      <c r="B22" s="165">
        <f t="shared" si="4"/>
        <v>45352</v>
      </c>
      <c r="C22" s="204">
        <v>45385</v>
      </c>
      <c r="D22" s="204">
        <v>45406</v>
      </c>
      <c r="E22" s="174" t="s">
        <v>21</v>
      </c>
      <c r="F22" s="130">
        <v>9</v>
      </c>
      <c r="G22" s="167">
        <v>2216</v>
      </c>
      <c r="H22" s="168">
        <f t="shared" si="5"/>
        <v>1.9866500085128156</v>
      </c>
      <c r="I22" s="168">
        <f t="shared" si="1"/>
        <v>5.063992369008159</v>
      </c>
      <c r="J22" s="169">
        <f t="shared" si="2"/>
        <v>11221.80708972208</v>
      </c>
      <c r="K22" s="170">
        <f t="shared" si="6"/>
        <v>4402.416418864399</v>
      </c>
      <c r="L22" s="171">
        <f t="shared" si="3"/>
        <v>6819.3906708576815</v>
      </c>
      <c r="M22" s="172">
        <f t="shared" si="7"/>
        <v>547.90715498717145</v>
      </c>
      <c r="N22" s="173">
        <f t="shared" si="8"/>
        <v>7367.2978258448529</v>
      </c>
      <c r="O22" s="172">
        <v>0</v>
      </c>
      <c r="P22" s="172">
        <v>0</v>
      </c>
      <c r="Q22" s="172">
        <v>0</v>
      </c>
      <c r="R22" s="173">
        <f t="shared" si="9"/>
        <v>7367.2978258448529</v>
      </c>
    </row>
    <row r="23" spans="1:18" x14ac:dyDescent="0.25">
      <c r="A23" s="93">
        <v>4</v>
      </c>
      <c r="B23" s="165">
        <f t="shared" si="4"/>
        <v>45383</v>
      </c>
      <c r="C23" s="204">
        <v>45415</v>
      </c>
      <c r="D23" s="204">
        <v>45436</v>
      </c>
      <c r="E23" s="174" t="s">
        <v>21</v>
      </c>
      <c r="F23" s="130">
        <v>9</v>
      </c>
      <c r="G23" s="167">
        <v>2777</v>
      </c>
      <c r="H23" s="168">
        <f t="shared" si="5"/>
        <v>1.9866500085128156</v>
      </c>
      <c r="I23" s="168">
        <f t="shared" si="1"/>
        <v>5.063992369008159</v>
      </c>
      <c r="J23" s="169">
        <f t="shared" si="2"/>
        <v>14062.706808735658</v>
      </c>
      <c r="K23" s="170">
        <f t="shared" si="6"/>
        <v>5516.9270736400886</v>
      </c>
      <c r="L23" s="171">
        <f t="shared" si="3"/>
        <v>8545.7797350955698</v>
      </c>
      <c r="M23" s="172">
        <f t="shared" si="7"/>
        <v>686.61469738238952</v>
      </c>
      <c r="N23" s="173">
        <f t="shared" si="8"/>
        <v>9232.3944324779586</v>
      </c>
      <c r="O23" s="172">
        <v>0</v>
      </c>
      <c r="P23" s="172">
        <v>0</v>
      </c>
      <c r="Q23" s="172">
        <v>0</v>
      </c>
      <c r="R23" s="173">
        <f t="shared" si="9"/>
        <v>9232.3944324779586</v>
      </c>
    </row>
    <row r="24" spans="1:18" ht="12" customHeight="1" x14ac:dyDescent="0.25">
      <c r="A24" s="130">
        <v>5</v>
      </c>
      <c r="B24" s="165">
        <f t="shared" si="4"/>
        <v>45413</v>
      </c>
      <c r="C24" s="204">
        <v>45448</v>
      </c>
      <c r="D24" s="204">
        <v>45467</v>
      </c>
      <c r="E24" s="52" t="s">
        <v>21</v>
      </c>
      <c r="F24" s="130">
        <v>9</v>
      </c>
      <c r="G24" s="167">
        <v>3245</v>
      </c>
      <c r="H24" s="168">
        <f t="shared" si="5"/>
        <v>1.9866500085128156</v>
      </c>
      <c r="I24" s="168">
        <f t="shared" si="1"/>
        <v>5.063992369008159</v>
      </c>
      <c r="J24" s="169">
        <f t="shared" si="2"/>
        <v>16432.655237431474</v>
      </c>
      <c r="K24" s="170">
        <f t="shared" si="6"/>
        <v>6446.6792776240864</v>
      </c>
      <c r="L24" s="171">
        <f t="shared" si="3"/>
        <v>9985.975959807387</v>
      </c>
      <c r="M24" s="172">
        <f t="shared" si="7"/>
        <v>802.32794130567288</v>
      </c>
      <c r="N24" s="173">
        <f t="shared" si="8"/>
        <v>10788.30390111306</v>
      </c>
      <c r="O24" s="172">
        <v>0</v>
      </c>
      <c r="P24" s="172">
        <v>0</v>
      </c>
      <c r="Q24" s="172">
        <v>0</v>
      </c>
      <c r="R24" s="173">
        <f t="shared" si="9"/>
        <v>10788.30390111306</v>
      </c>
    </row>
    <row r="25" spans="1:18" x14ac:dyDescent="0.25">
      <c r="A25" s="130">
        <v>6</v>
      </c>
      <c r="B25" s="165">
        <f t="shared" si="4"/>
        <v>45444</v>
      </c>
      <c r="C25" s="204">
        <v>45476</v>
      </c>
      <c r="D25" s="204">
        <v>45497</v>
      </c>
      <c r="E25" s="52" t="s">
        <v>21</v>
      </c>
      <c r="F25" s="130">
        <v>9</v>
      </c>
      <c r="G25" s="167">
        <v>4080</v>
      </c>
      <c r="H25" s="168">
        <f t="shared" si="5"/>
        <v>1.9866500085128156</v>
      </c>
      <c r="I25" s="168">
        <f t="shared" si="1"/>
        <v>5.063992369008159</v>
      </c>
      <c r="J25" s="169">
        <f t="shared" si="2"/>
        <v>20661.088865553287</v>
      </c>
      <c r="K25" s="170">
        <f t="shared" si="6"/>
        <v>8105.5320347322877</v>
      </c>
      <c r="L25" s="175">
        <f t="shared" si="3"/>
        <v>12555.556830820999</v>
      </c>
      <c r="M25" s="172">
        <f t="shared" si="7"/>
        <v>1008.7821265106767</v>
      </c>
      <c r="N25" s="173">
        <f t="shared" si="8"/>
        <v>13564.338957331674</v>
      </c>
      <c r="O25" s="172">
        <v>0</v>
      </c>
      <c r="P25" s="172">
        <v>0</v>
      </c>
      <c r="Q25" s="172">
        <v>0</v>
      </c>
      <c r="R25" s="173">
        <f t="shared" si="9"/>
        <v>13564.338957331674</v>
      </c>
    </row>
    <row r="26" spans="1:18" x14ac:dyDescent="0.25">
      <c r="A26" s="93">
        <v>7</v>
      </c>
      <c r="B26" s="165">
        <f t="shared" si="4"/>
        <v>45474</v>
      </c>
      <c r="C26" s="204">
        <v>45509</v>
      </c>
      <c r="D26" s="204">
        <v>45530</v>
      </c>
      <c r="E26" s="52" t="s">
        <v>21</v>
      </c>
      <c r="F26" s="130">
        <v>9</v>
      </c>
      <c r="G26" s="167">
        <v>4149</v>
      </c>
      <c r="H26" s="168">
        <f t="shared" si="5"/>
        <v>1.9866500085128156</v>
      </c>
      <c r="I26" s="168">
        <f t="shared" si="1"/>
        <v>5.063992369008159</v>
      </c>
      <c r="J26" s="169">
        <f t="shared" si="2"/>
        <v>21010.504339014853</v>
      </c>
      <c r="K26" s="176">
        <f t="shared" si="6"/>
        <v>8242.6108853196711</v>
      </c>
      <c r="L26" s="175">
        <f t="shared" si="3"/>
        <v>12767.893453695182</v>
      </c>
      <c r="M26" s="172">
        <f t="shared" si="7"/>
        <v>1025.8424124737248</v>
      </c>
      <c r="N26" s="173">
        <f t="shared" si="8"/>
        <v>13793.735866168907</v>
      </c>
      <c r="O26" s="172">
        <v>0</v>
      </c>
      <c r="P26" s="172">
        <v>0</v>
      </c>
      <c r="Q26" s="172">
        <v>0</v>
      </c>
      <c r="R26" s="173">
        <f t="shared" si="9"/>
        <v>13793.735866168907</v>
      </c>
    </row>
    <row r="27" spans="1:18" x14ac:dyDescent="0.25">
      <c r="A27" s="130">
        <v>8</v>
      </c>
      <c r="B27" s="165">
        <f t="shared" si="4"/>
        <v>45505</v>
      </c>
      <c r="C27" s="204">
        <v>45539</v>
      </c>
      <c r="D27" s="204">
        <v>45559</v>
      </c>
      <c r="E27" s="52" t="s">
        <v>21</v>
      </c>
      <c r="F27" s="130">
        <v>9</v>
      </c>
      <c r="G27" s="167">
        <v>4151</v>
      </c>
      <c r="H27" s="168">
        <f t="shared" si="5"/>
        <v>1.9866500085128156</v>
      </c>
      <c r="I27" s="168">
        <f t="shared" si="1"/>
        <v>5.063992369008159</v>
      </c>
      <c r="J27" s="169">
        <f t="shared" si="2"/>
        <v>21020.632323752867</v>
      </c>
      <c r="K27" s="176">
        <f t="shared" si="6"/>
        <v>8246.5841853366983</v>
      </c>
      <c r="L27" s="175">
        <f t="shared" si="3"/>
        <v>12774.048138416169</v>
      </c>
      <c r="M27" s="172">
        <f t="shared" si="7"/>
        <v>1026.3369135161322</v>
      </c>
      <c r="N27" s="173">
        <f t="shared" si="8"/>
        <v>13800.3850519323</v>
      </c>
      <c r="O27" s="172">
        <v>0</v>
      </c>
      <c r="P27" s="172">
        <v>0</v>
      </c>
      <c r="Q27" s="172">
        <v>0</v>
      </c>
      <c r="R27" s="173">
        <f t="shared" si="9"/>
        <v>13800.3850519323</v>
      </c>
    </row>
    <row r="28" spans="1:18" x14ac:dyDescent="0.25">
      <c r="A28" s="130">
        <v>9</v>
      </c>
      <c r="B28" s="165">
        <f t="shared" si="4"/>
        <v>45536</v>
      </c>
      <c r="C28" s="204">
        <v>45568</v>
      </c>
      <c r="D28" s="204">
        <v>45589</v>
      </c>
      <c r="E28" s="52" t="s">
        <v>21</v>
      </c>
      <c r="F28" s="130">
        <v>9</v>
      </c>
      <c r="G28" s="167">
        <v>3859</v>
      </c>
      <c r="H28" s="168">
        <f t="shared" si="5"/>
        <v>1.9866500085128156</v>
      </c>
      <c r="I28" s="168">
        <f t="shared" si="1"/>
        <v>5.063992369008159</v>
      </c>
      <c r="J28" s="169">
        <f t="shared" si="2"/>
        <v>19541.946552002486</v>
      </c>
      <c r="K28" s="176">
        <f t="shared" si="6"/>
        <v>7666.4823828509552</v>
      </c>
      <c r="L28" s="175">
        <f t="shared" si="3"/>
        <v>11875.464169151532</v>
      </c>
      <c r="M28" s="172">
        <f t="shared" si="7"/>
        <v>954.13976132468167</v>
      </c>
      <c r="N28" s="173">
        <f t="shared" si="8"/>
        <v>12829.603930476213</v>
      </c>
      <c r="O28" s="172">
        <v>0</v>
      </c>
      <c r="P28" s="172">
        <v>0</v>
      </c>
      <c r="Q28" s="172">
        <v>0</v>
      </c>
      <c r="R28" s="173">
        <f t="shared" si="9"/>
        <v>12829.603930476213</v>
      </c>
    </row>
    <row r="29" spans="1:18" x14ac:dyDescent="0.25">
      <c r="A29" s="93">
        <v>10</v>
      </c>
      <c r="B29" s="165">
        <f t="shared" si="4"/>
        <v>45566</v>
      </c>
      <c r="C29" s="204">
        <v>45601</v>
      </c>
      <c r="D29" s="204">
        <v>45621</v>
      </c>
      <c r="E29" s="52" t="s">
        <v>21</v>
      </c>
      <c r="F29" s="130">
        <v>9</v>
      </c>
      <c r="G29" s="167">
        <v>3429</v>
      </c>
      <c r="H29" s="168">
        <f t="shared" si="5"/>
        <v>1.9866500085128156</v>
      </c>
      <c r="I29" s="168">
        <f t="shared" si="1"/>
        <v>5.063992369008159</v>
      </c>
      <c r="J29" s="169">
        <f t="shared" si="2"/>
        <v>17364.429833328977</v>
      </c>
      <c r="K29" s="176">
        <f t="shared" si="6"/>
        <v>6812.2228791904445</v>
      </c>
      <c r="L29" s="175">
        <f t="shared" si="3"/>
        <v>10552.206954138532</v>
      </c>
      <c r="M29" s="172">
        <f t="shared" si="7"/>
        <v>847.82203720713494</v>
      </c>
      <c r="N29" s="173">
        <f t="shared" si="8"/>
        <v>11400.028991345667</v>
      </c>
      <c r="O29" s="172">
        <v>0</v>
      </c>
      <c r="P29" s="172">
        <v>0</v>
      </c>
      <c r="Q29" s="172">
        <v>0</v>
      </c>
      <c r="R29" s="173">
        <f t="shared" si="9"/>
        <v>11400.028991345667</v>
      </c>
    </row>
    <row r="30" spans="1:18" x14ac:dyDescent="0.25">
      <c r="A30" s="130">
        <v>11</v>
      </c>
      <c r="B30" s="165">
        <f t="shared" si="4"/>
        <v>45597</v>
      </c>
      <c r="C30" s="204">
        <v>45630</v>
      </c>
      <c r="D30" s="204">
        <v>45650</v>
      </c>
      <c r="E30" s="52" t="s">
        <v>21</v>
      </c>
      <c r="F30" s="130">
        <v>9</v>
      </c>
      <c r="G30" s="167">
        <v>2220</v>
      </c>
      <c r="H30" s="168">
        <f t="shared" si="5"/>
        <v>1.9866500085128156</v>
      </c>
      <c r="I30" s="168">
        <f t="shared" si="1"/>
        <v>5.063992369008159</v>
      </c>
      <c r="J30" s="169">
        <f t="shared" si="2"/>
        <v>11242.063059198113</v>
      </c>
      <c r="K30" s="176">
        <f t="shared" si="6"/>
        <v>4410.3630188984507</v>
      </c>
      <c r="L30" s="175">
        <f t="shared" si="3"/>
        <v>6831.7000402996628</v>
      </c>
      <c r="M30" s="172">
        <f t="shared" si="7"/>
        <v>548.89615707198584</v>
      </c>
      <c r="N30" s="173">
        <f t="shared" si="8"/>
        <v>7380.5961973716485</v>
      </c>
      <c r="O30" s="172">
        <v>0</v>
      </c>
      <c r="P30" s="172">
        <v>0</v>
      </c>
      <c r="Q30" s="172">
        <v>0</v>
      </c>
      <c r="R30" s="173">
        <f t="shared" si="9"/>
        <v>7380.5961973716485</v>
      </c>
    </row>
    <row r="31" spans="1:18" x14ac:dyDescent="0.25">
      <c r="A31" s="130">
        <v>12</v>
      </c>
      <c r="B31" s="165">
        <f t="shared" si="4"/>
        <v>45627</v>
      </c>
      <c r="C31" s="205">
        <v>45660</v>
      </c>
      <c r="D31" s="206">
        <v>45681</v>
      </c>
      <c r="E31" s="52" t="s">
        <v>21</v>
      </c>
      <c r="F31" s="130">
        <v>9</v>
      </c>
      <c r="G31" s="167">
        <v>2569</v>
      </c>
      <c r="H31" s="177">
        <f t="shared" si="5"/>
        <v>1.9866500085128156</v>
      </c>
      <c r="I31" s="177">
        <f t="shared" si="1"/>
        <v>5.063992369008159</v>
      </c>
      <c r="J31" s="178">
        <f t="shared" si="2"/>
        <v>13009.396395981961</v>
      </c>
      <c r="K31" s="179">
        <f t="shared" si="6"/>
        <v>5103.703871869423</v>
      </c>
      <c r="L31" s="180">
        <f t="shared" si="3"/>
        <v>7905.6925241125382</v>
      </c>
      <c r="M31" s="172">
        <f t="shared" si="7"/>
        <v>635.18658897204125</v>
      </c>
      <c r="N31" s="173">
        <f t="shared" si="8"/>
        <v>8540.8791130845802</v>
      </c>
      <c r="O31" s="172">
        <v>0</v>
      </c>
      <c r="P31" s="172">
        <v>0</v>
      </c>
      <c r="Q31" s="172">
        <v>0</v>
      </c>
      <c r="R31" s="173">
        <f t="shared" si="9"/>
        <v>8540.8791130845802</v>
      </c>
    </row>
    <row r="32" spans="1:18" x14ac:dyDescent="0.25">
      <c r="A32" s="93">
        <v>1</v>
      </c>
      <c r="B32" s="181">
        <f t="shared" si="4"/>
        <v>45292</v>
      </c>
      <c r="C32" s="182">
        <f t="shared" ref="C32:D43" si="10">+C20</f>
        <v>45327</v>
      </c>
      <c r="D32" s="182">
        <f t="shared" si="10"/>
        <v>45348</v>
      </c>
      <c r="E32" s="183" t="s">
        <v>22</v>
      </c>
      <c r="F32" s="184">
        <v>9</v>
      </c>
      <c r="G32" s="167">
        <v>3306</v>
      </c>
      <c r="H32" s="168">
        <f t="shared" si="5"/>
        <v>1.9866500085128156</v>
      </c>
      <c r="I32" s="168">
        <f t="shared" si="1"/>
        <v>5.063992369008159</v>
      </c>
      <c r="J32" s="169">
        <f t="shared" si="2"/>
        <v>16741.558771940974</v>
      </c>
      <c r="K32" s="170">
        <f t="shared" si="6"/>
        <v>6567.8649281433682</v>
      </c>
      <c r="L32" s="171">
        <f t="shared" si="3"/>
        <v>10173.693843797606</v>
      </c>
      <c r="M32" s="172">
        <f t="shared" si="7"/>
        <v>817.41022309909249</v>
      </c>
      <c r="N32" s="173">
        <f t="shared" si="8"/>
        <v>10991.104066896698</v>
      </c>
      <c r="O32" s="172">
        <v>0</v>
      </c>
      <c r="P32" s="172">
        <v>0</v>
      </c>
      <c r="Q32" s="172">
        <v>0</v>
      </c>
      <c r="R32" s="173">
        <f t="shared" si="9"/>
        <v>10991.104066896698</v>
      </c>
    </row>
    <row r="33" spans="1:18" x14ac:dyDescent="0.25">
      <c r="A33" s="130">
        <v>2</v>
      </c>
      <c r="B33" s="165">
        <f t="shared" si="4"/>
        <v>45323</v>
      </c>
      <c r="C33" s="185">
        <f t="shared" si="10"/>
        <v>45356</v>
      </c>
      <c r="D33" s="185">
        <f t="shared" si="10"/>
        <v>45376</v>
      </c>
      <c r="E33" s="174" t="s">
        <v>22</v>
      </c>
      <c r="F33" s="130">
        <v>9</v>
      </c>
      <c r="G33" s="167">
        <v>2611</v>
      </c>
      <c r="H33" s="168">
        <f t="shared" si="5"/>
        <v>1.9866500085128156</v>
      </c>
      <c r="I33" s="168">
        <f t="shared" si="1"/>
        <v>5.063992369008159</v>
      </c>
      <c r="J33" s="169">
        <f t="shared" si="2"/>
        <v>13222.084075480303</v>
      </c>
      <c r="K33" s="170">
        <f t="shared" si="6"/>
        <v>5187.1431722269617</v>
      </c>
      <c r="L33" s="171">
        <f t="shared" si="3"/>
        <v>8034.9409032533413</v>
      </c>
      <c r="M33" s="172">
        <f t="shared" si="7"/>
        <v>645.57111086259238</v>
      </c>
      <c r="N33" s="173">
        <f t="shared" si="8"/>
        <v>8680.5120141159332</v>
      </c>
      <c r="O33" s="172">
        <v>0</v>
      </c>
      <c r="P33" s="172">
        <v>0</v>
      </c>
      <c r="Q33" s="172">
        <v>0</v>
      </c>
      <c r="R33" s="173">
        <f t="shared" si="9"/>
        <v>8680.5120141159332</v>
      </c>
    </row>
    <row r="34" spans="1:18" x14ac:dyDescent="0.25">
      <c r="A34" s="130">
        <v>3</v>
      </c>
      <c r="B34" s="165">
        <f t="shared" si="4"/>
        <v>45352</v>
      </c>
      <c r="C34" s="185">
        <f t="shared" si="10"/>
        <v>45385</v>
      </c>
      <c r="D34" s="185">
        <f t="shared" si="10"/>
        <v>45406</v>
      </c>
      <c r="E34" s="174" t="s">
        <v>22</v>
      </c>
      <c r="F34" s="130">
        <v>9</v>
      </c>
      <c r="G34" s="167">
        <v>2302</v>
      </c>
      <c r="H34" s="168">
        <f t="shared" si="5"/>
        <v>1.9866500085128156</v>
      </c>
      <c r="I34" s="168">
        <f t="shared" si="1"/>
        <v>5.063992369008159</v>
      </c>
      <c r="J34" s="169">
        <f t="shared" si="2"/>
        <v>11657.310433456782</v>
      </c>
      <c r="K34" s="170">
        <f t="shared" ref="K34:K93" si="11">+$G34*H34</f>
        <v>4573.2683195965019</v>
      </c>
      <c r="L34" s="171">
        <f t="shared" si="3"/>
        <v>7084.0421138602796</v>
      </c>
      <c r="M34" s="172">
        <f t="shared" si="7"/>
        <v>569.17069981068073</v>
      </c>
      <c r="N34" s="173">
        <f t="shared" si="8"/>
        <v>7653.2128136709607</v>
      </c>
      <c r="O34" s="172">
        <v>0</v>
      </c>
      <c r="P34" s="172">
        <v>0</v>
      </c>
      <c r="Q34" s="172">
        <v>0</v>
      </c>
      <c r="R34" s="173">
        <f t="shared" si="9"/>
        <v>7653.2128136709607</v>
      </c>
    </row>
    <row r="35" spans="1:18" x14ac:dyDescent="0.25">
      <c r="A35" s="93">
        <v>4</v>
      </c>
      <c r="B35" s="165">
        <f t="shared" si="4"/>
        <v>45383</v>
      </c>
      <c r="C35" s="185">
        <f t="shared" si="10"/>
        <v>45415</v>
      </c>
      <c r="D35" s="185">
        <f t="shared" si="10"/>
        <v>45436</v>
      </c>
      <c r="E35" s="174" t="s">
        <v>22</v>
      </c>
      <c r="F35" s="130">
        <v>9</v>
      </c>
      <c r="G35" s="167">
        <v>2486</v>
      </c>
      <c r="H35" s="168">
        <f t="shared" si="5"/>
        <v>1.9866500085128156</v>
      </c>
      <c r="I35" s="168">
        <f t="shared" si="1"/>
        <v>5.063992369008159</v>
      </c>
      <c r="J35" s="169">
        <f t="shared" si="2"/>
        <v>12589.085029354283</v>
      </c>
      <c r="K35" s="170">
        <f t="shared" si="11"/>
        <v>4938.8119211628591</v>
      </c>
      <c r="L35" s="171">
        <f t="shared" ref="L35:L57" si="12">+J35-K35</f>
        <v>7650.2731081914235</v>
      </c>
      <c r="M35" s="172">
        <f t="shared" si="7"/>
        <v>614.66479571214268</v>
      </c>
      <c r="N35" s="173">
        <f t="shared" si="8"/>
        <v>8264.9379039035666</v>
      </c>
      <c r="O35" s="172">
        <v>0</v>
      </c>
      <c r="P35" s="172">
        <v>0</v>
      </c>
      <c r="Q35" s="172">
        <v>0</v>
      </c>
      <c r="R35" s="173">
        <f t="shared" si="9"/>
        <v>8264.9379039035666</v>
      </c>
    </row>
    <row r="36" spans="1:18" x14ac:dyDescent="0.25">
      <c r="A36" s="130">
        <v>5</v>
      </c>
      <c r="B36" s="165">
        <f t="shared" si="4"/>
        <v>45413</v>
      </c>
      <c r="C36" s="185">
        <f t="shared" si="10"/>
        <v>45448</v>
      </c>
      <c r="D36" s="185">
        <f t="shared" si="10"/>
        <v>45467</v>
      </c>
      <c r="E36" s="52" t="s">
        <v>22</v>
      </c>
      <c r="F36" s="130">
        <v>9</v>
      </c>
      <c r="G36" s="167">
        <v>2970</v>
      </c>
      <c r="H36" s="168">
        <f t="shared" si="5"/>
        <v>1.9866500085128156</v>
      </c>
      <c r="I36" s="168">
        <f t="shared" si="1"/>
        <v>5.063992369008159</v>
      </c>
      <c r="J36" s="169">
        <f t="shared" si="2"/>
        <v>15040.057335954232</v>
      </c>
      <c r="K36" s="170">
        <f t="shared" si="11"/>
        <v>5900.3505252830619</v>
      </c>
      <c r="L36" s="171">
        <f t="shared" si="12"/>
        <v>9139.7068106711704</v>
      </c>
      <c r="M36" s="172">
        <f t="shared" si="7"/>
        <v>734.33404797468381</v>
      </c>
      <c r="N36" s="173">
        <f t="shared" si="8"/>
        <v>9874.0408586458543</v>
      </c>
      <c r="O36" s="172">
        <v>0</v>
      </c>
      <c r="P36" s="172">
        <v>0</v>
      </c>
      <c r="Q36" s="172">
        <v>0</v>
      </c>
      <c r="R36" s="173">
        <f t="shared" si="9"/>
        <v>9874.0408586458543</v>
      </c>
    </row>
    <row r="37" spans="1:18" x14ac:dyDescent="0.25">
      <c r="A37" s="130">
        <v>6</v>
      </c>
      <c r="B37" s="165">
        <f t="shared" si="4"/>
        <v>45444</v>
      </c>
      <c r="C37" s="185">
        <f t="shared" si="10"/>
        <v>45476</v>
      </c>
      <c r="D37" s="185">
        <f t="shared" si="10"/>
        <v>45497</v>
      </c>
      <c r="E37" s="52" t="s">
        <v>22</v>
      </c>
      <c r="F37" s="130">
        <v>9</v>
      </c>
      <c r="G37" s="167">
        <v>3483</v>
      </c>
      <c r="H37" s="168">
        <f t="shared" si="5"/>
        <v>1.9866500085128156</v>
      </c>
      <c r="I37" s="168">
        <f t="shared" si="1"/>
        <v>5.063992369008159</v>
      </c>
      <c r="J37" s="169">
        <f t="shared" si="2"/>
        <v>17637.885421255418</v>
      </c>
      <c r="K37" s="170">
        <f t="shared" si="11"/>
        <v>6919.5019796501365</v>
      </c>
      <c r="L37" s="175">
        <f t="shared" si="12"/>
        <v>10718.383441605281</v>
      </c>
      <c r="M37" s="172">
        <f t="shared" si="7"/>
        <v>861.17356535212912</v>
      </c>
      <c r="N37" s="173">
        <f t="shared" si="8"/>
        <v>11579.55700695741</v>
      </c>
      <c r="O37" s="172">
        <v>0</v>
      </c>
      <c r="P37" s="172">
        <v>0</v>
      </c>
      <c r="Q37" s="172">
        <v>0</v>
      </c>
      <c r="R37" s="173">
        <f t="shared" si="9"/>
        <v>11579.55700695741</v>
      </c>
    </row>
    <row r="38" spans="1:18" x14ac:dyDescent="0.25">
      <c r="A38" s="93">
        <v>7</v>
      </c>
      <c r="B38" s="165">
        <f t="shared" si="4"/>
        <v>45474</v>
      </c>
      <c r="C38" s="185">
        <f t="shared" si="10"/>
        <v>45509</v>
      </c>
      <c r="D38" s="185">
        <f t="shared" si="10"/>
        <v>45530</v>
      </c>
      <c r="E38" s="52" t="s">
        <v>22</v>
      </c>
      <c r="F38" s="130">
        <v>9</v>
      </c>
      <c r="G38" s="167">
        <v>3510</v>
      </c>
      <c r="H38" s="168">
        <f t="shared" si="5"/>
        <v>1.9866500085128156</v>
      </c>
      <c r="I38" s="168">
        <f t="shared" si="1"/>
        <v>5.063992369008159</v>
      </c>
      <c r="J38" s="169">
        <f t="shared" si="2"/>
        <v>17774.613215218636</v>
      </c>
      <c r="K38" s="176">
        <f t="shared" si="11"/>
        <v>6973.141529879983</v>
      </c>
      <c r="L38" s="175">
        <f t="shared" si="12"/>
        <v>10801.471685338653</v>
      </c>
      <c r="M38" s="172">
        <f t="shared" si="7"/>
        <v>867.84932942462626</v>
      </c>
      <c r="N38" s="173">
        <f t="shared" si="8"/>
        <v>11669.321014763278</v>
      </c>
      <c r="O38" s="172">
        <v>0</v>
      </c>
      <c r="P38" s="172">
        <v>0</v>
      </c>
      <c r="Q38" s="172">
        <v>0</v>
      </c>
      <c r="R38" s="173">
        <f t="shared" si="9"/>
        <v>11669.321014763278</v>
      </c>
    </row>
    <row r="39" spans="1:18" x14ac:dyDescent="0.25">
      <c r="A39" s="130">
        <v>8</v>
      </c>
      <c r="B39" s="165">
        <f t="shared" si="4"/>
        <v>45505</v>
      </c>
      <c r="C39" s="185">
        <f t="shared" si="10"/>
        <v>45539</v>
      </c>
      <c r="D39" s="185">
        <f t="shared" si="10"/>
        <v>45559</v>
      </c>
      <c r="E39" s="52" t="s">
        <v>22</v>
      </c>
      <c r="F39" s="130">
        <v>9</v>
      </c>
      <c r="G39" s="167">
        <v>3574</v>
      </c>
      <c r="H39" s="168">
        <f t="shared" si="5"/>
        <v>1.9866500085128156</v>
      </c>
      <c r="I39" s="168">
        <f t="shared" si="1"/>
        <v>5.063992369008159</v>
      </c>
      <c r="J39" s="169">
        <f t="shared" si="2"/>
        <v>18098.708726835161</v>
      </c>
      <c r="K39" s="176">
        <f t="shared" si="11"/>
        <v>7100.2871304248029</v>
      </c>
      <c r="L39" s="175">
        <f t="shared" si="12"/>
        <v>10998.421596410357</v>
      </c>
      <c r="M39" s="172">
        <f t="shared" si="7"/>
        <v>883.67336278165646</v>
      </c>
      <c r="N39" s="173">
        <f t="shared" si="8"/>
        <v>11882.094959192013</v>
      </c>
      <c r="O39" s="172">
        <v>0</v>
      </c>
      <c r="P39" s="172">
        <v>0</v>
      </c>
      <c r="Q39" s="172">
        <v>0</v>
      </c>
      <c r="R39" s="173">
        <f t="shared" si="9"/>
        <v>11882.094959192013</v>
      </c>
    </row>
    <row r="40" spans="1:18" x14ac:dyDescent="0.25">
      <c r="A40" s="130">
        <v>9</v>
      </c>
      <c r="B40" s="165">
        <f t="shared" si="4"/>
        <v>45536</v>
      </c>
      <c r="C40" s="185">
        <f t="shared" si="10"/>
        <v>45568</v>
      </c>
      <c r="D40" s="185">
        <f t="shared" si="10"/>
        <v>45589</v>
      </c>
      <c r="E40" s="52" t="s">
        <v>22</v>
      </c>
      <c r="F40" s="130">
        <v>9</v>
      </c>
      <c r="G40" s="167">
        <v>3188</v>
      </c>
      <c r="H40" s="168">
        <f t="shared" si="5"/>
        <v>1.9866500085128156</v>
      </c>
      <c r="I40" s="168">
        <f t="shared" si="1"/>
        <v>5.063992369008159</v>
      </c>
      <c r="J40" s="169">
        <f t="shared" si="2"/>
        <v>16144.007672398011</v>
      </c>
      <c r="K40" s="176">
        <f t="shared" si="11"/>
        <v>6333.4402271388562</v>
      </c>
      <c r="L40" s="175">
        <f t="shared" si="12"/>
        <v>9810.5674452591556</v>
      </c>
      <c r="M40" s="172">
        <f t="shared" si="7"/>
        <v>788.23466159706788</v>
      </c>
      <c r="N40" s="173">
        <f t="shared" si="8"/>
        <v>10598.802106856223</v>
      </c>
      <c r="O40" s="172">
        <v>0</v>
      </c>
      <c r="P40" s="172">
        <v>0</v>
      </c>
      <c r="Q40" s="172">
        <v>0</v>
      </c>
      <c r="R40" s="173">
        <f t="shared" si="9"/>
        <v>10598.802106856223</v>
      </c>
    </row>
    <row r="41" spans="1:18" x14ac:dyDescent="0.25">
      <c r="A41" s="93">
        <v>10</v>
      </c>
      <c r="B41" s="165">
        <f t="shared" si="4"/>
        <v>45566</v>
      </c>
      <c r="C41" s="185">
        <f t="shared" si="10"/>
        <v>45601</v>
      </c>
      <c r="D41" s="185">
        <f t="shared" si="10"/>
        <v>45621</v>
      </c>
      <c r="E41" s="52" t="s">
        <v>22</v>
      </c>
      <c r="F41" s="130">
        <v>9</v>
      </c>
      <c r="G41" s="167">
        <v>2793</v>
      </c>
      <c r="H41" s="168">
        <f t="shared" si="5"/>
        <v>1.9866500085128156</v>
      </c>
      <c r="I41" s="168">
        <f t="shared" si="1"/>
        <v>5.063992369008159</v>
      </c>
      <c r="J41" s="169">
        <f t="shared" si="2"/>
        <v>14143.730686639788</v>
      </c>
      <c r="K41" s="176">
        <f t="shared" si="11"/>
        <v>5548.7134737762935</v>
      </c>
      <c r="L41" s="175">
        <f t="shared" si="12"/>
        <v>8595.0172128634949</v>
      </c>
      <c r="M41" s="172">
        <f t="shared" si="7"/>
        <v>690.57070572164707</v>
      </c>
      <c r="N41" s="173">
        <f t="shared" si="8"/>
        <v>9285.5879185851427</v>
      </c>
      <c r="O41" s="172">
        <v>0</v>
      </c>
      <c r="P41" s="172">
        <v>0</v>
      </c>
      <c r="Q41" s="172">
        <v>0</v>
      </c>
      <c r="R41" s="173">
        <f t="shared" si="9"/>
        <v>9285.5879185851427</v>
      </c>
    </row>
    <row r="42" spans="1:18" x14ac:dyDescent="0.25">
      <c r="A42" s="130">
        <v>11</v>
      </c>
      <c r="B42" s="165">
        <f t="shared" si="4"/>
        <v>45597</v>
      </c>
      <c r="C42" s="185">
        <f t="shared" si="10"/>
        <v>45630</v>
      </c>
      <c r="D42" s="185">
        <f t="shared" si="10"/>
        <v>45650</v>
      </c>
      <c r="E42" s="52" t="s">
        <v>22</v>
      </c>
      <c r="F42" s="130">
        <v>9</v>
      </c>
      <c r="G42" s="167">
        <v>2339</v>
      </c>
      <c r="H42" s="168">
        <f t="shared" si="5"/>
        <v>1.9866500085128156</v>
      </c>
      <c r="I42" s="168">
        <f t="shared" si="1"/>
        <v>5.063992369008159</v>
      </c>
      <c r="J42" s="169">
        <f t="shared" si="2"/>
        <v>11844.678151110083</v>
      </c>
      <c r="K42" s="176">
        <f t="shared" si="11"/>
        <v>4646.7743699114753</v>
      </c>
      <c r="L42" s="175">
        <f t="shared" si="12"/>
        <v>7197.9037811986082</v>
      </c>
      <c r="M42" s="172">
        <f t="shared" si="7"/>
        <v>578.3189690952139</v>
      </c>
      <c r="N42" s="173">
        <f t="shared" si="8"/>
        <v>7776.2227502938222</v>
      </c>
      <c r="O42" s="172">
        <v>0</v>
      </c>
      <c r="P42" s="172">
        <v>0</v>
      </c>
      <c r="Q42" s="172">
        <v>0</v>
      </c>
      <c r="R42" s="173">
        <f t="shared" si="9"/>
        <v>7776.2227502938222</v>
      </c>
    </row>
    <row r="43" spans="1:18" x14ac:dyDescent="0.25">
      <c r="A43" s="130">
        <v>12</v>
      </c>
      <c r="B43" s="165">
        <f t="shared" si="4"/>
        <v>45627</v>
      </c>
      <c r="C43" s="185">
        <f t="shared" si="10"/>
        <v>45660</v>
      </c>
      <c r="D43" s="185">
        <f t="shared" si="10"/>
        <v>45681</v>
      </c>
      <c r="E43" s="52" t="s">
        <v>22</v>
      </c>
      <c r="F43" s="130">
        <v>9</v>
      </c>
      <c r="G43" s="167">
        <v>2520</v>
      </c>
      <c r="H43" s="177">
        <f t="shared" si="5"/>
        <v>1.9866500085128156</v>
      </c>
      <c r="I43" s="177">
        <f t="shared" si="1"/>
        <v>5.063992369008159</v>
      </c>
      <c r="J43" s="178">
        <f t="shared" si="2"/>
        <v>12761.26076990056</v>
      </c>
      <c r="K43" s="179">
        <f t="shared" si="11"/>
        <v>5006.3580214522954</v>
      </c>
      <c r="L43" s="180">
        <f t="shared" si="12"/>
        <v>7754.9027484482649</v>
      </c>
      <c r="M43" s="172">
        <f t="shared" si="7"/>
        <v>623.07131343306503</v>
      </c>
      <c r="N43" s="173">
        <f t="shared" si="8"/>
        <v>8377.9740618813303</v>
      </c>
      <c r="O43" s="172">
        <v>0</v>
      </c>
      <c r="P43" s="172">
        <v>0</v>
      </c>
      <c r="Q43" s="172">
        <v>0</v>
      </c>
      <c r="R43" s="173">
        <f t="shared" si="9"/>
        <v>8377.9740618813303</v>
      </c>
    </row>
    <row r="44" spans="1:18" x14ac:dyDescent="0.25">
      <c r="A44" s="93">
        <v>1</v>
      </c>
      <c r="B44" s="181">
        <f t="shared" ref="B44:B55" si="13">DATE($R$1,A44,1)</f>
        <v>45292</v>
      </c>
      <c r="C44" s="182">
        <f t="shared" ref="C44:D55" si="14">+C32</f>
        <v>45327</v>
      </c>
      <c r="D44" s="182">
        <f t="shared" si="14"/>
        <v>45348</v>
      </c>
      <c r="E44" s="183" t="s">
        <v>80</v>
      </c>
      <c r="F44" s="184">
        <v>9</v>
      </c>
      <c r="G44" s="167">
        <v>216</v>
      </c>
      <c r="H44" s="168">
        <f t="shared" si="5"/>
        <v>1.9866500085128156</v>
      </c>
      <c r="I44" s="168">
        <f t="shared" si="1"/>
        <v>5.063992369008159</v>
      </c>
      <c r="J44" s="172">
        <f t="shared" ref="J44:J55" si="15">+$G44*I44</f>
        <v>1093.8223517057622</v>
      </c>
      <c r="K44" s="176">
        <f t="shared" ref="K44:K55" si="16">+$G44*H44</f>
        <v>429.11640183876818</v>
      </c>
      <c r="L44" s="175">
        <f t="shared" ref="L44:L55" si="17">+J44-K44</f>
        <v>664.70594986699405</v>
      </c>
      <c r="M44" s="172">
        <f t="shared" si="7"/>
        <v>53.406112579977005</v>
      </c>
      <c r="N44" s="173">
        <f t="shared" si="8"/>
        <v>718.11206244697109</v>
      </c>
      <c r="O44" s="172">
        <v>0</v>
      </c>
      <c r="P44" s="172">
        <v>0</v>
      </c>
      <c r="Q44" s="172">
        <v>0</v>
      </c>
      <c r="R44" s="173">
        <f t="shared" si="9"/>
        <v>718.11206244697109</v>
      </c>
    </row>
    <row r="45" spans="1:18" x14ac:dyDescent="0.25">
      <c r="A45" s="130">
        <v>2</v>
      </c>
      <c r="B45" s="165">
        <f t="shared" si="13"/>
        <v>45323</v>
      </c>
      <c r="C45" s="185">
        <f t="shared" si="14"/>
        <v>45356</v>
      </c>
      <c r="D45" s="185">
        <f t="shared" si="14"/>
        <v>45376</v>
      </c>
      <c r="E45" s="174" t="s">
        <v>80</v>
      </c>
      <c r="F45" s="130">
        <v>9</v>
      </c>
      <c r="G45" s="167">
        <v>146</v>
      </c>
      <c r="H45" s="168">
        <f t="shared" si="5"/>
        <v>1.9866500085128156</v>
      </c>
      <c r="I45" s="168">
        <f t="shared" si="1"/>
        <v>5.063992369008159</v>
      </c>
      <c r="J45" s="172">
        <f t="shared" si="15"/>
        <v>739.3428858751912</v>
      </c>
      <c r="K45" s="176">
        <f t="shared" si="16"/>
        <v>290.05090124287108</v>
      </c>
      <c r="L45" s="175">
        <f t="shared" si="17"/>
        <v>449.29198463232012</v>
      </c>
      <c r="M45" s="172">
        <f t="shared" si="7"/>
        <v>36.098576095725193</v>
      </c>
      <c r="N45" s="173">
        <f t="shared" si="8"/>
        <v>485.39056072804533</v>
      </c>
      <c r="O45" s="172">
        <v>0</v>
      </c>
      <c r="P45" s="172">
        <v>0</v>
      </c>
      <c r="Q45" s="172">
        <v>0</v>
      </c>
      <c r="R45" s="173">
        <f t="shared" si="9"/>
        <v>485.39056072804533</v>
      </c>
    </row>
    <row r="46" spans="1:18" x14ac:dyDescent="0.25">
      <c r="A46" s="130">
        <v>3</v>
      </c>
      <c r="B46" s="165">
        <f t="shared" si="13"/>
        <v>45352</v>
      </c>
      <c r="C46" s="185">
        <f t="shared" si="14"/>
        <v>45385</v>
      </c>
      <c r="D46" s="185">
        <f t="shared" si="14"/>
        <v>45406</v>
      </c>
      <c r="E46" s="174" t="s">
        <v>80</v>
      </c>
      <c r="F46" s="130">
        <v>9</v>
      </c>
      <c r="G46" s="167">
        <v>113</v>
      </c>
      <c r="H46" s="168">
        <f t="shared" si="5"/>
        <v>1.9866500085128156</v>
      </c>
      <c r="I46" s="168">
        <f t="shared" si="1"/>
        <v>5.063992369008159</v>
      </c>
      <c r="J46" s="172">
        <f t="shared" si="15"/>
        <v>572.23113769792201</v>
      </c>
      <c r="K46" s="176">
        <f t="shared" si="16"/>
        <v>224.49145096194817</v>
      </c>
      <c r="L46" s="175">
        <f t="shared" si="17"/>
        <v>347.73968673597381</v>
      </c>
      <c r="M46" s="172">
        <f t="shared" si="7"/>
        <v>27.939308896006484</v>
      </c>
      <c r="N46" s="173">
        <f t="shared" si="8"/>
        <v>375.67899563198029</v>
      </c>
      <c r="O46" s="172">
        <v>0</v>
      </c>
      <c r="P46" s="172">
        <v>0</v>
      </c>
      <c r="Q46" s="172">
        <v>0</v>
      </c>
      <c r="R46" s="173">
        <f t="shared" si="9"/>
        <v>375.67899563198029</v>
      </c>
    </row>
    <row r="47" spans="1:18" x14ac:dyDescent="0.25">
      <c r="A47" s="93">
        <v>4</v>
      </c>
      <c r="B47" s="165">
        <f t="shared" si="13"/>
        <v>45383</v>
      </c>
      <c r="C47" s="185">
        <f t="shared" si="14"/>
        <v>45415</v>
      </c>
      <c r="D47" s="185">
        <f t="shared" si="14"/>
        <v>45436</v>
      </c>
      <c r="E47" s="174" t="s">
        <v>80</v>
      </c>
      <c r="F47" s="130">
        <v>9</v>
      </c>
      <c r="G47" s="167">
        <v>76</v>
      </c>
      <c r="H47" s="168">
        <f t="shared" si="5"/>
        <v>1.9866500085128156</v>
      </c>
      <c r="I47" s="168">
        <f t="shared" si="1"/>
        <v>5.063992369008159</v>
      </c>
      <c r="J47" s="172">
        <f t="shared" si="15"/>
        <v>384.86342004462006</v>
      </c>
      <c r="K47" s="176">
        <f t="shared" si="16"/>
        <v>150.98540064697397</v>
      </c>
      <c r="L47" s="175">
        <f t="shared" si="17"/>
        <v>233.87801939764609</v>
      </c>
      <c r="M47" s="172">
        <f t="shared" si="7"/>
        <v>18.791039611473391</v>
      </c>
      <c r="N47" s="173">
        <f t="shared" si="8"/>
        <v>252.66905900911948</v>
      </c>
      <c r="O47" s="172">
        <v>0</v>
      </c>
      <c r="P47" s="172">
        <v>0</v>
      </c>
      <c r="Q47" s="172">
        <v>0</v>
      </c>
      <c r="R47" s="173">
        <f t="shared" si="9"/>
        <v>252.66905900911948</v>
      </c>
    </row>
    <row r="48" spans="1:18" x14ac:dyDescent="0.25">
      <c r="A48" s="130">
        <v>5</v>
      </c>
      <c r="B48" s="165">
        <f t="shared" si="13"/>
        <v>45413</v>
      </c>
      <c r="C48" s="185">
        <f t="shared" si="14"/>
        <v>45448</v>
      </c>
      <c r="D48" s="185">
        <f t="shared" si="14"/>
        <v>45467</v>
      </c>
      <c r="E48" s="174" t="s">
        <v>80</v>
      </c>
      <c r="F48" s="130">
        <v>9</v>
      </c>
      <c r="G48" s="167">
        <v>120</v>
      </c>
      <c r="H48" s="168">
        <f t="shared" si="5"/>
        <v>1.9866500085128156</v>
      </c>
      <c r="I48" s="168">
        <f t="shared" si="1"/>
        <v>5.063992369008159</v>
      </c>
      <c r="J48" s="172">
        <f t="shared" si="15"/>
        <v>607.67908428097905</v>
      </c>
      <c r="K48" s="176">
        <f t="shared" si="16"/>
        <v>238.39800102153788</v>
      </c>
      <c r="L48" s="175">
        <f t="shared" si="17"/>
        <v>369.28108325944117</v>
      </c>
      <c r="M48" s="172">
        <f t="shared" si="7"/>
        <v>29.670062544431666</v>
      </c>
      <c r="N48" s="173">
        <f t="shared" si="8"/>
        <v>398.95114580387286</v>
      </c>
      <c r="O48" s="172">
        <v>0</v>
      </c>
      <c r="P48" s="172">
        <v>0</v>
      </c>
      <c r="Q48" s="172">
        <v>0</v>
      </c>
      <c r="R48" s="173">
        <f t="shared" si="9"/>
        <v>398.95114580387286</v>
      </c>
    </row>
    <row r="49" spans="1:18" x14ac:dyDescent="0.25">
      <c r="A49" s="130">
        <v>6</v>
      </c>
      <c r="B49" s="165">
        <f t="shared" si="13"/>
        <v>45444</v>
      </c>
      <c r="C49" s="185">
        <f t="shared" si="14"/>
        <v>45476</v>
      </c>
      <c r="D49" s="185">
        <f t="shared" si="14"/>
        <v>45497</v>
      </c>
      <c r="E49" s="174" t="s">
        <v>80</v>
      </c>
      <c r="F49" s="130">
        <v>9</v>
      </c>
      <c r="G49" s="167">
        <v>147</v>
      </c>
      <c r="H49" s="168">
        <f t="shared" si="5"/>
        <v>1.9866500085128156</v>
      </c>
      <c r="I49" s="168">
        <f t="shared" si="1"/>
        <v>5.063992369008159</v>
      </c>
      <c r="J49" s="172">
        <f t="shared" si="15"/>
        <v>744.40687824419933</v>
      </c>
      <c r="K49" s="176">
        <f t="shared" si="16"/>
        <v>292.03755125138389</v>
      </c>
      <c r="L49" s="175">
        <f t="shared" si="17"/>
        <v>452.36932699281545</v>
      </c>
      <c r="M49" s="172">
        <f t="shared" si="7"/>
        <v>36.34582661692879</v>
      </c>
      <c r="N49" s="173">
        <f t="shared" si="8"/>
        <v>488.71515360974422</v>
      </c>
      <c r="O49" s="172">
        <v>0</v>
      </c>
      <c r="P49" s="172">
        <v>0</v>
      </c>
      <c r="Q49" s="172">
        <v>0</v>
      </c>
      <c r="R49" s="173">
        <f t="shared" si="9"/>
        <v>488.71515360974422</v>
      </c>
    </row>
    <row r="50" spans="1:18" x14ac:dyDescent="0.25">
      <c r="A50" s="93">
        <v>7</v>
      </c>
      <c r="B50" s="165">
        <f t="shared" si="13"/>
        <v>45474</v>
      </c>
      <c r="C50" s="185">
        <f t="shared" si="14"/>
        <v>45509</v>
      </c>
      <c r="D50" s="185">
        <f t="shared" si="14"/>
        <v>45530</v>
      </c>
      <c r="E50" s="174" t="s">
        <v>80</v>
      </c>
      <c r="F50" s="130">
        <v>9</v>
      </c>
      <c r="G50" s="167">
        <v>155</v>
      </c>
      <c r="H50" s="168">
        <f t="shared" si="5"/>
        <v>1.9866500085128156</v>
      </c>
      <c r="I50" s="168">
        <f t="shared" si="1"/>
        <v>5.063992369008159</v>
      </c>
      <c r="J50" s="172">
        <f t="shared" si="15"/>
        <v>784.91881719626463</v>
      </c>
      <c r="K50" s="176">
        <f t="shared" si="16"/>
        <v>307.93075131948643</v>
      </c>
      <c r="L50" s="175">
        <f t="shared" si="17"/>
        <v>476.98806587677819</v>
      </c>
      <c r="M50" s="172">
        <f t="shared" si="7"/>
        <v>38.323830786557572</v>
      </c>
      <c r="N50" s="173">
        <f t="shared" si="8"/>
        <v>515.3118966633358</v>
      </c>
      <c r="O50" s="172">
        <v>0</v>
      </c>
      <c r="P50" s="172">
        <v>0</v>
      </c>
      <c r="Q50" s="172">
        <v>0</v>
      </c>
      <c r="R50" s="173">
        <f t="shared" si="9"/>
        <v>515.3118966633358</v>
      </c>
    </row>
    <row r="51" spans="1:18" x14ac:dyDescent="0.25">
      <c r="A51" s="130">
        <v>8</v>
      </c>
      <c r="B51" s="165">
        <f t="shared" si="13"/>
        <v>45505</v>
      </c>
      <c r="C51" s="185">
        <f t="shared" si="14"/>
        <v>45539</v>
      </c>
      <c r="D51" s="185">
        <f t="shared" si="14"/>
        <v>45559</v>
      </c>
      <c r="E51" s="174" t="s">
        <v>80</v>
      </c>
      <c r="F51" s="130">
        <v>9</v>
      </c>
      <c r="G51" s="167">
        <v>157</v>
      </c>
      <c r="H51" s="168">
        <f t="shared" si="5"/>
        <v>1.9866500085128156</v>
      </c>
      <c r="I51" s="168">
        <f t="shared" si="1"/>
        <v>5.063992369008159</v>
      </c>
      <c r="J51" s="172">
        <f t="shared" si="15"/>
        <v>795.04680193428101</v>
      </c>
      <c r="K51" s="176">
        <f t="shared" si="16"/>
        <v>311.90405133651205</v>
      </c>
      <c r="L51" s="175">
        <f t="shared" si="17"/>
        <v>483.14275059776895</v>
      </c>
      <c r="M51" s="172">
        <f t="shared" si="7"/>
        <v>38.818331828964759</v>
      </c>
      <c r="N51" s="173">
        <f t="shared" si="8"/>
        <v>521.9610824267337</v>
      </c>
      <c r="O51" s="172">
        <v>0</v>
      </c>
      <c r="P51" s="172">
        <v>0</v>
      </c>
      <c r="Q51" s="172">
        <v>0</v>
      </c>
      <c r="R51" s="173">
        <f t="shared" si="9"/>
        <v>521.9610824267337</v>
      </c>
    </row>
    <row r="52" spans="1:18" x14ac:dyDescent="0.25">
      <c r="A52" s="130">
        <v>9</v>
      </c>
      <c r="B52" s="165">
        <f t="shared" si="13"/>
        <v>45536</v>
      </c>
      <c r="C52" s="185">
        <f t="shared" si="14"/>
        <v>45568</v>
      </c>
      <c r="D52" s="185">
        <f t="shared" si="14"/>
        <v>45589</v>
      </c>
      <c r="E52" s="174" t="s">
        <v>80</v>
      </c>
      <c r="F52" s="130">
        <v>9</v>
      </c>
      <c r="G52" s="167">
        <v>126</v>
      </c>
      <c r="H52" s="168">
        <f t="shared" si="5"/>
        <v>1.9866500085128156</v>
      </c>
      <c r="I52" s="168">
        <f t="shared" si="1"/>
        <v>5.063992369008159</v>
      </c>
      <c r="J52" s="172">
        <f t="shared" si="15"/>
        <v>638.06303849502808</v>
      </c>
      <c r="K52" s="176">
        <f t="shared" si="16"/>
        <v>250.31790107261477</v>
      </c>
      <c r="L52" s="175">
        <f t="shared" si="17"/>
        <v>387.74513742241334</v>
      </c>
      <c r="M52" s="172">
        <f t="shared" si="7"/>
        <v>31.153565671653251</v>
      </c>
      <c r="N52" s="173">
        <f t="shared" si="8"/>
        <v>418.8987030940666</v>
      </c>
      <c r="O52" s="172">
        <v>0</v>
      </c>
      <c r="P52" s="172">
        <v>0</v>
      </c>
      <c r="Q52" s="172">
        <v>0</v>
      </c>
      <c r="R52" s="173">
        <f t="shared" si="9"/>
        <v>418.8987030940666</v>
      </c>
    </row>
    <row r="53" spans="1:18" x14ac:dyDescent="0.25">
      <c r="A53" s="93">
        <v>10</v>
      </c>
      <c r="B53" s="165">
        <f t="shared" si="13"/>
        <v>45566</v>
      </c>
      <c r="C53" s="185">
        <f t="shared" si="14"/>
        <v>45601</v>
      </c>
      <c r="D53" s="185">
        <f t="shared" si="14"/>
        <v>45621</v>
      </c>
      <c r="E53" s="174" t="s">
        <v>80</v>
      </c>
      <c r="F53" s="130">
        <v>9</v>
      </c>
      <c r="G53" s="167">
        <v>112</v>
      </c>
      <c r="H53" s="168">
        <f t="shared" si="5"/>
        <v>1.9866500085128156</v>
      </c>
      <c r="I53" s="168">
        <f t="shared" si="1"/>
        <v>5.063992369008159</v>
      </c>
      <c r="J53" s="172">
        <f t="shared" si="15"/>
        <v>567.16714532891376</v>
      </c>
      <c r="K53" s="176">
        <f t="shared" si="16"/>
        <v>222.50480095343534</v>
      </c>
      <c r="L53" s="175">
        <f t="shared" si="17"/>
        <v>344.66234437547843</v>
      </c>
      <c r="M53" s="172">
        <f t="shared" si="7"/>
        <v>27.69205837480289</v>
      </c>
      <c r="N53" s="173">
        <f t="shared" si="8"/>
        <v>372.35440275028134</v>
      </c>
      <c r="O53" s="172">
        <v>0</v>
      </c>
      <c r="P53" s="172">
        <v>0</v>
      </c>
      <c r="Q53" s="172">
        <v>0</v>
      </c>
      <c r="R53" s="173">
        <f t="shared" si="9"/>
        <v>372.35440275028134</v>
      </c>
    </row>
    <row r="54" spans="1:18" x14ac:dyDescent="0.25">
      <c r="A54" s="130">
        <v>11</v>
      </c>
      <c r="B54" s="165">
        <f t="shared" si="13"/>
        <v>45597</v>
      </c>
      <c r="C54" s="185">
        <f t="shared" si="14"/>
        <v>45630</v>
      </c>
      <c r="D54" s="185">
        <f t="shared" si="14"/>
        <v>45650</v>
      </c>
      <c r="E54" s="174" t="s">
        <v>80</v>
      </c>
      <c r="F54" s="130">
        <v>9</v>
      </c>
      <c r="G54" s="167">
        <v>93</v>
      </c>
      <c r="H54" s="168">
        <f t="shared" si="5"/>
        <v>1.9866500085128156</v>
      </c>
      <c r="I54" s="168">
        <f t="shared" si="1"/>
        <v>5.063992369008159</v>
      </c>
      <c r="J54" s="172">
        <f t="shared" si="15"/>
        <v>470.95129031775878</v>
      </c>
      <c r="K54" s="176">
        <f t="shared" si="16"/>
        <v>184.75845079169184</v>
      </c>
      <c r="L54" s="175">
        <f t="shared" si="17"/>
        <v>286.1928395260669</v>
      </c>
      <c r="M54" s="172">
        <f t="shared" si="7"/>
        <v>22.994298471934542</v>
      </c>
      <c r="N54" s="173">
        <f t="shared" si="8"/>
        <v>309.18713799800145</v>
      </c>
      <c r="O54" s="172">
        <v>0</v>
      </c>
      <c r="P54" s="172">
        <v>0</v>
      </c>
      <c r="Q54" s="172">
        <v>0</v>
      </c>
      <c r="R54" s="173">
        <f t="shared" si="9"/>
        <v>309.18713799800145</v>
      </c>
    </row>
    <row r="55" spans="1:18" x14ac:dyDescent="0.25">
      <c r="A55" s="130">
        <v>12</v>
      </c>
      <c r="B55" s="165">
        <f t="shared" si="13"/>
        <v>45627</v>
      </c>
      <c r="C55" s="185">
        <f t="shared" si="14"/>
        <v>45660</v>
      </c>
      <c r="D55" s="185">
        <f t="shared" si="14"/>
        <v>45681</v>
      </c>
      <c r="E55" s="174" t="s">
        <v>80</v>
      </c>
      <c r="F55" s="130">
        <v>9</v>
      </c>
      <c r="G55" s="167">
        <v>128</v>
      </c>
      <c r="H55" s="177">
        <f t="shared" si="5"/>
        <v>1.9866500085128156</v>
      </c>
      <c r="I55" s="177">
        <f t="shared" si="1"/>
        <v>5.063992369008159</v>
      </c>
      <c r="J55" s="178">
        <f t="shared" si="15"/>
        <v>648.19102323304435</v>
      </c>
      <c r="K55" s="179">
        <f t="shared" si="16"/>
        <v>254.2912010896404</v>
      </c>
      <c r="L55" s="180">
        <f t="shared" si="17"/>
        <v>393.89982214340398</v>
      </c>
      <c r="M55" s="172">
        <f t="shared" si="7"/>
        <v>31.648066714060445</v>
      </c>
      <c r="N55" s="173">
        <f t="shared" si="8"/>
        <v>425.54788885746444</v>
      </c>
      <c r="O55" s="172">
        <v>0</v>
      </c>
      <c r="P55" s="172">
        <v>0</v>
      </c>
      <c r="Q55" s="172">
        <v>0</v>
      </c>
      <c r="R55" s="173">
        <f t="shared" si="9"/>
        <v>425.54788885746444</v>
      </c>
    </row>
    <row r="56" spans="1:18" s="186" customFormat="1" x14ac:dyDescent="0.25">
      <c r="A56" s="93">
        <v>1</v>
      </c>
      <c r="B56" s="181">
        <f t="shared" si="4"/>
        <v>45292</v>
      </c>
      <c r="C56" s="182">
        <f t="shared" ref="C56:D67" si="18">+C32</f>
        <v>45327</v>
      </c>
      <c r="D56" s="182">
        <f t="shared" si="18"/>
        <v>45348</v>
      </c>
      <c r="E56" s="183" t="s">
        <v>14</v>
      </c>
      <c r="F56" s="184">
        <v>9</v>
      </c>
      <c r="G56" s="167">
        <v>1129</v>
      </c>
      <c r="H56" s="168">
        <f t="shared" si="5"/>
        <v>1.9866500085128156</v>
      </c>
      <c r="I56" s="168">
        <f t="shared" si="1"/>
        <v>5.063992369008159</v>
      </c>
      <c r="J56" s="169">
        <f t="shared" si="2"/>
        <v>5717.2473846102112</v>
      </c>
      <c r="K56" s="170">
        <f t="shared" si="11"/>
        <v>2242.9278596109689</v>
      </c>
      <c r="L56" s="171">
        <f t="shared" si="12"/>
        <v>3474.3195249992423</v>
      </c>
      <c r="M56" s="172">
        <f t="shared" si="7"/>
        <v>279.14583843886129</v>
      </c>
      <c r="N56" s="173">
        <f t="shared" si="8"/>
        <v>3753.4653634381034</v>
      </c>
      <c r="O56" s="172">
        <v>0</v>
      </c>
      <c r="P56" s="172">
        <v>0</v>
      </c>
      <c r="Q56" s="172">
        <v>0</v>
      </c>
      <c r="R56" s="173">
        <f t="shared" si="9"/>
        <v>3753.4653634381034</v>
      </c>
    </row>
    <row r="57" spans="1:18" x14ac:dyDescent="0.25">
      <c r="A57" s="130">
        <v>2</v>
      </c>
      <c r="B57" s="165">
        <f t="shared" si="4"/>
        <v>45323</v>
      </c>
      <c r="C57" s="185">
        <f t="shared" si="18"/>
        <v>45356</v>
      </c>
      <c r="D57" s="185">
        <f t="shared" si="18"/>
        <v>45376</v>
      </c>
      <c r="E57" s="174" t="s">
        <v>14</v>
      </c>
      <c r="F57" s="130">
        <v>9</v>
      </c>
      <c r="G57" s="167">
        <v>739</v>
      </c>
      <c r="H57" s="168">
        <f t="shared" si="5"/>
        <v>1.9866500085128156</v>
      </c>
      <c r="I57" s="168">
        <f t="shared" si="1"/>
        <v>5.063992369008159</v>
      </c>
      <c r="J57" s="169">
        <f t="shared" si="2"/>
        <v>3742.2903606970294</v>
      </c>
      <c r="K57" s="170">
        <f t="shared" si="11"/>
        <v>1468.1343562909708</v>
      </c>
      <c r="L57" s="171">
        <f t="shared" si="12"/>
        <v>2274.1560044060589</v>
      </c>
      <c r="M57" s="172">
        <f t="shared" si="7"/>
        <v>182.71813516945835</v>
      </c>
      <c r="N57" s="173">
        <f t="shared" si="8"/>
        <v>2456.8741395755173</v>
      </c>
      <c r="O57" s="172">
        <v>0</v>
      </c>
      <c r="P57" s="172">
        <v>0</v>
      </c>
      <c r="Q57" s="172">
        <v>0</v>
      </c>
      <c r="R57" s="173">
        <f t="shared" si="9"/>
        <v>2456.8741395755173</v>
      </c>
    </row>
    <row r="58" spans="1:18" x14ac:dyDescent="0.25">
      <c r="A58" s="130">
        <v>3</v>
      </c>
      <c r="B58" s="165">
        <f t="shared" si="4"/>
        <v>45352</v>
      </c>
      <c r="C58" s="185">
        <f t="shared" si="18"/>
        <v>45385</v>
      </c>
      <c r="D58" s="185">
        <f t="shared" si="18"/>
        <v>45406</v>
      </c>
      <c r="E58" s="174" t="s">
        <v>14</v>
      </c>
      <c r="F58" s="130">
        <v>9</v>
      </c>
      <c r="G58" s="167">
        <v>642</v>
      </c>
      <c r="H58" s="168">
        <f t="shared" si="5"/>
        <v>1.9866500085128156</v>
      </c>
      <c r="I58" s="168">
        <f t="shared" si="1"/>
        <v>5.063992369008159</v>
      </c>
      <c r="J58" s="169">
        <f t="shared" si="2"/>
        <v>3251.0831009032381</v>
      </c>
      <c r="K58" s="170">
        <f t="shared" si="11"/>
        <v>1275.4293054652276</v>
      </c>
      <c r="L58" s="171">
        <f>+J58-K58</f>
        <v>1975.6537954380105</v>
      </c>
      <c r="M58" s="172">
        <f t="shared" si="7"/>
        <v>158.73483461270942</v>
      </c>
      <c r="N58" s="173">
        <f t="shared" si="8"/>
        <v>2134.3886300507202</v>
      </c>
      <c r="O58" s="172">
        <v>0</v>
      </c>
      <c r="P58" s="172">
        <v>0</v>
      </c>
      <c r="Q58" s="172">
        <v>0</v>
      </c>
      <c r="R58" s="173">
        <f t="shared" si="9"/>
        <v>2134.3886300507202</v>
      </c>
    </row>
    <row r="59" spans="1:18" x14ac:dyDescent="0.25">
      <c r="A59" s="93">
        <v>4</v>
      </c>
      <c r="B59" s="165">
        <f t="shared" si="4"/>
        <v>45383</v>
      </c>
      <c r="C59" s="185">
        <f t="shared" si="18"/>
        <v>45415</v>
      </c>
      <c r="D59" s="185">
        <f t="shared" si="18"/>
        <v>45436</v>
      </c>
      <c r="E59" s="174" t="s">
        <v>14</v>
      </c>
      <c r="F59" s="130">
        <v>9</v>
      </c>
      <c r="G59" s="167">
        <v>581</v>
      </c>
      <c r="H59" s="168">
        <f t="shared" si="5"/>
        <v>1.9866500085128156</v>
      </c>
      <c r="I59" s="168">
        <f t="shared" si="1"/>
        <v>5.063992369008159</v>
      </c>
      <c r="J59" s="169">
        <f t="shared" si="2"/>
        <v>2942.1795663937405</v>
      </c>
      <c r="K59" s="170">
        <f t="shared" si="11"/>
        <v>1154.2436549459458</v>
      </c>
      <c r="L59" s="171">
        <f t="shared" ref="L59:L81" si="19">+J59-K59</f>
        <v>1787.9359114477948</v>
      </c>
      <c r="M59" s="172">
        <f t="shared" si="7"/>
        <v>143.65255281928998</v>
      </c>
      <c r="N59" s="173">
        <f t="shared" si="8"/>
        <v>1931.5884642670846</v>
      </c>
      <c r="O59" s="172">
        <v>0</v>
      </c>
      <c r="P59" s="172">
        <v>0</v>
      </c>
      <c r="Q59" s="172">
        <v>0</v>
      </c>
      <c r="R59" s="173">
        <f t="shared" si="9"/>
        <v>1931.5884642670846</v>
      </c>
    </row>
    <row r="60" spans="1:18" x14ac:dyDescent="0.25">
      <c r="A60" s="130">
        <v>5</v>
      </c>
      <c r="B60" s="165">
        <f t="shared" si="4"/>
        <v>45413</v>
      </c>
      <c r="C60" s="185">
        <f t="shared" si="18"/>
        <v>45448</v>
      </c>
      <c r="D60" s="185">
        <f t="shared" si="18"/>
        <v>45467</v>
      </c>
      <c r="E60" s="52" t="s">
        <v>14</v>
      </c>
      <c r="F60" s="130">
        <v>9</v>
      </c>
      <c r="G60" s="167">
        <v>753</v>
      </c>
      <c r="H60" s="168">
        <f t="shared" si="5"/>
        <v>1.9866500085128156</v>
      </c>
      <c r="I60" s="168">
        <f t="shared" si="1"/>
        <v>5.063992369008159</v>
      </c>
      <c r="J60" s="169">
        <f t="shared" si="2"/>
        <v>3813.1862538631435</v>
      </c>
      <c r="K60" s="170">
        <f t="shared" si="11"/>
        <v>1495.9474564101502</v>
      </c>
      <c r="L60" s="171">
        <f t="shared" si="19"/>
        <v>2317.2387974529934</v>
      </c>
      <c r="M60" s="172">
        <f t="shared" si="7"/>
        <v>186.17964246630871</v>
      </c>
      <c r="N60" s="173">
        <f t="shared" si="8"/>
        <v>2503.4184399193023</v>
      </c>
      <c r="O60" s="172">
        <v>0</v>
      </c>
      <c r="P60" s="172">
        <v>0</v>
      </c>
      <c r="Q60" s="172">
        <v>0</v>
      </c>
      <c r="R60" s="173">
        <f t="shared" si="9"/>
        <v>2503.4184399193023</v>
      </c>
    </row>
    <row r="61" spans="1:18" x14ac:dyDescent="0.25">
      <c r="A61" s="130">
        <v>6</v>
      </c>
      <c r="B61" s="165">
        <f t="shared" si="4"/>
        <v>45444</v>
      </c>
      <c r="C61" s="185">
        <f t="shared" si="18"/>
        <v>45476</v>
      </c>
      <c r="D61" s="185">
        <f t="shared" si="18"/>
        <v>45497</v>
      </c>
      <c r="E61" s="52" t="s">
        <v>14</v>
      </c>
      <c r="F61" s="130">
        <v>9</v>
      </c>
      <c r="G61" s="167">
        <v>1001</v>
      </c>
      <c r="H61" s="168">
        <f t="shared" si="5"/>
        <v>1.9866500085128156</v>
      </c>
      <c r="I61" s="168">
        <f t="shared" si="1"/>
        <v>5.063992369008159</v>
      </c>
      <c r="J61" s="169">
        <f t="shared" si="2"/>
        <v>5069.0563613771674</v>
      </c>
      <c r="K61" s="170">
        <f t="shared" si="11"/>
        <v>1988.6366585213284</v>
      </c>
      <c r="L61" s="175">
        <f t="shared" si="19"/>
        <v>3080.4197028558392</v>
      </c>
      <c r="M61" s="172">
        <f t="shared" si="7"/>
        <v>247.49777172480083</v>
      </c>
      <c r="N61" s="173">
        <f t="shared" si="8"/>
        <v>3327.9174745806399</v>
      </c>
      <c r="O61" s="172">
        <v>0</v>
      </c>
      <c r="P61" s="172">
        <v>0</v>
      </c>
      <c r="Q61" s="172">
        <v>0</v>
      </c>
      <c r="R61" s="173">
        <f t="shared" si="9"/>
        <v>3327.9174745806399</v>
      </c>
    </row>
    <row r="62" spans="1:18" x14ac:dyDescent="0.25">
      <c r="A62" s="93">
        <v>7</v>
      </c>
      <c r="B62" s="165">
        <f t="shared" si="4"/>
        <v>45474</v>
      </c>
      <c r="C62" s="185">
        <f t="shared" si="18"/>
        <v>45509</v>
      </c>
      <c r="D62" s="185">
        <f t="shared" si="18"/>
        <v>45530</v>
      </c>
      <c r="E62" s="52" t="s">
        <v>14</v>
      </c>
      <c r="F62" s="130">
        <v>9</v>
      </c>
      <c r="G62" s="167">
        <v>961</v>
      </c>
      <c r="H62" s="168">
        <f t="shared" si="5"/>
        <v>1.9866500085128156</v>
      </c>
      <c r="I62" s="168">
        <f t="shared" si="1"/>
        <v>5.063992369008159</v>
      </c>
      <c r="J62" s="169">
        <f t="shared" si="2"/>
        <v>4866.4966666168411</v>
      </c>
      <c r="K62" s="176">
        <f t="shared" si="11"/>
        <v>1909.1706581808157</v>
      </c>
      <c r="L62" s="175">
        <f t="shared" si="19"/>
        <v>2957.3260084360254</v>
      </c>
      <c r="M62" s="172">
        <f t="shared" si="7"/>
        <v>237.60775087665692</v>
      </c>
      <c r="N62" s="173">
        <f t="shared" si="8"/>
        <v>3194.9337593126825</v>
      </c>
      <c r="O62" s="172">
        <v>0</v>
      </c>
      <c r="P62" s="172">
        <v>0</v>
      </c>
      <c r="Q62" s="172">
        <v>0</v>
      </c>
      <c r="R62" s="173">
        <f t="shared" si="9"/>
        <v>3194.9337593126825</v>
      </c>
    </row>
    <row r="63" spans="1:18" x14ac:dyDescent="0.25">
      <c r="A63" s="130">
        <v>8</v>
      </c>
      <c r="B63" s="165">
        <f t="shared" si="4"/>
        <v>45505</v>
      </c>
      <c r="C63" s="185">
        <f t="shared" si="18"/>
        <v>45539</v>
      </c>
      <c r="D63" s="185">
        <f t="shared" si="18"/>
        <v>45559</v>
      </c>
      <c r="E63" s="52" t="s">
        <v>14</v>
      </c>
      <c r="F63" s="130">
        <v>9</v>
      </c>
      <c r="G63" s="167">
        <v>1017</v>
      </c>
      <c r="H63" s="168">
        <f t="shared" si="5"/>
        <v>1.9866500085128156</v>
      </c>
      <c r="I63" s="168">
        <f t="shared" si="1"/>
        <v>5.063992369008159</v>
      </c>
      <c r="J63" s="169">
        <f t="shared" si="2"/>
        <v>5150.0802392812975</v>
      </c>
      <c r="K63" s="176">
        <f t="shared" si="11"/>
        <v>2020.4230586575334</v>
      </c>
      <c r="L63" s="175">
        <f t="shared" si="19"/>
        <v>3129.6571806237644</v>
      </c>
      <c r="M63" s="172">
        <f t="shared" si="7"/>
        <v>251.45378006405838</v>
      </c>
      <c r="N63" s="173">
        <f t="shared" si="8"/>
        <v>3381.1109606878226</v>
      </c>
      <c r="O63" s="172">
        <v>0</v>
      </c>
      <c r="P63" s="172">
        <v>0</v>
      </c>
      <c r="Q63" s="172">
        <v>0</v>
      </c>
      <c r="R63" s="173">
        <f t="shared" si="9"/>
        <v>3381.1109606878226</v>
      </c>
    </row>
    <row r="64" spans="1:18" x14ac:dyDescent="0.25">
      <c r="A64" s="130">
        <v>9</v>
      </c>
      <c r="B64" s="165">
        <f t="shared" si="4"/>
        <v>45536</v>
      </c>
      <c r="C64" s="185">
        <f t="shared" si="18"/>
        <v>45568</v>
      </c>
      <c r="D64" s="185">
        <f t="shared" si="18"/>
        <v>45589</v>
      </c>
      <c r="E64" s="52" t="s">
        <v>14</v>
      </c>
      <c r="F64" s="130">
        <v>9</v>
      </c>
      <c r="G64" s="167">
        <v>856</v>
      </c>
      <c r="H64" s="168">
        <f t="shared" si="5"/>
        <v>1.9866500085128156</v>
      </c>
      <c r="I64" s="168">
        <f t="shared" ref="I64:I107" si="20">$J$3</f>
        <v>5.063992369008159</v>
      </c>
      <c r="J64" s="169">
        <f t="shared" si="2"/>
        <v>4334.7774678709839</v>
      </c>
      <c r="K64" s="176">
        <f t="shared" si="11"/>
        <v>1700.5724072869702</v>
      </c>
      <c r="L64" s="175">
        <f t="shared" si="19"/>
        <v>2634.2050605840136</v>
      </c>
      <c r="M64" s="172">
        <f t="shared" si="7"/>
        <v>211.64644615027922</v>
      </c>
      <c r="N64" s="173">
        <f t="shared" si="8"/>
        <v>2845.8515067342928</v>
      </c>
      <c r="O64" s="172">
        <v>0</v>
      </c>
      <c r="P64" s="172">
        <v>0</v>
      </c>
      <c r="Q64" s="172">
        <v>0</v>
      </c>
      <c r="R64" s="173">
        <f t="shared" si="9"/>
        <v>2845.8515067342928</v>
      </c>
    </row>
    <row r="65" spans="1:18" x14ac:dyDescent="0.25">
      <c r="A65" s="93">
        <v>10</v>
      </c>
      <c r="B65" s="165">
        <f t="shared" si="4"/>
        <v>45566</v>
      </c>
      <c r="C65" s="185">
        <f t="shared" si="18"/>
        <v>45601</v>
      </c>
      <c r="D65" s="185">
        <f t="shared" si="18"/>
        <v>45621</v>
      </c>
      <c r="E65" s="52" t="s">
        <v>14</v>
      </c>
      <c r="F65" s="130">
        <v>9</v>
      </c>
      <c r="G65" s="167">
        <v>786</v>
      </c>
      <c r="H65" s="168">
        <f t="shared" si="5"/>
        <v>1.9866500085128156</v>
      </c>
      <c r="I65" s="168">
        <f t="shared" si="20"/>
        <v>5.063992369008159</v>
      </c>
      <c r="J65" s="169">
        <f t="shared" si="2"/>
        <v>3980.2980020404129</v>
      </c>
      <c r="K65" s="176">
        <f t="shared" si="11"/>
        <v>1561.506906691073</v>
      </c>
      <c r="L65" s="175">
        <f t="shared" si="19"/>
        <v>2418.7910953493401</v>
      </c>
      <c r="M65" s="172">
        <f t="shared" si="7"/>
        <v>194.3389096660274</v>
      </c>
      <c r="N65" s="173">
        <f t="shared" si="8"/>
        <v>2613.1300050153677</v>
      </c>
      <c r="O65" s="172">
        <v>0</v>
      </c>
      <c r="P65" s="172">
        <v>0</v>
      </c>
      <c r="Q65" s="172">
        <v>0</v>
      </c>
      <c r="R65" s="173">
        <f t="shared" si="9"/>
        <v>2613.1300050153677</v>
      </c>
    </row>
    <row r="66" spans="1:18" x14ac:dyDescent="0.25">
      <c r="A66" s="130">
        <v>11</v>
      </c>
      <c r="B66" s="165">
        <f t="shared" si="4"/>
        <v>45597</v>
      </c>
      <c r="C66" s="185">
        <f t="shared" si="18"/>
        <v>45630</v>
      </c>
      <c r="D66" s="185">
        <f t="shared" si="18"/>
        <v>45650</v>
      </c>
      <c r="E66" s="52" t="s">
        <v>14</v>
      </c>
      <c r="F66" s="130">
        <v>9</v>
      </c>
      <c r="G66" s="167">
        <v>463</v>
      </c>
      <c r="H66" s="168">
        <f t="shared" si="5"/>
        <v>1.9866500085128156</v>
      </c>
      <c r="I66" s="168">
        <f t="shared" si="20"/>
        <v>5.063992369008159</v>
      </c>
      <c r="J66" s="169">
        <f t="shared" si="2"/>
        <v>2344.6284668507774</v>
      </c>
      <c r="K66" s="176">
        <f t="shared" si="11"/>
        <v>919.81895394143362</v>
      </c>
      <c r="L66" s="175">
        <f t="shared" si="19"/>
        <v>1424.8095129093438</v>
      </c>
      <c r="M66" s="172">
        <f t="shared" si="7"/>
        <v>114.47699131726553</v>
      </c>
      <c r="N66" s="173">
        <f t="shared" si="8"/>
        <v>1539.2865042266094</v>
      </c>
      <c r="O66" s="172">
        <v>0</v>
      </c>
      <c r="P66" s="172">
        <v>0</v>
      </c>
      <c r="Q66" s="172">
        <v>0</v>
      </c>
      <c r="R66" s="173">
        <f t="shared" si="9"/>
        <v>1539.2865042266094</v>
      </c>
    </row>
    <row r="67" spans="1:18" s="189" customFormat="1" x14ac:dyDescent="0.25">
      <c r="A67" s="130">
        <v>12</v>
      </c>
      <c r="B67" s="187">
        <f t="shared" si="4"/>
        <v>45627</v>
      </c>
      <c r="C67" s="185">
        <f t="shared" si="18"/>
        <v>45660</v>
      </c>
      <c r="D67" s="185">
        <f t="shared" si="18"/>
        <v>45681</v>
      </c>
      <c r="E67" s="188" t="s">
        <v>14</v>
      </c>
      <c r="F67" s="141">
        <v>9</v>
      </c>
      <c r="G67" s="167">
        <v>725</v>
      </c>
      <c r="H67" s="177">
        <f t="shared" si="5"/>
        <v>1.9866500085128156</v>
      </c>
      <c r="I67" s="177">
        <f t="shared" si="20"/>
        <v>5.063992369008159</v>
      </c>
      <c r="J67" s="178">
        <f t="shared" si="2"/>
        <v>3671.3944675309153</v>
      </c>
      <c r="K67" s="179">
        <f t="shared" si="11"/>
        <v>1440.3212561717912</v>
      </c>
      <c r="L67" s="180">
        <f t="shared" si="19"/>
        <v>2231.0732113591239</v>
      </c>
      <c r="M67" s="172">
        <f t="shared" si="7"/>
        <v>179.25662787260799</v>
      </c>
      <c r="N67" s="173">
        <f t="shared" si="8"/>
        <v>2410.329839231732</v>
      </c>
      <c r="O67" s="172">
        <v>0</v>
      </c>
      <c r="P67" s="172">
        <v>0</v>
      </c>
      <c r="Q67" s="172">
        <v>0</v>
      </c>
      <c r="R67" s="173">
        <f t="shared" si="9"/>
        <v>2410.329839231732</v>
      </c>
    </row>
    <row r="68" spans="1:18" x14ac:dyDescent="0.25">
      <c r="A68" s="93">
        <v>1</v>
      </c>
      <c r="B68" s="165">
        <f t="shared" si="4"/>
        <v>45292</v>
      </c>
      <c r="C68" s="182">
        <f t="shared" ref="C68:D79" si="21">+C56</f>
        <v>45327</v>
      </c>
      <c r="D68" s="182">
        <f t="shared" si="21"/>
        <v>45348</v>
      </c>
      <c r="E68" s="166" t="s">
        <v>82</v>
      </c>
      <c r="F68" s="93">
        <v>9</v>
      </c>
      <c r="G68" s="167">
        <v>58</v>
      </c>
      <c r="H68" s="168">
        <f t="shared" si="5"/>
        <v>1.9866500085128156</v>
      </c>
      <c r="I68" s="168">
        <f t="shared" si="20"/>
        <v>5.063992369008159</v>
      </c>
      <c r="J68" s="169">
        <f t="shared" si="2"/>
        <v>293.7115574024732</v>
      </c>
      <c r="K68" s="170">
        <f t="shared" si="11"/>
        <v>115.2257004937433</v>
      </c>
      <c r="L68" s="171">
        <f t="shared" si="19"/>
        <v>178.48585690872989</v>
      </c>
      <c r="M68" s="172">
        <f t="shared" si="7"/>
        <v>14.340530229808637</v>
      </c>
      <c r="N68" s="173">
        <f t="shared" si="8"/>
        <v>192.82638713853854</v>
      </c>
      <c r="O68" s="172">
        <v>0</v>
      </c>
      <c r="P68" s="172">
        <v>0</v>
      </c>
      <c r="Q68" s="172">
        <v>0</v>
      </c>
      <c r="R68" s="173">
        <f t="shared" si="9"/>
        <v>192.82638713853854</v>
      </c>
    </row>
    <row r="69" spans="1:18" x14ac:dyDescent="0.25">
      <c r="A69" s="130">
        <v>2</v>
      </c>
      <c r="B69" s="165">
        <f t="shared" si="4"/>
        <v>45323</v>
      </c>
      <c r="C69" s="185">
        <f t="shared" si="21"/>
        <v>45356</v>
      </c>
      <c r="D69" s="185">
        <f t="shared" si="21"/>
        <v>45376</v>
      </c>
      <c r="E69" s="174" t="s">
        <v>82</v>
      </c>
      <c r="F69" s="130">
        <v>9</v>
      </c>
      <c r="G69" s="167">
        <v>36</v>
      </c>
      <c r="H69" s="168">
        <f t="shared" si="5"/>
        <v>1.9866500085128156</v>
      </c>
      <c r="I69" s="168">
        <f t="shared" si="20"/>
        <v>5.063992369008159</v>
      </c>
      <c r="J69" s="169">
        <f t="shared" si="2"/>
        <v>182.30372528429373</v>
      </c>
      <c r="K69" s="170">
        <f t="shared" si="11"/>
        <v>71.519400306461364</v>
      </c>
      <c r="L69" s="171">
        <f t="shared" si="19"/>
        <v>110.78432497783237</v>
      </c>
      <c r="M69" s="172">
        <f t="shared" si="7"/>
        <v>8.9010187633294997</v>
      </c>
      <c r="N69" s="173">
        <f t="shared" si="8"/>
        <v>119.68534374116187</v>
      </c>
      <c r="O69" s="172">
        <v>0</v>
      </c>
      <c r="P69" s="172">
        <v>0</v>
      </c>
      <c r="Q69" s="172">
        <v>0</v>
      </c>
      <c r="R69" s="173">
        <f t="shared" si="9"/>
        <v>119.68534374116187</v>
      </c>
    </row>
    <row r="70" spans="1:18" x14ac:dyDescent="0.25">
      <c r="A70" s="130">
        <v>3</v>
      </c>
      <c r="B70" s="165">
        <f t="shared" si="4"/>
        <v>45352</v>
      </c>
      <c r="C70" s="185">
        <f t="shared" si="21"/>
        <v>45385</v>
      </c>
      <c r="D70" s="185">
        <f t="shared" si="21"/>
        <v>45406</v>
      </c>
      <c r="E70" s="174" t="s">
        <v>82</v>
      </c>
      <c r="F70" s="130">
        <v>9</v>
      </c>
      <c r="G70" s="167">
        <v>29</v>
      </c>
      <c r="H70" s="168">
        <f t="shared" si="5"/>
        <v>1.9866500085128156</v>
      </c>
      <c r="I70" s="168">
        <f t="shared" si="20"/>
        <v>5.063992369008159</v>
      </c>
      <c r="J70" s="169">
        <f t="shared" si="2"/>
        <v>146.8557787012366</v>
      </c>
      <c r="K70" s="170">
        <f t="shared" si="11"/>
        <v>57.612850246871652</v>
      </c>
      <c r="L70" s="171">
        <f>+J70-K70</f>
        <v>89.242928454364943</v>
      </c>
      <c r="M70" s="172">
        <f t="shared" si="7"/>
        <v>7.1702651149043186</v>
      </c>
      <c r="N70" s="173">
        <f t="shared" si="8"/>
        <v>96.413193569269268</v>
      </c>
      <c r="O70" s="172">
        <v>0</v>
      </c>
      <c r="P70" s="172">
        <v>0</v>
      </c>
      <c r="Q70" s="172">
        <v>0</v>
      </c>
      <c r="R70" s="173">
        <f t="shared" si="9"/>
        <v>96.413193569269268</v>
      </c>
    </row>
    <row r="71" spans="1:18" x14ac:dyDescent="0.25">
      <c r="A71" s="93">
        <v>4</v>
      </c>
      <c r="B71" s="165">
        <f t="shared" si="4"/>
        <v>45383</v>
      </c>
      <c r="C71" s="185">
        <f t="shared" si="21"/>
        <v>45415</v>
      </c>
      <c r="D71" s="185">
        <f t="shared" si="21"/>
        <v>45436</v>
      </c>
      <c r="E71" s="174" t="s">
        <v>82</v>
      </c>
      <c r="F71" s="130">
        <v>9</v>
      </c>
      <c r="G71" s="167">
        <v>27</v>
      </c>
      <c r="H71" s="168">
        <f t="shared" si="5"/>
        <v>1.9866500085128156</v>
      </c>
      <c r="I71" s="168">
        <f t="shared" si="20"/>
        <v>5.063992369008159</v>
      </c>
      <c r="J71" s="169">
        <f t="shared" si="2"/>
        <v>136.72779396322028</v>
      </c>
      <c r="K71" s="170">
        <f t="shared" si="11"/>
        <v>53.639550229846023</v>
      </c>
      <c r="L71" s="171">
        <f t="shared" ref="L71:L79" si="22">+J71-K71</f>
        <v>83.088243733374256</v>
      </c>
      <c r="M71" s="172">
        <f t="shared" si="7"/>
        <v>6.6757640724971257</v>
      </c>
      <c r="N71" s="173">
        <f t="shared" si="8"/>
        <v>89.764007805871387</v>
      </c>
      <c r="O71" s="172">
        <v>0</v>
      </c>
      <c r="P71" s="172">
        <v>0</v>
      </c>
      <c r="Q71" s="172">
        <v>0</v>
      </c>
      <c r="R71" s="173">
        <f t="shared" si="9"/>
        <v>89.764007805871387</v>
      </c>
    </row>
    <row r="72" spans="1:18" x14ac:dyDescent="0.25">
      <c r="A72" s="130">
        <v>5</v>
      </c>
      <c r="B72" s="165">
        <f t="shared" si="4"/>
        <v>45413</v>
      </c>
      <c r="C72" s="185">
        <f t="shared" si="21"/>
        <v>45448</v>
      </c>
      <c r="D72" s="185">
        <f t="shared" si="21"/>
        <v>45467</v>
      </c>
      <c r="E72" s="174" t="s">
        <v>82</v>
      </c>
      <c r="F72" s="130">
        <v>9</v>
      </c>
      <c r="G72" s="167">
        <v>36</v>
      </c>
      <c r="H72" s="168">
        <f t="shared" si="5"/>
        <v>1.9866500085128156</v>
      </c>
      <c r="I72" s="168">
        <f t="shared" si="20"/>
        <v>5.063992369008159</v>
      </c>
      <c r="J72" s="169">
        <f t="shared" si="2"/>
        <v>182.30372528429373</v>
      </c>
      <c r="K72" s="170">
        <f t="shared" si="11"/>
        <v>71.519400306461364</v>
      </c>
      <c r="L72" s="171">
        <f t="shared" si="22"/>
        <v>110.78432497783237</v>
      </c>
      <c r="M72" s="172">
        <f t="shared" si="7"/>
        <v>8.9010187633294997</v>
      </c>
      <c r="N72" s="173">
        <f t="shared" si="8"/>
        <v>119.68534374116187</v>
      </c>
      <c r="O72" s="172">
        <v>0</v>
      </c>
      <c r="P72" s="172">
        <v>0</v>
      </c>
      <c r="Q72" s="172">
        <v>0</v>
      </c>
      <c r="R72" s="173">
        <f t="shared" si="9"/>
        <v>119.68534374116187</v>
      </c>
    </row>
    <row r="73" spans="1:18" x14ac:dyDescent="0.25">
      <c r="A73" s="130">
        <v>6</v>
      </c>
      <c r="B73" s="165">
        <f t="shared" si="4"/>
        <v>45444</v>
      </c>
      <c r="C73" s="185">
        <f t="shared" si="21"/>
        <v>45476</v>
      </c>
      <c r="D73" s="185">
        <f t="shared" si="21"/>
        <v>45497</v>
      </c>
      <c r="E73" s="174" t="s">
        <v>82</v>
      </c>
      <c r="F73" s="130">
        <v>9</v>
      </c>
      <c r="G73" s="167">
        <v>53</v>
      </c>
      <c r="H73" s="168">
        <f t="shared" si="5"/>
        <v>1.9866500085128156</v>
      </c>
      <c r="I73" s="168">
        <f t="shared" si="20"/>
        <v>5.063992369008159</v>
      </c>
      <c r="J73" s="169">
        <f t="shared" si="2"/>
        <v>268.39159555743242</v>
      </c>
      <c r="K73" s="170">
        <f t="shared" si="11"/>
        <v>105.29245045117922</v>
      </c>
      <c r="L73" s="175">
        <f t="shared" si="22"/>
        <v>163.09914510625322</v>
      </c>
      <c r="M73" s="172">
        <f t="shared" si="7"/>
        <v>13.104277623790653</v>
      </c>
      <c r="N73" s="173">
        <f t="shared" si="8"/>
        <v>176.20342273004388</v>
      </c>
      <c r="O73" s="172">
        <v>0</v>
      </c>
      <c r="P73" s="172">
        <v>0</v>
      </c>
      <c r="Q73" s="172">
        <v>0</v>
      </c>
      <c r="R73" s="173">
        <f t="shared" si="9"/>
        <v>176.20342273004388</v>
      </c>
    </row>
    <row r="74" spans="1:18" x14ac:dyDescent="0.25">
      <c r="A74" s="93">
        <v>7</v>
      </c>
      <c r="B74" s="165">
        <f t="shared" si="4"/>
        <v>45474</v>
      </c>
      <c r="C74" s="185">
        <f t="shared" si="21"/>
        <v>45509</v>
      </c>
      <c r="D74" s="185">
        <f t="shared" si="21"/>
        <v>45530</v>
      </c>
      <c r="E74" s="174" t="s">
        <v>82</v>
      </c>
      <c r="F74" s="130">
        <v>9</v>
      </c>
      <c r="G74" s="167">
        <v>53</v>
      </c>
      <c r="H74" s="168">
        <f t="shared" si="5"/>
        <v>1.9866500085128156</v>
      </c>
      <c r="I74" s="168">
        <f t="shared" si="20"/>
        <v>5.063992369008159</v>
      </c>
      <c r="J74" s="169">
        <f t="shared" si="2"/>
        <v>268.39159555743242</v>
      </c>
      <c r="K74" s="176">
        <f t="shared" si="11"/>
        <v>105.29245045117922</v>
      </c>
      <c r="L74" s="175">
        <f t="shared" si="22"/>
        <v>163.09914510625322</v>
      </c>
      <c r="M74" s="172">
        <f t="shared" si="7"/>
        <v>13.104277623790653</v>
      </c>
      <c r="N74" s="173">
        <f t="shared" si="8"/>
        <v>176.20342273004388</v>
      </c>
      <c r="O74" s="172">
        <v>0</v>
      </c>
      <c r="P74" s="172">
        <v>0</v>
      </c>
      <c r="Q74" s="172">
        <v>0</v>
      </c>
      <c r="R74" s="173">
        <f t="shared" si="9"/>
        <v>176.20342273004388</v>
      </c>
    </row>
    <row r="75" spans="1:18" x14ac:dyDescent="0.25">
      <c r="A75" s="130">
        <v>8</v>
      </c>
      <c r="B75" s="165">
        <f t="shared" si="4"/>
        <v>45505</v>
      </c>
      <c r="C75" s="185">
        <f t="shared" si="21"/>
        <v>45539</v>
      </c>
      <c r="D75" s="185">
        <f t="shared" si="21"/>
        <v>45559</v>
      </c>
      <c r="E75" s="174" t="s">
        <v>82</v>
      </c>
      <c r="F75" s="130">
        <v>9</v>
      </c>
      <c r="G75" s="167">
        <v>54</v>
      </c>
      <c r="H75" s="168">
        <f t="shared" si="5"/>
        <v>1.9866500085128156</v>
      </c>
      <c r="I75" s="168">
        <f t="shared" si="20"/>
        <v>5.063992369008159</v>
      </c>
      <c r="J75" s="169">
        <f t="shared" si="2"/>
        <v>273.45558792644056</v>
      </c>
      <c r="K75" s="176">
        <f t="shared" si="11"/>
        <v>107.27910045969205</v>
      </c>
      <c r="L75" s="175">
        <f t="shared" si="22"/>
        <v>166.17648746674851</v>
      </c>
      <c r="M75" s="172">
        <f t="shared" si="7"/>
        <v>13.351528144994251</v>
      </c>
      <c r="N75" s="173">
        <f t="shared" si="8"/>
        <v>179.52801561174277</v>
      </c>
      <c r="O75" s="172">
        <v>0</v>
      </c>
      <c r="P75" s="172">
        <v>0</v>
      </c>
      <c r="Q75" s="172">
        <v>0</v>
      </c>
      <c r="R75" s="173">
        <f t="shared" si="9"/>
        <v>179.52801561174277</v>
      </c>
    </row>
    <row r="76" spans="1:18" x14ac:dyDescent="0.25">
      <c r="A76" s="130">
        <v>9</v>
      </c>
      <c r="B76" s="165">
        <f t="shared" si="4"/>
        <v>45536</v>
      </c>
      <c r="C76" s="185">
        <f t="shared" si="21"/>
        <v>45568</v>
      </c>
      <c r="D76" s="185">
        <f t="shared" si="21"/>
        <v>45589</v>
      </c>
      <c r="E76" s="174" t="s">
        <v>82</v>
      </c>
      <c r="F76" s="130">
        <v>9</v>
      </c>
      <c r="G76" s="167">
        <v>48</v>
      </c>
      <c r="H76" s="168">
        <f t="shared" si="5"/>
        <v>1.9866500085128156</v>
      </c>
      <c r="I76" s="168">
        <f t="shared" si="20"/>
        <v>5.063992369008159</v>
      </c>
      <c r="J76" s="169">
        <f t="shared" si="2"/>
        <v>243.07163371239164</v>
      </c>
      <c r="K76" s="176">
        <f t="shared" si="11"/>
        <v>95.359200408615152</v>
      </c>
      <c r="L76" s="175">
        <f t="shared" si="22"/>
        <v>147.71243330377649</v>
      </c>
      <c r="M76" s="172">
        <f t="shared" si="7"/>
        <v>11.868025017772666</v>
      </c>
      <c r="N76" s="173">
        <f t="shared" si="8"/>
        <v>159.58045832154914</v>
      </c>
      <c r="O76" s="172">
        <v>0</v>
      </c>
      <c r="P76" s="172">
        <v>0</v>
      </c>
      <c r="Q76" s="172">
        <v>0</v>
      </c>
      <c r="R76" s="173">
        <f t="shared" si="9"/>
        <v>159.58045832154914</v>
      </c>
    </row>
    <row r="77" spans="1:18" x14ac:dyDescent="0.25">
      <c r="A77" s="93">
        <v>10</v>
      </c>
      <c r="B77" s="165">
        <f t="shared" si="4"/>
        <v>45566</v>
      </c>
      <c r="C77" s="185">
        <f t="shared" si="21"/>
        <v>45601</v>
      </c>
      <c r="D77" s="185">
        <f t="shared" si="21"/>
        <v>45621</v>
      </c>
      <c r="E77" s="174" t="s">
        <v>82</v>
      </c>
      <c r="F77" s="130">
        <v>9</v>
      </c>
      <c r="G77" s="167">
        <v>41</v>
      </c>
      <c r="H77" s="168">
        <f t="shared" si="5"/>
        <v>1.9866500085128156</v>
      </c>
      <c r="I77" s="168">
        <f t="shared" si="20"/>
        <v>5.063992369008159</v>
      </c>
      <c r="J77" s="169">
        <f t="shared" si="2"/>
        <v>207.62368712933451</v>
      </c>
      <c r="K77" s="176">
        <f t="shared" si="11"/>
        <v>81.452650349025433</v>
      </c>
      <c r="L77" s="175">
        <f t="shared" si="22"/>
        <v>126.17103678030908</v>
      </c>
      <c r="M77" s="172">
        <f t="shared" si="7"/>
        <v>10.137271369347486</v>
      </c>
      <c r="N77" s="173">
        <f t="shared" si="8"/>
        <v>136.30830814965657</v>
      </c>
      <c r="O77" s="172">
        <v>0</v>
      </c>
      <c r="P77" s="172">
        <v>0</v>
      </c>
      <c r="Q77" s="172">
        <v>0</v>
      </c>
      <c r="R77" s="173">
        <f t="shared" si="9"/>
        <v>136.30830814965657</v>
      </c>
    </row>
    <row r="78" spans="1:18" x14ac:dyDescent="0.25">
      <c r="A78" s="130">
        <v>11</v>
      </c>
      <c r="B78" s="165">
        <f t="shared" si="4"/>
        <v>45597</v>
      </c>
      <c r="C78" s="185">
        <f t="shared" si="21"/>
        <v>45630</v>
      </c>
      <c r="D78" s="185">
        <f t="shared" si="21"/>
        <v>45650</v>
      </c>
      <c r="E78" s="174" t="s">
        <v>82</v>
      </c>
      <c r="F78" s="130">
        <v>9</v>
      </c>
      <c r="G78" s="167">
        <v>22</v>
      </c>
      <c r="H78" s="168">
        <f t="shared" si="5"/>
        <v>1.9866500085128156</v>
      </c>
      <c r="I78" s="168">
        <f t="shared" si="20"/>
        <v>5.063992369008159</v>
      </c>
      <c r="J78" s="169">
        <f t="shared" si="2"/>
        <v>111.4078321181795</v>
      </c>
      <c r="K78" s="176">
        <f>+$G78*H78</f>
        <v>43.70630018728194</v>
      </c>
      <c r="L78" s="175">
        <f t="shared" si="22"/>
        <v>67.701531930897559</v>
      </c>
      <c r="M78" s="172">
        <f t="shared" si="7"/>
        <v>5.4395114664791384</v>
      </c>
      <c r="N78" s="173">
        <f t="shared" si="8"/>
        <v>73.141043397376691</v>
      </c>
      <c r="O78" s="172">
        <v>0</v>
      </c>
      <c r="P78" s="172">
        <v>0</v>
      </c>
      <c r="Q78" s="172">
        <v>0</v>
      </c>
      <c r="R78" s="173">
        <f t="shared" si="9"/>
        <v>73.141043397376691</v>
      </c>
    </row>
    <row r="79" spans="1:18" s="189" customFormat="1" x14ac:dyDescent="0.25">
      <c r="A79" s="130">
        <v>12</v>
      </c>
      <c r="B79" s="187">
        <f t="shared" si="4"/>
        <v>45627</v>
      </c>
      <c r="C79" s="190">
        <f t="shared" si="21"/>
        <v>45660</v>
      </c>
      <c r="D79" s="190">
        <f t="shared" si="21"/>
        <v>45681</v>
      </c>
      <c r="E79" s="191" t="s">
        <v>82</v>
      </c>
      <c r="F79" s="141">
        <v>9</v>
      </c>
      <c r="G79" s="167">
        <v>37</v>
      </c>
      <c r="H79" s="177">
        <f t="shared" si="5"/>
        <v>1.9866500085128156</v>
      </c>
      <c r="I79" s="177">
        <f t="shared" si="20"/>
        <v>5.063992369008159</v>
      </c>
      <c r="J79" s="178">
        <f t="shared" si="2"/>
        <v>187.3677176533019</v>
      </c>
      <c r="K79" s="179">
        <f>+$G79*H79</f>
        <v>73.506050314974175</v>
      </c>
      <c r="L79" s="180">
        <f t="shared" si="22"/>
        <v>113.86166733832772</v>
      </c>
      <c r="M79" s="172">
        <f t="shared" si="7"/>
        <v>9.1482692845330966</v>
      </c>
      <c r="N79" s="173">
        <f t="shared" si="8"/>
        <v>123.00993662286082</v>
      </c>
      <c r="O79" s="172">
        <v>0</v>
      </c>
      <c r="P79" s="172">
        <v>0</v>
      </c>
      <c r="Q79" s="172">
        <v>0</v>
      </c>
      <c r="R79" s="173">
        <f t="shared" si="9"/>
        <v>123.00993662286082</v>
      </c>
    </row>
    <row r="80" spans="1:18" s="50" customFormat="1" ht="12.75" customHeight="1" x14ac:dyDescent="0.25">
      <c r="A80" s="93">
        <v>1</v>
      </c>
      <c r="B80" s="165">
        <f t="shared" si="4"/>
        <v>45292</v>
      </c>
      <c r="C80" s="182">
        <f t="shared" ref="C80:D91" si="23">+C56</f>
        <v>45327</v>
      </c>
      <c r="D80" s="182">
        <f t="shared" si="23"/>
        <v>45348</v>
      </c>
      <c r="E80" s="166" t="s">
        <v>9</v>
      </c>
      <c r="F80" s="93">
        <v>9</v>
      </c>
      <c r="G80" s="167">
        <v>75</v>
      </c>
      <c r="H80" s="168">
        <f t="shared" si="5"/>
        <v>1.9866500085128156</v>
      </c>
      <c r="I80" s="168">
        <f t="shared" si="20"/>
        <v>5.063992369008159</v>
      </c>
      <c r="J80" s="169">
        <f t="shared" si="2"/>
        <v>379.79942767561192</v>
      </c>
      <c r="K80" s="170">
        <f t="shared" si="11"/>
        <v>148.99875063846116</v>
      </c>
      <c r="L80" s="171">
        <f t="shared" si="19"/>
        <v>230.80067703715076</v>
      </c>
      <c r="M80" s="172">
        <f t="shared" si="7"/>
        <v>18.543789090269794</v>
      </c>
      <c r="N80" s="173">
        <f t="shared" si="8"/>
        <v>249.34446612742056</v>
      </c>
      <c r="O80" s="172">
        <v>0</v>
      </c>
      <c r="P80" s="172">
        <v>0</v>
      </c>
      <c r="Q80" s="172">
        <v>0</v>
      </c>
      <c r="R80" s="173">
        <f t="shared" si="9"/>
        <v>249.34446612742056</v>
      </c>
    </row>
    <row r="81" spans="1:18" x14ac:dyDescent="0.25">
      <c r="A81" s="130">
        <v>2</v>
      </c>
      <c r="B81" s="165">
        <f t="shared" si="4"/>
        <v>45323</v>
      </c>
      <c r="C81" s="185">
        <f t="shared" si="23"/>
        <v>45356</v>
      </c>
      <c r="D81" s="185">
        <f t="shared" si="23"/>
        <v>45376</v>
      </c>
      <c r="E81" s="174" t="s">
        <v>9</v>
      </c>
      <c r="F81" s="130">
        <v>9</v>
      </c>
      <c r="G81" s="167">
        <v>54</v>
      </c>
      <c r="H81" s="168">
        <f t="shared" si="5"/>
        <v>1.9866500085128156</v>
      </c>
      <c r="I81" s="168">
        <f t="shared" si="20"/>
        <v>5.063992369008159</v>
      </c>
      <c r="J81" s="169">
        <f t="shared" si="2"/>
        <v>273.45558792644056</v>
      </c>
      <c r="K81" s="170">
        <f t="shared" si="11"/>
        <v>107.27910045969205</v>
      </c>
      <c r="L81" s="171">
        <f t="shared" si="19"/>
        <v>166.17648746674851</v>
      </c>
      <c r="M81" s="172">
        <f t="shared" si="7"/>
        <v>13.351528144994251</v>
      </c>
      <c r="N81" s="173">
        <f t="shared" si="8"/>
        <v>179.52801561174277</v>
      </c>
      <c r="O81" s="172">
        <v>0</v>
      </c>
      <c r="P81" s="172">
        <v>0</v>
      </c>
      <c r="Q81" s="172">
        <v>0</v>
      </c>
      <c r="R81" s="173">
        <f t="shared" si="9"/>
        <v>179.52801561174277</v>
      </c>
    </row>
    <row r="82" spans="1:18" x14ac:dyDescent="0.25">
      <c r="A82" s="130">
        <v>3</v>
      </c>
      <c r="B82" s="165">
        <f t="shared" si="4"/>
        <v>45352</v>
      </c>
      <c r="C82" s="185">
        <f t="shared" si="23"/>
        <v>45385</v>
      </c>
      <c r="D82" s="185">
        <f t="shared" si="23"/>
        <v>45406</v>
      </c>
      <c r="E82" s="174" t="s">
        <v>9</v>
      </c>
      <c r="F82" s="130">
        <v>9</v>
      </c>
      <c r="G82" s="167">
        <v>49</v>
      </c>
      <c r="H82" s="168">
        <f t="shared" si="5"/>
        <v>1.9866500085128156</v>
      </c>
      <c r="I82" s="168">
        <f t="shared" si="20"/>
        <v>5.063992369008159</v>
      </c>
      <c r="J82" s="169">
        <f t="shared" si="2"/>
        <v>248.13562608139978</v>
      </c>
      <c r="K82" s="170">
        <f t="shared" si="11"/>
        <v>97.345850417127963</v>
      </c>
      <c r="L82" s="171">
        <f>+J82-K82</f>
        <v>150.78977566427182</v>
      </c>
      <c r="M82" s="172">
        <f t="shared" si="7"/>
        <v>12.115275538976265</v>
      </c>
      <c r="N82" s="173">
        <f t="shared" si="8"/>
        <v>162.90505120324809</v>
      </c>
      <c r="O82" s="172">
        <v>0</v>
      </c>
      <c r="P82" s="172">
        <v>0</v>
      </c>
      <c r="Q82" s="172">
        <v>0</v>
      </c>
      <c r="R82" s="173">
        <f t="shared" si="9"/>
        <v>162.90505120324809</v>
      </c>
    </row>
    <row r="83" spans="1:18" ht="12" customHeight="1" x14ac:dyDescent="0.25">
      <c r="A83" s="93">
        <v>4</v>
      </c>
      <c r="B83" s="165">
        <f t="shared" si="4"/>
        <v>45383</v>
      </c>
      <c r="C83" s="185">
        <f t="shared" si="23"/>
        <v>45415</v>
      </c>
      <c r="D83" s="185">
        <f t="shared" si="23"/>
        <v>45436</v>
      </c>
      <c r="E83" s="52" t="s">
        <v>9</v>
      </c>
      <c r="F83" s="130">
        <v>9</v>
      </c>
      <c r="G83" s="167">
        <v>43</v>
      </c>
      <c r="H83" s="168">
        <f t="shared" si="5"/>
        <v>1.9866500085128156</v>
      </c>
      <c r="I83" s="168">
        <f t="shared" si="20"/>
        <v>5.063992369008159</v>
      </c>
      <c r="J83" s="169">
        <f t="shared" si="2"/>
        <v>217.75167186735084</v>
      </c>
      <c r="K83" s="170">
        <f t="shared" si="11"/>
        <v>85.425950366051069</v>
      </c>
      <c r="L83" s="171">
        <f t="shared" ref="L83:L93" si="24">+J83-K83</f>
        <v>132.32572150129977</v>
      </c>
      <c r="M83" s="172">
        <f t="shared" si="7"/>
        <v>10.63177241175468</v>
      </c>
      <c r="N83" s="173">
        <f t="shared" si="8"/>
        <v>142.95749391305444</v>
      </c>
      <c r="O83" s="172">
        <v>0</v>
      </c>
      <c r="P83" s="172">
        <v>0</v>
      </c>
      <c r="Q83" s="172">
        <v>0</v>
      </c>
      <c r="R83" s="173">
        <f t="shared" si="9"/>
        <v>142.95749391305444</v>
      </c>
    </row>
    <row r="84" spans="1:18" ht="12" customHeight="1" x14ac:dyDescent="0.25">
      <c r="A84" s="130">
        <v>5</v>
      </c>
      <c r="B84" s="165">
        <f t="shared" si="4"/>
        <v>45413</v>
      </c>
      <c r="C84" s="185">
        <f t="shared" si="23"/>
        <v>45448</v>
      </c>
      <c r="D84" s="185">
        <f t="shared" si="23"/>
        <v>45467</v>
      </c>
      <c r="E84" s="52" t="s">
        <v>9</v>
      </c>
      <c r="F84" s="130">
        <v>9</v>
      </c>
      <c r="G84" s="167">
        <v>50</v>
      </c>
      <c r="H84" s="168">
        <f t="shared" si="5"/>
        <v>1.9866500085128156</v>
      </c>
      <c r="I84" s="168">
        <f t="shared" si="20"/>
        <v>5.063992369008159</v>
      </c>
      <c r="J84" s="169">
        <f t="shared" si="2"/>
        <v>253.19961845040794</v>
      </c>
      <c r="K84" s="170">
        <f t="shared" si="11"/>
        <v>99.332500425640774</v>
      </c>
      <c r="L84" s="171">
        <f t="shared" si="24"/>
        <v>153.86711802476717</v>
      </c>
      <c r="M84" s="172">
        <f t="shared" si="7"/>
        <v>12.362526060179862</v>
      </c>
      <c r="N84" s="173">
        <f t="shared" si="8"/>
        <v>166.22964408494704</v>
      </c>
      <c r="O84" s="172">
        <v>0</v>
      </c>
      <c r="P84" s="172">
        <v>0</v>
      </c>
      <c r="Q84" s="172">
        <v>0</v>
      </c>
      <c r="R84" s="173">
        <f t="shared" si="9"/>
        <v>166.22964408494704</v>
      </c>
    </row>
    <row r="85" spans="1:18" x14ac:dyDescent="0.25">
      <c r="A85" s="130">
        <v>6</v>
      </c>
      <c r="B85" s="165">
        <f t="shared" si="4"/>
        <v>45444</v>
      </c>
      <c r="C85" s="185">
        <f t="shared" si="23"/>
        <v>45476</v>
      </c>
      <c r="D85" s="185">
        <f t="shared" si="23"/>
        <v>45497</v>
      </c>
      <c r="E85" s="52" t="s">
        <v>9</v>
      </c>
      <c r="F85" s="130">
        <v>9</v>
      </c>
      <c r="G85" s="167">
        <v>59</v>
      </c>
      <c r="H85" s="168">
        <f t="shared" ref="H85:H148" si="25">+$K$3</f>
        <v>1.9866500085128156</v>
      </c>
      <c r="I85" s="168">
        <f t="shared" si="20"/>
        <v>5.063992369008159</v>
      </c>
      <c r="J85" s="169">
        <f t="shared" si="2"/>
        <v>298.77554977148139</v>
      </c>
      <c r="K85" s="170">
        <f t="shared" si="11"/>
        <v>117.21235050225611</v>
      </c>
      <c r="L85" s="175">
        <f t="shared" si="24"/>
        <v>181.56319926922527</v>
      </c>
      <c r="M85" s="172">
        <f t="shared" ref="M85:M148" si="26">G85/$G$212*$M$14</f>
        <v>14.587780751012236</v>
      </c>
      <c r="N85" s="173">
        <f t="shared" ref="N85:N148" si="27">SUM(L85:M85)</f>
        <v>196.15098002023751</v>
      </c>
      <c r="O85" s="172">
        <v>0</v>
      </c>
      <c r="P85" s="172">
        <v>0</v>
      </c>
      <c r="Q85" s="172">
        <v>0</v>
      </c>
      <c r="R85" s="173">
        <f t="shared" ref="R85:R148" si="28">+N85-Q85</f>
        <v>196.15098002023751</v>
      </c>
    </row>
    <row r="86" spans="1:18" x14ac:dyDescent="0.25">
      <c r="A86" s="93">
        <v>7</v>
      </c>
      <c r="B86" s="165">
        <f t="shared" si="4"/>
        <v>45474</v>
      </c>
      <c r="C86" s="185">
        <f t="shared" si="23"/>
        <v>45509</v>
      </c>
      <c r="D86" s="185">
        <f t="shared" si="23"/>
        <v>45530</v>
      </c>
      <c r="E86" s="52" t="s">
        <v>9</v>
      </c>
      <c r="F86" s="130">
        <v>9</v>
      </c>
      <c r="G86" s="167">
        <v>60</v>
      </c>
      <c r="H86" s="168">
        <f t="shared" si="25"/>
        <v>1.9866500085128156</v>
      </c>
      <c r="I86" s="168">
        <f t="shared" si="20"/>
        <v>5.063992369008159</v>
      </c>
      <c r="J86" s="169">
        <f t="shared" si="2"/>
        <v>303.83954214048953</v>
      </c>
      <c r="K86" s="176">
        <f t="shared" si="11"/>
        <v>119.19900051076894</v>
      </c>
      <c r="L86" s="175">
        <f t="shared" si="24"/>
        <v>184.64054162972059</v>
      </c>
      <c r="M86" s="172">
        <f t="shared" si="26"/>
        <v>14.835031272215833</v>
      </c>
      <c r="N86" s="173">
        <f t="shared" si="27"/>
        <v>199.47557290193643</v>
      </c>
      <c r="O86" s="172">
        <v>0</v>
      </c>
      <c r="P86" s="172">
        <v>0</v>
      </c>
      <c r="Q86" s="172">
        <v>0</v>
      </c>
      <c r="R86" s="173">
        <f t="shared" si="28"/>
        <v>199.47557290193643</v>
      </c>
    </row>
    <row r="87" spans="1:18" x14ac:dyDescent="0.25">
      <c r="A87" s="130">
        <v>8</v>
      </c>
      <c r="B87" s="165">
        <f t="shared" si="4"/>
        <v>45505</v>
      </c>
      <c r="C87" s="185">
        <f t="shared" si="23"/>
        <v>45539</v>
      </c>
      <c r="D87" s="185">
        <f t="shared" si="23"/>
        <v>45559</v>
      </c>
      <c r="E87" s="52" t="s">
        <v>9</v>
      </c>
      <c r="F87" s="130">
        <v>9</v>
      </c>
      <c r="G87" s="167">
        <v>56</v>
      </c>
      <c r="H87" s="168">
        <f t="shared" si="25"/>
        <v>1.9866500085128156</v>
      </c>
      <c r="I87" s="168">
        <f t="shared" si="20"/>
        <v>5.063992369008159</v>
      </c>
      <c r="J87" s="169">
        <f t="shared" si="2"/>
        <v>283.58357266445688</v>
      </c>
      <c r="K87" s="176">
        <f t="shared" si="11"/>
        <v>111.25240047671767</v>
      </c>
      <c r="L87" s="175">
        <f t="shared" si="24"/>
        <v>172.33117218773921</v>
      </c>
      <c r="M87" s="172">
        <f t="shared" si="26"/>
        <v>13.846029187401445</v>
      </c>
      <c r="N87" s="173">
        <f t="shared" si="27"/>
        <v>186.17720137514067</v>
      </c>
      <c r="O87" s="172">
        <v>0</v>
      </c>
      <c r="P87" s="172">
        <v>0</v>
      </c>
      <c r="Q87" s="172">
        <v>0</v>
      </c>
      <c r="R87" s="173">
        <f t="shared" si="28"/>
        <v>186.17720137514067</v>
      </c>
    </row>
    <row r="88" spans="1:18" x14ac:dyDescent="0.25">
      <c r="A88" s="130">
        <v>9</v>
      </c>
      <c r="B88" s="165">
        <f t="shared" si="4"/>
        <v>45536</v>
      </c>
      <c r="C88" s="185">
        <f t="shared" si="23"/>
        <v>45568</v>
      </c>
      <c r="D88" s="185">
        <f t="shared" si="23"/>
        <v>45589</v>
      </c>
      <c r="E88" s="52" t="s">
        <v>9</v>
      </c>
      <c r="F88" s="130">
        <v>9</v>
      </c>
      <c r="G88" s="167">
        <v>55</v>
      </c>
      <c r="H88" s="168">
        <f t="shared" si="25"/>
        <v>1.9866500085128156</v>
      </c>
      <c r="I88" s="168">
        <f t="shared" si="20"/>
        <v>5.063992369008159</v>
      </c>
      <c r="J88" s="169">
        <f t="shared" si="2"/>
        <v>278.51958029544875</v>
      </c>
      <c r="K88" s="176">
        <f t="shared" si="11"/>
        <v>109.26575046820486</v>
      </c>
      <c r="L88" s="175">
        <f t="shared" si="24"/>
        <v>169.25382982724389</v>
      </c>
      <c r="M88" s="172">
        <f t="shared" si="26"/>
        <v>13.598778666197846</v>
      </c>
      <c r="N88" s="173">
        <f t="shared" si="27"/>
        <v>182.85260849344175</v>
      </c>
      <c r="O88" s="172">
        <v>0</v>
      </c>
      <c r="P88" s="172">
        <v>0</v>
      </c>
      <c r="Q88" s="172">
        <v>0</v>
      </c>
      <c r="R88" s="173">
        <f t="shared" si="28"/>
        <v>182.85260849344175</v>
      </c>
    </row>
    <row r="89" spans="1:18" x14ac:dyDescent="0.25">
      <c r="A89" s="93">
        <v>10</v>
      </c>
      <c r="B89" s="165">
        <f t="shared" si="4"/>
        <v>45566</v>
      </c>
      <c r="C89" s="185">
        <f t="shared" si="23"/>
        <v>45601</v>
      </c>
      <c r="D89" s="185">
        <f t="shared" si="23"/>
        <v>45621</v>
      </c>
      <c r="E89" s="52" t="s">
        <v>9</v>
      </c>
      <c r="F89" s="130">
        <v>9</v>
      </c>
      <c r="G89" s="167">
        <v>51</v>
      </c>
      <c r="H89" s="168">
        <f t="shared" si="25"/>
        <v>1.9866500085128156</v>
      </c>
      <c r="I89" s="168">
        <f t="shared" si="20"/>
        <v>5.063992369008159</v>
      </c>
      <c r="J89" s="169">
        <f t="shared" si="2"/>
        <v>258.2636108194161</v>
      </c>
      <c r="K89" s="176">
        <f t="shared" si="11"/>
        <v>101.3191504341536</v>
      </c>
      <c r="L89" s="175">
        <f t="shared" si="24"/>
        <v>156.94446038526252</v>
      </c>
      <c r="M89" s="172">
        <f t="shared" si="26"/>
        <v>12.609776581383457</v>
      </c>
      <c r="N89" s="173">
        <f t="shared" si="27"/>
        <v>169.55423696664599</v>
      </c>
      <c r="O89" s="172">
        <v>0</v>
      </c>
      <c r="P89" s="172">
        <v>0</v>
      </c>
      <c r="Q89" s="172">
        <v>0</v>
      </c>
      <c r="R89" s="173">
        <f t="shared" si="28"/>
        <v>169.55423696664599</v>
      </c>
    </row>
    <row r="90" spans="1:18" x14ac:dyDescent="0.25">
      <c r="A90" s="130">
        <v>11</v>
      </c>
      <c r="B90" s="165">
        <f t="shared" si="4"/>
        <v>45597</v>
      </c>
      <c r="C90" s="185">
        <f t="shared" si="23"/>
        <v>45630</v>
      </c>
      <c r="D90" s="185">
        <f t="shared" si="23"/>
        <v>45650</v>
      </c>
      <c r="E90" s="52" t="s">
        <v>9</v>
      </c>
      <c r="F90" s="130">
        <v>9</v>
      </c>
      <c r="G90" s="167">
        <v>40</v>
      </c>
      <c r="H90" s="168">
        <f t="shared" si="25"/>
        <v>1.9866500085128156</v>
      </c>
      <c r="I90" s="168">
        <f t="shared" si="20"/>
        <v>5.063992369008159</v>
      </c>
      <c r="J90" s="169">
        <f t="shared" si="2"/>
        <v>202.55969476032635</v>
      </c>
      <c r="K90" s="176">
        <f t="shared" si="11"/>
        <v>79.466000340512622</v>
      </c>
      <c r="L90" s="175">
        <f t="shared" si="24"/>
        <v>123.09369441981373</v>
      </c>
      <c r="M90" s="172">
        <f t="shared" si="26"/>
        <v>9.8900208481438892</v>
      </c>
      <c r="N90" s="173">
        <f t="shared" si="27"/>
        <v>132.98371526795762</v>
      </c>
      <c r="O90" s="172">
        <v>0</v>
      </c>
      <c r="P90" s="172">
        <v>0</v>
      </c>
      <c r="Q90" s="172">
        <v>0</v>
      </c>
      <c r="R90" s="173">
        <f t="shared" si="28"/>
        <v>132.98371526795762</v>
      </c>
    </row>
    <row r="91" spans="1:18" s="189" customFormat="1" x14ac:dyDescent="0.25">
      <c r="A91" s="130">
        <v>12</v>
      </c>
      <c r="B91" s="187">
        <f t="shared" si="4"/>
        <v>45627</v>
      </c>
      <c r="C91" s="185">
        <f t="shared" si="23"/>
        <v>45660</v>
      </c>
      <c r="D91" s="185">
        <f t="shared" si="23"/>
        <v>45681</v>
      </c>
      <c r="E91" s="188" t="s">
        <v>9</v>
      </c>
      <c r="F91" s="141">
        <v>9</v>
      </c>
      <c r="G91" s="167">
        <v>51</v>
      </c>
      <c r="H91" s="177">
        <f t="shared" si="25"/>
        <v>1.9866500085128156</v>
      </c>
      <c r="I91" s="177">
        <f t="shared" si="20"/>
        <v>5.063992369008159</v>
      </c>
      <c r="J91" s="178">
        <f t="shared" si="2"/>
        <v>258.2636108194161</v>
      </c>
      <c r="K91" s="179">
        <f t="shared" si="11"/>
        <v>101.3191504341536</v>
      </c>
      <c r="L91" s="180">
        <f t="shared" si="24"/>
        <v>156.94446038526252</v>
      </c>
      <c r="M91" s="172">
        <f t="shared" si="26"/>
        <v>12.609776581383457</v>
      </c>
      <c r="N91" s="173">
        <f t="shared" si="27"/>
        <v>169.55423696664599</v>
      </c>
      <c r="O91" s="172">
        <v>0</v>
      </c>
      <c r="P91" s="172">
        <v>0</v>
      </c>
      <c r="Q91" s="172">
        <v>0</v>
      </c>
      <c r="R91" s="173">
        <f t="shared" si="28"/>
        <v>169.55423696664599</v>
      </c>
    </row>
    <row r="92" spans="1:18" x14ac:dyDescent="0.25">
      <c r="A92" s="93">
        <v>1</v>
      </c>
      <c r="B92" s="165">
        <f t="shared" si="4"/>
        <v>45292</v>
      </c>
      <c r="C92" s="182">
        <f t="shared" ref="C92:D95" si="29">+C80</f>
        <v>45327</v>
      </c>
      <c r="D92" s="182">
        <f t="shared" si="29"/>
        <v>45348</v>
      </c>
      <c r="E92" s="166" t="s">
        <v>8</v>
      </c>
      <c r="F92" s="93">
        <v>9</v>
      </c>
      <c r="G92" s="167">
        <v>94</v>
      </c>
      <c r="H92" s="168">
        <f t="shared" si="25"/>
        <v>1.9866500085128156</v>
      </c>
      <c r="I92" s="168">
        <f t="shared" si="20"/>
        <v>5.063992369008159</v>
      </c>
      <c r="J92" s="169">
        <f t="shared" si="2"/>
        <v>476.01528268676697</v>
      </c>
      <c r="K92" s="170">
        <f t="shared" si="11"/>
        <v>186.74510080020465</v>
      </c>
      <c r="L92" s="171">
        <f t="shared" si="24"/>
        <v>289.27018188656234</v>
      </c>
      <c r="M92" s="172">
        <f t="shared" si="26"/>
        <v>23.241548993138139</v>
      </c>
      <c r="N92" s="173">
        <f t="shared" si="27"/>
        <v>312.51173087970051</v>
      </c>
      <c r="O92" s="172">
        <v>0</v>
      </c>
      <c r="P92" s="172">
        <v>0</v>
      </c>
      <c r="Q92" s="172">
        <v>0</v>
      </c>
      <c r="R92" s="173">
        <f t="shared" si="28"/>
        <v>312.51173087970051</v>
      </c>
    </row>
    <row r="93" spans="1:18" x14ac:dyDescent="0.25">
      <c r="A93" s="130">
        <v>2</v>
      </c>
      <c r="B93" s="165">
        <f t="shared" si="4"/>
        <v>45323</v>
      </c>
      <c r="C93" s="185">
        <f t="shared" si="29"/>
        <v>45356</v>
      </c>
      <c r="D93" s="185">
        <f t="shared" si="29"/>
        <v>45376</v>
      </c>
      <c r="E93" s="174" t="s">
        <v>8</v>
      </c>
      <c r="F93" s="130">
        <v>9</v>
      </c>
      <c r="G93" s="167">
        <v>62</v>
      </c>
      <c r="H93" s="168">
        <f t="shared" si="25"/>
        <v>1.9866500085128156</v>
      </c>
      <c r="I93" s="168">
        <f t="shared" si="20"/>
        <v>5.063992369008159</v>
      </c>
      <c r="J93" s="169">
        <f t="shared" si="2"/>
        <v>313.96752687850585</v>
      </c>
      <c r="K93" s="170">
        <f t="shared" si="11"/>
        <v>123.17230052779456</v>
      </c>
      <c r="L93" s="171">
        <f t="shared" si="24"/>
        <v>190.79522635071129</v>
      </c>
      <c r="M93" s="172">
        <f t="shared" si="26"/>
        <v>15.329532314623027</v>
      </c>
      <c r="N93" s="173">
        <f t="shared" si="27"/>
        <v>206.12475866533433</v>
      </c>
      <c r="O93" s="172">
        <v>0</v>
      </c>
      <c r="P93" s="172">
        <v>0</v>
      </c>
      <c r="Q93" s="172">
        <v>0</v>
      </c>
      <c r="R93" s="173">
        <f t="shared" si="28"/>
        <v>206.12475866533433</v>
      </c>
    </row>
    <row r="94" spans="1:18" x14ac:dyDescent="0.25">
      <c r="A94" s="130">
        <v>3</v>
      </c>
      <c r="B94" s="165">
        <f t="shared" si="4"/>
        <v>45352</v>
      </c>
      <c r="C94" s="185">
        <f t="shared" si="29"/>
        <v>45385</v>
      </c>
      <c r="D94" s="185">
        <f t="shared" si="29"/>
        <v>45406</v>
      </c>
      <c r="E94" s="174" t="s">
        <v>8</v>
      </c>
      <c r="F94" s="130">
        <v>9</v>
      </c>
      <c r="G94" s="167">
        <v>60</v>
      </c>
      <c r="H94" s="168">
        <f t="shared" si="25"/>
        <v>1.9866500085128156</v>
      </c>
      <c r="I94" s="168">
        <f t="shared" si="20"/>
        <v>5.063992369008159</v>
      </c>
      <c r="J94" s="169">
        <f t="shared" si="2"/>
        <v>303.83954214048953</v>
      </c>
      <c r="K94" s="170">
        <f t="shared" ref="K94:K133" si="30">+$G94*H94</f>
        <v>119.19900051076894</v>
      </c>
      <c r="L94" s="171">
        <f>+J94-K94</f>
        <v>184.64054162972059</v>
      </c>
      <c r="M94" s="172">
        <f t="shared" si="26"/>
        <v>14.835031272215833</v>
      </c>
      <c r="N94" s="173">
        <f t="shared" si="27"/>
        <v>199.47557290193643</v>
      </c>
      <c r="O94" s="172">
        <v>0</v>
      </c>
      <c r="P94" s="172">
        <v>0</v>
      </c>
      <c r="Q94" s="172">
        <v>0</v>
      </c>
      <c r="R94" s="173">
        <f t="shared" si="28"/>
        <v>199.47557290193643</v>
      </c>
    </row>
    <row r="95" spans="1:18" x14ac:dyDescent="0.25">
      <c r="A95" s="93">
        <v>4</v>
      </c>
      <c r="B95" s="165">
        <f t="shared" si="4"/>
        <v>45383</v>
      </c>
      <c r="C95" s="185">
        <f t="shared" si="29"/>
        <v>45415</v>
      </c>
      <c r="D95" s="185">
        <f t="shared" si="29"/>
        <v>45436</v>
      </c>
      <c r="E95" s="174" t="s">
        <v>8</v>
      </c>
      <c r="F95" s="130">
        <v>9</v>
      </c>
      <c r="G95" s="167">
        <v>92</v>
      </c>
      <c r="H95" s="168">
        <f t="shared" si="25"/>
        <v>1.9866500085128156</v>
      </c>
      <c r="I95" s="168">
        <f t="shared" si="20"/>
        <v>5.063992369008159</v>
      </c>
      <c r="J95" s="169">
        <f t="shared" si="2"/>
        <v>465.88729794875064</v>
      </c>
      <c r="K95" s="170">
        <f t="shared" si="30"/>
        <v>182.77180078317903</v>
      </c>
      <c r="L95" s="171">
        <f t="shared" ref="L95:L105" si="31">+J95-K95</f>
        <v>283.11549716557158</v>
      </c>
      <c r="M95" s="172">
        <f t="shared" si="26"/>
        <v>22.747047950730945</v>
      </c>
      <c r="N95" s="173">
        <f t="shared" si="27"/>
        <v>305.8625451163025</v>
      </c>
      <c r="O95" s="172">
        <v>0</v>
      </c>
      <c r="P95" s="172">
        <v>0</v>
      </c>
      <c r="Q95" s="172">
        <v>0</v>
      </c>
      <c r="R95" s="173">
        <f t="shared" si="28"/>
        <v>305.8625451163025</v>
      </c>
    </row>
    <row r="96" spans="1:18" x14ac:dyDescent="0.25">
      <c r="A96" s="130">
        <v>5</v>
      </c>
      <c r="B96" s="165">
        <f t="shared" si="4"/>
        <v>45413</v>
      </c>
      <c r="C96" s="185">
        <f t="shared" ref="C96:D116" si="32">+C84</f>
        <v>45448</v>
      </c>
      <c r="D96" s="185">
        <f t="shared" si="32"/>
        <v>45467</v>
      </c>
      <c r="E96" s="52" t="s">
        <v>8</v>
      </c>
      <c r="F96" s="130">
        <v>9</v>
      </c>
      <c r="G96" s="167">
        <v>118</v>
      </c>
      <c r="H96" s="168">
        <f t="shared" si="25"/>
        <v>1.9866500085128156</v>
      </c>
      <c r="I96" s="168">
        <f t="shared" si="20"/>
        <v>5.063992369008159</v>
      </c>
      <c r="J96" s="169">
        <f t="shared" si="2"/>
        <v>597.55109954296279</v>
      </c>
      <c r="K96" s="170">
        <f t="shared" si="30"/>
        <v>234.42470100451223</v>
      </c>
      <c r="L96" s="171">
        <f t="shared" si="31"/>
        <v>363.12639853845053</v>
      </c>
      <c r="M96" s="172">
        <f t="shared" si="26"/>
        <v>29.175561502024472</v>
      </c>
      <c r="N96" s="173">
        <f t="shared" si="27"/>
        <v>392.30196004047502</v>
      </c>
      <c r="O96" s="172">
        <v>0</v>
      </c>
      <c r="P96" s="172">
        <v>0</v>
      </c>
      <c r="Q96" s="172">
        <v>0</v>
      </c>
      <c r="R96" s="173">
        <f t="shared" si="28"/>
        <v>392.30196004047502</v>
      </c>
    </row>
    <row r="97" spans="1:18" x14ac:dyDescent="0.25">
      <c r="A97" s="130">
        <v>6</v>
      </c>
      <c r="B97" s="165">
        <f t="shared" si="4"/>
        <v>45444</v>
      </c>
      <c r="C97" s="185">
        <f t="shared" si="32"/>
        <v>45476</v>
      </c>
      <c r="D97" s="185">
        <f t="shared" si="32"/>
        <v>45497</v>
      </c>
      <c r="E97" s="52" t="s">
        <v>8</v>
      </c>
      <c r="F97" s="130">
        <v>9</v>
      </c>
      <c r="G97" s="167">
        <v>143</v>
      </c>
      <c r="H97" s="168">
        <f t="shared" si="25"/>
        <v>1.9866500085128156</v>
      </c>
      <c r="I97" s="168">
        <f t="shared" si="20"/>
        <v>5.063992369008159</v>
      </c>
      <c r="J97" s="169">
        <f t="shared" si="2"/>
        <v>724.15090876816669</v>
      </c>
      <c r="K97" s="170">
        <f t="shared" si="30"/>
        <v>284.09095121733264</v>
      </c>
      <c r="L97" s="175">
        <f t="shared" si="31"/>
        <v>440.05995755083404</v>
      </c>
      <c r="M97" s="172">
        <f t="shared" si="26"/>
        <v>35.356824532114402</v>
      </c>
      <c r="N97" s="173">
        <f t="shared" si="27"/>
        <v>475.41678208294843</v>
      </c>
      <c r="O97" s="172">
        <v>0</v>
      </c>
      <c r="P97" s="172">
        <v>0</v>
      </c>
      <c r="Q97" s="172">
        <v>0</v>
      </c>
      <c r="R97" s="173">
        <f t="shared" si="28"/>
        <v>475.41678208294843</v>
      </c>
    </row>
    <row r="98" spans="1:18" x14ac:dyDescent="0.25">
      <c r="A98" s="93">
        <v>7</v>
      </c>
      <c r="B98" s="165">
        <f t="shared" si="4"/>
        <v>45474</v>
      </c>
      <c r="C98" s="185">
        <f t="shared" si="32"/>
        <v>45509</v>
      </c>
      <c r="D98" s="185">
        <f t="shared" si="32"/>
        <v>45530</v>
      </c>
      <c r="E98" s="52" t="s">
        <v>8</v>
      </c>
      <c r="F98" s="130">
        <v>9</v>
      </c>
      <c r="G98" s="167">
        <v>151</v>
      </c>
      <c r="H98" s="168">
        <f t="shared" si="25"/>
        <v>1.9866500085128156</v>
      </c>
      <c r="I98" s="168">
        <f t="shared" si="20"/>
        <v>5.063992369008159</v>
      </c>
      <c r="J98" s="169">
        <f t="shared" si="2"/>
        <v>764.66284772023198</v>
      </c>
      <c r="K98" s="176">
        <f t="shared" si="30"/>
        <v>299.98415128543513</v>
      </c>
      <c r="L98" s="175">
        <f t="shared" si="31"/>
        <v>464.67869643479685</v>
      </c>
      <c r="M98" s="172">
        <f t="shared" si="26"/>
        <v>37.334828701743177</v>
      </c>
      <c r="N98" s="173">
        <f t="shared" si="27"/>
        <v>502.01352513654001</v>
      </c>
      <c r="O98" s="172">
        <v>0</v>
      </c>
      <c r="P98" s="172">
        <v>0</v>
      </c>
      <c r="Q98" s="172">
        <v>0</v>
      </c>
      <c r="R98" s="173">
        <f t="shared" si="28"/>
        <v>502.01352513654001</v>
      </c>
    </row>
    <row r="99" spans="1:18" x14ac:dyDescent="0.25">
      <c r="A99" s="130">
        <v>8</v>
      </c>
      <c r="B99" s="165">
        <f t="shared" si="4"/>
        <v>45505</v>
      </c>
      <c r="C99" s="185">
        <f t="shared" si="32"/>
        <v>45539</v>
      </c>
      <c r="D99" s="185">
        <f t="shared" si="32"/>
        <v>45559</v>
      </c>
      <c r="E99" s="52" t="s">
        <v>8</v>
      </c>
      <c r="F99" s="130">
        <v>9</v>
      </c>
      <c r="G99" s="167">
        <v>157</v>
      </c>
      <c r="H99" s="168">
        <f t="shared" si="25"/>
        <v>1.9866500085128156</v>
      </c>
      <c r="I99" s="168">
        <f t="shared" si="20"/>
        <v>5.063992369008159</v>
      </c>
      <c r="J99" s="169">
        <f t="shared" si="2"/>
        <v>795.04680193428101</v>
      </c>
      <c r="K99" s="176">
        <f t="shared" si="30"/>
        <v>311.90405133651205</v>
      </c>
      <c r="L99" s="175">
        <f t="shared" si="31"/>
        <v>483.14275059776895</v>
      </c>
      <c r="M99" s="172">
        <f t="shared" si="26"/>
        <v>38.818331828964759</v>
      </c>
      <c r="N99" s="173">
        <f t="shared" si="27"/>
        <v>521.9610824267337</v>
      </c>
      <c r="O99" s="172">
        <v>0</v>
      </c>
      <c r="P99" s="172">
        <v>0</v>
      </c>
      <c r="Q99" s="172">
        <v>0</v>
      </c>
      <c r="R99" s="173">
        <f t="shared" si="28"/>
        <v>521.9610824267337</v>
      </c>
    </row>
    <row r="100" spans="1:18" x14ac:dyDescent="0.25">
      <c r="A100" s="130">
        <v>9</v>
      </c>
      <c r="B100" s="165">
        <f t="shared" si="4"/>
        <v>45536</v>
      </c>
      <c r="C100" s="185">
        <f t="shared" si="32"/>
        <v>45568</v>
      </c>
      <c r="D100" s="185">
        <f t="shared" si="32"/>
        <v>45589</v>
      </c>
      <c r="E100" s="52" t="s">
        <v>8</v>
      </c>
      <c r="F100" s="130">
        <v>9</v>
      </c>
      <c r="G100" s="167">
        <v>146</v>
      </c>
      <c r="H100" s="168">
        <f t="shared" si="25"/>
        <v>1.9866500085128156</v>
      </c>
      <c r="I100" s="168">
        <f t="shared" si="20"/>
        <v>5.063992369008159</v>
      </c>
      <c r="J100" s="169">
        <f t="shared" si="2"/>
        <v>739.3428858751912</v>
      </c>
      <c r="K100" s="176">
        <f t="shared" si="30"/>
        <v>290.05090124287108</v>
      </c>
      <c r="L100" s="175">
        <f t="shared" si="31"/>
        <v>449.29198463232012</v>
      </c>
      <c r="M100" s="172">
        <f t="shared" si="26"/>
        <v>36.098576095725193</v>
      </c>
      <c r="N100" s="173">
        <f t="shared" si="27"/>
        <v>485.39056072804533</v>
      </c>
      <c r="O100" s="172">
        <v>0</v>
      </c>
      <c r="P100" s="172">
        <v>0</v>
      </c>
      <c r="Q100" s="172">
        <v>0</v>
      </c>
      <c r="R100" s="173">
        <f t="shared" si="28"/>
        <v>485.39056072804533</v>
      </c>
    </row>
    <row r="101" spans="1:18" x14ac:dyDescent="0.25">
      <c r="A101" s="93">
        <v>10</v>
      </c>
      <c r="B101" s="165">
        <f t="shared" si="4"/>
        <v>45566</v>
      </c>
      <c r="C101" s="185">
        <f t="shared" si="32"/>
        <v>45601</v>
      </c>
      <c r="D101" s="185">
        <f t="shared" si="32"/>
        <v>45621</v>
      </c>
      <c r="E101" s="52" t="s">
        <v>8</v>
      </c>
      <c r="F101" s="130">
        <v>9</v>
      </c>
      <c r="G101" s="167">
        <v>116</v>
      </c>
      <c r="H101" s="168">
        <f t="shared" si="25"/>
        <v>1.9866500085128156</v>
      </c>
      <c r="I101" s="168">
        <f t="shared" si="20"/>
        <v>5.063992369008159</v>
      </c>
      <c r="J101" s="169">
        <f t="shared" si="2"/>
        <v>587.42311480494641</v>
      </c>
      <c r="K101" s="176">
        <f t="shared" si="30"/>
        <v>230.45140098748661</v>
      </c>
      <c r="L101" s="175">
        <f t="shared" si="31"/>
        <v>356.97171381745977</v>
      </c>
      <c r="M101" s="172">
        <f t="shared" si="26"/>
        <v>28.681060459617274</v>
      </c>
      <c r="N101" s="173">
        <f t="shared" si="27"/>
        <v>385.65277427707707</v>
      </c>
      <c r="O101" s="172">
        <v>0</v>
      </c>
      <c r="P101" s="172">
        <v>0</v>
      </c>
      <c r="Q101" s="172">
        <v>0</v>
      </c>
      <c r="R101" s="173">
        <f t="shared" si="28"/>
        <v>385.65277427707707</v>
      </c>
    </row>
    <row r="102" spans="1:18" x14ac:dyDescent="0.25">
      <c r="A102" s="130">
        <v>11</v>
      </c>
      <c r="B102" s="165">
        <f t="shared" si="4"/>
        <v>45597</v>
      </c>
      <c r="C102" s="185">
        <f t="shared" si="32"/>
        <v>45630</v>
      </c>
      <c r="D102" s="185">
        <f t="shared" si="32"/>
        <v>45650</v>
      </c>
      <c r="E102" s="52" t="s">
        <v>8</v>
      </c>
      <c r="F102" s="130">
        <v>9</v>
      </c>
      <c r="G102" s="167">
        <v>62</v>
      </c>
      <c r="H102" s="168">
        <f t="shared" si="25"/>
        <v>1.9866500085128156</v>
      </c>
      <c r="I102" s="168">
        <f t="shared" si="20"/>
        <v>5.063992369008159</v>
      </c>
      <c r="J102" s="169">
        <f t="shared" si="2"/>
        <v>313.96752687850585</v>
      </c>
      <c r="K102" s="176">
        <f t="shared" si="30"/>
        <v>123.17230052779456</v>
      </c>
      <c r="L102" s="175">
        <f t="shared" si="31"/>
        <v>190.79522635071129</v>
      </c>
      <c r="M102" s="172">
        <f t="shared" si="26"/>
        <v>15.329532314623027</v>
      </c>
      <c r="N102" s="173">
        <f t="shared" si="27"/>
        <v>206.12475866533433</v>
      </c>
      <c r="O102" s="172">
        <v>0</v>
      </c>
      <c r="P102" s="172">
        <v>0</v>
      </c>
      <c r="Q102" s="172">
        <v>0</v>
      </c>
      <c r="R102" s="173">
        <f t="shared" si="28"/>
        <v>206.12475866533433</v>
      </c>
    </row>
    <row r="103" spans="1:18" s="189" customFormat="1" x14ac:dyDescent="0.25">
      <c r="A103" s="130">
        <v>12</v>
      </c>
      <c r="B103" s="187">
        <f t="shared" si="4"/>
        <v>45627</v>
      </c>
      <c r="C103" s="185">
        <f t="shared" si="32"/>
        <v>45660</v>
      </c>
      <c r="D103" s="185">
        <f t="shared" si="32"/>
        <v>45681</v>
      </c>
      <c r="E103" s="188" t="s">
        <v>8</v>
      </c>
      <c r="F103" s="141">
        <v>9</v>
      </c>
      <c r="G103" s="167">
        <v>77</v>
      </c>
      <c r="H103" s="177">
        <f t="shared" si="25"/>
        <v>1.9866500085128156</v>
      </c>
      <c r="I103" s="177">
        <f t="shared" si="20"/>
        <v>5.063992369008159</v>
      </c>
      <c r="J103" s="178">
        <f t="shared" si="2"/>
        <v>389.92741241362825</v>
      </c>
      <c r="K103" s="179">
        <f t="shared" si="30"/>
        <v>152.97205065548681</v>
      </c>
      <c r="L103" s="180">
        <f t="shared" si="31"/>
        <v>236.95536175814144</v>
      </c>
      <c r="M103" s="172">
        <f t="shared" si="26"/>
        <v>19.038290132676984</v>
      </c>
      <c r="N103" s="173">
        <f t="shared" si="27"/>
        <v>255.99365189081843</v>
      </c>
      <c r="O103" s="172">
        <v>0</v>
      </c>
      <c r="P103" s="172">
        <v>0</v>
      </c>
      <c r="Q103" s="172">
        <v>0</v>
      </c>
      <c r="R103" s="173">
        <f t="shared" si="28"/>
        <v>255.99365189081843</v>
      </c>
    </row>
    <row r="104" spans="1:18" x14ac:dyDescent="0.25">
      <c r="A104" s="93">
        <v>1</v>
      </c>
      <c r="B104" s="165">
        <f t="shared" si="4"/>
        <v>45292</v>
      </c>
      <c r="C104" s="182">
        <f t="shared" si="32"/>
        <v>45327</v>
      </c>
      <c r="D104" s="182">
        <f t="shared" si="32"/>
        <v>45348</v>
      </c>
      <c r="E104" s="166" t="s">
        <v>19</v>
      </c>
      <c r="F104" s="93">
        <v>9</v>
      </c>
      <c r="G104" s="167">
        <v>65</v>
      </c>
      <c r="H104" s="168">
        <f t="shared" si="25"/>
        <v>1.9866500085128156</v>
      </c>
      <c r="I104" s="168">
        <f t="shared" si="20"/>
        <v>5.063992369008159</v>
      </c>
      <c r="J104" s="169">
        <f t="shared" si="2"/>
        <v>329.15950398553031</v>
      </c>
      <c r="K104" s="170">
        <f t="shared" si="30"/>
        <v>129.13225055333302</v>
      </c>
      <c r="L104" s="171">
        <f t="shared" si="31"/>
        <v>200.02725343219728</v>
      </c>
      <c r="M104" s="172">
        <f t="shared" si="26"/>
        <v>16.071283878233821</v>
      </c>
      <c r="N104" s="173">
        <f t="shared" si="27"/>
        <v>216.09853731043111</v>
      </c>
      <c r="O104" s="172">
        <v>0</v>
      </c>
      <c r="P104" s="172">
        <v>0</v>
      </c>
      <c r="Q104" s="172">
        <v>0</v>
      </c>
      <c r="R104" s="173">
        <f t="shared" si="28"/>
        <v>216.09853731043111</v>
      </c>
    </row>
    <row r="105" spans="1:18" x14ac:dyDescent="0.25">
      <c r="A105" s="130">
        <v>2</v>
      </c>
      <c r="B105" s="165">
        <f t="shared" si="4"/>
        <v>45323</v>
      </c>
      <c r="C105" s="185">
        <f t="shared" si="32"/>
        <v>45356</v>
      </c>
      <c r="D105" s="185">
        <f t="shared" si="32"/>
        <v>45376</v>
      </c>
      <c r="E105" s="174" t="s">
        <v>19</v>
      </c>
      <c r="F105" s="130">
        <v>9</v>
      </c>
      <c r="G105" s="167">
        <v>65</v>
      </c>
      <c r="H105" s="168">
        <f t="shared" si="25"/>
        <v>1.9866500085128156</v>
      </c>
      <c r="I105" s="168">
        <f t="shared" si="20"/>
        <v>5.063992369008159</v>
      </c>
      <c r="J105" s="169">
        <f t="shared" si="2"/>
        <v>329.15950398553031</v>
      </c>
      <c r="K105" s="170">
        <f t="shared" si="30"/>
        <v>129.13225055333302</v>
      </c>
      <c r="L105" s="171">
        <f t="shared" si="31"/>
        <v>200.02725343219728</v>
      </c>
      <c r="M105" s="172">
        <f t="shared" si="26"/>
        <v>16.071283878233821</v>
      </c>
      <c r="N105" s="173">
        <f t="shared" si="27"/>
        <v>216.09853731043111</v>
      </c>
      <c r="O105" s="172">
        <v>0</v>
      </c>
      <c r="P105" s="172">
        <v>0</v>
      </c>
      <c r="Q105" s="172">
        <v>0</v>
      </c>
      <c r="R105" s="173">
        <f t="shared" si="28"/>
        <v>216.09853731043111</v>
      </c>
    </row>
    <row r="106" spans="1:18" x14ac:dyDescent="0.25">
      <c r="A106" s="130">
        <v>3</v>
      </c>
      <c r="B106" s="165">
        <f t="shared" si="4"/>
        <v>45352</v>
      </c>
      <c r="C106" s="185">
        <f t="shared" si="32"/>
        <v>45385</v>
      </c>
      <c r="D106" s="185">
        <f t="shared" si="32"/>
        <v>45406</v>
      </c>
      <c r="E106" s="174" t="s">
        <v>19</v>
      </c>
      <c r="F106" s="130">
        <v>9</v>
      </c>
      <c r="G106" s="167">
        <v>64</v>
      </c>
      <c r="H106" s="168">
        <f t="shared" si="25"/>
        <v>1.9866500085128156</v>
      </c>
      <c r="I106" s="168">
        <f t="shared" si="20"/>
        <v>5.063992369008159</v>
      </c>
      <c r="J106" s="169">
        <f t="shared" si="2"/>
        <v>324.09551161652217</v>
      </c>
      <c r="K106" s="170">
        <f t="shared" si="30"/>
        <v>127.1456005448202</v>
      </c>
      <c r="L106" s="171">
        <f>+J106-K106</f>
        <v>196.94991107170199</v>
      </c>
      <c r="M106" s="172">
        <f t="shared" si="26"/>
        <v>15.824033357030222</v>
      </c>
      <c r="N106" s="173">
        <f t="shared" si="27"/>
        <v>212.77394442873222</v>
      </c>
      <c r="O106" s="172">
        <v>0</v>
      </c>
      <c r="P106" s="172">
        <v>0</v>
      </c>
      <c r="Q106" s="172">
        <v>0</v>
      </c>
      <c r="R106" s="173">
        <f t="shared" si="28"/>
        <v>212.77394442873222</v>
      </c>
    </row>
    <row r="107" spans="1:18" x14ac:dyDescent="0.25">
      <c r="A107" s="93">
        <v>4</v>
      </c>
      <c r="B107" s="165">
        <f t="shared" si="4"/>
        <v>45383</v>
      </c>
      <c r="C107" s="185">
        <f t="shared" si="32"/>
        <v>45415</v>
      </c>
      <c r="D107" s="185">
        <f t="shared" si="32"/>
        <v>45436</v>
      </c>
      <c r="E107" s="52" t="s">
        <v>19</v>
      </c>
      <c r="F107" s="130">
        <v>9</v>
      </c>
      <c r="G107" s="167">
        <v>65</v>
      </c>
      <c r="H107" s="168">
        <f t="shared" si="25"/>
        <v>1.9866500085128156</v>
      </c>
      <c r="I107" s="168">
        <f t="shared" si="20"/>
        <v>5.063992369008159</v>
      </c>
      <c r="J107" s="169">
        <f t="shared" si="2"/>
        <v>329.15950398553031</v>
      </c>
      <c r="K107" s="170">
        <f t="shared" si="30"/>
        <v>129.13225055333302</v>
      </c>
      <c r="L107" s="171">
        <f t="shared" ref="L107:L115" si="33">+J107-K107</f>
        <v>200.02725343219728</v>
      </c>
      <c r="M107" s="172">
        <f t="shared" si="26"/>
        <v>16.071283878233821</v>
      </c>
      <c r="N107" s="173">
        <f t="shared" si="27"/>
        <v>216.09853731043111</v>
      </c>
      <c r="O107" s="172">
        <v>0</v>
      </c>
      <c r="P107" s="172">
        <v>0</v>
      </c>
      <c r="Q107" s="172">
        <v>0</v>
      </c>
      <c r="R107" s="173">
        <f t="shared" si="28"/>
        <v>216.09853731043111</v>
      </c>
    </row>
    <row r="108" spans="1:18" x14ac:dyDescent="0.25">
      <c r="A108" s="130">
        <v>5</v>
      </c>
      <c r="B108" s="165">
        <f t="shared" si="4"/>
        <v>45413</v>
      </c>
      <c r="C108" s="185">
        <f t="shared" si="32"/>
        <v>45448</v>
      </c>
      <c r="D108" s="185">
        <f t="shared" si="32"/>
        <v>45467</v>
      </c>
      <c r="E108" s="52" t="s">
        <v>19</v>
      </c>
      <c r="F108" s="130">
        <v>9</v>
      </c>
      <c r="G108" s="167">
        <v>51</v>
      </c>
      <c r="H108" s="168">
        <f t="shared" si="25"/>
        <v>1.9866500085128156</v>
      </c>
      <c r="I108" s="168">
        <f t="shared" ref="I108:I127" si="34">$J$3</f>
        <v>5.063992369008159</v>
      </c>
      <c r="J108" s="169">
        <f t="shared" si="2"/>
        <v>258.2636108194161</v>
      </c>
      <c r="K108" s="170">
        <f t="shared" si="30"/>
        <v>101.3191504341536</v>
      </c>
      <c r="L108" s="171">
        <f t="shared" si="33"/>
        <v>156.94446038526252</v>
      </c>
      <c r="M108" s="172">
        <f t="shared" si="26"/>
        <v>12.609776581383457</v>
      </c>
      <c r="N108" s="173">
        <f t="shared" si="27"/>
        <v>169.55423696664599</v>
      </c>
      <c r="O108" s="172">
        <v>0</v>
      </c>
      <c r="P108" s="172">
        <v>0</v>
      </c>
      <c r="Q108" s="172">
        <v>0</v>
      </c>
      <c r="R108" s="173">
        <f t="shared" si="28"/>
        <v>169.55423696664599</v>
      </c>
    </row>
    <row r="109" spans="1:18" x14ac:dyDescent="0.25">
      <c r="A109" s="130">
        <v>6</v>
      </c>
      <c r="B109" s="165">
        <f t="shared" ref="B109:B148" si="35">DATE($R$1,A109,1)</f>
        <v>45444</v>
      </c>
      <c r="C109" s="185">
        <f t="shared" si="32"/>
        <v>45476</v>
      </c>
      <c r="D109" s="185">
        <f t="shared" si="32"/>
        <v>45497</v>
      </c>
      <c r="E109" s="52" t="s">
        <v>19</v>
      </c>
      <c r="F109" s="130">
        <v>9</v>
      </c>
      <c r="G109" s="167">
        <v>59</v>
      </c>
      <c r="H109" s="168">
        <f t="shared" si="25"/>
        <v>1.9866500085128156</v>
      </c>
      <c r="I109" s="168">
        <f t="shared" si="34"/>
        <v>5.063992369008159</v>
      </c>
      <c r="J109" s="169">
        <f t="shared" ref="J109:J148" si="36">+$G109*I109</f>
        <v>298.77554977148139</v>
      </c>
      <c r="K109" s="170">
        <f t="shared" si="30"/>
        <v>117.21235050225611</v>
      </c>
      <c r="L109" s="175">
        <f t="shared" si="33"/>
        <v>181.56319926922527</v>
      </c>
      <c r="M109" s="172">
        <f t="shared" si="26"/>
        <v>14.587780751012236</v>
      </c>
      <c r="N109" s="173">
        <f t="shared" si="27"/>
        <v>196.15098002023751</v>
      </c>
      <c r="O109" s="172">
        <v>0</v>
      </c>
      <c r="P109" s="172">
        <v>0</v>
      </c>
      <c r="Q109" s="172">
        <v>0</v>
      </c>
      <c r="R109" s="173">
        <f t="shared" si="28"/>
        <v>196.15098002023751</v>
      </c>
    </row>
    <row r="110" spans="1:18" x14ac:dyDescent="0.25">
      <c r="A110" s="93">
        <v>7</v>
      </c>
      <c r="B110" s="165">
        <f t="shared" si="35"/>
        <v>45474</v>
      </c>
      <c r="C110" s="185">
        <f t="shared" si="32"/>
        <v>45509</v>
      </c>
      <c r="D110" s="185">
        <f t="shared" si="32"/>
        <v>45530</v>
      </c>
      <c r="E110" s="52" t="s">
        <v>19</v>
      </c>
      <c r="F110" s="130">
        <v>9</v>
      </c>
      <c r="G110" s="167">
        <v>67</v>
      </c>
      <c r="H110" s="168">
        <f t="shared" si="25"/>
        <v>1.9866500085128156</v>
      </c>
      <c r="I110" s="168">
        <f t="shared" si="34"/>
        <v>5.063992369008159</v>
      </c>
      <c r="J110" s="169">
        <f t="shared" si="36"/>
        <v>339.28748872354663</v>
      </c>
      <c r="K110" s="176">
        <f t="shared" si="30"/>
        <v>133.10555057035864</v>
      </c>
      <c r="L110" s="175">
        <f t="shared" si="33"/>
        <v>206.18193815318799</v>
      </c>
      <c r="M110" s="172">
        <f t="shared" si="26"/>
        <v>16.565784920641015</v>
      </c>
      <c r="N110" s="173">
        <f t="shared" si="27"/>
        <v>222.74772307382901</v>
      </c>
      <c r="O110" s="172">
        <v>0</v>
      </c>
      <c r="P110" s="172">
        <v>0</v>
      </c>
      <c r="Q110" s="172">
        <v>0</v>
      </c>
      <c r="R110" s="173">
        <f t="shared" si="28"/>
        <v>222.74772307382901</v>
      </c>
    </row>
    <row r="111" spans="1:18" x14ac:dyDescent="0.25">
      <c r="A111" s="130">
        <v>8</v>
      </c>
      <c r="B111" s="165">
        <f t="shared" si="35"/>
        <v>45505</v>
      </c>
      <c r="C111" s="185">
        <f t="shared" si="32"/>
        <v>45539</v>
      </c>
      <c r="D111" s="185">
        <f t="shared" si="32"/>
        <v>45559</v>
      </c>
      <c r="E111" s="52" t="s">
        <v>19</v>
      </c>
      <c r="F111" s="130">
        <v>9</v>
      </c>
      <c r="G111" s="167">
        <v>70</v>
      </c>
      <c r="H111" s="168">
        <f t="shared" si="25"/>
        <v>1.9866500085128156</v>
      </c>
      <c r="I111" s="168">
        <f t="shared" si="34"/>
        <v>5.063992369008159</v>
      </c>
      <c r="J111" s="169">
        <f t="shared" si="36"/>
        <v>354.47946583057114</v>
      </c>
      <c r="K111" s="176">
        <f t="shared" si="30"/>
        <v>139.06550059589708</v>
      </c>
      <c r="L111" s="175">
        <f t="shared" si="33"/>
        <v>215.41396523467407</v>
      </c>
      <c r="M111" s="172">
        <f t="shared" si="26"/>
        <v>17.307536484251806</v>
      </c>
      <c r="N111" s="173">
        <f t="shared" si="27"/>
        <v>232.72150171892588</v>
      </c>
      <c r="O111" s="172">
        <v>0</v>
      </c>
      <c r="P111" s="172">
        <v>0</v>
      </c>
      <c r="Q111" s="172">
        <v>0</v>
      </c>
      <c r="R111" s="173">
        <f t="shared" si="28"/>
        <v>232.72150171892588</v>
      </c>
    </row>
    <row r="112" spans="1:18" x14ac:dyDescent="0.25">
      <c r="A112" s="130">
        <v>9</v>
      </c>
      <c r="B112" s="165">
        <f t="shared" si="35"/>
        <v>45536</v>
      </c>
      <c r="C112" s="185">
        <f t="shared" si="32"/>
        <v>45568</v>
      </c>
      <c r="D112" s="185">
        <f t="shared" si="32"/>
        <v>45589</v>
      </c>
      <c r="E112" s="52" t="s">
        <v>19</v>
      </c>
      <c r="F112" s="130">
        <v>9</v>
      </c>
      <c r="G112" s="167">
        <v>72</v>
      </c>
      <c r="H112" s="168">
        <f t="shared" si="25"/>
        <v>1.9866500085128156</v>
      </c>
      <c r="I112" s="168">
        <f t="shared" si="34"/>
        <v>5.063992369008159</v>
      </c>
      <c r="J112" s="169">
        <f t="shared" si="36"/>
        <v>364.60745056858747</v>
      </c>
      <c r="K112" s="176">
        <f t="shared" si="30"/>
        <v>143.03880061292273</v>
      </c>
      <c r="L112" s="175">
        <f t="shared" si="33"/>
        <v>221.56864995566474</v>
      </c>
      <c r="M112" s="172">
        <f t="shared" si="26"/>
        <v>17.802037526658999</v>
      </c>
      <c r="N112" s="173">
        <f t="shared" si="27"/>
        <v>239.37068748232375</v>
      </c>
      <c r="O112" s="172">
        <v>0</v>
      </c>
      <c r="P112" s="172">
        <v>0</v>
      </c>
      <c r="Q112" s="172">
        <v>0</v>
      </c>
      <c r="R112" s="173">
        <f t="shared" si="28"/>
        <v>239.37068748232375</v>
      </c>
    </row>
    <row r="113" spans="1:18" x14ac:dyDescent="0.25">
      <c r="A113" s="93">
        <v>10</v>
      </c>
      <c r="B113" s="165">
        <f t="shared" si="35"/>
        <v>45566</v>
      </c>
      <c r="C113" s="185">
        <f t="shared" si="32"/>
        <v>45601</v>
      </c>
      <c r="D113" s="185">
        <f t="shared" si="32"/>
        <v>45621</v>
      </c>
      <c r="E113" s="52" t="s">
        <v>19</v>
      </c>
      <c r="F113" s="130">
        <v>9</v>
      </c>
      <c r="G113" s="167">
        <v>73</v>
      </c>
      <c r="H113" s="168">
        <f t="shared" si="25"/>
        <v>1.9866500085128156</v>
      </c>
      <c r="I113" s="168">
        <f t="shared" si="34"/>
        <v>5.063992369008159</v>
      </c>
      <c r="J113" s="169">
        <f t="shared" si="36"/>
        <v>369.6714429375956</v>
      </c>
      <c r="K113" s="176">
        <f t="shared" si="30"/>
        <v>145.02545062143554</v>
      </c>
      <c r="L113" s="175">
        <f t="shared" si="33"/>
        <v>224.64599231616006</v>
      </c>
      <c r="M113" s="172">
        <f t="shared" si="26"/>
        <v>18.049288047862596</v>
      </c>
      <c r="N113" s="173">
        <f t="shared" si="27"/>
        <v>242.69528036402266</v>
      </c>
      <c r="O113" s="172">
        <v>0</v>
      </c>
      <c r="P113" s="172">
        <v>0</v>
      </c>
      <c r="Q113" s="172">
        <v>0</v>
      </c>
      <c r="R113" s="173">
        <f t="shared" si="28"/>
        <v>242.69528036402266</v>
      </c>
    </row>
    <row r="114" spans="1:18" x14ac:dyDescent="0.25">
      <c r="A114" s="130">
        <v>11</v>
      </c>
      <c r="B114" s="165">
        <f t="shared" si="35"/>
        <v>45597</v>
      </c>
      <c r="C114" s="185">
        <f t="shared" si="32"/>
        <v>45630</v>
      </c>
      <c r="D114" s="185">
        <f t="shared" si="32"/>
        <v>45650</v>
      </c>
      <c r="E114" s="52" t="s">
        <v>19</v>
      </c>
      <c r="F114" s="130">
        <v>9</v>
      </c>
      <c r="G114" s="167">
        <v>72</v>
      </c>
      <c r="H114" s="168">
        <f t="shared" si="25"/>
        <v>1.9866500085128156</v>
      </c>
      <c r="I114" s="168">
        <f t="shared" si="34"/>
        <v>5.063992369008159</v>
      </c>
      <c r="J114" s="169">
        <f t="shared" si="36"/>
        <v>364.60745056858747</v>
      </c>
      <c r="K114" s="176">
        <f t="shared" si="30"/>
        <v>143.03880061292273</v>
      </c>
      <c r="L114" s="175">
        <f t="shared" si="33"/>
        <v>221.56864995566474</v>
      </c>
      <c r="M114" s="172">
        <f t="shared" si="26"/>
        <v>17.802037526658999</v>
      </c>
      <c r="N114" s="173">
        <f t="shared" si="27"/>
        <v>239.37068748232375</v>
      </c>
      <c r="O114" s="172">
        <v>0</v>
      </c>
      <c r="P114" s="172">
        <v>0</v>
      </c>
      <c r="Q114" s="172">
        <v>0</v>
      </c>
      <c r="R114" s="173">
        <f t="shared" si="28"/>
        <v>239.37068748232375</v>
      </c>
    </row>
    <row r="115" spans="1:18" s="189" customFormat="1" x14ac:dyDescent="0.25">
      <c r="A115" s="130">
        <v>12</v>
      </c>
      <c r="B115" s="187">
        <f t="shared" si="35"/>
        <v>45627</v>
      </c>
      <c r="C115" s="190">
        <f t="shared" si="32"/>
        <v>45660</v>
      </c>
      <c r="D115" s="190">
        <f t="shared" si="32"/>
        <v>45681</v>
      </c>
      <c r="E115" s="188" t="s">
        <v>19</v>
      </c>
      <c r="F115" s="141">
        <v>9</v>
      </c>
      <c r="G115" s="167">
        <v>65</v>
      </c>
      <c r="H115" s="177">
        <f t="shared" si="25"/>
        <v>1.9866500085128156</v>
      </c>
      <c r="I115" s="177">
        <f t="shared" si="34"/>
        <v>5.063992369008159</v>
      </c>
      <c r="J115" s="178">
        <f t="shared" si="36"/>
        <v>329.15950398553031</v>
      </c>
      <c r="K115" s="179">
        <f t="shared" si="30"/>
        <v>129.13225055333302</v>
      </c>
      <c r="L115" s="180">
        <f t="shared" si="33"/>
        <v>200.02725343219728</v>
      </c>
      <c r="M115" s="172">
        <f t="shared" si="26"/>
        <v>16.071283878233821</v>
      </c>
      <c r="N115" s="173">
        <f t="shared" si="27"/>
        <v>216.09853731043111</v>
      </c>
      <c r="O115" s="172">
        <v>0</v>
      </c>
      <c r="P115" s="172">
        <v>0</v>
      </c>
      <c r="Q115" s="172">
        <v>0</v>
      </c>
      <c r="R115" s="173">
        <f t="shared" si="28"/>
        <v>216.09853731043111</v>
      </c>
    </row>
    <row r="116" spans="1:18" x14ac:dyDescent="0.25">
      <c r="A116" s="93">
        <v>1</v>
      </c>
      <c r="B116" s="165">
        <f t="shared" si="35"/>
        <v>45292</v>
      </c>
      <c r="C116" s="185">
        <f t="shared" si="32"/>
        <v>45327</v>
      </c>
      <c r="D116" s="185">
        <f t="shared" si="32"/>
        <v>45348</v>
      </c>
      <c r="E116" s="166" t="s">
        <v>13</v>
      </c>
      <c r="F116" s="93">
        <v>9</v>
      </c>
      <c r="G116" s="167">
        <v>1452</v>
      </c>
      <c r="H116" s="168">
        <f t="shared" si="25"/>
        <v>1.9866500085128156</v>
      </c>
      <c r="I116" s="168">
        <f t="shared" si="34"/>
        <v>5.063992369008159</v>
      </c>
      <c r="J116" s="169">
        <f t="shared" si="36"/>
        <v>7352.9169197998472</v>
      </c>
      <c r="K116" s="170">
        <f t="shared" si="30"/>
        <v>2884.6158123606083</v>
      </c>
      <c r="L116" s="171">
        <f>+J116-K116</f>
        <v>4468.3011074392389</v>
      </c>
      <c r="M116" s="172">
        <f t="shared" si="26"/>
        <v>359.00775678762318</v>
      </c>
      <c r="N116" s="173">
        <f t="shared" si="27"/>
        <v>4827.3088642268622</v>
      </c>
      <c r="O116" s="172">
        <v>0</v>
      </c>
      <c r="P116" s="172">
        <v>0</v>
      </c>
      <c r="Q116" s="172">
        <v>0</v>
      </c>
      <c r="R116" s="173">
        <f t="shared" si="28"/>
        <v>4827.3088642268622</v>
      </c>
    </row>
    <row r="117" spans="1:18" x14ac:dyDescent="0.25">
      <c r="A117" s="130">
        <v>2</v>
      </c>
      <c r="B117" s="165">
        <f t="shared" si="35"/>
        <v>45323</v>
      </c>
      <c r="C117" s="185">
        <f t="shared" ref="C117:D139" si="37">+C105</f>
        <v>45356</v>
      </c>
      <c r="D117" s="185">
        <f t="shared" si="37"/>
        <v>45376</v>
      </c>
      <c r="E117" s="174" t="s">
        <v>13</v>
      </c>
      <c r="F117" s="130">
        <v>9</v>
      </c>
      <c r="G117" s="167">
        <v>966</v>
      </c>
      <c r="H117" s="168">
        <f t="shared" si="25"/>
        <v>1.9866500085128156</v>
      </c>
      <c r="I117" s="168">
        <f t="shared" si="34"/>
        <v>5.063992369008159</v>
      </c>
      <c r="J117" s="169">
        <f t="shared" si="36"/>
        <v>4891.8166284618819</v>
      </c>
      <c r="K117" s="170">
        <f t="shared" si="30"/>
        <v>1919.1039082233799</v>
      </c>
      <c r="L117" s="171">
        <f>+J117-K117</f>
        <v>2972.7127202385018</v>
      </c>
      <c r="M117" s="172">
        <f t="shared" si="26"/>
        <v>238.84400348267491</v>
      </c>
      <c r="N117" s="173">
        <f t="shared" si="27"/>
        <v>3211.5567237211767</v>
      </c>
      <c r="O117" s="172">
        <v>0</v>
      </c>
      <c r="P117" s="172">
        <v>0</v>
      </c>
      <c r="Q117" s="172">
        <v>0</v>
      </c>
      <c r="R117" s="173">
        <f t="shared" si="28"/>
        <v>3211.5567237211767</v>
      </c>
    </row>
    <row r="118" spans="1:18" x14ac:dyDescent="0.25">
      <c r="A118" s="130">
        <v>3</v>
      </c>
      <c r="B118" s="165">
        <f t="shared" si="35"/>
        <v>45352</v>
      </c>
      <c r="C118" s="185">
        <f t="shared" si="37"/>
        <v>45385</v>
      </c>
      <c r="D118" s="185">
        <f t="shared" si="37"/>
        <v>45406</v>
      </c>
      <c r="E118" s="174" t="s">
        <v>13</v>
      </c>
      <c r="F118" s="130">
        <v>9</v>
      </c>
      <c r="G118" s="167">
        <v>732</v>
      </c>
      <c r="H118" s="168">
        <f t="shared" si="25"/>
        <v>1.9866500085128156</v>
      </c>
      <c r="I118" s="168">
        <f t="shared" si="34"/>
        <v>5.063992369008159</v>
      </c>
      <c r="J118" s="169">
        <f t="shared" si="36"/>
        <v>3706.8424141139722</v>
      </c>
      <c r="K118" s="170">
        <f t="shared" si="30"/>
        <v>1454.227806231381</v>
      </c>
      <c r="L118" s="171">
        <f>+J118-K118</f>
        <v>2252.6146078825914</v>
      </c>
      <c r="M118" s="172">
        <f t="shared" si="26"/>
        <v>180.98738152103317</v>
      </c>
      <c r="N118" s="173">
        <f t="shared" si="27"/>
        <v>2433.6019894036244</v>
      </c>
      <c r="O118" s="172">
        <v>0</v>
      </c>
      <c r="P118" s="172">
        <v>0</v>
      </c>
      <c r="Q118" s="172">
        <v>0</v>
      </c>
      <c r="R118" s="173">
        <f t="shared" si="28"/>
        <v>2433.6019894036244</v>
      </c>
    </row>
    <row r="119" spans="1:18" x14ac:dyDescent="0.25">
      <c r="A119" s="93">
        <v>4</v>
      </c>
      <c r="B119" s="165">
        <f t="shared" si="35"/>
        <v>45383</v>
      </c>
      <c r="C119" s="185">
        <f t="shared" si="37"/>
        <v>45415</v>
      </c>
      <c r="D119" s="185">
        <f t="shared" si="37"/>
        <v>45436</v>
      </c>
      <c r="E119" s="52" t="s">
        <v>13</v>
      </c>
      <c r="F119" s="130">
        <v>9</v>
      </c>
      <c r="G119" s="167">
        <v>547</v>
      </c>
      <c r="H119" s="168">
        <f t="shared" si="25"/>
        <v>1.9866500085128156</v>
      </c>
      <c r="I119" s="168">
        <f t="shared" si="34"/>
        <v>5.063992369008159</v>
      </c>
      <c r="J119" s="169">
        <f t="shared" si="36"/>
        <v>2770.0038258474628</v>
      </c>
      <c r="K119" s="170">
        <f t="shared" si="30"/>
        <v>1086.6975546565102</v>
      </c>
      <c r="L119" s="171">
        <f t="shared" ref="L119:L127" si="38">+J119-K119</f>
        <v>1683.3062711909527</v>
      </c>
      <c r="M119" s="172">
        <f t="shared" si="26"/>
        <v>135.24603509836768</v>
      </c>
      <c r="N119" s="173">
        <f t="shared" si="27"/>
        <v>1818.5523062893203</v>
      </c>
      <c r="O119" s="172">
        <v>0</v>
      </c>
      <c r="P119" s="172">
        <v>0</v>
      </c>
      <c r="Q119" s="172">
        <v>0</v>
      </c>
      <c r="R119" s="173">
        <f t="shared" si="28"/>
        <v>1818.5523062893203</v>
      </c>
    </row>
    <row r="120" spans="1:18" x14ac:dyDescent="0.25">
      <c r="A120" s="130">
        <v>5</v>
      </c>
      <c r="B120" s="165">
        <f t="shared" si="35"/>
        <v>45413</v>
      </c>
      <c r="C120" s="185">
        <f t="shared" si="37"/>
        <v>45448</v>
      </c>
      <c r="D120" s="185">
        <f t="shared" si="37"/>
        <v>45467</v>
      </c>
      <c r="E120" s="52" t="s">
        <v>13</v>
      </c>
      <c r="F120" s="130">
        <v>9</v>
      </c>
      <c r="G120" s="167">
        <v>747</v>
      </c>
      <c r="H120" s="168">
        <f t="shared" si="25"/>
        <v>1.9866500085128156</v>
      </c>
      <c r="I120" s="168">
        <f t="shared" si="34"/>
        <v>5.063992369008159</v>
      </c>
      <c r="J120" s="169">
        <f t="shared" si="36"/>
        <v>3782.8022996490949</v>
      </c>
      <c r="K120" s="170">
        <f t="shared" si="30"/>
        <v>1484.0275563590733</v>
      </c>
      <c r="L120" s="171">
        <f t="shared" si="38"/>
        <v>2298.7747432900214</v>
      </c>
      <c r="M120" s="172">
        <f t="shared" si="26"/>
        <v>184.69613933908713</v>
      </c>
      <c r="N120" s="173">
        <f t="shared" si="27"/>
        <v>2483.4708826291085</v>
      </c>
      <c r="O120" s="172">
        <v>0</v>
      </c>
      <c r="P120" s="172">
        <v>0</v>
      </c>
      <c r="Q120" s="172">
        <v>0</v>
      </c>
      <c r="R120" s="173">
        <f t="shared" si="28"/>
        <v>2483.4708826291085</v>
      </c>
    </row>
    <row r="121" spans="1:18" x14ac:dyDescent="0.25">
      <c r="A121" s="130">
        <v>6</v>
      </c>
      <c r="B121" s="165">
        <f t="shared" si="35"/>
        <v>45444</v>
      </c>
      <c r="C121" s="185">
        <f t="shared" si="37"/>
        <v>45476</v>
      </c>
      <c r="D121" s="185">
        <f t="shared" si="37"/>
        <v>45497</v>
      </c>
      <c r="E121" s="52" t="s">
        <v>13</v>
      </c>
      <c r="F121" s="130">
        <v>9</v>
      </c>
      <c r="G121" s="167">
        <v>917</v>
      </c>
      <c r="H121" s="168">
        <f t="shared" si="25"/>
        <v>1.9866500085128156</v>
      </c>
      <c r="I121" s="168">
        <f t="shared" si="34"/>
        <v>5.063992369008159</v>
      </c>
      <c r="J121" s="169">
        <f t="shared" si="36"/>
        <v>4643.6810023804819</v>
      </c>
      <c r="K121" s="170">
        <f t="shared" si="30"/>
        <v>1821.7580578062518</v>
      </c>
      <c r="L121" s="175">
        <f t="shared" si="38"/>
        <v>2821.9229445742303</v>
      </c>
      <c r="M121" s="172">
        <f t="shared" si="26"/>
        <v>226.72872794369866</v>
      </c>
      <c r="N121" s="173">
        <f t="shared" si="27"/>
        <v>3048.651672517929</v>
      </c>
      <c r="O121" s="172">
        <v>0</v>
      </c>
      <c r="P121" s="172">
        <v>0</v>
      </c>
      <c r="Q121" s="172">
        <v>0</v>
      </c>
      <c r="R121" s="173">
        <f t="shared" si="28"/>
        <v>3048.651672517929</v>
      </c>
    </row>
    <row r="122" spans="1:18" x14ac:dyDescent="0.25">
      <c r="A122" s="93">
        <v>7</v>
      </c>
      <c r="B122" s="165">
        <f t="shared" si="35"/>
        <v>45474</v>
      </c>
      <c r="C122" s="185">
        <f t="shared" si="37"/>
        <v>45509</v>
      </c>
      <c r="D122" s="185">
        <f t="shared" si="37"/>
        <v>45530</v>
      </c>
      <c r="E122" s="52" t="s">
        <v>13</v>
      </c>
      <c r="F122" s="130">
        <v>9</v>
      </c>
      <c r="G122" s="167">
        <v>950</v>
      </c>
      <c r="H122" s="168">
        <f t="shared" si="25"/>
        <v>1.9866500085128156</v>
      </c>
      <c r="I122" s="168">
        <f t="shared" si="34"/>
        <v>5.063992369008159</v>
      </c>
      <c r="J122" s="169">
        <f t="shared" si="36"/>
        <v>4810.7927505577509</v>
      </c>
      <c r="K122" s="176">
        <f t="shared" si="30"/>
        <v>1887.3175080871747</v>
      </c>
      <c r="L122" s="175">
        <f t="shared" si="38"/>
        <v>2923.4752424705762</v>
      </c>
      <c r="M122" s="172">
        <f t="shared" si="26"/>
        <v>234.88799514341738</v>
      </c>
      <c r="N122" s="173">
        <f t="shared" si="27"/>
        <v>3158.3632376139935</v>
      </c>
      <c r="O122" s="172">
        <v>0</v>
      </c>
      <c r="P122" s="172">
        <v>0</v>
      </c>
      <c r="Q122" s="172">
        <v>0</v>
      </c>
      <c r="R122" s="173">
        <f t="shared" si="28"/>
        <v>3158.3632376139935</v>
      </c>
    </row>
    <row r="123" spans="1:18" x14ac:dyDescent="0.25">
      <c r="A123" s="130">
        <v>8</v>
      </c>
      <c r="B123" s="165">
        <f t="shared" si="35"/>
        <v>45505</v>
      </c>
      <c r="C123" s="185">
        <f t="shared" si="37"/>
        <v>45539</v>
      </c>
      <c r="D123" s="185">
        <f t="shared" si="37"/>
        <v>45559</v>
      </c>
      <c r="E123" s="52" t="s">
        <v>13</v>
      </c>
      <c r="F123" s="130">
        <v>9</v>
      </c>
      <c r="G123" s="167">
        <v>940</v>
      </c>
      <c r="H123" s="168">
        <f t="shared" si="25"/>
        <v>1.9866500085128156</v>
      </c>
      <c r="I123" s="168">
        <f t="shared" si="34"/>
        <v>5.063992369008159</v>
      </c>
      <c r="J123" s="169">
        <f t="shared" si="36"/>
        <v>4760.1528268676693</v>
      </c>
      <c r="K123" s="176">
        <f t="shared" si="30"/>
        <v>1867.4510080020466</v>
      </c>
      <c r="L123" s="175">
        <f t="shared" si="38"/>
        <v>2892.701818865623</v>
      </c>
      <c r="M123" s="172">
        <f t="shared" si="26"/>
        <v>232.41548993138136</v>
      </c>
      <c r="N123" s="173">
        <f t="shared" si="27"/>
        <v>3125.1173087970042</v>
      </c>
      <c r="O123" s="172">
        <v>0</v>
      </c>
      <c r="P123" s="172">
        <v>0</v>
      </c>
      <c r="Q123" s="172">
        <v>0</v>
      </c>
      <c r="R123" s="173">
        <f t="shared" si="28"/>
        <v>3125.1173087970042</v>
      </c>
    </row>
    <row r="124" spans="1:18" x14ac:dyDescent="0.25">
      <c r="A124" s="130">
        <v>9</v>
      </c>
      <c r="B124" s="165">
        <f t="shared" si="35"/>
        <v>45536</v>
      </c>
      <c r="C124" s="185">
        <f t="shared" si="37"/>
        <v>45568</v>
      </c>
      <c r="D124" s="185">
        <f t="shared" si="37"/>
        <v>45589</v>
      </c>
      <c r="E124" s="52" t="s">
        <v>13</v>
      </c>
      <c r="F124" s="130">
        <v>9</v>
      </c>
      <c r="G124" s="167">
        <v>816</v>
      </c>
      <c r="H124" s="168">
        <f t="shared" si="25"/>
        <v>1.9866500085128156</v>
      </c>
      <c r="I124" s="168">
        <f t="shared" si="34"/>
        <v>5.063992369008159</v>
      </c>
      <c r="J124" s="169">
        <f t="shared" si="36"/>
        <v>4132.2177731106576</v>
      </c>
      <c r="K124" s="176">
        <f t="shared" si="30"/>
        <v>1621.1064069464576</v>
      </c>
      <c r="L124" s="175">
        <f t="shared" si="38"/>
        <v>2511.1113661642003</v>
      </c>
      <c r="M124" s="172">
        <f t="shared" si="26"/>
        <v>201.75642530213531</v>
      </c>
      <c r="N124" s="173">
        <f t="shared" si="27"/>
        <v>2712.8677914663358</v>
      </c>
      <c r="O124" s="172">
        <v>0</v>
      </c>
      <c r="P124" s="172">
        <v>0</v>
      </c>
      <c r="Q124" s="172">
        <v>0</v>
      </c>
      <c r="R124" s="173">
        <f t="shared" si="28"/>
        <v>2712.8677914663358</v>
      </c>
    </row>
    <row r="125" spans="1:18" x14ac:dyDescent="0.25">
      <c r="A125" s="93">
        <v>10</v>
      </c>
      <c r="B125" s="165">
        <f t="shared" si="35"/>
        <v>45566</v>
      </c>
      <c r="C125" s="185">
        <f t="shared" si="37"/>
        <v>45601</v>
      </c>
      <c r="D125" s="185">
        <f t="shared" si="37"/>
        <v>45621</v>
      </c>
      <c r="E125" s="52" t="s">
        <v>13</v>
      </c>
      <c r="F125" s="130">
        <v>9</v>
      </c>
      <c r="G125" s="167">
        <v>683</v>
      </c>
      <c r="H125" s="168">
        <f t="shared" si="25"/>
        <v>1.9866500085128156</v>
      </c>
      <c r="I125" s="168">
        <f t="shared" si="34"/>
        <v>5.063992369008159</v>
      </c>
      <c r="J125" s="169">
        <f t="shared" si="36"/>
        <v>3458.7067880325726</v>
      </c>
      <c r="K125" s="176">
        <f t="shared" si="30"/>
        <v>1356.8819558142532</v>
      </c>
      <c r="L125" s="175">
        <f t="shared" si="38"/>
        <v>2101.8248322183194</v>
      </c>
      <c r="M125" s="172">
        <f t="shared" si="26"/>
        <v>168.87210598205692</v>
      </c>
      <c r="N125" s="173">
        <f t="shared" si="27"/>
        <v>2270.6969382003763</v>
      </c>
      <c r="O125" s="172">
        <v>0</v>
      </c>
      <c r="P125" s="172">
        <v>0</v>
      </c>
      <c r="Q125" s="172">
        <v>0</v>
      </c>
      <c r="R125" s="173">
        <f t="shared" si="28"/>
        <v>2270.6969382003763</v>
      </c>
    </row>
    <row r="126" spans="1:18" x14ac:dyDescent="0.25">
      <c r="A126" s="130">
        <v>11</v>
      </c>
      <c r="B126" s="165">
        <f t="shared" si="35"/>
        <v>45597</v>
      </c>
      <c r="C126" s="185">
        <f t="shared" si="37"/>
        <v>45630</v>
      </c>
      <c r="D126" s="185">
        <f t="shared" si="37"/>
        <v>45650</v>
      </c>
      <c r="E126" s="52" t="s">
        <v>13</v>
      </c>
      <c r="F126" s="130">
        <v>9</v>
      </c>
      <c r="G126" s="167">
        <v>525</v>
      </c>
      <c r="H126" s="168">
        <f t="shared" si="25"/>
        <v>1.9866500085128156</v>
      </c>
      <c r="I126" s="168">
        <f t="shared" si="34"/>
        <v>5.063992369008159</v>
      </c>
      <c r="J126" s="169">
        <f t="shared" si="36"/>
        <v>2658.5959937292832</v>
      </c>
      <c r="K126" s="176">
        <f t="shared" si="30"/>
        <v>1042.9912544692281</v>
      </c>
      <c r="L126" s="175">
        <f t="shared" si="38"/>
        <v>1615.6047392600551</v>
      </c>
      <c r="M126" s="172">
        <f t="shared" si="26"/>
        <v>129.80652363188855</v>
      </c>
      <c r="N126" s="173">
        <f t="shared" si="27"/>
        <v>1745.4112628919436</v>
      </c>
      <c r="O126" s="172">
        <v>0</v>
      </c>
      <c r="P126" s="172">
        <v>0</v>
      </c>
      <c r="Q126" s="172">
        <v>0</v>
      </c>
      <c r="R126" s="173">
        <f t="shared" si="28"/>
        <v>1745.4112628919436</v>
      </c>
    </row>
    <row r="127" spans="1:18" s="189" customFormat="1" x14ac:dyDescent="0.25">
      <c r="A127" s="130">
        <v>12</v>
      </c>
      <c r="B127" s="187">
        <f t="shared" si="35"/>
        <v>45627</v>
      </c>
      <c r="C127" s="190">
        <f t="shared" si="37"/>
        <v>45660</v>
      </c>
      <c r="D127" s="190">
        <f t="shared" si="37"/>
        <v>45681</v>
      </c>
      <c r="E127" s="188" t="s">
        <v>13</v>
      </c>
      <c r="F127" s="141">
        <v>9</v>
      </c>
      <c r="G127" s="167">
        <v>863</v>
      </c>
      <c r="H127" s="177">
        <f t="shared" si="25"/>
        <v>1.9866500085128156</v>
      </c>
      <c r="I127" s="177">
        <f t="shared" si="34"/>
        <v>5.063992369008159</v>
      </c>
      <c r="J127" s="178">
        <f t="shared" si="36"/>
        <v>4370.2254144540411</v>
      </c>
      <c r="K127" s="179">
        <f t="shared" si="30"/>
        <v>1714.4789573465598</v>
      </c>
      <c r="L127" s="180">
        <f t="shared" si="38"/>
        <v>2655.7464571074815</v>
      </c>
      <c r="M127" s="172">
        <f t="shared" si="26"/>
        <v>213.3771997987044</v>
      </c>
      <c r="N127" s="173">
        <f t="shared" si="27"/>
        <v>2869.1236569061857</v>
      </c>
      <c r="O127" s="172">
        <v>0</v>
      </c>
      <c r="P127" s="172">
        <v>0</v>
      </c>
      <c r="Q127" s="172">
        <v>0</v>
      </c>
      <c r="R127" s="173">
        <f t="shared" si="28"/>
        <v>2869.1236569061857</v>
      </c>
    </row>
    <row r="128" spans="1:18" x14ac:dyDescent="0.25">
      <c r="A128" s="93">
        <v>1</v>
      </c>
      <c r="B128" s="165">
        <f t="shared" si="35"/>
        <v>45292</v>
      </c>
      <c r="C128" s="185">
        <f t="shared" si="37"/>
        <v>45327</v>
      </c>
      <c r="D128" s="185">
        <f t="shared" si="37"/>
        <v>45348</v>
      </c>
      <c r="E128" s="166" t="s">
        <v>15</v>
      </c>
      <c r="F128" s="93">
        <v>9</v>
      </c>
      <c r="G128" s="167">
        <v>8</v>
      </c>
      <c r="H128" s="168">
        <f t="shared" si="25"/>
        <v>1.9866500085128156</v>
      </c>
      <c r="I128" s="168">
        <f t="shared" ref="I128:I147" si="39">$J$3</f>
        <v>5.063992369008159</v>
      </c>
      <c r="J128" s="169">
        <f t="shared" si="36"/>
        <v>40.511938952065272</v>
      </c>
      <c r="K128" s="170">
        <f t="shared" si="30"/>
        <v>15.893200068102525</v>
      </c>
      <c r="L128" s="171">
        <f>+J128-K128</f>
        <v>24.618738883962749</v>
      </c>
      <c r="M128" s="172">
        <f t="shared" si="26"/>
        <v>1.9780041696287778</v>
      </c>
      <c r="N128" s="173">
        <f t="shared" si="27"/>
        <v>26.596743053591528</v>
      </c>
      <c r="O128" s="172">
        <v>0</v>
      </c>
      <c r="P128" s="172">
        <v>0</v>
      </c>
      <c r="Q128" s="172">
        <v>0</v>
      </c>
      <c r="R128" s="173">
        <f t="shared" si="28"/>
        <v>26.596743053591528</v>
      </c>
    </row>
    <row r="129" spans="1:18" x14ac:dyDescent="0.25">
      <c r="A129" s="130">
        <v>2</v>
      </c>
      <c r="B129" s="165">
        <f t="shared" si="35"/>
        <v>45323</v>
      </c>
      <c r="C129" s="185">
        <f t="shared" si="37"/>
        <v>45356</v>
      </c>
      <c r="D129" s="185">
        <f t="shared" si="37"/>
        <v>45376</v>
      </c>
      <c r="E129" s="174" t="s">
        <v>15</v>
      </c>
      <c r="F129" s="130">
        <v>9</v>
      </c>
      <c r="G129" s="167">
        <v>5</v>
      </c>
      <c r="H129" s="168">
        <f t="shared" si="25"/>
        <v>1.9866500085128156</v>
      </c>
      <c r="I129" s="168">
        <f t="shared" si="39"/>
        <v>5.063992369008159</v>
      </c>
      <c r="J129" s="169">
        <f t="shared" si="36"/>
        <v>25.319961845040794</v>
      </c>
      <c r="K129" s="170">
        <f t="shared" si="30"/>
        <v>9.9332500425640777</v>
      </c>
      <c r="L129" s="171">
        <f>+J129-K129</f>
        <v>15.386711802476716</v>
      </c>
      <c r="M129" s="172">
        <f t="shared" si="26"/>
        <v>1.2362526060179861</v>
      </c>
      <c r="N129" s="173">
        <f t="shared" si="27"/>
        <v>16.622964408494703</v>
      </c>
      <c r="O129" s="172">
        <v>0</v>
      </c>
      <c r="P129" s="172">
        <v>0</v>
      </c>
      <c r="Q129" s="172">
        <v>0</v>
      </c>
      <c r="R129" s="173">
        <f t="shared" si="28"/>
        <v>16.622964408494703</v>
      </c>
    </row>
    <row r="130" spans="1:18" x14ac:dyDescent="0.25">
      <c r="A130" s="130">
        <v>3</v>
      </c>
      <c r="B130" s="165">
        <f t="shared" si="35"/>
        <v>45352</v>
      </c>
      <c r="C130" s="185">
        <f t="shared" si="37"/>
        <v>45385</v>
      </c>
      <c r="D130" s="185">
        <f t="shared" si="37"/>
        <v>45406</v>
      </c>
      <c r="E130" s="174" t="s">
        <v>15</v>
      </c>
      <c r="F130" s="130">
        <v>9</v>
      </c>
      <c r="G130" s="167">
        <v>5</v>
      </c>
      <c r="H130" s="168">
        <f t="shared" si="25"/>
        <v>1.9866500085128156</v>
      </c>
      <c r="I130" s="168">
        <f t="shared" si="39"/>
        <v>5.063992369008159</v>
      </c>
      <c r="J130" s="169">
        <f t="shared" si="36"/>
        <v>25.319961845040794</v>
      </c>
      <c r="K130" s="170">
        <f t="shared" si="30"/>
        <v>9.9332500425640777</v>
      </c>
      <c r="L130" s="171">
        <f>+J130-K130</f>
        <v>15.386711802476716</v>
      </c>
      <c r="M130" s="172">
        <f t="shared" si="26"/>
        <v>1.2362526060179861</v>
      </c>
      <c r="N130" s="173">
        <f t="shared" si="27"/>
        <v>16.622964408494703</v>
      </c>
      <c r="O130" s="172">
        <v>0</v>
      </c>
      <c r="P130" s="172">
        <v>0</v>
      </c>
      <c r="Q130" s="172">
        <v>0</v>
      </c>
      <c r="R130" s="173">
        <f t="shared" si="28"/>
        <v>16.622964408494703</v>
      </c>
    </row>
    <row r="131" spans="1:18" x14ac:dyDescent="0.25">
      <c r="A131" s="93">
        <v>4</v>
      </c>
      <c r="B131" s="165">
        <f t="shared" si="35"/>
        <v>45383</v>
      </c>
      <c r="C131" s="185">
        <f t="shared" si="37"/>
        <v>45415</v>
      </c>
      <c r="D131" s="185">
        <f t="shared" si="37"/>
        <v>45436</v>
      </c>
      <c r="E131" s="174" t="s">
        <v>15</v>
      </c>
      <c r="F131" s="130">
        <v>9</v>
      </c>
      <c r="G131" s="167">
        <v>6</v>
      </c>
      <c r="H131" s="168">
        <f t="shared" si="25"/>
        <v>1.9866500085128156</v>
      </c>
      <c r="I131" s="168">
        <f t="shared" si="39"/>
        <v>5.063992369008159</v>
      </c>
      <c r="J131" s="169">
        <f t="shared" si="36"/>
        <v>30.383954214048956</v>
      </c>
      <c r="K131" s="170">
        <f t="shared" si="30"/>
        <v>11.919900051076894</v>
      </c>
      <c r="L131" s="171">
        <f t="shared" ref="L131:L141" si="40">+J131-K131</f>
        <v>18.464054162972062</v>
      </c>
      <c r="M131" s="172">
        <f t="shared" si="26"/>
        <v>1.4835031272215833</v>
      </c>
      <c r="N131" s="173">
        <f t="shared" si="27"/>
        <v>19.947557290193643</v>
      </c>
      <c r="O131" s="172">
        <v>0</v>
      </c>
      <c r="P131" s="172">
        <v>0</v>
      </c>
      <c r="Q131" s="172">
        <v>0</v>
      </c>
      <c r="R131" s="173">
        <f t="shared" si="28"/>
        <v>19.947557290193643</v>
      </c>
    </row>
    <row r="132" spans="1:18" x14ac:dyDescent="0.25">
      <c r="A132" s="130">
        <v>5</v>
      </c>
      <c r="B132" s="165">
        <f t="shared" si="35"/>
        <v>45413</v>
      </c>
      <c r="C132" s="185">
        <f t="shared" si="37"/>
        <v>45448</v>
      </c>
      <c r="D132" s="185">
        <f t="shared" si="37"/>
        <v>45467</v>
      </c>
      <c r="E132" s="52" t="s">
        <v>15</v>
      </c>
      <c r="F132" s="130">
        <v>9</v>
      </c>
      <c r="G132" s="167">
        <v>9</v>
      </c>
      <c r="H132" s="168">
        <f t="shared" si="25"/>
        <v>1.9866500085128156</v>
      </c>
      <c r="I132" s="168">
        <f t="shared" si="39"/>
        <v>5.063992369008159</v>
      </c>
      <c r="J132" s="169">
        <f t="shared" si="36"/>
        <v>45.575931321073433</v>
      </c>
      <c r="K132" s="170">
        <f t="shared" si="30"/>
        <v>17.879850076615341</v>
      </c>
      <c r="L132" s="171">
        <f t="shared" si="40"/>
        <v>27.696081244458092</v>
      </c>
      <c r="M132" s="172">
        <f t="shared" si="26"/>
        <v>2.2252546908323749</v>
      </c>
      <c r="N132" s="173">
        <f t="shared" si="27"/>
        <v>29.921335935290468</v>
      </c>
      <c r="O132" s="172">
        <v>0</v>
      </c>
      <c r="P132" s="172">
        <v>0</v>
      </c>
      <c r="Q132" s="172">
        <v>0</v>
      </c>
      <c r="R132" s="173">
        <f t="shared" si="28"/>
        <v>29.921335935290468</v>
      </c>
    </row>
    <row r="133" spans="1:18" x14ac:dyDescent="0.25">
      <c r="A133" s="130">
        <v>6</v>
      </c>
      <c r="B133" s="165">
        <f t="shared" si="35"/>
        <v>45444</v>
      </c>
      <c r="C133" s="185">
        <f t="shared" si="37"/>
        <v>45476</v>
      </c>
      <c r="D133" s="185">
        <f t="shared" si="37"/>
        <v>45497</v>
      </c>
      <c r="E133" s="52" t="s">
        <v>15</v>
      </c>
      <c r="F133" s="130">
        <v>9</v>
      </c>
      <c r="G133" s="167">
        <v>14</v>
      </c>
      <c r="H133" s="168">
        <f t="shared" si="25"/>
        <v>1.9866500085128156</v>
      </c>
      <c r="I133" s="168">
        <f t="shared" si="39"/>
        <v>5.063992369008159</v>
      </c>
      <c r="J133" s="169">
        <f t="shared" si="36"/>
        <v>70.89589316611422</v>
      </c>
      <c r="K133" s="170">
        <f t="shared" si="30"/>
        <v>27.813100119179417</v>
      </c>
      <c r="L133" s="175">
        <f t="shared" si="40"/>
        <v>43.082793046934803</v>
      </c>
      <c r="M133" s="172">
        <f t="shared" si="26"/>
        <v>3.4615072968503613</v>
      </c>
      <c r="N133" s="173">
        <f t="shared" si="27"/>
        <v>46.544300343785167</v>
      </c>
      <c r="O133" s="172">
        <v>0</v>
      </c>
      <c r="P133" s="172">
        <v>0</v>
      </c>
      <c r="Q133" s="172">
        <v>0</v>
      </c>
      <c r="R133" s="173">
        <f t="shared" si="28"/>
        <v>46.544300343785167</v>
      </c>
    </row>
    <row r="134" spans="1:18" x14ac:dyDescent="0.25">
      <c r="A134" s="93">
        <v>7</v>
      </c>
      <c r="B134" s="165">
        <f t="shared" si="35"/>
        <v>45474</v>
      </c>
      <c r="C134" s="185">
        <f t="shared" si="37"/>
        <v>45509</v>
      </c>
      <c r="D134" s="185">
        <f t="shared" si="37"/>
        <v>45530</v>
      </c>
      <c r="E134" s="52" t="s">
        <v>15</v>
      </c>
      <c r="F134" s="130">
        <v>9</v>
      </c>
      <c r="G134" s="167">
        <v>17</v>
      </c>
      <c r="H134" s="168">
        <f t="shared" si="25"/>
        <v>1.9866500085128156</v>
      </c>
      <c r="I134" s="168">
        <f t="shared" si="39"/>
        <v>5.063992369008159</v>
      </c>
      <c r="J134" s="169">
        <f t="shared" si="36"/>
        <v>86.087870273138705</v>
      </c>
      <c r="K134" s="176">
        <f t="shared" ref="K134:K197" si="41">+$G134*H134</f>
        <v>33.773050144717864</v>
      </c>
      <c r="L134" s="175">
        <f t="shared" si="40"/>
        <v>52.314820128420841</v>
      </c>
      <c r="M134" s="172">
        <f t="shared" si="26"/>
        <v>4.2032588604611529</v>
      </c>
      <c r="N134" s="173">
        <f t="shared" si="27"/>
        <v>56.518078988881996</v>
      </c>
      <c r="O134" s="172">
        <v>0</v>
      </c>
      <c r="P134" s="172">
        <v>0</v>
      </c>
      <c r="Q134" s="172">
        <v>0</v>
      </c>
      <c r="R134" s="173">
        <f t="shared" si="28"/>
        <v>56.518078988881996</v>
      </c>
    </row>
    <row r="135" spans="1:18" x14ac:dyDescent="0.25">
      <c r="A135" s="130">
        <v>8</v>
      </c>
      <c r="B135" s="165">
        <f t="shared" si="35"/>
        <v>45505</v>
      </c>
      <c r="C135" s="185">
        <f t="shared" si="37"/>
        <v>45539</v>
      </c>
      <c r="D135" s="185">
        <f t="shared" si="37"/>
        <v>45559</v>
      </c>
      <c r="E135" s="52" t="s">
        <v>15</v>
      </c>
      <c r="F135" s="130">
        <v>9</v>
      </c>
      <c r="G135" s="167">
        <v>19</v>
      </c>
      <c r="H135" s="168">
        <f t="shared" si="25"/>
        <v>1.9866500085128156</v>
      </c>
      <c r="I135" s="168">
        <f t="shared" si="39"/>
        <v>5.063992369008159</v>
      </c>
      <c r="J135" s="169">
        <f t="shared" si="36"/>
        <v>96.215855011155014</v>
      </c>
      <c r="K135" s="176">
        <f t="shared" si="41"/>
        <v>37.746350161743493</v>
      </c>
      <c r="L135" s="175">
        <f t="shared" si="40"/>
        <v>58.469504849411521</v>
      </c>
      <c r="M135" s="172">
        <f t="shared" si="26"/>
        <v>4.6977599028683477</v>
      </c>
      <c r="N135" s="173">
        <f t="shared" si="27"/>
        <v>63.16726475227987</v>
      </c>
      <c r="O135" s="172">
        <v>0</v>
      </c>
      <c r="P135" s="172">
        <v>0</v>
      </c>
      <c r="Q135" s="172">
        <v>0</v>
      </c>
      <c r="R135" s="173">
        <f t="shared" si="28"/>
        <v>63.16726475227987</v>
      </c>
    </row>
    <row r="136" spans="1:18" x14ac:dyDescent="0.25">
      <c r="A136" s="130">
        <v>9</v>
      </c>
      <c r="B136" s="165">
        <f t="shared" si="35"/>
        <v>45536</v>
      </c>
      <c r="C136" s="185">
        <f t="shared" si="37"/>
        <v>45568</v>
      </c>
      <c r="D136" s="185">
        <f t="shared" si="37"/>
        <v>45589</v>
      </c>
      <c r="E136" s="52" t="s">
        <v>15</v>
      </c>
      <c r="F136" s="130">
        <v>9</v>
      </c>
      <c r="G136" s="167">
        <v>11</v>
      </c>
      <c r="H136" s="168">
        <f t="shared" si="25"/>
        <v>1.9866500085128156</v>
      </c>
      <c r="I136" s="168">
        <f t="shared" si="39"/>
        <v>5.063992369008159</v>
      </c>
      <c r="J136" s="169">
        <f t="shared" si="36"/>
        <v>55.70391605908975</v>
      </c>
      <c r="K136" s="176">
        <f t="shared" si="41"/>
        <v>21.85315009364097</v>
      </c>
      <c r="L136" s="175">
        <f t="shared" si="40"/>
        <v>33.85076596544878</v>
      </c>
      <c r="M136" s="172">
        <f t="shared" si="26"/>
        <v>2.7197557332395692</v>
      </c>
      <c r="N136" s="173">
        <f t="shared" si="27"/>
        <v>36.570521698688346</v>
      </c>
      <c r="O136" s="172">
        <v>0</v>
      </c>
      <c r="P136" s="172">
        <v>0</v>
      </c>
      <c r="Q136" s="172">
        <v>0</v>
      </c>
      <c r="R136" s="173">
        <f t="shared" si="28"/>
        <v>36.570521698688346</v>
      </c>
    </row>
    <row r="137" spans="1:18" x14ac:dyDescent="0.25">
      <c r="A137" s="93">
        <v>10</v>
      </c>
      <c r="B137" s="165">
        <f t="shared" si="35"/>
        <v>45566</v>
      </c>
      <c r="C137" s="185">
        <f t="shared" si="37"/>
        <v>45601</v>
      </c>
      <c r="D137" s="185">
        <f t="shared" si="37"/>
        <v>45621</v>
      </c>
      <c r="E137" s="52" t="s">
        <v>15</v>
      </c>
      <c r="F137" s="130">
        <v>9</v>
      </c>
      <c r="G137" s="167">
        <v>6</v>
      </c>
      <c r="H137" s="168">
        <f t="shared" si="25"/>
        <v>1.9866500085128156</v>
      </c>
      <c r="I137" s="168">
        <f t="shared" si="39"/>
        <v>5.063992369008159</v>
      </c>
      <c r="J137" s="169">
        <f t="shared" si="36"/>
        <v>30.383954214048956</v>
      </c>
      <c r="K137" s="176">
        <f t="shared" si="41"/>
        <v>11.919900051076894</v>
      </c>
      <c r="L137" s="175">
        <f t="shared" si="40"/>
        <v>18.464054162972062</v>
      </c>
      <c r="M137" s="172">
        <f t="shared" si="26"/>
        <v>1.4835031272215833</v>
      </c>
      <c r="N137" s="173">
        <f t="shared" si="27"/>
        <v>19.947557290193643</v>
      </c>
      <c r="O137" s="172">
        <v>0</v>
      </c>
      <c r="P137" s="172">
        <v>0</v>
      </c>
      <c r="Q137" s="172">
        <v>0</v>
      </c>
      <c r="R137" s="173">
        <f t="shared" si="28"/>
        <v>19.947557290193643</v>
      </c>
    </row>
    <row r="138" spans="1:18" x14ac:dyDescent="0.25">
      <c r="A138" s="130">
        <v>11</v>
      </c>
      <c r="B138" s="165">
        <f t="shared" si="35"/>
        <v>45597</v>
      </c>
      <c r="C138" s="185">
        <f t="shared" si="37"/>
        <v>45630</v>
      </c>
      <c r="D138" s="185">
        <f t="shared" si="37"/>
        <v>45650</v>
      </c>
      <c r="E138" s="52" t="s">
        <v>15</v>
      </c>
      <c r="F138" s="130">
        <v>9</v>
      </c>
      <c r="G138" s="167">
        <v>6</v>
      </c>
      <c r="H138" s="168">
        <f t="shared" si="25"/>
        <v>1.9866500085128156</v>
      </c>
      <c r="I138" s="168">
        <f t="shared" si="39"/>
        <v>5.063992369008159</v>
      </c>
      <c r="J138" s="169">
        <f t="shared" si="36"/>
        <v>30.383954214048956</v>
      </c>
      <c r="K138" s="176">
        <f t="shared" si="41"/>
        <v>11.919900051076894</v>
      </c>
      <c r="L138" s="175">
        <f t="shared" si="40"/>
        <v>18.464054162972062</v>
      </c>
      <c r="M138" s="172">
        <f t="shared" si="26"/>
        <v>1.4835031272215833</v>
      </c>
      <c r="N138" s="173">
        <f t="shared" si="27"/>
        <v>19.947557290193643</v>
      </c>
      <c r="O138" s="172">
        <v>0</v>
      </c>
      <c r="P138" s="172">
        <v>0</v>
      </c>
      <c r="Q138" s="172">
        <v>0</v>
      </c>
      <c r="R138" s="173">
        <f t="shared" si="28"/>
        <v>19.947557290193643</v>
      </c>
    </row>
    <row r="139" spans="1:18" s="189" customFormat="1" x14ac:dyDescent="0.25">
      <c r="A139" s="130">
        <v>12</v>
      </c>
      <c r="B139" s="187">
        <f t="shared" si="35"/>
        <v>45627</v>
      </c>
      <c r="C139" s="185">
        <f t="shared" si="37"/>
        <v>45660</v>
      </c>
      <c r="D139" s="185">
        <f t="shared" si="37"/>
        <v>45681</v>
      </c>
      <c r="E139" s="188" t="s">
        <v>15</v>
      </c>
      <c r="F139" s="141">
        <v>9</v>
      </c>
      <c r="G139" s="167">
        <v>6</v>
      </c>
      <c r="H139" s="177">
        <f t="shared" si="25"/>
        <v>1.9866500085128156</v>
      </c>
      <c r="I139" s="177">
        <f t="shared" si="39"/>
        <v>5.063992369008159</v>
      </c>
      <c r="J139" s="178">
        <f t="shared" si="36"/>
        <v>30.383954214048956</v>
      </c>
      <c r="K139" s="179">
        <f t="shared" si="41"/>
        <v>11.919900051076894</v>
      </c>
      <c r="L139" s="180">
        <f t="shared" si="40"/>
        <v>18.464054162972062</v>
      </c>
      <c r="M139" s="172">
        <f t="shared" si="26"/>
        <v>1.4835031272215833</v>
      </c>
      <c r="N139" s="173">
        <f t="shared" si="27"/>
        <v>19.947557290193643</v>
      </c>
      <c r="O139" s="172">
        <v>0</v>
      </c>
      <c r="P139" s="172">
        <v>0</v>
      </c>
      <c r="Q139" s="172">
        <v>0</v>
      </c>
      <c r="R139" s="173">
        <f t="shared" si="28"/>
        <v>19.947557290193643</v>
      </c>
    </row>
    <row r="140" spans="1:18" x14ac:dyDescent="0.25">
      <c r="A140" s="93">
        <v>1</v>
      </c>
      <c r="B140" s="165">
        <f t="shared" si="35"/>
        <v>45292</v>
      </c>
      <c r="C140" s="182">
        <f t="shared" ref="C140:D151" si="42">+C128</f>
        <v>45327</v>
      </c>
      <c r="D140" s="182">
        <f t="shared" si="42"/>
        <v>45348</v>
      </c>
      <c r="E140" s="192" t="s">
        <v>16</v>
      </c>
      <c r="F140" s="130">
        <v>9</v>
      </c>
      <c r="G140" s="167">
        <v>4</v>
      </c>
      <c r="H140" s="168">
        <f t="shared" si="25"/>
        <v>1.9866500085128156</v>
      </c>
      <c r="I140" s="168">
        <f t="shared" si="39"/>
        <v>5.063992369008159</v>
      </c>
      <c r="J140" s="169">
        <f t="shared" si="36"/>
        <v>20.255969476032636</v>
      </c>
      <c r="K140" s="170">
        <f t="shared" si="41"/>
        <v>7.9466000340512624</v>
      </c>
      <c r="L140" s="171">
        <f t="shared" si="40"/>
        <v>12.309369441981374</v>
      </c>
      <c r="M140" s="172">
        <f t="shared" si="26"/>
        <v>0.98900208481438889</v>
      </c>
      <c r="N140" s="173">
        <f t="shared" si="27"/>
        <v>13.298371526795764</v>
      </c>
      <c r="O140" s="172">
        <v>0</v>
      </c>
      <c r="P140" s="172">
        <v>0</v>
      </c>
      <c r="Q140" s="172">
        <v>0</v>
      </c>
      <c r="R140" s="173">
        <f t="shared" si="28"/>
        <v>13.298371526795764</v>
      </c>
    </row>
    <row r="141" spans="1:18" x14ac:dyDescent="0.25">
      <c r="A141" s="130">
        <v>2</v>
      </c>
      <c r="B141" s="165">
        <f t="shared" si="35"/>
        <v>45323</v>
      </c>
      <c r="C141" s="185">
        <f t="shared" si="42"/>
        <v>45356</v>
      </c>
      <c r="D141" s="185">
        <f t="shared" si="42"/>
        <v>45376</v>
      </c>
      <c r="E141" s="52" t="s">
        <v>16</v>
      </c>
      <c r="F141" s="130">
        <v>9</v>
      </c>
      <c r="G141" s="167">
        <v>3</v>
      </c>
      <c r="H141" s="168">
        <f t="shared" si="25"/>
        <v>1.9866500085128156</v>
      </c>
      <c r="I141" s="168">
        <f t="shared" si="39"/>
        <v>5.063992369008159</v>
      </c>
      <c r="J141" s="169">
        <f t="shared" si="36"/>
        <v>15.191977107024478</v>
      </c>
      <c r="K141" s="170">
        <f t="shared" si="41"/>
        <v>5.959950025538447</v>
      </c>
      <c r="L141" s="171">
        <f t="shared" si="40"/>
        <v>9.2320270814860308</v>
      </c>
      <c r="M141" s="172">
        <f t="shared" si="26"/>
        <v>0.74175156361079164</v>
      </c>
      <c r="N141" s="173">
        <f t="shared" si="27"/>
        <v>9.9737786450968215</v>
      </c>
      <c r="O141" s="172">
        <v>0</v>
      </c>
      <c r="P141" s="172">
        <v>0</v>
      </c>
      <c r="Q141" s="172">
        <v>0</v>
      </c>
      <c r="R141" s="173">
        <f t="shared" si="28"/>
        <v>9.9737786450968215</v>
      </c>
    </row>
    <row r="142" spans="1:18" x14ac:dyDescent="0.25">
      <c r="A142" s="130">
        <v>3</v>
      </c>
      <c r="B142" s="165">
        <f t="shared" si="35"/>
        <v>45352</v>
      </c>
      <c r="C142" s="185">
        <f t="shared" si="42"/>
        <v>45385</v>
      </c>
      <c r="D142" s="185">
        <f t="shared" si="42"/>
        <v>45406</v>
      </c>
      <c r="E142" s="52" t="s">
        <v>16</v>
      </c>
      <c r="F142" s="130">
        <v>9</v>
      </c>
      <c r="G142" s="167">
        <v>3</v>
      </c>
      <c r="H142" s="168">
        <f t="shared" si="25"/>
        <v>1.9866500085128156</v>
      </c>
      <c r="I142" s="168">
        <f t="shared" si="39"/>
        <v>5.063992369008159</v>
      </c>
      <c r="J142" s="169">
        <f t="shared" si="36"/>
        <v>15.191977107024478</v>
      </c>
      <c r="K142" s="170">
        <f t="shared" si="41"/>
        <v>5.959950025538447</v>
      </c>
      <c r="L142" s="171">
        <f>+J142-K142</f>
        <v>9.2320270814860308</v>
      </c>
      <c r="M142" s="172">
        <f t="shared" si="26"/>
        <v>0.74175156361079164</v>
      </c>
      <c r="N142" s="173">
        <f t="shared" si="27"/>
        <v>9.9737786450968215</v>
      </c>
      <c r="O142" s="172">
        <v>0</v>
      </c>
      <c r="P142" s="172">
        <v>0</v>
      </c>
      <c r="Q142" s="172">
        <v>0</v>
      </c>
      <c r="R142" s="173">
        <f t="shared" si="28"/>
        <v>9.9737786450968215</v>
      </c>
    </row>
    <row r="143" spans="1:18" x14ac:dyDescent="0.25">
      <c r="A143" s="93">
        <v>4</v>
      </c>
      <c r="B143" s="165">
        <f t="shared" si="35"/>
        <v>45383</v>
      </c>
      <c r="C143" s="185">
        <f t="shared" si="42"/>
        <v>45415</v>
      </c>
      <c r="D143" s="185">
        <f t="shared" si="42"/>
        <v>45436</v>
      </c>
      <c r="E143" s="52" t="s">
        <v>16</v>
      </c>
      <c r="F143" s="130">
        <v>9</v>
      </c>
      <c r="G143" s="167">
        <v>2</v>
      </c>
      <c r="H143" s="168">
        <f t="shared" si="25"/>
        <v>1.9866500085128156</v>
      </c>
      <c r="I143" s="168">
        <f t="shared" si="39"/>
        <v>5.063992369008159</v>
      </c>
      <c r="J143" s="169">
        <f t="shared" si="36"/>
        <v>10.127984738016318</v>
      </c>
      <c r="K143" s="170">
        <f t="shared" si="41"/>
        <v>3.9733000170256312</v>
      </c>
      <c r="L143" s="171">
        <f t="shared" ref="L143:L153" si="43">+J143-K143</f>
        <v>6.1546847209906872</v>
      </c>
      <c r="M143" s="172">
        <f t="shared" si="26"/>
        <v>0.49450104240719445</v>
      </c>
      <c r="N143" s="173">
        <f t="shared" si="27"/>
        <v>6.6491857633978819</v>
      </c>
      <c r="O143" s="172">
        <v>0</v>
      </c>
      <c r="P143" s="172">
        <v>0</v>
      </c>
      <c r="Q143" s="172">
        <v>0</v>
      </c>
      <c r="R143" s="173">
        <f t="shared" si="28"/>
        <v>6.6491857633978819</v>
      </c>
    </row>
    <row r="144" spans="1:18" x14ac:dyDescent="0.25">
      <c r="A144" s="130">
        <v>5</v>
      </c>
      <c r="B144" s="165">
        <f t="shared" si="35"/>
        <v>45413</v>
      </c>
      <c r="C144" s="185">
        <f t="shared" si="42"/>
        <v>45448</v>
      </c>
      <c r="D144" s="185">
        <f t="shared" si="42"/>
        <v>45467</v>
      </c>
      <c r="E144" s="52" t="s">
        <v>16</v>
      </c>
      <c r="F144" s="130">
        <v>9</v>
      </c>
      <c r="G144" s="167">
        <v>4</v>
      </c>
      <c r="H144" s="168">
        <f t="shared" si="25"/>
        <v>1.9866500085128156</v>
      </c>
      <c r="I144" s="168">
        <f t="shared" si="39"/>
        <v>5.063992369008159</v>
      </c>
      <c r="J144" s="169">
        <f t="shared" si="36"/>
        <v>20.255969476032636</v>
      </c>
      <c r="K144" s="170">
        <f t="shared" si="41"/>
        <v>7.9466000340512624</v>
      </c>
      <c r="L144" s="171">
        <f t="shared" si="43"/>
        <v>12.309369441981374</v>
      </c>
      <c r="M144" s="172">
        <f t="shared" si="26"/>
        <v>0.98900208481438889</v>
      </c>
      <c r="N144" s="173">
        <f t="shared" si="27"/>
        <v>13.298371526795764</v>
      </c>
      <c r="O144" s="172">
        <v>0</v>
      </c>
      <c r="P144" s="172">
        <v>0</v>
      </c>
      <c r="Q144" s="172">
        <v>0</v>
      </c>
      <c r="R144" s="173">
        <f t="shared" si="28"/>
        <v>13.298371526795764</v>
      </c>
    </row>
    <row r="145" spans="1:19" x14ac:dyDescent="0.25">
      <c r="A145" s="130">
        <v>6</v>
      </c>
      <c r="B145" s="165">
        <f t="shared" si="35"/>
        <v>45444</v>
      </c>
      <c r="C145" s="185">
        <f t="shared" si="42"/>
        <v>45476</v>
      </c>
      <c r="D145" s="185">
        <f t="shared" si="42"/>
        <v>45497</v>
      </c>
      <c r="E145" s="52" t="s">
        <v>16</v>
      </c>
      <c r="F145" s="130">
        <v>9</v>
      </c>
      <c r="G145" s="167">
        <v>4</v>
      </c>
      <c r="H145" s="168">
        <f t="shared" si="25"/>
        <v>1.9866500085128156</v>
      </c>
      <c r="I145" s="168">
        <f t="shared" si="39"/>
        <v>5.063992369008159</v>
      </c>
      <c r="J145" s="169">
        <f t="shared" si="36"/>
        <v>20.255969476032636</v>
      </c>
      <c r="K145" s="170">
        <f t="shared" si="41"/>
        <v>7.9466000340512624</v>
      </c>
      <c r="L145" s="175">
        <f t="shared" si="43"/>
        <v>12.309369441981374</v>
      </c>
      <c r="M145" s="172">
        <f t="shared" si="26"/>
        <v>0.98900208481438889</v>
      </c>
      <c r="N145" s="173">
        <f t="shared" si="27"/>
        <v>13.298371526795764</v>
      </c>
      <c r="O145" s="172">
        <v>0</v>
      </c>
      <c r="P145" s="172">
        <v>0</v>
      </c>
      <c r="Q145" s="172">
        <v>0</v>
      </c>
      <c r="R145" s="173">
        <f t="shared" si="28"/>
        <v>13.298371526795764</v>
      </c>
    </row>
    <row r="146" spans="1:19" x14ac:dyDescent="0.25">
      <c r="A146" s="93">
        <v>7</v>
      </c>
      <c r="B146" s="165">
        <f t="shared" si="35"/>
        <v>45474</v>
      </c>
      <c r="C146" s="185">
        <f t="shared" si="42"/>
        <v>45509</v>
      </c>
      <c r="D146" s="185">
        <f t="shared" si="42"/>
        <v>45530</v>
      </c>
      <c r="E146" s="52" t="s">
        <v>16</v>
      </c>
      <c r="F146" s="130">
        <v>9</v>
      </c>
      <c r="G146" s="167">
        <v>6</v>
      </c>
      <c r="H146" s="168">
        <f t="shared" si="25"/>
        <v>1.9866500085128156</v>
      </c>
      <c r="I146" s="168">
        <f t="shared" si="39"/>
        <v>5.063992369008159</v>
      </c>
      <c r="J146" s="169">
        <f t="shared" si="36"/>
        <v>30.383954214048956</v>
      </c>
      <c r="K146" s="176">
        <f t="shared" si="41"/>
        <v>11.919900051076894</v>
      </c>
      <c r="L146" s="175">
        <f t="shared" si="43"/>
        <v>18.464054162972062</v>
      </c>
      <c r="M146" s="172">
        <f t="shared" si="26"/>
        <v>1.4835031272215833</v>
      </c>
      <c r="N146" s="173">
        <f t="shared" si="27"/>
        <v>19.947557290193643</v>
      </c>
      <c r="O146" s="172">
        <v>0</v>
      </c>
      <c r="P146" s="172">
        <v>0</v>
      </c>
      <c r="Q146" s="172">
        <v>0</v>
      </c>
      <c r="R146" s="173">
        <f t="shared" si="28"/>
        <v>19.947557290193643</v>
      </c>
    </row>
    <row r="147" spans="1:19" x14ac:dyDescent="0.25">
      <c r="A147" s="130">
        <v>8</v>
      </c>
      <c r="B147" s="165">
        <f t="shared" si="35"/>
        <v>45505</v>
      </c>
      <c r="C147" s="185">
        <f t="shared" si="42"/>
        <v>45539</v>
      </c>
      <c r="D147" s="185">
        <f t="shared" si="42"/>
        <v>45559</v>
      </c>
      <c r="E147" s="52" t="s">
        <v>16</v>
      </c>
      <c r="F147" s="130">
        <v>9</v>
      </c>
      <c r="G147" s="167">
        <v>6</v>
      </c>
      <c r="H147" s="168">
        <f t="shared" si="25"/>
        <v>1.9866500085128156</v>
      </c>
      <c r="I147" s="168">
        <f t="shared" si="39"/>
        <v>5.063992369008159</v>
      </c>
      <c r="J147" s="169">
        <f t="shared" si="36"/>
        <v>30.383954214048956</v>
      </c>
      <c r="K147" s="176">
        <f t="shared" si="41"/>
        <v>11.919900051076894</v>
      </c>
      <c r="L147" s="175">
        <f t="shared" si="43"/>
        <v>18.464054162972062</v>
      </c>
      <c r="M147" s="172">
        <f t="shared" si="26"/>
        <v>1.4835031272215833</v>
      </c>
      <c r="N147" s="173">
        <f t="shared" si="27"/>
        <v>19.947557290193643</v>
      </c>
      <c r="O147" s="172">
        <v>0</v>
      </c>
      <c r="P147" s="172">
        <v>0</v>
      </c>
      <c r="Q147" s="172">
        <v>0</v>
      </c>
      <c r="R147" s="173">
        <f t="shared" si="28"/>
        <v>19.947557290193643</v>
      </c>
    </row>
    <row r="148" spans="1:19" x14ac:dyDescent="0.25">
      <c r="A148" s="130">
        <v>9</v>
      </c>
      <c r="B148" s="165">
        <f t="shared" si="35"/>
        <v>45536</v>
      </c>
      <c r="C148" s="185">
        <f t="shared" si="42"/>
        <v>45568</v>
      </c>
      <c r="D148" s="185">
        <f t="shared" si="42"/>
        <v>45589</v>
      </c>
      <c r="E148" s="52" t="s">
        <v>16</v>
      </c>
      <c r="F148" s="130">
        <v>9</v>
      </c>
      <c r="G148" s="167">
        <v>3</v>
      </c>
      <c r="H148" s="168">
        <f t="shared" si="25"/>
        <v>1.9866500085128156</v>
      </c>
      <c r="I148" s="168">
        <f t="shared" ref="I148:I179" si="44">$J$3</f>
        <v>5.063992369008159</v>
      </c>
      <c r="J148" s="169">
        <f t="shared" si="36"/>
        <v>15.191977107024478</v>
      </c>
      <c r="K148" s="176">
        <f t="shared" si="41"/>
        <v>5.959950025538447</v>
      </c>
      <c r="L148" s="175">
        <f t="shared" si="43"/>
        <v>9.2320270814860308</v>
      </c>
      <c r="M148" s="172">
        <f t="shared" si="26"/>
        <v>0.74175156361079164</v>
      </c>
      <c r="N148" s="173">
        <f t="shared" si="27"/>
        <v>9.9737786450968215</v>
      </c>
      <c r="O148" s="172">
        <v>0</v>
      </c>
      <c r="P148" s="172">
        <v>0</v>
      </c>
      <c r="Q148" s="172">
        <v>0</v>
      </c>
      <c r="R148" s="173">
        <f t="shared" si="28"/>
        <v>9.9737786450968215</v>
      </c>
    </row>
    <row r="149" spans="1:19" x14ac:dyDescent="0.25">
      <c r="A149" s="93">
        <v>10</v>
      </c>
      <c r="B149" s="165">
        <f t="shared" ref="B149:B211" si="45">DATE($R$1,A149,1)</f>
        <v>45566</v>
      </c>
      <c r="C149" s="185">
        <f t="shared" si="42"/>
        <v>45601</v>
      </c>
      <c r="D149" s="185">
        <f t="shared" si="42"/>
        <v>45621</v>
      </c>
      <c r="E149" s="52" t="s">
        <v>16</v>
      </c>
      <c r="F149" s="130">
        <v>9</v>
      </c>
      <c r="G149" s="167">
        <v>6</v>
      </c>
      <c r="H149" s="168">
        <f t="shared" ref="H149:H211" si="46">+$K$3</f>
        <v>1.9866500085128156</v>
      </c>
      <c r="I149" s="168">
        <f t="shared" si="44"/>
        <v>5.063992369008159</v>
      </c>
      <c r="J149" s="169">
        <f t="shared" ref="J149:J211" si="47">+$G149*I149</f>
        <v>30.383954214048956</v>
      </c>
      <c r="K149" s="176">
        <f t="shared" si="41"/>
        <v>11.919900051076894</v>
      </c>
      <c r="L149" s="175">
        <f t="shared" si="43"/>
        <v>18.464054162972062</v>
      </c>
      <c r="M149" s="172">
        <f t="shared" ref="M149:M211" si="48">G149/$G$212*$M$14</f>
        <v>1.4835031272215833</v>
      </c>
      <c r="N149" s="173">
        <f t="shared" ref="N149:N211" si="49">SUM(L149:M149)</f>
        <v>19.947557290193643</v>
      </c>
      <c r="O149" s="172">
        <v>0</v>
      </c>
      <c r="P149" s="172">
        <v>0</v>
      </c>
      <c r="Q149" s="172">
        <v>0</v>
      </c>
      <c r="R149" s="173">
        <f t="shared" ref="R149:R211" si="50">+N149-Q149</f>
        <v>19.947557290193643</v>
      </c>
    </row>
    <row r="150" spans="1:19" x14ac:dyDescent="0.25">
      <c r="A150" s="130">
        <v>11</v>
      </c>
      <c r="B150" s="165">
        <f t="shared" si="45"/>
        <v>45597</v>
      </c>
      <c r="C150" s="185">
        <f t="shared" si="42"/>
        <v>45630</v>
      </c>
      <c r="D150" s="185">
        <f t="shared" si="42"/>
        <v>45650</v>
      </c>
      <c r="E150" s="52" t="s">
        <v>16</v>
      </c>
      <c r="F150" s="130">
        <v>9</v>
      </c>
      <c r="G150" s="167">
        <v>1</v>
      </c>
      <c r="H150" s="168">
        <f t="shared" si="46"/>
        <v>1.9866500085128156</v>
      </c>
      <c r="I150" s="168">
        <f t="shared" si="44"/>
        <v>5.063992369008159</v>
      </c>
      <c r="J150" s="169">
        <f t="shared" si="47"/>
        <v>5.063992369008159</v>
      </c>
      <c r="K150" s="176">
        <f t="shared" si="41"/>
        <v>1.9866500085128156</v>
      </c>
      <c r="L150" s="175">
        <f t="shared" si="43"/>
        <v>3.0773423604953436</v>
      </c>
      <c r="M150" s="172">
        <f t="shared" si="48"/>
        <v>0.24725052120359722</v>
      </c>
      <c r="N150" s="173">
        <f t="shared" si="49"/>
        <v>3.324592881698941</v>
      </c>
      <c r="O150" s="172">
        <v>0</v>
      </c>
      <c r="P150" s="172">
        <v>0</v>
      </c>
      <c r="Q150" s="172">
        <v>0</v>
      </c>
      <c r="R150" s="173">
        <f t="shared" si="50"/>
        <v>3.324592881698941</v>
      </c>
    </row>
    <row r="151" spans="1:19" s="189" customFormat="1" x14ac:dyDescent="0.25">
      <c r="A151" s="130">
        <v>12</v>
      </c>
      <c r="B151" s="187">
        <f t="shared" si="45"/>
        <v>45627</v>
      </c>
      <c r="C151" s="185">
        <f t="shared" si="42"/>
        <v>45660</v>
      </c>
      <c r="D151" s="185">
        <f t="shared" si="42"/>
        <v>45681</v>
      </c>
      <c r="E151" s="188" t="s">
        <v>16</v>
      </c>
      <c r="F151" s="141">
        <v>9</v>
      </c>
      <c r="G151" s="167">
        <v>3</v>
      </c>
      <c r="H151" s="177">
        <f t="shared" si="46"/>
        <v>1.9866500085128156</v>
      </c>
      <c r="I151" s="177">
        <f t="shared" si="44"/>
        <v>5.063992369008159</v>
      </c>
      <c r="J151" s="178">
        <f t="shared" si="47"/>
        <v>15.191977107024478</v>
      </c>
      <c r="K151" s="179">
        <f t="shared" si="41"/>
        <v>5.959950025538447</v>
      </c>
      <c r="L151" s="180">
        <f t="shared" si="43"/>
        <v>9.2320270814860308</v>
      </c>
      <c r="M151" s="172">
        <f t="shared" si="48"/>
        <v>0.74175156361079164</v>
      </c>
      <c r="N151" s="173">
        <f t="shared" si="49"/>
        <v>9.9737786450968215</v>
      </c>
      <c r="O151" s="172">
        <v>0</v>
      </c>
      <c r="P151" s="172">
        <v>0</v>
      </c>
      <c r="Q151" s="172">
        <v>0</v>
      </c>
      <c r="R151" s="173">
        <f t="shared" si="50"/>
        <v>9.9737786450968215</v>
      </c>
    </row>
    <row r="152" spans="1:19" x14ac:dyDescent="0.25">
      <c r="A152" s="93">
        <v>1</v>
      </c>
      <c r="B152" s="165">
        <f t="shared" si="45"/>
        <v>45292</v>
      </c>
      <c r="C152" s="182">
        <f t="shared" ref="C152:D171" si="51">+C140</f>
        <v>45327</v>
      </c>
      <c r="D152" s="182">
        <f t="shared" si="51"/>
        <v>45348</v>
      </c>
      <c r="E152" s="192" t="s">
        <v>53</v>
      </c>
      <c r="F152" s="93">
        <v>9</v>
      </c>
      <c r="G152" s="167">
        <v>145</v>
      </c>
      <c r="H152" s="168">
        <f t="shared" si="46"/>
        <v>1.9866500085128156</v>
      </c>
      <c r="I152" s="168">
        <f t="shared" si="44"/>
        <v>5.063992369008159</v>
      </c>
      <c r="J152" s="169">
        <f t="shared" si="47"/>
        <v>734.27889350618307</v>
      </c>
      <c r="K152" s="170">
        <f t="shared" si="41"/>
        <v>288.06425123435827</v>
      </c>
      <c r="L152" s="171">
        <f t="shared" si="43"/>
        <v>446.2146422718248</v>
      </c>
      <c r="M152" s="172">
        <f t="shared" si="48"/>
        <v>35.851325574521596</v>
      </c>
      <c r="N152" s="173">
        <f t="shared" si="49"/>
        <v>482.06596784634638</v>
      </c>
      <c r="O152" s="172">
        <v>0</v>
      </c>
      <c r="P152" s="172">
        <v>0</v>
      </c>
      <c r="Q152" s="172">
        <v>0</v>
      </c>
      <c r="R152" s="173">
        <f t="shared" si="50"/>
        <v>482.06596784634638</v>
      </c>
    </row>
    <row r="153" spans="1:19" x14ac:dyDescent="0.25">
      <c r="A153" s="130">
        <v>2</v>
      </c>
      <c r="B153" s="165">
        <f t="shared" si="45"/>
        <v>45323</v>
      </c>
      <c r="C153" s="185">
        <f t="shared" si="51"/>
        <v>45356</v>
      </c>
      <c r="D153" s="185">
        <f t="shared" si="51"/>
        <v>45376</v>
      </c>
      <c r="E153" s="193" t="s">
        <v>53</v>
      </c>
      <c r="F153" s="130">
        <v>9</v>
      </c>
      <c r="G153" s="167">
        <v>100</v>
      </c>
      <c r="H153" s="168">
        <f t="shared" si="46"/>
        <v>1.9866500085128156</v>
      </c>
      <c r="I153" s="168">
        <f t="shared" si="44"/>
        <v>5.063992369008159</v>
      </c>
      <c r="J153" s="169">
        <f t="shared" si="47"/>
        <v>506.39923690081588</v>
      </c>
      <c r="K153" s="170">
        <f t="shared" si="41"/>
        <v>198.66500085128155</v>
      </c>
      <c r="L153" s="171">
        <f t="shared" si="43"/>
        <v>307.73423604953433</v>
      </c>
      <c r="M153" s="172">
        <f t="shared" si="48"/>
        <v>24.725052120359724</v>
      </c>
      <c r="N153" s="173">
        <f t="shared" si="49"/>
        <v>332.45928816989408</v>
      </c>
      <c r="O153" s="172">
        <v>0</v>
      </c>
      <c r="P153" s="172">
        <v>0</v>
      </c>
      <c r="Q153" s="172">
        <v>0</v>
      </c>
      <c r="R153" s="173">
        <f t="shared" si="50"/>
        <v>332.45928816989408</v>
      </c>
    </row>
    <row r="154" spans="1:19" x14ac:dyDescent="0.25">
      <c r="A154" s="130">
        <v>3</v>
      </c>
      <c r="B154" s="165">
        <f t="shared" si="45"/>
        <v>45352</v>
      </c>
      <c r="C154" s="185">
        <f t="shared" si="51"/>
        <v>45385</v>
      </c>
      <c r="D154" s="185">
        <f t="shared" si="51"/>
        <v>45406</v>
      </c>
      <c r="E154" s="193" t="s">
        <v>53</v>
      </c>
      <c r="F154" s="130">
        <v>9</v>
      </c>
      <c r="G154" s="167">
        <v>92</v>
      </c>
      <c r="H154" s="168">
        <f t="shared" si="46"/>
        <v>1.9866500085128156</v>
      </c>
      <c r="I154" s="168">
        <f t="shared" si="44"/>
        <v>5.063992369008159</v>
      </c>
      <c r="J154" s="169">
        <f t="shared" si="47"/>
        <v>465.88729794875064</v>
      </c>
      <c r="K154" s="170">
        <f t="shared" si="41"/>
        <v>182.77180078317903</v>
      </c>
      <c r="L154" s="171">
        <f>+J154-K154</f>
        <v>283.11549716557158</v>
      </c>
      <c r="M154" s="172">
        <f t="shared" si="48"/>
        <v>22.747047950730945</v>
      </c>
      <c r="N154" s="173">
        <f t="shared" si="49"/>
        <v>305.8625451163025</v>
      </c>
      <c r="O154" s="172">
        <v>0</v>
      </c>
      <c r="P154" s="172">
        <v>0</v>
      </c>
      <c r="Q154" s="172">
        <v>0</v>
      </c>
      <c r="R154" s="173">
        <f t="shared" si="50"/>
        <v>305.8625451163025</v>
      </c>
    </row>
    <row r="155" spans="1:19" x14ac:dyDescent="0.25">
      <c r="A155" s="93">
        <v>4</v>
      </c>
      <c r="B155" s="165">
        <f t="shared" si="45"/>
        <v>45383</v>
      </c>
      <c r="C155" s="185">
        <f t="shared" si="51"/>
        <v>45415</v>
      </c>
      <c r="D155" s="185">
        <f t="shared" si="51"/>
        <v>45436</v>
      </c>
      <c r="E155" s="193" t="s">
        <v>53</v>
      </c>
      <c r="F155" s="130">
        <v>9</v>
      </c>
      <c r="G155" s="167">
        <v>101</v>
      </c>
      <c r="H155" s="168">
        <f t="shared" si="46"/>
        <v>1.9866500085128156</v>
      </c>
      <c r="I155" s="168">
        <f t="shared" si="44"/>
        <v>5.063992369008159</v>
      </c>
      <c r="J155" s="169">
        <f t="shared" si="47"/>
        <v>511.46322926982407</v>
      </c>
      <c r="K155" s="170">
        <f t="shared" si="41"/>
        <v>200.65165085979439</v>
      </c>
      <c r="L155" s="171">
        <f t="shared" ref="L155:L165" si="52">+J155-K155</f>
        <v>310.81157841002971</v>
      </c>
      <c r="M155" s="172">
        <f t="shared" si="48"/>
        <v>24.972302641563321</v>
      </c>
      <c r="N155" s="173">
        <f t="shared" si="49"/>
        <v>335.78388105159303</v>
      </c>
      <c r="O155" s="172">
        <v>0</v>
      </c>
      <c r="P155" s="172">
        <v>0</v>
      </c>
      <c r="Q155" s="172">
        <v>0</v>
      </c>
      <c r="R155" s="173">
        <f t="shared" si="50"/>
        <v>335.78388105159303</v>
      </c>
    </row>
    <row r="156" spans="1:19" x14ac:dyDescent="0.25">
      <c r="A156" s="130">
        <v>5</v>
      </c>
      <c r="B156" s="165">
        <f t="shared" si="45"/>
        <v>45413</v>
      </c>
      <c r="C156" s="185">
        <f t="shared" si="51"/>
        <v>45448</v>
      </c>
      <c r="D156" s="185">
        <f t="shared" si="51"/>
        <v>45467</v>
      </c>
      <c r="E156" s="193" t="s">
        <v>53</v>
      </c>
      <c r="F156" s="130">
        <v>9</v>
      </c>
      <c r="G156" s="167">
        <v>118</v>
      </c>
      <c r="H156" s="168">
        <f t="shared" si="46"/>
        <v>1.9866500085128156</v>
      </c>
      <c r="I156" s="168">
        <f t="shared" si="44"/>
        <v>5.063992369008159</v>
      </c>
      <c r="J156" s="169">
        <f t="shared" si="47"/>
        <v>597.55109954296279</v>
      </c>
      <c r="K156" s="170">
        <f t="shared" si="41"/>
        <v>234.42470100451223</v>
      </c>
      <c r="L156" s="171">
        <f t="shared" si="52"/>
        <v>363.12639853845053</v>
      </c>
      <c r="M156" s="172">
        <f t="shared" si="48"/>
        <v>29.175561502024472</v>
      </c>
      <c r="N156" s="173">
        <f t="shared" si="49"/>
        <v>392.30196004047502</v>
      </c>
      <c r="O156" s="172">
        <v>0</v>
      </c>
      <c r="P156" s="172">
        <v>0</v>
      </c>
      <c r="Q156" s="172">
        <v>0</v>
      </c>
      <c r="R156" s="173">
        <f t="shared" si="50"/>
        <v>392.30196004047502</v>
      </c>
    </row>
    <row r="157" spans="1:19" x14ac:dyDescent="0.25">
      <c r="A157" s="130">
        <v>6</v>
      </c>
      <c r="B157" s="165">
        <f t="shared" si="45"/>
        <v>45444</v>
      </c>
      <c r="C157" s="185">
        <f t="shared" si="51"/>
        <v>45476</v>
      </c>
      <c r="D157" s="185">
        <f t="shared" si="51"/>
        <v>45497</v>
      </c>
      <c r="E157" s="193" t="s">
        <v>53</v>
      </c>
      <c r="F157" s="130">
        <v>9</v>
      </c>
      <c r="G157" s="167">
        <v>173</v>
      </c>
      <c r="H157" s="168">
        <f t="shared" si="46"/>
        <v>1.9866500085128156</v>
      </c>
      <c r="I157" s="168">
        <f t="shared" si="44"/>
        <v>5.063992369008159</v>
      </c>
      <c r="J157" s="169">
        <f t="shared" si="47"/>
        <v>876.07067983841148</v>
      </c>
      <c r="K157" s="170">
        <f t="shared" si="41"/>
        <v>343.69045147271709</v>
      </c>
      <c r="L157" s="175">
        <f t="shared" si="52"/>
        <v>532.38022836569439</v>
      </c>
      <c r="M157" s="172">
        <f t="shared" si="48"/>
        <v>42.774340168222317</v>
      </c>
      <c r="N157" s="173">
        <f t="shared" si="49"/>
        <v>575.15456853391674</v>
      </c>
      <c r="O157" s="172">
        <v>0</v>
      </c>
      <c r="P157" s="172">
        <v>0</v>
      </c>
      <c r="Q157" s="172">
        <v>0</v>
      </c>
      <c r="R157" s="173">
        <f t="shared" si="50"/>
        <v>575.15456853391674</v>
      </c>
    </row>
    <row r="158" spans="1:19" x14ac:dyDescent="0.25">
      <c r="A158" s="93">
        <v>7</v>
      </c>
      <c r="B158" s="165">
        <f t="shared" si="45"/>
        <v>45474</v>
      </c>
      <c r="C158" s="185">
        <f t="shared" si="51"/>
        <v>45509</v>
      </c>
      <c r="D158" s="185">
        <f t="shared" si="51"/>
        <v>45530</v>
      </c>
      <c r="E158" s="193" t="s">
        <v>53</v>
      </c>
      <c r="F158" s="130">
        <v>9</v>
      </c>
      <c r="G158" s="167">
        <v>164</v>
      </c>
      <c r="H158" s="168">
        <f t="shared" si="46"/>
        <v>1.9866500085128156</v>
      </c>
      <c r="I158" s="168">
        <f t="shared" si="44"/>
        <v>5.063992369008159</v>
      </c>
      <c r="J158" s="169">
        <f t="shared" si="47"/>
        <v>830.49474851733805</v>
      </c>
      <c r="K158" s="176">
        <f t="shared" si="41"/>
        <v>325.81060139610173</v>
      </c>
      <c r="L158" s="175">
        <f t="shared" si="52"/>
        <v>504.68414712123632</v>
      </c>
      <c r="M158" s="172">
        <f t="shared" si="48"/>
        <v>40.549085477389944</v>
      </c>
      <c r="N158" s="173">
        <f t="shared" si="49"/>
        <v>545.23323259862627</v>
      </c>
      <c r="O158" s="172">
        <v>0</v>
      </c>
      <c r="P158" s="172">
        <v>0</v>
      </c>
      <c r="Q158" s="172">
        <v>0</v>
      </c>
      <c r="R158" s="173">
        <f t="shared" si="50"/>
        <v>545.23323259862627</v>
      </c>
    </row>
    <row r="159" spans="1:19" x14ac:dyDescent="0.25">
      <c r="A159" s="130">
        <v>8</v>
      </c>
      <c r="B159" s="165">
        <f t="shared" si="45"/>
        <v>45505</v>
      </c>
      <c r="C159" s="185">
        <f t="shared" si="51"/>
        <v>45539</v>
      </c>
      <c r="D159" s="185">
        <f t="shared" si="51"/>
        <v>45559</v>
      </c>
      <c r="E159" s="193" t="s">
        <v>53</v>
      </c>
      <c r="F159" s="93">
        <v>9</v>
      </c>
      <c r="G159" s="167">
        <v>170</v>
      </c>
      <c r="H159" s="168">
        <f t="shared" si="46"/>
        <v>1.9866500085128156</v>
      </c>
      <c r="I159" s="168">
        <f t="shared" si="44"/>
        <v>5.063992369008159</v>
      </c>
      <c r="J159" s="169">
        <f t="shared" si="47"/>
        <v>860.87870273138708</v>
      </c>
      <c r="K159" s="176">
        <f t="shared" si="41"/>
        <v>337.73050144717865</v>
      </c>
      <c r="L159" s="175">
        <f t="shared" si="52"/>
        <v>523.14820128420843</v>
      </c>
      <c r="M159" s="172">
        <f t="shared" si="48"/>
        <v>42.032588604611526</v>
      </c>
      <c r="N159" s="173">
        <f t="shared" si="49"/>
        <v>565.18078988881996</v>
      </c>
      <c r="O159" s="172">
        <v>0</v>
      </c>
      <c r="P159" s="172">
        <v>0</v>
      </c>
      <c r="Q159" s="172">
        <v>0</v>
      </c>
      <c r="R159" s="173">
        <f t="shared" si="50"/>
        <v>565.18078988881996</v>
      </c>
      <c r="S159" s="50"/>
    </row>
    <row r="160" spans="1:19" x14ac:dyDescent="0.25">
      <c r="A160" s="130">
        <v>9</v>
      </c>
      <c r="B160" s="165">
        <f t="shared" si="45"/>
        <v>45536</v>
      </c>
      <c r="C160" s="185">
        <f t="shared" si="51"/>
        <v>45568</v>
      </c>
      <c r="D160" s="185">
        <f t="shared" si="51"/>
        <v>45589</v>
      </c>
      <c r="E160" s="193" t="s">
        <v>53</v>
      </c>
      <c r="F160" s="93">
        <v>9</v>
      </c>
      <c r="G160" s="167">
        <v>156</v>
      </c>
      <c r="H160" s="168">
        <f t="shared" si="46"/>
        <v>1.9866500085128156</v>
      </c>
      <c r="I160" s="168">
        <f t="shared" si="44"/>
        <v>5.063992369008159</v>
      </c>
      <c r="J160" s="169">
        <f t="shared" si="47"/>
        <v>789.98280956527276</v>
      </c>
      <c r="K160" s="176">
        <f t="shared" si="41"/>
        <v>309.91740132799924</v>
      </c>
      <c r="L160" s="175">
        <f t="shared" si="52"/>
        <v>480.06540823727352</v>
      </c>
      <c r="M160" s="172">
        <f t="shared" si="48"/>
        <v>38.571081307761169</v>
      </c>
      <c r="N160" s="173">
        <f t="shared" si="49"/>
        <v>518.63648954503469</v>
      </c>
      <c r="O160" s="172">
        <v>0</v>
      </c>
      <c r="P160" s="172">
        <v>0</v>
      </c>
      <c r="Q160" s="172">
        <v>0</v>
      </c>
      <c r="R160" s="173">
        <f t="shared" si="50"/>
        <v>518.63648954503469</v>
      </c>
    </row>
    <row r="161" spans="1:19" x14ac:dyDescent="0.25">
      <c r="A161" s="93">
        <v>10</v>
      </c>
      <c r="B161" s="165">
        <f t="shared" si="45"/>
        <v>45566</v>
      </c>
      <c r="C161" s="185">
        <f t="shared" si="51"/>
        <v>45601</v>
      </c>
      <c r="D161" s="185">
        <f t="shared" si="51"/>
        <v>45621</v>
      </c>
      <c r="E161" s="193" t="s">
        <v>53</v>
      </c>
      <c r="F161" s="93">
        <v>9</v>
      </c>
      <c r="G161" s="167">
        <v>139</v>
      </c>
      <c r="H161" s="168">
        <f t="shared" si="46"/>
        <v>1.9866500085128156</v>
      </c>
      <c r="I161" s="168">
        <f t="shared" si="44"/>
        <v>5.063992369008159</v>
      </c>
      <c r="J161" s="169">
        <f t="shared" si="47"/>
        <v>703.89493929213404</v>
      </c>
      <c r="K161" s="176">
        <f t="shared" si="41"/>
        <v>276.14435118328134</v>
      </c>
      <c r="L161" s="175">
        <f t="shared" si="52"/>
        <v>427.7505881088527</v>
      </c>
      <c r="M161" s="172">
        <f t="shared" si="48"/>
        <v>34.367822447300014</v>
      </c>
      <c r="N161" s="173">
        <f t="shared" si="49"/>
        <v>462.1184105561527</v>
      </c>
      <c r="O161" s="172">
        <v>0</v>
      </c>
      <c r="P161" s="172">
        <v>0</v>
      </c>
      <c r="Q161" s="172">
        <v>0</v>
      </c>
      <c r="R161" s="173">
        <f t="shared" si="50"/>
        <v>462.1184105561527</v>
      </c>
    </row>
    <row r="162" spans="1:19" x14ac:dyDescent="0.25">
      <c r="A162" s="130">
        <v>11</v>
      </c>
      <c r="B162" s="165">
        <f t="shared" si="45"/>
        <v>45597</v>
      </c>
      <c r="C162" s="185">
        <f t="shared" si="51"/>
        <v>45630</v>
      </c>
      <c r="D162" s="185">
        <f t="shared" si="51"/>
        <v>45650</v>
      </c>
      <c r="E162" s="193" t="s">
        <v>53</v>
      </c>
      <c r="F162" s="93">
        <v>9</v>
      </c>
      <c r="G162" s="167">
        <v>90</v>
      </c>
      <c r="H162" s="168">
        <f t="shared" si="46"/>
        <v>1.9866500085128156</v>
      </c>
      <c r="I162" s="168">
        <f t="shared" si="44"/>
        <v>5.063992369008159</v>
      </c>
      <c r="J162" s="169">
        <f t="shared" si="47"/>
        <v>455.75931321073432</v>
      </c>
      <c r="K162" s="176">
        <f t="shared" si="41"/>
        <v>178.79850076615341</v>
      </c>
      <c r="L162" s="175">
        <f t="shared" si="52"/>
        <v>276.96081244458094</v>
      </c>
      <c r="M162" s="172">
        <f t="shared" si="48"/>
        <v>22.252546908323751</v>
      </c>
      <c r="N162" s="173">
        <f t="shared" si="49"/>
        <v>299.21335935290472</v>
      </c>
      <c r="O162" s="172">
        <v>0</v>
      </c>
      <c r="P162" s="172">
        <v>0</v>
      </c>
      <c r="Q162" s="172">
        <v>0</v>
      </c>
      <c r="R162" s="173">
        <f t="shared" si="50"/>
        <v>299.21335935290472</v>
      </c>
    </row>
    <row r="163" spans="1:19" s="189" customFormat="1" x14ac:dyDescent="0.25">
      <c r="A163" s="130">
        <v>12</v>
      </c>
      <c r="B163" s="187">
        <f t="shared" si="45"/>
        <v>45627</v>
      </c>
      <c r="C163" s="185">
        <f t="shared" si="51"/>
        <v>45660</v>
      </c>
      <c r="D163" s="185">
        <f t="shared" si="51"/>
        <v>45681</v>
      </c>
      <c r="E163" s="194" t="s">
        <v>53</v>
      </c>
      <c r="F163" s="141">
        <v>9</v>
      </c>
      <c r="G163" s="167">
        <v>110</v>
      </c>
      <c r="H163" s="177">
        <f t="shared" si="46"/>
        <v>1.9866500085128156</v>
      </c>
      <c r="I163" s="177">
        <f t="shared" si="44"/>
        <v>5.063992369008159</v>
      </c>
      <c r="J163" s="178">
        <f t="shared" si="47"/>
        <v>557.0391605908975</v>
      </c>
      <c r="K163" s="179">
        <f t="shared" si="41"/>
        <v>218.53150093640971</v>
      </c>
      <c r="L163" s="180">
        <f t="shared" si="52"/>
        <v>338.50765965448778</v>
      </c>
      <c r="M163" s="172">
        <f t="shared" si="48"/>
        <v>27.197557332395693</v>
      </c>
      <c r="N163" s="173">
        <f t="shared" si="49"/>
        <v>365.7052169868835</v>
      </c>
      <c r="O163" s="172">
        <v>0</v>
      </c>
      <c r="P163" s="172">
        <v>0</v>
      </c>
      <c r="Q163" s="172">
        <v>0</v>
      </c>
      <c r="R163" s="173">
        <f t="shared" si="50"/>
        <v>365.7052169868835</v>
      </c>
    </row>
    <row r="164" spans="1:19" x14ac:dyDescent="0.25">
      <c r="A164" s="93">
        <v>1</v>
      </c>
      <c r="B164" s="165">
        <f t="shared" si="45"/>
        <v>45292</v>
      </c>
      <c r="C164" s="182">
        <f t="shared" si="51"/>
        <v>45327</v>
      </c>
      <c r="D164" s="182">
        <f t="shared" si="51"/>
        <v>45348</v>
      </c>
      <c r="E164" s="192" t="s">
        <v>54</v>
      </c>
      <c r="F164" s="93">
        <v>9</v>
      </c>
      <c r="G164" s="167">
        <v>9</v>
      </c>
      <c r="H164" s="168">
        <f t="shared" si="46"/>
        <v>1.9866500085128156</v>
      </c>
      <c r="I164" s="168">
        <f t="shared" si="44"/>
        <v>5.063992369008159</v>
      </c>
      <c r="J164" s="169">
        <f t="shared" si="47"/>
        <v>45.575931321073433</v>
      </c>
      <c r="K164" s="170">
        <f t="shared" si="41"/>
        <v>17.879850076615341</v>
      </c>
      <c r="L164" s="171">
        <f t="shared" si="52"/>
        <v>27.696081244458092</v>
      </c>
      <c r="M164" s="172">
        <f t="shared" si="48"/>
        <v>2.2252546908323749</v>
      </c>
      <c r="N164" s="173">
        <f t="shared" si="49"/>
        <v>29.921335935290468</v>
      </c>
      <c r="O164" s="172">
        <v>0</v>
      </c>
      <c r="P164" s="172">
        <v>0</v>
      </c>
      <c r="Q164" s="172">
        <v>0</v>
      </c>
      <c r="R164" s="173">
        <f t="shared" si="50"/>
        <v>29.921335935290468</v>
      </c>
    </row>
    <row r="165" spans="1:19" x14ac:dyDescent="0.25">
      <c r="A165" s="130">
        <v>2</v>
      </c>
      <c r="B165" s="165">
        <f t="shared" si="45"/>
        <v>45323</v>
      </c>
      <c r="C165" s="185">
        <f t="shared" si="51"/>
        <v>45356</v>
      </c>
      <c r="D165" s="185">
        <f t="shared" si="51"/>
        <v>45376</v>
      </c>
      <c r="E165" s="193" t="s">
        <v>54</v>
      </c>
      <c r="F165" s="130">
        <v>9</v>
      </c>
      <c r="G165" s="167">
        <v>8</v>
      </c>
      <c r="H165" s="168">
        <f t="shared" si="46"/>
        <v>1.9866500085128156</v>
      </c>
      <c r="I165" s="168">
        <f t="shared" si="44"/>
        <v>5.063992369008159</v>
      </c>
      <c r="J165" s="169">
        <f t="shared" si="47"/>
        <v>40.511938952065272</v>
      </c>
      <c r="K165" s="170">
        <f t="shared" si="41"/>
        <v>15.893200068102525</v>
      </c>
      <c r="L165" s="171">
        <f t="shared" si="52"/>
        <v>24.618738883962749</v>
      </c>
      <c r="M165" s="172">
        <f t="shared" si="48"/>
        <v>1.9780041696287778</v>
      </c>
      <c r="N165" s="173">
        <f t="shared" si="49"/>
        <v>26.596743053591528</v>
      </c>
      <c r="O165" s="172">
        <v>0</v>
      </c>
      <c r="P165" s="172">
        <v>0</v>
      </c>
      <c r="Q165" s="172">
        <v>0</v>
      </c>
      <c r="R165" s="173">
        <f t="shared" si="50"/>
        <v>26.596743053591528</v>
      </c>
    </row>
    <row r="166" spans="1:19" x14ac:dyDescent="0.25">
      <c r="A166" s="130">
        <v>3</v>
      </c>
      <c r="B166" s="165">
        <f t="shared" si="45"/>
        <v>45352</v>
      </c>
      <c r="C166" s="185">
        <f t="shared" si="51"/>
        <v>45385</v>
      </c>
      <c r="D166" s="185">
        <f t="shared" si="51"/>
        <v>45406</v>
      </c>
      <c r="E166" s="193" t="s">
        <v>54</v>
      </c>
      <c r="F166" s="130">
        <v>9</v>
      </c>
      <c r="G166" s="167">
        <v>10</v>
      </c>
      <c r="H166" s="168">
        <f t="shared" si="46"/>
        <v>1.9866500085128156</v>
      </c>
      <c r="I166" s="168">
        <f t="shared" si="44"/>
        <v>5.063992369008159</v>
      </c>
      <c r="J166" s="169">
        <f t="shared" si="47"/>
        <v>50.639923690081588</v>
      </c>
      <c r="K166" s="170">
        <f t="shared" si="41"/>
        <v>19.866500085128155</v>
      </c>
      <c r="L166" s="171">
        <f>+J166-K166</f>
        <v>30.773423604953432</v>
      </c>
      <c r="M166" s="172">
        <f t="shared" si="48"/>
        <v>2.4725052120359723</v>
      </c>
      <c r="N166" s="173">
        <f t="shared" si="49"/>
        <v>33.245928816989405</v>
      </c>
      <c r="O166" s="172">
        <v>0</v>
      </c>
      <c r="P166" s="172">
        <v>0</v>
      </c>
      <c r="Q166" s="172">
        <v>0</v>
      </c>
      <c r="R166" s="173">
        <f t="shared" si="50"/>
        <v>33.245928816989405</v>
      </c>
    </row>
    <row r="167" spans="1:19" x14ac:dyDescent="0.25">
      <c r="A167" s="93">
        <v>4</v>
      </c>
      <c r="B167" s="165">
        <f t="shared" si="45"/>
        <v>45383</v>
      </c>
      <c r="C167" s="185">
        <f t="shared" si="51"/>
        <v>45415</v>
      </c>
      <c r="D167" s="185">
        <f t="shared" si="51"/>
        <v>45436</v>
      </c>
      <c r="E167" s="193" t="s">
        <v>54</v>
      </c>
      <c r="F167" s="130">
        <v>9</v>
      </c>
      <c r="G167" s="167">
        <v>7</v>
      </c>
      <c r="H167" s="168">
        <f t="shared" si="46"/>
        <v>1.9866500085128156</v>
      </c>
      <c r="I167" s="168">
        <f t="shared" si="44"/>
        <v>5.063992369008159</v>
      </c>
      <c r="J167" s="169">
        <f t="shared" si="47"/>
        <v>35.44794658305711</v>
      </c>
      <c r="K167" s="170">
        <f t="shared" si="41"/>
        <v>13.906550059589708</v>
      </c>
      <c r="L167" s="171">
        <f t="shared" ref="L167:L177" si="53">+J167-K167</f>
        <v>21.541396523467402</v>
      </c>
      <c r="M167" s="172">
        <f t="shared" si="48"/>
        <v>1.7307536484251806</v>
      </c>
      <c r="N167" s="173">
        <f t="shared" si="49"/>
        <v>23.272150171892584</v>
      </c>
      <c r="O167" s="172">
        <v>0</v>
      </c>
      <c r="P167" s="172">
        <v>0</v>
      </c>
      <c r="Q167" s="172">
        <v>0</v>
      </c>
      <c r="R167" s="173">
        <f t="shared" si="50"/>
        <v>23.272150171892584</v>
      </c>
    </row>
    <row r="168" spans="1:19" x14ac:dyDescent="0.25">
      <c r="A168" s="130">
        <v>5</v>
      </c>
      <c r="B168" s="165">
        <f t="shared" si="45"/>
        <v>45413</v>
      </c>
      <c r="C168" s="185">
        <f t="shared" si="51"/>
        <v>45448</v>
      </c>
      <c r="D168" s="185">
        <f t="shared" si="51"/>
        <v>45467</v>
      </c>
      <c r="E168" s="193" t="s">
        <v>54</v>
      </c>
      <c r="F168" s="130">
        <v>9</v>
      </c>
      <c r="G168" s="167">
        <v>10</v>
      </c>
      <c r="H168" s="168">
        <f t="shared" si="46"/>
        <v>1.9866500085128156</v>
      </c>
      <c r="I168" s="168">
        <f t="shared" si="44"/>
        <v>5.063992369008159</v>
      </c>
      <c r="J168" s="169">
        <f t="shared" si="47"/>
        <v>50.639923690081588</v>
      </c>
      <c r="K168" s="170">
        <f t="shared" si="41"/>
        <v>19.866500085128155</v>
      </c>
      <c r="L168" s="171">
        <f t="shared" si="53"/>
        <v>30.773423604953432</v>
      </c>
      <c r="M168" s="172">
        <f t="shared" si="48"/>
        <v>2.4725052120359723</v>
      </c>
      <c r="N168" s="173">
        <f t="shared" si="49"/>
        <v>33.245928816989405</v>
      </c>
      <c r="O168" s="172">
        <v>0</v>
      </c>
      <c r="P168" s="172">
        <v>0</v>
      </c>
      <c r="Q168" s="172">
        <v>0</v>
      </c>
      <c r="R168" s="173">
        <f t="shared" si="50"/>
        <v>33.245928816989405</v>
      </c>
    </row>
    <row r="169" spans="1:19" x14ac:dyDescent="0.25">
      <c r="A169" s="130">
        <v>6</v>
      </c>
      <c r="B169" s="165">
        <f t="shared" si="45"/>
        <v>45444</v>
      </c>
      <c r="C169" s="185">
        <f t="shared" si="51"/>
        <v>45476</v>
      </c>
      <c r="D169" s="185">
        <f t="shared" si="51"/>
        <v>45497</v>
      </c>
      <c r="E169" s="193" t="s">
        <v>54</v>
      </c>
      <c r="F169" s="130">
        <v>9</v>
      </c>
      <c r="G169" s="167">
        <v>10</v>
      </c>
      <c r="H169" s="168">
        <f t="shared" si="46"/>
        <v>1.9866500085128156</v>
      </c>
      <c r="I169" s="168">
        <f t="shared" si="44"/>
        <v>5.063992369008159</v>
      </c>
      <c r="J169" s="169">
        <f t="shared" si="47"/>
        <v>50.639923690081588</v>
      </c>
      <c r="K169" s="170">
        <f t="shared" si="41"/>
        <v>19.866500085128155</v>
      </c>
      <c r="L169" s="175">
        <f t="shared" si="53"/>
        <v>30.773423604953432</v>
      </c>
      <c r="M169" s="172">
        <f t="shared" si="48"/>
        <v>2.4725052120359723</v>
      </c>
      <c r="N169" s="173">
        <f t="shared" si="49"/>
        <v>33.245928816989405</v>
      </c>
      <c r="O169" s="172">
        <v>0</v>
      </c>
      <c r="P169" s="172">
        <v>0</v>
      </c>
      <c r="Q169" s="172">
        <v>0</v>
      </c>
      <c r="R169" s="173">
        <f t="shared" si="50"/>
        <v>33.245928816989405</v>
      </c>
    </row>
    <row r="170" spans="1:19" x14ac:dyDescent="0.25">
      <c r="A170" s="93">
        <v>7</v>
      </c>
      <c r="B170" s="165">
        <f t="shared" si="45"/>
        <v>45474</v>
      </c>
      <c r="C170" s="185">
        <f t="shared" si="51"/>
        <v>45509</v>
      </c>
      <c r="D170" s="185">
        <f t="shared" si="51"/>
        <v>45530</v>
      </c>
      <c r="E170" s="193" t="s">
        <v>54</v>
      </c>
      <c r="F170" s="130">
        <v>9</v>
      </c>
      <c r="G170" s="167">
        <v>12</v>
      </c>
      <c r="H170" s="168">
        <f t="shared" si="46"/>
        <v>1.9866500085128156</v>
      </c>
      <c r="I170" s="168">
        <f t="shared" si="44"/>
        <v>5.063992369008159</v>
      </c>
      <c r="J170" s="169">
        <f t="shared" si="47"/>
        <v>60.767908428097911</v>
      </c>
      <c r="K170" s="176">
        <f t="shared" si="41"/>
        <v>23.839800102153788</v>
      </c>
      <c r="L170" s="175">
        <f t="shared" si="53"/>
        <v>36.928108325944123</v>
      </c>
      <c r="M170" s="172">
        <f t="shared" si="48"/>
        <v>2.9670062544431666</v>
      </c>
      <c r="N170" s="173">
        <f t="shared" si="49"/>
        <v>39.895114580387286</v>
      </c>
      <c r="O170" s="172">
        <v>0</v>
      </c>
      <c r="P170" s="172">
        <v>0</v>
      </c>
      <c r="Q170" s="172">
        <v>0</v>
      </c>
      <c r="R170" s="173">
        <f t="shared" si="50"/>
        <v>39.895114580387286</v>
      </c>
    </row>
    <row r="171" spans="1:19" x14ac:dyDescent="0.25">
      <c r="A171" s="130">
        <v>8</v>
      </c>
      <c r="B171" s="165">
        <f t="shared" si="45"/>
        <v>45505</v>
      </c>
      <c r="C171" s="185">
        <f t="shared" si="51"/>
        <v>45539</v>
      </c>
      <c r="D171" s="185">
        <f t="shared" si="51"/>
        <v>45559</v>
      </c>
      <c r="E171" s="193" t="s">
        <v>54</v>
      </c>
      <c r="F171" s="93">
        <v>9</v>
      </c>
      <c r="G171" s="167">
        <v>12</v>
      </c>
      <c r="H171" s="168">
        <f t="shared" si="46"/>
        <v>1.9866500085128156</v>
      </c>
      <c r="I171" s="168">
        <f t="shared" si="44"/>
        <v>5.063992369008159</v>
      </c>
      <c r="J171" s="169">
        <f t="shared" si="47"/>
        <v>60.767908428097911</v>
      </c>
      <c r="K171" s="176">
        <f t="shared" si="41"/>
        <v>23.839800102153788</v>
      </c>
      <c r="L171" s="175">
        <f t="shared" si="53"/>
        <v>36.928108325944123</v>
      </c>
      <c r="M171" s="172">
        <f t="shared" si="48"/>
        <v>2.9670062544431666</v>
      </c>
      <c r="N171" s="173">
        <f t="shared" si="49"/>
        <v>39.895114580387286</v>
      </c>
      <c r="O171" s="172">
        <v>0</v>
      </c>
      <c r="P171" s="172">
        <v>0</v>
      </c>
      <c r="Q171" s="172">
        <v>0</v>
      </c>
      <c r="R171" s="173">
        <f t="shared" si="50"/>
        <v>39.895114580387286</v>
      </c>
      <c r="S171" s="50"/>
    </row>
    <row r="172" spans="1:19" x14ac:dyDescent="0.25">
      <c r="A172" s="130">
        <v>9</v>
      </c>
      <c r="B172" s="165">
        <f t="shared" si="45"/>
        <v>45536</v>
      </c>
      <c r="C172" s="185">
        <f t="shared" ref="C172:D175" si="54">+C160</f>
        <v>45568</v>
      </c>
      <c r="D172" s="185">
        <f t="shared" si="54"/>
        <v>45589</v>
      </c>
      <c r="E172" s="193" t="s">
        <v>54</v>
      </c>
      <c r="F172" s="93">
        <v>9</v>
      </c>
      <c r="G172" s="167">
        <v>11</v>
      </c>
      <c r="H172" s="168">
        <f t="shared" si="46"/>
        <v>1.9866500085128156</v>
      </c>
      <c r="I172" s="168">
        <f t="shared" si="44"/>
        <v>5.063992369008159</v>
      </c>
      <c r="J172" s="169">
        <f t="shared" si="47"/>
        <v>55.70391605908975</v>
      </c>
      <c r="K172" s="176">
        <f t="shared" si="41"/>
        <v>21.85315009364097</v>
      </c>
      <c r="L172" s="175">
        <f t="shared" si="53"/>
        <v>33.85076596544878</v>
      </c>
      <c r="M172" s="172">
        <f t="shared" si="48"/>
        <v>2.7197557332395692</v>
      </c>
      <c r="N172" s="173">
        <f t="shared" si="49"/>
        <v>36.570521698688346</v>
      </c>
      <c r="O172" s="172">
        <v>0</v>
      </c>
      <c r="P172" s="172">
        <v>0</v>
      </c>
      <c r="Q172" s="172">
        <v>0</v>
      </c>
      <c r="R172" s="173">
        <f t="shared" si="50"/>
        <v>36.570521698688346</v>
      </c>
    </row>
    <row r="173" spans="1:19" x14ac:dyDescent="0.25">
      <c r="A173" s="93">
        <v>10</v>
      </c>
      <c r="B173" s="165">
        <f t="shared" si="45"/>
        <v>45566</v>
      </c>
      <c r="C173" s="185">
        <f t="shared" si="54"/>
        <v>45601</v>
      </c>
      <c r="D173" s="185">
        <f t="shared" si="54"/>
        <v>45621</v>
      </c>
      <c r="E173" s="193" t="s">
        <v>54</v>
      </c>
      <c r="F173" s="93">
        <v>9</v>
      </c>
      <c r="G173" s="167">
        <v>10</v>
      </c>
      <c r="H173" s="168">
        <f t="shared" si="46"/>
        <v>1.9866500085128156</v>
      </c>
      <c r="I173" s="168">
        <f t="shared" si="44"/>
        <v>5.063992369008159</v>
      </c>
      <c r="J173" s="169">
        <f t="shared" si="47"/>
        <v>50.639923690081588</v>
      </c>
      <c r="K173" s="176">
        <f t="shared" si="41"/>
        <v>19.866500085128155</v>
      </c>
      <c r="L173" s="175">
        <f t="shared" si="53"/>
        <v>30.773423604953432</v>
      </c>
      <c r="M173" s="172">
        <f t="shared" si="48"/>
        <v>2.4725052120359723</v>
      </c>
      <c r="N173" s="173">
        <f t="shared" si="49"/>
        <v>33.245928816989405</v>
      </c>
      <c r="O173" s="172">
        <v>0</v>
      </c>
      <c r="P173" s="172">
        <v>0</v>
      </c>
      <c r="Q173" s="172">
        <v>0</v>
      </c>
      <c r="R173" s="173">
        <f t="shared" si="50"/>
        <v>33.245928816989405</v>
      </c>
    </row>
    <row r="174" spans="1:19" x14ac:dyDescent="0.25">
      <c r="A174" s="130">
        <v>11</v>
      </c>
      <c r="B174" s="165">
        <f t="shared" si="45"/>
        <v>45597</v>
      </c>
      <c r="C174" s="185">
        <f t="shared" si="54"/>
        <v>45630</v>
      </c>
      <c r="D174" s="185">
        <f t="shared" si="54"/>
        <v>45650</v>
      </c>
      <c r="E174" s="193" t="s">
        <v>54</v>
      </c>
      <c r="F174" s="93">
        <v>9</v>
      </c>
      <c r="G174" s="167">
        <v>10</v>
      </c>
      <c r="H174" s="168">
        <f t="shared" si="46"/>
        <v>1.9866500085128156</v>
      </c>
      <c r="I174" s="168">
        <f t="shared" si="44"/>
        <v>5.063992369008159</v>
      </c>
      <c r="J174" s="169">
        <f t="shared" si="47"/>
        <v>50.639923690081588</v>
      </c>
      <c r="K174" s="176">
        <f t="shared" si="41"/>
        <v>19.866500085128155</v>
      </c>
      <c r="L174" s="175">
        <f t="shared" si="53"/>
        <v>30.773423604953432</v>
      </c>
      <c r="M174" s="172">
        <f t="shared" si="48"/>
        <v>2.4725052120359723</v>
      </c>
      <c r="N174" s="173">
        <f t="shared" si="49"/>
        <v>33.245928816989405</v>
      </c>
      <c r="O174" s="172">
        <v>0</v>
      </c>
      <c r="P174" s="172">
        <v>0</v>
      </c>
      <c r="Q174" s="172">
        <v>0</v>
      </c>
      <c r="R174" s="173">
        <f t="shared" si="50"/>
        <v>33.245928816989405</v>
      </c>
    </row>
    <row r="175" spans="1:19" s="189" customFormat="1" x14ac:dyDescent="0.25">
      <c r="A175" s="130">
        <v>12</v>
      </c>
      <c r="B175" s="187">
        <f t="shared" si="45"/>
        <v>45627</v>
      </c>
      <c r="C175" s="185">
        <f t="shared" si="54"/>
        <v>45660</v>
      </c>
      <c r="D175" s="185">
        <f t="shared" si="54"/>
        <v>45681</v>
      </c>
      <c r="E175" s="194" t="s">
        <v>54</v>
      </c>
      <c r="F175" s="141">
        <v>9</v>
      </c>
      <c r="G175" s="167">
        <v>10</v>
      </c>
      <c r="H175" s="177">
        <f t="shared" si="46"/>
        <v>1.9866500085128156</v>
      </c>
      <c r="I175" s="177">
        <f t="shared" si="44"/>
        <v>5.063992369008159</v>
      </c>
      <c r="J175" s="178">
        <f t="shared" si="47"/>
        <v>50.639923690081588</v>
      </c>
      <c r="K175" s="179">
        <f t="shared" si="41"/>
        <v>19.866500085128155</v>
      </c>
      <c r="L175" s="180">
        <f t="shared" si="53"/>
        <v>30.773423604953432</v>
      </c>
      <c r="M175" s="172">
        <f t="shared" si="48"/>
        <v>2.4725052120359723</v>
      </c>
      <c r="N175" s="173">
        <f t="shared" si="49"/>
        <v>33.245928816989405</v>
      </c>
      <c r="O175" s="172">
        <v>0</v>
      </c>
      <c r="P175" s="172">
        <v>0</v>
      </c>
      <c r="Q175" s="172">
        <v>0</v>
      </c>
      <c r="R175" s="173">
        <f t="shared" si="50"/>
        <v>33.245928816989405</v>
      </c>
    </row>
    <row r="176" spans="1:19" x14ac:dyDescent="0.25">
      <c r="A176" s="93">
        <v>1</v>
      </c>
      <c r="B176" s="165">
        <f t="shared" si="45"/>
        <v>45292</v>
      </c>
      <c r="C176" s="182">
        <f t="shared" ref="C176:D187" si="55">+C152</f>
        <v>45327</v>
      </c>
      <c r="D176" s="182">
        <f t="shared" si="55"/>
        <v>45348</v>
      </c>
      <c r="E176" s="192" t="s">
        <v>55</v>
      </c>
      <c r="F176" s="130">
        <v>9</v>
      </c>
      <c r="G176" s="167">
        <v>26</v>
      </c>
      <c r="H176" s="168">
        <f t="shared" si="46"/>
        <v>1.9866500085128156</v>
      </c>
      <c r="I176" s="168">
        <f t="shared" si="44"/>
        <v>5.063992369008159</v>
      </c>
      <c r="J176" s="169">
        <f t="shared" si="47"/>
        <v>131.66380159421215</v>
      </c>
      <c r="K176" s="170">
        <f t="shared" si="41"/>
        <v>51.652900221333205</v>
      </c>
      <c r="L176" s="171">
        <f t="shared" si="53"/>
        <v>80.010901372878948</v>
      </c>
      <c r="M176" s="172">
        <f t="shared" si="48"/>
        <v>6.4285135512935279</v>
      </c>
      <c r="N176" s="173">
        <f t="shared" si="49"/>
        <v>86.439414924172482</v>
      </c>
      <c r="O176" s="172">
        <v>0</v>
      </c>
      <c r="P176" s="172">
        <v>0</v>
      </c>
      <c r="Q176" s="172">
        <v>0</v>
      </c>
      <c r="R176" s="173">
        <f t="shared" si="50"/>
        <v>86.439414924172482</v>
      </c>
    </row>
    <row r="177" spans="1:18" x14ac:dyDescent="0.25">
      <c r="A177" s="130">
        <v>2</v>
      </c>
      <c r="B177" s="165">
        <f t="shared" si="45"/>
        <v>45323</v>
      </c>
      <c r="C177" s="185">
        <f t="shared" si="55"/>
        <v>45356</v>
      </c>
      <c r="D177" s="185">
        <f t="shared" si="55"/>
        <v>45376</v>
      </c>
      <c r="E177" s="52" t="s">
        <v>55</v>
      </c>
      <c r="F177" s="130">
        <v>9</v>
      </c>
      <c r="G177" s="167">
        <v>19</v>
      </c>
      <c r="H177" s="168">
        <f t="shared" si="46"/>
        <v>1.9866500085128156</v>
      </c>
      <c r="I177" s="168">
        <f t="shared" si="44"/>
        <v>5.063992369008159</v>
      </c>
      <c r="J177" s="169">
        <f t="shared" si="47"/>
        <v>96.215855011155014</v>
      </c>
      <c r="K177" s="170">
        <f t="shared" si="41"/>
        <v>37.746350161743493</v>
      </c>
      <c r="L177" s="171">
        <f t="shared" si="53"/>
        <v>58.469504849411521</v>
      </c>
      <c r="M177" s="172">
        <f t="shared" si="48"/>
        <v>4.6977599028683477</v>
      </c>
      <c r="N177" s="173">
        <f t="shared" si="49"/>
        <v>63.16726475227987</v>
      </c>
      <c r="O177" s="172">
        <v>0</v>
      </c>
      <c r="P177" s="172">
        <v>0</v>
      </c>
      <c r="Q177" s="172">
        <v>0</v>
      </c>
      <c r="R177" s="173">
        <f t="shared" si="50"/>
        <v>63.16726475227987</v>
      </c>
    </row>
    <row r="178" spans="1:18" x14ac:dyDescent="0.25">
      <c r="A178" s="130">
        <v>3</v>
      </c>
      <c r="B178" s="165">
        <f t="shared" si="45"/>
        <v>45352</v>
      </c>
      <c r="C178" s="185">
        <f t="shared" si="55"/>
        <v>45385</v>
      </c>
      <c r="D178" s="185">
        <f t="shared" si="55"/>
        <v>45406</v>
      </c>
      <c r="E178" s="52" t="s">
        <v>55</v>
      </c>
      <c r="F178" s="130">
        <v>9</v>
      </c>
      <c r="G178" s="167">
        <v>18</v>
      </c>
      <c r="H178" s="168">
        <f t="shared" si="46"/>
        <v>1.9866500085128156</v>
      </c>
      <c r="I178" s="168">
        <f t="shared" si="44"/>
        <v>5.063992369008159</v>
      </c>
      <c r="J178" s="169">
        <f t="shared" si="47"/>
        <v>91.151862642146867</v>
      </c>
      <c r="K178" s="170">
        <f t="shared" si="41"/>
        <v>35.759700153230682</v>
      </c>
      <c r="L178" s="171">
        <f>+J178-K178</f>
        <v>55.392162488916185</v>
      </c>
      <c r="M178" s="172">
        <f t="shared" si="48"/>
        <v>4.4505093816647499</v>
      </c>
      <c r="N178" s="173">
        <f t="shared" si="49"/>
        <v>59.842671870580936</v>
      </c>
      <c r="O178" s="172">
        <v>0</v>
      </c>
      <c r="P178" s="172">
        <v>0</v>
      </c>
      <c r="Q178" s="172">
        <v>0</v>
      </c>
      <c r="R178" s="173">
        <f t="shared" si="50"/>
        <v>59.842671870580936</v>
      </c>
    </row>
    <row r="179" spans="1:18" x14ac:dyDescent="0.25">
      <c r="A179" s="93">
        <v>4</v>
      </c>
      <c r="B179" s="165">
        <f t="shared" si="45"/>
        <v>45383</v>
      </c>
      <c r="C179" s="185">
        <f t="shared" si="55"/>
        <v>45415</v>
      </c>
      <c r="D179" s="185">
        <f t="shared" si="55"/>
        <v>45436</v>
      </c>
      <c r="E179" s="52" t="s">
        <v>55</v>
      </c>
      <c r="F179" s="130">
        <v>9</v>
      </c>
      <c r="G179" s="167">
        <v>22</v>
      </c>
      <c r="H179" s="168">
        <f t="shared" si="46"/>
        <v>1.9866500085128156</v>
      </c>
      <c r="I179" s="168">
        <f t="shared" si="44"/>
        <v>5.063992369008159</v>
      </c>
      <c r="J179" s="169">
        <f t="shared" si="47"/>
        <v>111.4078321181795</v>
      </c>
      <c r="K179" s="170">
        <f t="shared" si="41"/>
        <v>43.70630018728194</v>
      </c>
      <c r="L179" s="171">
        <f t="shared" ref="L179:L189" si="56">+J179-K179</f>
        <v>67.701531930897559</v>
      </c>
      <c r="M179" s="172">
        <f t="shared" si="48"/>
        <v>5.4395114664791384</v>
      </c>
      <c r="N179" s="173">
        <f t="shared" si="49"/>
        <v>73.141043397376691</v>
      </c>
      <c r="O179" s="172">
        <v>0</v>
      </c>
      <c r="P179" s="172">
        <v>0</v>
      </c>
      <c r="Q179" s="172">
        <v>0</v>
      </c>
      <c r="R179" s="173">
        <f t="shared" si="50"/>
        <v>73.141043397376691</v>
      </c>
    </row>
    <row r="180" spans="1:18" x14ac:dyDescent="0.25">
      <c r="A180" s="130">
        <v>5</v>
      </c>
      <c r="B180" s="165">
        <f t="shared" si="45"/>
        <v>45413</v>
      </c>
      <c r="C180" s="185">
        <f t="shared" si="55"/>
        <v>45448</v>
      </c>
      <c r="D180" s="185">
        <f t="shared" si="55"/>
        <v>45467</v>
      </c>
      <c r="E180" s="52" t="s">
        <v>55</v>
      </c>
      <c r="F180" s="130">
        <v>9</v>
      </c>
      <c r="G180" s="167">
        <v>31</v>
      </c>
      <c r="H180" s="168">
        <f t="shared" si="46"/>
        <v>1.9866500085128156</v>
      </c>
      <c r="I180" s="168">
        <f t="shared" ref="I180:I211" si="57">$J$3</f>
        <v>5.063992369008159</v>
      </c>
      <c r="J180" s="169">
        <f t="shared" si="47"/>
        <v>156.98376343925293</v>
      </c>
      <c r="K180" s="170">
        <f t="shared" si="41"/>
        <v>61.586150263897281</v>
      </c>
      <c r="L180" s="171">
        <f t="shared" si="56"/>
        <v>95.397613175355644</v>
      </c>
      <c r="M180" s="172">
        <f t="shared" si="48"/>
        <v>7.6647661573115133</v>
      </c>
      <c r="N180" s="173">
        <f t="shared" si="49"/>
        <v>103.06237933266716</v>
      </c>
      <c r="O180" s="172">
        <v>0</v>
      </c>
      <c r="P180" s="172">
        <v>0</v>
      </c>
      <c r="Q180" s="172">
        <v>0</v>
      </c>
      <c r="R180" s="173">
        <f t="shared" si="50"/>
        <v>103.06237933266716</v>
      </c>
    </row>
    <row r="181" spans="1:18" x14ac:dyDescent="0.25">
      <c r="A181" s="130">
        <v>6</v>
      </c>
      <c r="B181" s="165">
        <f t="shared" si="45"/>
        <v>45444</v>
      </c>
      <c r="C181" s="185">
        <f t="shared" si="55"/>
        <v>45476</v>
      </c>
      <c r="D181" s="185">
        <f t="shared" si="55"/>
        <v>45497</v>
      </c>
      <c r="E181" s="52" t="s">
        <v>55</v>
      </c>
      <c r="F181" s="130">
        <v>9</v>
      </c>
      <c r="G181" s="167">
        <v>36</v>
      </c>
      <c r="H181" s="168">
        <f t="shared" si="46"/>
        <v>1.9866500085128156</v>
      </c>
      <c r="I181" s="168">
        <f t="shared" si="57"/>
        <v>5.063992369008159</v>
      </c>
      <c r="J181" s="169">
        <f t="shared" si="47"/>
        <v>182.30372528429373</v>
      </c>
      <c r="K181" s="170">
        <f t="shared" si="41"/>
        <v>71.519400306461364</v>
      </c>
      <c r="L181" s="175">
        <f t="shared" si="56"/>
        <v>110.78432497783237</v>
      </c>
      <c r="M181" s="172">
        <f t="shared" si="48"/>
        <v>8.9010187633294997</v>
      </c>
      <c r="N181" s="173">
        <f t="shared" si="49"/>
        <v>119.68534374116187</v>
      </c>
      <c r="O181" s="172">
        <v>0</v>
      </c>
      <c r="P181" s="172">
        <v>0</v>
      </c>
      <c r="Q181" s="172">
        <v>0</v>
      </c>
      <c r="R181" s="173">
        <f t="shared" si="50"/>
        <v>119.68534374116187</v>
      </c>
    </row>
    <row r="182" spans="1:18" x14ac:dyDescent="0.25">
      <c r="A182" s="93">
        <v>7</v>
      </c>
      <c r="B182" s="165">
        <f t="shared" si="45"/>
        <v>45474</v>
      </c>
      <c r="C182" s="185">
        <f t="shared" si="55"/>
        <v>45509</v>
      </c>
      <c r="D182" s="185">
        <f t="shared" si="55"/>
        <v>45530</v>
      </c>
      <c r="E182" s="52" t="s">
        <v>55</v>
      </c>
      <c r="F182" s="130">
        <v>9</v>
      </c>
      <c r="G182" s="167">
        <v>38</v>
      </c>
      <c r="H182" s="168">
        <f t="shared" si="46"/>
        <v>1.9866500085128156</v>
      </c>
      <c r="I182" s="168">
        <f t="shared" si="57"/>
        <v>5.063992369008159</v>
      </c>
      <c r="J182" s="169">
        <f t="shared" si="47"/>
        <v>192.43171002231003</v>
      </c>
      <c r="K182" s="176">
        <f t="shared" si="41"/>
        <v>75.492700323486986</v>
      </c>
      <c r="L182" s="175">
        <f t="shared" si="56"/>
        <v>116.93900969882304</v>
      </c>
      <c r="M182" s="172">
        <f t="shared" si="48"/>
        <v>9.3955198057366953</v>
      </c>
      <c r="N182" s="173">
        <f t="shared" si="49"/>
        <v>126.33452950455974</v>
      </c>
      <c r="O182" s="172">
        <v>0</v>
      </c>
      <c r="P182" s="172">
        <v>0</v>
      </c>
      <c r="Q182" s="172">
        <v>0</v>
      </c>
      <c r="R182" s="173">
        <f t="shared" si="50"/>
        <v>126.33452950455974</v>
      </c>
    </row>
    <row r="183" spans="1:18" x14ac:dyDescent="0.25">
      <c r="A183" s="130">
        <v>8</v>
      </c>
      <c r="B183" s="165">
        <f t="shared" si="45"/>
        <v>45505</v>
      </c>
      <c r="C183" s="185">
        <f t="shared" si="55"/>
        <v>45539</v>
      </c>
      <c r="D183" s="185">
        <f t="shared" si="55"/>
        <v>45559</v>
      </c>
      <c r="E183" s="52" t="s">
        <v>55</v>
      </c>
      <c r="F183" s="130">
        <v>9</v>
      </c>
      <c r="G183" s="167">
        <v>41</v>
      </c>
      <c r="H183" s="168">
        <f t="shared" si="46"/>
        <v>1.9866500085128156</v>
      </c>
      <c r="I183" s="168">
        <f t="shared" si="57"/>
        <v>5.063992369008159</v>
      </c>
      <c r="J183" s="169">
        <f t="shared" si="47"/>
        <v>207.62368712933451</v>
      </c>
      <c r="K183" s="176">
        <f t="shared" si="41"/>
        <v>81.452650349025433</v>
      </c>
      <c r="L183" s="175">
        <f t="shared" si="56"/>
        <v>126.17103678030908</v>
      </c>
      <c r="M183" s="172">
        <f t="shared" si="48"/>
        <v>10.137271369347486</v>
      </c>
      <c r="N183" s="173">
        <f t="shared" si="49"/>
        <v>136.30830814965657</v>
      </c>
      <c r="O183" s="172">
        <v>0</v>
      </c>
      <c r="P183" s="172">
        <v>0</v>
      </c>
      <c r="Q183" s="172">
        <v>0</v>
      </c>
      <c r="R183" s="173">
        <f t="shared" si="50"/>
        <v>136.30830814965657</v>
      </c>
    </row>
    <row r="184" spans="1:18" x14ac:dyDescent="0.25">
      <c r="A184" s="130">
        <v>9</v>
      </c>
      <c r="B184" s="165">
        <f t="shared" si="45"/>
        <v>45536</v>
      </c>
      <c r="C184" s="185">
        <f t="shared" si="55"/>
        <v>45568</v>
      </c>
      <c r="D184" s="185">
        <f t="shared" si="55"/>
        <v>45589</v>
      </c>
      <c r="E184" s="52" t="s">
        <v>55</v>
      </c>
      <c r="F184" s="130">
        <v>9</v>
      </c>
      <c r="G184" s="167">
        <v>29</v>
      </c>
      <c r="H184" s="168">
        <f t="shared" si="46"/>
        <v>1.9866500085128156</v>
      </c>
      <c r="I184" s="168">
        <f t="shared" si="57"/>
        <v>5.063992369008159</v>
      </c>
      <c r="J184" s="169">
        <f t="shared" si="47"/>
        <v>146.8557787012366</v>
      </c>
      <c r="K184" s="176">
        <f t="shared" si="41"/>
        <v>57.612850246871652</v>
      </c>
      <c r="L184" s="175">
        <f t="shared" si="56"/>
        <v>89.242928454364943</v>
      </c>
      <c r="M184" s="172">
        <f t="shared" si="48"/>
        <v>7.1702651149043186</v>
      </c>
      <c r="N184" s="173">
        <f t="shared" si="49"/>
        <v>96.413193569269268</v>
      </c>
      <c r="O184" s="172">
        <v>0</v>
      </c>
      <c r="P184" s="172">
        <v>0</v>
      </c>
      <c r="Q184" s="172">
        <v>0</v>
      </c>
      <c r="R184" s="173">
        <f t="shared" si="50"/>
        <v>96.413193569269268</v>
      </c>
    </row>
    <row r="185" spans="1:18" x14ac:dyDescent="0.25">
      <c r="A185" s="93">
        <v>10</v>
      </c>
      <c r="B185" s="165">
        <f t="shared" si="45"/>
        <v>45566</v>
      </c>
      <c r="C185" s="185">
        <f t="shared" si="55"/>
        <v>45601</v>
      </c>
      <c r="D185" s="185">
        <f t="shared" si="55"/>
        <v>45621</v>
      </c>
      <c r="E185" s="52" t="s">
        <v>55</v>
      </c>
      <c r="F185" s="130">
        <v>9</v>
      </c>
      <c r="G185" s="167">
        <v>26</v>
      </c>
      <c r="H185" s="168">
        <f t="shared" si="46"/>
        <v>1.9866500085128156</v>
      </c>
      <c r="I185" s="168">
        <f t="shared" si="57"/>
        <v>5.063992369008159</v>
      </c>
      <c r="J185" s="169">
        <f t="shared" si="47"/>
        <v>131.66380159421215</v>
      </c>
      <c r="K185" s="176">
        <f t="shared" si="41"/>
        <v>51.652900221333205</v>
      </c>
      <c r="L185" s="175">
        <f t="shared" si="56"/>
        <v>80.010901372878948</v>
      </c>
      <c r="M185" s="172">
        <f t="shared" si="48"/>
        <v>6.4285135512935279</v>
      </c>
      <c r="N185" s="173">
        <f t="shared" si="49"/>
        <v>86.439414924172482</v>
      </c>
      <c r="O185" s="172">
        <v>0</v>
      </c>
      <c r="P185" s="172">
        <v>0</v>
      </c>
      <c r="Q185" s="172">
        <v>0</v>
      </c>
      <c r="R185" s="173">
        <f t="shared" si="50"/>
        <v>86.439414924172482</v>
      </c>
    </row>
    <row r="186" spans="1:18" x14ac:dyDescent="0.25">
      <c r="A186" s="130">
        <v>11</v>
      </c>
      <c r="B186" s="165">
        <f t="shared" si="45"/>
        <v>45597</v>
      </c>
      <c r="C186" s="185">
        <f t="shared" si="55"/>
        <v>45630</v>
      </c>
      <c r="D186" s="185">
        <f t="shared" si="55"/>
        <v>45650</v>
      </c>
      <c r="E186" s="52" t="s">
        <v>55</v>
      </c>
      <c r="F186" s="130">
        <v>9</v>
      </c>
      <c r="G186" s="167">
        <v>22</v>
      </c>
      <c r="H186" s="168">
        <f t="shared" si="46"/>
        <v>1.9866500085128156</v>
      </c>
      <c r="I186" s="168">
        <f t="shared" si="57"/>
        <v>5.063992369008159</v>
      </c>
      <c r="J186" s="169">
        <f t="shared" si="47"/>
        <v>111.4078321181795</v>
      </c>
      <c r="K186" s="176">
        <f t="shared" si="41"/>
        <v>43.70630018728194</v>
      </c>
      <c r="L186" s="175">
        <f t="shared" si="56"/>
        <v>67.701531930897559</v>
      </c>
      <c r="M186" s="172">
        <f t="shared" si="48"/>
        <v>5.4395114664791384</v>
      </c>
      <c r="N186" s="173">
        <f t="shared" si="49"/>
        <v>73.141043397376691</v>
      </c>
      <c r="O186" s="172">
        <v>0</v>
      </c>
      <c r="P186" s="172">
        <v>0</v>
      </c>
      <c r="Q186" s="172">
        <v>0</v>
      </c>
      <c r="R186" s="173">
        <f t="shared" si="50"/>
        <v>73.141043397376691</v>
      </c>
    </row>
    <row r="187" spans="1:18" s="189" customFormat="1" x14ac:dyDescent="0.25">
      <c r="A187" s="130">
        <v>12</v>
      </c>
      <c r="B187" s="187">
        <f t="shared" si="45"/>
        <v>45627</v>
      </c>
      <c r="C187" s="185">
        <f t="shared" si="55"/>
        <v>45660</v>
      </c>
      <c r="D187" s="185">
        <f t="shared" si="55"/>
        <v>45681</v>
      </c>
      <c r="E187" s="188" t="s">
        <v>55</v>
      </c>
      <c r="F187" s="141">
        <v>9</v>
      </c>
      <c r="G187" s="167">
        <v>18</v>
      </c>
      <c r="H187" s="177">
        <f t="shared" si="46"/>
        <v>1.9866500085128156</v>
      </c>
      <c r="I187" s="177">
        <f t="shared" si="57"/>
        <v>5.063992369008159</v>
      </c>
      <c r="J187" s="178">
        <f t="shared" si="47"/>
        <v>91.151862642146867</v>
      </c>
      <c r="K187" s="179">
        <f t="shared" si="41"/>
        <v>35.759700153230682</v>
      </c>
      <c r="L187" s="180">
        <f t="shared" si="56"/>
        <v>55.392162488916185</v>
      </c>
      <c r="M187" s="172">
        <f t="shared" si="48"/>
        <v>4.4505093816647499</v>
      </c>
      <c r="N187" s="173">
        <f t="shared" si="49"/>
        <v>59.842671870580936</v>
      </c>
      <c r="O187" s="172">
        <v>0</v>
      </c>
      <c r="P187" s="172">
        <v>0</v>
      </c>
      <c r="Q187" s="172">
        <v>0</v>
      </c>
      <c r="R187" s="173">
        <f t="shared" si="50"/>
        <v>59.842671870580936</v>
      </c>
    </row>
    <row r="188" spans="1:18" x14ac:dyDescent="0.25">
      <c r="A188" s="93">
        <v>1</v>
      </c>
      <c r="B188" s="165">
        <f t="shared" si="45"/>
        <v>45292</v>
      </c>
      <c r="C188" s="182">
        <f t="shared" ref="C188:D211" si="58">+C176</f>
        <v>45327</v>
      </c>
      <c r="D188" s="182">
        <f t="shared" si="58"/>
        <v>45348</v>
      </c>
      <c r="E188" s="166" t="s">
        <v>56</v>
      </c>
      <c r="F188" s="93">
        <v>9</v>
      </c>
      <c r="G188" s="167">
        <v>34</v>
      </c>
      <c r="H188" s="168">
        <f t="shared" si="46"/>
        <v>1.9866500085128156</v>
      </c>
      <c r="I188" s="168">
        <f t="shared" si="57"/>
        <v>5.063992369008159</v>
      </c>
      <c r="J188" s="169">
        <f t="shared" si="47"/>
        <v>172.17574054627741</v>
      </c>
      <c r="K188" s="170">
        <f t="shared" si="41"/>
        <v>67.546100289435728</v>
      </c>
      <c r="L188" s="171">
        <f t="shared" si="56"/>
        <v>104.62964025684168</v>
      </c>
      <c r="M188" s="172">
        <f t="shared" si="48"/>
        <v>8.4065177209223059</v>
      </c>
      <c r="N188" s="173">
        <f t="shared" si="49"/>
        <v>113.03615797776399</v>
      </c>
      <c r="O188" s="172">
        <v>0</v>
      </c>
      <c r="P188" s="172">
        <v>0</v>
      </c>
      <c r="Q188" s="172">
        <v>0</v>
      </c>
      <c r="R188" s="173">
        <f t="shared" si="50"/>
        <v>113.03615797776399</v>
      </c>
    </row>
    <row r="189" spans="1:18" x14ac:dyDescent="0.25">
      <c r="A189" s="130">
        <v>2</v>
      </c>
      <c r="B189" s="165">
        <f t="shared" si="45"/>
        <v>45323</v>
      </c>
      <c r="C189" s="185">
        <f t="shared" si="58"/>
        <v>45356</v>
      </c>
      <c r="D189" s="185">
        <f t="shared" si="58"/>
        <v>45376</v>
      </c>
      <c r="E189" s="174" t="s">
        <v>56</v>
      </c>
      <c r="F189" s="130">
        <v>9</v>
      </c>
      <c r="G189" s="167">
        <v>32</v>
      </c>
      <c r="H189" s="168">
        <f t="shared" si="46"/>
        <v>1.9866500085128156</v>
      </c>
      <c r="I189" s="168">
        <f t="shared" si="57"/>
        <v>5.063992369008159</v>
      </c>
      <c r="J189" s="169">
        <f t="shared" si="47"/>
        <v>162.04775580826109</v>
      </c>
      <c r="K189" s="170">
        <f t="shared" si="41"/>
        <v>63.572800272410099</v>
      </c>
      <c r="L189" s="171">
        <f t="shared" si="56"/>
        <v>98.474955535850995</v>
      </c>
      <c r="M189" s="172">
        <f t="shared" si="48"/>
        <v>7.9120166785151111</v>
      </c>
      <c r="N189" s="173">
        <f t="shared" si="49"/>
        <v>106.38697221436611</v>
      </c>
      <c r="O189" s="172">
        <v>0</v>
      </c>
      <c r="P189" s="172">
        <v>0</v>
      </c>
      <c r="Q189" s="172">
        <v>0</v>
      </c>
      <c r="R189" s="173">
        <f t="shared" si="50"/>
        <v>106.38697221436611</v>
      </c>
    </row>
    <row r="190" spans="1:18" x14ac:dyDescent="0.25">
      <c r="A190" s="130">
        <v>3</v>
      </c>
      <c r="B190" s="165">
        <f t="shared" si="45"/>
        <v>45352</v>
      </c>
      <c r="C190" s="185">
        <f t="shared" si="58"/>
        <v>45385</v>
      </c>
      <c r="D190" s="185">
        <f t="shared" si="58"/>
        <v>45406</v>
      </c>
      <c r="E190" s="174" t="s">
        <v>56</v>
      </c>
      <c r="F190" s="130">
        <v>9</v>
      </c>
      <c r="G190" s="167">
        <v>32</v>
      </c>
      <c r="H190" s="168">
        <f t="shared" si="46"/>
        <v>1.9866500085128156</v>
      </c>
      <c r="I190" s="168">
        <f t="shared" si="57"/>
        <v>5.063992369008159</v>
      </c>
      <c r="J190" s="169">
        <f t="shared" si="47"/>
        <v>162.04775580826109</v>
      </c>
      <c r="K190" s="170">
        <f t="shared" si="41"/>
        <v>63.572800272410099</v>
      </c>
      <c r="L190" s="171">
        <f>+J190-K190</f>
        <v>98.474955535850995</v>
      </c>
      <c r="M190" s="172">
        <f t="shared" si="48"/>
        <v>7.9120166785151111</v>
      </c>
      <c r="N190" s="173">
        <f t="shared" si="49"/>
        <v>106.38697221436611</v>
      </c>
      <c r="O190" s="172">
        <v>0</v>
      </c>
      <c r="P190" s="172">
        <v>0</v>
      </c>
      <c r="Q190" s="172">
        <v>0</v>
      </c>
      <c r="R190" s="173">
        <f t="shared" si="50"/>
        <v>106.38697221436611</v>
      </c>
    </row>
    <row r="191" spans="1:18" x14ac:dyDescent="0.25">
      <c r="A191" s="93">
        <v>4</v>
      </c>
      <c r="B191" s="165">
        <f t="shared" si="45"/>
        <v>45383</v>
      </c>
      <c r="C191" s="185">
        <f t="shared" si="58"/>
        <v>45415</v>
      </c>
      <c r="D191" s="185">
        <f t="shared" si="58"/>
        <v>45436</v>
      </c>
      <c r="E191" s="52" t="s">
        <v>56</v>
      </c>
      <c r="F191" s="130">
        <v>9</v>
      </c>
      <c r="G191" s="167">
        <v>33</v>
      </c>
      <c r="H191" s="168">
        <f t="shared" si="46"/>
        <v>1.9866500085128156</v>
      </c>
      <c r="I191" s="168">
        <f t="shared" si="57"/>
        <v>5.063992369008159</v>
      </c>
      <c r="J191" s="169">
        <f t="shared" si="47"/>
        <v>167.11174817726925</v>
      </c>
      <c r="K191" s="170">
        <f t="shared" si="41"/>
        <v>65.559450280922917</v>
      </c>
      <c r="L191" s="171">
        <f t="shared" ref="L191:L201" si="59">+J191-K191</f>
        <v>101.55229789634633</v>
      </c>
      <c r="M191" s="172">
        <f t="shared" si="48"/>
        <v>8.1592671997187072</v>
      </c>
      <c r="N191" s="173">
        <f t="shared" si="49"/>
        <v>109.71156509606504</v>
      </c>
      <c r="O191" s="172">
        <v>0</v>
      </c>
      <c r="P191" s="172">
        <v>0</v>
      </c>
      <c r="Q191" s="172">
        <v>0</v>
      </c>
      <c r="R191" s="173">
        <f t="shared" si="50"/>
        <v>109.71156509606504</v>
      </c>
    </row>
    <row r="192" spans="1:18" x14ac:dyDescent="0.25">
      <c r="A192" s="130">
        <v>5</v>
      </c>
      <c r="B192" s="165">
        <f t="shared" si="45"/>
        <v>45413</v>
      </c>
      <c r="C192" s="185">
        <f t="shared" si="58"/>
        <v>45448</v>
      </c>
      <c r="D192" s="185">
        <f t="shared" si="58"/>
        <v>45467</v>
      </c>
      <c r="E192" s="52" t="s">
        <v>56</v>
      </c>
      <c r="F192" s="130">
        <v>9</v>
      </c>
      <c r="G192" s="167">
        <v>40</v>
      </c>
      <c r="H192" s="168">
        <f t="shared" si="46"/>
        <v>1.9866500085128156</v>
      </c>
      <c r="I192" s="168">
        <f t="shared" si="57"/>
        <v>5.063992369008159</v>
      </c>
      <c r="J192" s="169">
        <f t="shared" si="47"/>
        <v>202.55969476032635</v>
      </c>
      <c r="K192" s="170">
        <f t="shared" si="41"/>
        <v>79.466000340512622</v>
      </c>
      <c r="L192" s="171">
        <f t="shared" si="59"/>
        <v>123.09369441981373</v>
      </c>
      <c r="M192" s="172">
        <f t="shared" si="48"/>
        <v>9.8900208481438892</v>
      </c>
      <c r="N192" s="173">
        <f t="shared" si="49"/>
        <v>132.98371526795762</v>
      </c>
      <c r="O192" s="172">
        <v>0</v>
      </c>
      <c r="P192" s="172">
        <v>0</v>
      </c>
      <c r="Q192" s="172">
        <v>0</v>
      </c>
      <c r="R192" s="173">
        <f t="shared" si="50"/>
        <v>132.98371526795762</v>
      </c>
    </row>
    <row r="193" spans="1:18" x14ac:dyDescent="0.25">
      <c r="A193" s="130">
        <v>6</v>
      </c>
      <c r="B193" s="165">
        <f t="shared" si="45"/>
        <v>45444</v>
      </c>
      <c r="C193" s="185">
        <f t="shared" si="58"/>
        <v>45476</v>
      </c>
      <c r="D193" s="185">
        <f t="shared" si="58"/>
        <v>45497</v>
      </c>
      <c r="E193" s="52" t="s">
        <v>56</v>
      </c>
      <c r="F193" s="130">
        <v>9</v>
      </c>
      <c r="G193" s="167">
        <v>47</v>
      </c>
      <c r="H193" s="168">
        <f t="shared" si="46"/>
        <v>1.9866500085128156</v>
      </c>
      <c r="I193" s="168">
        <f t="shared" si="57"/>
        <v>5.063992369008159</v>
      </c>
      <c r="J193" s="169">
        <f t="shared" si="47"/>
        <v>238.00764134338348</v>
      </c>
      <c r="K193" s="170">
        <f t="shared" si="41"/>
        <v>93.372550400102327</v>
      </c>
      <c r="L193" s="175">
        <f t="shared" si="59"/>
        <v>144.63509094328117</v>
      </c>
      <c r="M193" s="172">
        <f t="shared" si="48"/>
        <v>11.620774496569069</v>
      </c>
      <c r="N193" s="173">
        <f t="shared" si="49"/>
        <v>156.25586543985025</v>
      </c>
      <c r="O193" s="172">
        <v>0</v>
      </c>
      <c r="P193" s="172">
        <v>0</v>
      </c>
      <c r="Q193" s="172">
        <v>0</v>
      </c>
      <c r="R193" s="173">
        <f t="shared" si="50"/>
        <v>156.25586543985025</v>
      </c>
    </row>
    <row r="194" spans="1:18" x14ac:dyDescent="0.25">
      <c r="A194" s="93">
        <v>7</v>
      </c>
      <c r="B194" s="165">
        <f t="shared" si="45"/>
        <v>45474</v>
      </c>
      <c r="C194" s="185">
        <f t="shared" si="58"/>
        <v>45509</v>
      </c>
      <c r="D194" s="185">
        <f t="shared" si="58"/>
        <v>45530</v>
      </c>
      <c r="E194" s="52" t="s">
        <v>56</v>
      </c>
      <c r="F194" s="130">
        <v>9</v>
      </c>
      <c r="G194" s="167">
        <v>47</v>
      </c>
      <c r="H194" s="168">
        <f t="shared" si="46"/>
        <v>1.9866500085128156</v>
      </c>
      <c r="I194" s="168">
        <f t="shared" si="57"/>
        <v>5.063992369008159</v>
      </c>
      <c r="J194" s="169">
        <f t="shared" si="47"/>
        <v>238.00764134338348</v>
      </c>
      <c r="K194" s="176">
        <f t="shared" si="41"/>
        <v>93.372550400102327</v>
      </c>
      <c r="L194" s="175">
        <f t="shared" si="59"/>
        <v>144.63509094328117</v>
      </c>
      <c r="M194" s="172">
        <f t="shared" si="48"/>
        <v>11.620774496569069</v>
      </c>
      <c r="N194" s="173">
        <f t="shared" si="49"/>
        <v>156.25586543985025</v>
      </c>
      <c r="O194" s="172">
        <v>0</v>
      </c>
      <c r="P194" s="172">
        <v>0</v>
      </c>
      <c r="Q194" s="172">
        <v>0</v>
      </c>
      <c r="R194" s="173">
        <f t="shared" si="50"/>
        <v>156.25586543985025</v>
      </c>
    </row>
    <row r="195" spans="1:18" x14ac:dyDescent="0.25">
      <c r="A195" s="130">
        <v>8</v>
      </c>
      <c r="B195" s="165">
        <f t="shared" si="45"/>
        <v>45505</v>
      </c>
      <c r="C195" s="185">
        <f t="shared" si="58"/>
        <v>45539</v>
      </c>
      <c r="D195" s="185">
        <f t="shared" si="58"/>
        <v>45559</v>
      </c>
      <c r="E195" s="52" t="s">
        <v>56</v>
      </c>
      <c r="F195" s="130">
        <v>9</v>
      </c>
      <c r="G195" s="167">
        <v>51</v>
      </c>
      <c r="H195" s="168">
        <f t="shared" si="46"/>
        <v>1.9866500085128156</v>
      </c>
      <c r="I195" s="168">
        <f t="shared" si="57"/>
        <v>5.063992369008159</v>
      </c>
      <c r="J195" s="169">
        <f t="shared" si="47"/>
        <v>258.2636108194161</v>
      </c>
      <c r="K195" s="176">
        <f t="shared" si="41"/>
        <v>101.3191504341536</v>
      </c>
      <c r="L195" s="175">
        <f t="shared" si="59"/>
        <v>156.94446038526252</v>
      </c>
      <c r="M195" s="172">
        <f t="shared" si="48"/>
        <v>12.609776581383457</v>
      </c>
      <c r="N195" s="173">
        <f t="shared" si="49"/>
        <v>169.55423696664599</v>
      </c>
      <c r="O195" s="172">
        <v>0</v>
      </c>
      <c r="P195" s="172">
        <v>0</v>
      </c>
      <c r="Q195" s="172">
        <v>0</v>
      </c>
      <c r="R195" s="173">
        <f t="shared" si="50"/>
        <v>169.55423696664599</v>
      </c>
    </row>
    <row r="196" spans="1:18" x14ac:dyDescent="0.25">
      <c r="A196" s="130">
        <v>9</v>
      </c>
      <c r="B196" s="165">
        <f t="shared" si="45"/>
        <v>45536</v>
      </c>
      <c r="C196" s="185">
        <f t="shared" si="58"/>
        <v>45568</v>
      </c>
      <c r="D196" s="185">
        <f t="shared" si="58"/>
        <v>45589</v>
      </c>
      <c r="E196" s="52" t="s">
        <v>56</v>
      </c>
      <c r="F196" s="130">
        <v>9</v>
      </c>
      <c r="G196" s="167">
        <v>43</v>
      </c>
      <c r="H196" s="168">
        <f t="shared" si="46"/>
        <v>1.9866500085128156</v>
      </c>
      <c r="I196" s="168">
        <f t="shared" si="57"/>
        <v>5.063992369008159</v>
      </c>
      <c r="J196" s="169">
        <f t="shared" si="47"/>
        <v>217.75167186735084</v>
      </c>
      <c r="K196" s="176">
        <f t="shared" si="41"/>
        <v>85.425950366051069</v>
      </c>
      <c r="L196" s="175">
        <f t="shared" si="59"/>
        <v>132.32572150129977</v>
      </c>
      <c r="M196" s="172">
        <f t="shared" si="48"/>
        <v>10.63177241175468</v>
      </c>
      <c r="N196" s="173">
        <f t="shared" si="49"/>
        <v>142.95749391305444</v>
      </c>
      <c r="O196" s="172">
        <v>0</v>
      </c>
      <c r="P196" s="172">
        <v>0</v>
      </c>
      <c r="Q196" s="172">
        <v>0</v>
      </c>
      <c r="R196" s="173">
        <f t="shared" si="50"/>
        <v>142.95749391305444</v>
      </c>
    </row>
    <row r="197" spans="1:18" x14ac:dyDescent="0.25">
      <c r="A197" s="93">
        <v>10</v>
      </c>
      <c r="B197" s="165">
        <f t="shared" si="45"/>
        <v>45566</v>
      </c>
      <c r="C197" s="185">
        <f t="shared" si="58"/>
        <v>45601</v>
      </c>
      <c r="D197" s="185">
        <f t="shared" si="58"/>
        <v>45621</v>
      </c>
      <c r="E197" s="52" t="s">
        <v>56</v>
      </c>
      <c r="F197" s="130">
        <v>9</v>
      </c>
      <c r="G197" s="167">
        <v>37</v>
      </c>
      <c r="H197" s="168">
        <f t="shared" si="46"/>
        <v>1.9866500085128156</v>
      </c>
      <c r="I197" s="168">
        <f t="shared" si="57"/>
        <v>5.063992369008159</v>
      </c>
      <c r="J197" s="169">
        <f t="shared" si="47"/>
        <v>187.3677176533019</v>
      </c>
      <c r="K197" s="176">
        <f t="shared" si="41"/>
        <v>73.506050314974175</v>
      </c>
      <c r="L197" s="175">
        <f t="shared" si="59"/>
        <v>113.86166733832772</v>
      </c>
      <c r="M197" s="172">
        <f t="shared" si="48"/>
        <v>9.1482692845330966</v>
      </c>
      <c r="N197" s="173">
        <f t="shared" si="49"/>
        <v>123.00993662286082</v>
      </c>
      <c r="O197" s="172">
        <v>0</v>
      </c>
      <c r="P197" s="172">
        <v>0</v>
      </c>
      <c r="Q197" s="172">
        <v>0</v>
      </c>
      <c r="R197" s="173">
        <f t="shared" si="50"/>
        <v>123.00993662286082</v>
      </c>
    </row>
    <row r="198" spans="1:18" x14ac:dyDescent="0.25">
      <c r="A198" s="130">
        <v>11</v>
      </c>
      <c r="B198" s="165">
        <f t="shared" si="45"/>
        <v>45597</v>
      </c>
      <c r="C198" s="185">
        <f t="shared" si="58"/>
        <v>45630</v>
      </c>
      <c r="D198" s="185">
        <f t="shared" si="58"/>
        <v>45650</v>
      </c>
      <c r="E198" s="52" t="s">
        <v>56</v>
      </c>
      <c r="F198" s="130">
        <v>9</v>
      </c>
      <c r="G198" s="167">
        <v>34</v>
      </c>
      <c r="H198" s="168">
        <f t="shared" si="46"/>
        <v>1.9866500085128156</v>
      </c>
      <c r="I198" s="168">
        <f t="shared" si="57"/>
        <v>5.063992369008159</v>
      </c>
      <c r="J198" s="169">
        <f t="shared" si="47"/>
        <v>172.17574054627741</v>
      </c>
      <c r="K198" s="176">
        <f t="shared" ref="K198:K209" si="60">+$G198*H198</f>
        <v>67.546100289435728</v>
      </c>
      <c r="L198" s="175">
        <f t="shared" si="59"/>
        <v>104.62964025684168</v>
      </c>
      <c r="M198" s="172">
        <f t="shared" si="48"/>
        <v>8.4065177209223059</v>
      </c>
      <c r="N198" s="173">
        <f t="shared" si="49"/>
        <v>113.03615797776399</v>
      </c>
      <c r="O198" s="172">
        <v>0</v>
      </c>
      <c r="P198" s="172">
        <v>0</v>
      </c>
      <c r="Q198" s="172">
        <v>0</v>
      </c>
      <c r="R198" s="173">
        <f t="shared" si="50"/>
        <v>113.03615797776399</v>
      </c>
    </row>
    <row r="199" spans="1:18" s="189" customFormat="1" x14ac:dyDescent="0.25">
      <c r="A199" s="130">
        <v>12</v>
      </c>
      <c r="B199" s="187">
        <f t="shared" si="45"/>
        <v>45627</v>
      </c>
      <c r="C199" s="185">
        <f t="shared" si="58"/>
        <v>45660</v>
      </c>
      <c r="D199" s="185">
        <f t="shared" si="58"/>
        <v>45681</v>
      </c>
      <c r="E199" s="188" t="s">
        <v>56</v>
      </c>
      <c r="F199" s="141">
        <v>9</v>
      </c>
      <c r="G199" s="167">
        <v>32</v>
      </c>
      <c r="H199" s="177">
        <f t="shared" si="46"/>
        <v>1.9866500085128156</v>
      </c>
      <c r="I199" s="177">
        <f t="shared" si="57"/>
        <v>5.063992369008159</v>
      </c>
      <c r="J199" s="178">
        <f t="shared" si="47"/>
        <v>162.04775580826109</v>
      </c>
      <c r="K199" s="179">
        <f t="shared" si="60"/>
        <v>63.572800272410099</v>
      </c>
      <c r="L199" s="180">
        <f t="shared" si="59"/>
        <v>98.474955535850995</v>
      </c>
      <c r="M199" s="172">
        <f t="shared" si="48"/>
        <v>7.9120166785151111</v>
      </c>
      <c r="N199" s="173">
        <f t="shared" si="49"/>
        <v>106.38697221436611</v>
      </c>
      <c r="O199" s="172">
        <v>0</v>
      </c>
      <c r="P199" s="172">
        <v>0</v>
      </c>
      <c r="Q199" s="172">
        <v>0</v>
      </c>
      <c r="R199" s="173">
        <f t="shared" si="50"/>
        <v>106.38697221436611</v>
      </c>
    </row>
    <row r="200" spans="1:18" x14ac:dyDescent="0.25">
      <c r="A200" s="93">
        <v>1</v>
      </c>
      <c r="B200" s="165">
        <f t="shared" si="45"/>
        <v>45292</v>
      </c>
      <c r="C200" s="182">
        <f t="shared" si="58"/>
        <v>45327</v>
      </c>
      <c r="D200" s="182">
        <f t="shared" si="58"/>
        <v>45348</v>
      </c>
      <c r="E200" s="166" t="s">
        <v>17</v>
      </c>
      <c r="F200" s="93">
        <v>9</v>
      </c>
      <c r="G200" s="167">
        <v>104</v>
      </c>
      <c r="H200" s="168">
        <f t="shared" si="46"/>
        <v>1.9866500085128156</v>
      </c>
      <c r="I200" s="168">
        <f t="shared" si="57"/>
        <v>5.063992369008159</v>
      </c>
      <c r="J200" s="169">
        <f t="shared" si="47"/>
        <v>526.65520637684858</v>
      </c>
      <c r="K200" s="170">
        <f t="shared" si="60"/>
        <v>206.61160088533282</v>
      </c>
      <c r="L200" s="171">
        <f t="shared" si="59"/>
        <v>320.04360549151579</v>
      </c>
      <c r="M200" s="172">
        <f t="shared" si="48"/>
        <v>25.714054205174111</v>
      </c>
      <c r="N200" s="173">
        <f t="shared" si="49"/>
        <v>345.75765969668993</v>
      </c>
      <c r="O200" s="172">
        <v>0</v>
      </c>
      <c r="P200" s="172">
        <v>0</v>
      </c>
      <c r="Q200" s="172">
        <v>0</v>
      </c>
      <c r="R200" s="173">
        <f t="shared" si="50"/>
        <v>345.75765969668993</v>
      </c>
    </row>
    <row r="201" spans="1:18" x14ac:dyDescent="0.25">
      <c r="A201" s="130">
        <v>2</v>
      </c>
      <c r="B201" s="165">
        <f t="shared" si="45"/>
        <v>45323</v>
      </c>
      <c r="C201" s="185">
        <f t="shared" si="58"/>
        <v>45356</v>
      </c>
      <c r="D201" s="185">
        <f t="shared" si="58"/>
        <v>45376</v>
      </c>
      <c r="E201" s="174" t="s">
        <v>17</v>
      </c>
      <c r="F201" s="130">
        <v>9</v>
      </c>
      <c r="G201" s="167">
        <v>99</v>
      </c>
      <c r="H201" s="168">
        <f t="shared" si="46"/>
        <v>1.9866500085128156</v>
      </c>
      <c r="I201" s="168">
        <f t="shared" si="57"/>
        <v>5.063992369008159</v>
      </c>
      <c r="J201" s="169">
        <f t="shared" si="47"/>
        <v>501.33524453180775</v>
      </c>
      <c r="K201" s="170">
        <f t="shared" si="60"/>
        <v>196.67835084276874</v>
      </c>
      <c r="L201" s="171">
        <f t="shared" si="59"/>
        <v>304.65689368903901</v>
      </c>
      <c r="M201" s="172">
        <f t="shared" si="48"/>
        <v>24.477801599156123</v>
      </c>
      <c r="N201" s="173">
        <f t="shared" si="49"/>
        <v>329.13469528819513</v>
      </c>
      <c r="O201" s="172">
        <v>0</v>
      </c>
      <c r="P201" s="172">
        <v>0</v>
      </c>
      <c r="Q201" s="172">
        <v>0</v>
      </c>
      <c r="R201" s="173">
        <f t="shared" si="50"/>
        <v>329.13469528819513</v>
      </c>
    </row>
    <row r="202" spans="1:18" x14ac:dyDescent="0.25">
      <c r="A202" s="130">
        <v>3</v>
      </c>
      <c r="B202" s="165">
        <f t="shared" si="45"/>
        <v>45352</v>
      </c>
      <c r="C202" s="185">
        <f t="shared" si="58"/>
        <v>45385</v>
      </c>
      <c r="D202" s="185">
        <f t="shared" si="58"/>
        <v>45406</v>
      </c>
      <c r="E202" s="174" t="s">
        <v>17</v>
      </c>
      <c r="F202" s="130">
        <v>9</v>
      </c>
      <c r="G202" s="167">
        <v>99</v>
      </c>
      <c r="H202" s="168">
        <f t="shared" si="46"/>
        <v>1.9866500085128156</v>
      </c>
      <c r="I202" s="168">
        <f t="shared" si="57"/>
        <v>5.063992369008159</v>
      </c>
      <c r="J202" s="169">
        <f t="shared" si="47"/>
        <v>501.33524453180775</v>
      </c>
      <c r="K202" s="170">
        <f t="shared" si="60"/>
        <v>196.67835084276874</v>
      </c>
      <c r="L202" s="171">
        <f>+J202-K202</f>
        <v>304.65689368903901</v>
      </c>
      <c r="M202" s="172">
        <f t="shared" si="48"/>
        <v>24.477801599156123</v>
      </c>
      <c r="N202" s="173">
        <f t="shared" si="49"/>
        <v>329.13469528819513</v>
      </c>
      <c r="O202" s="172">
        <v>0</v>
      </c>
      <c r="P202" s="172">
        <v>0</v>
      </c>
      <c r="Q202" s="172">
        <v>0</v>
      </c>
      <c r="R202" s="173">
        <f t="shared" si="50"/>
        <v>329.13469528819513</v>
      </c>
    </row>
    <row r="203" spans="1:18" x14ac:dyDescent="0.25">
      <c r="A203" s="93">
        <v>4</v>
      </c>
      <c r="B203" s="165">
        <f t="shared" si="45"/>
        <v>45383</v>
      </c>
      <c r="C203" s="185">
        <f t="shared" si="58"/>
        <v>45415</v>
      </c>
      <c r="D203" s="185">
        <f t="shared" si="58"/>
        <v>45436</v>
      </c>
      <c r="E203" s="174" t="s">
        <v>17</v>
      </c>
      <c r="F203" s="130">
        <v>9</v>
      </c>
      <c r="G203" s="167">
        <v>99</v>
      </c>
      <c r="H203" s="168">
        <f t="shared" si="46"/>
        <v>1.9866500085128156</v>
      </c>
      <c r="I203" s="168">
        <f t="shared" si="57"/>
        <v>5.063992369008159</v>
      </c>
      <c r="J203" s="169">
        <f t="shared" si="47"/>
        <v>501.33524453180775</v>
      </c>
      <c r="K203" s="170">
        <f t="shared" si="60"/>
        <v>196.67835084276874</v>
      </c>
      <c r="L203" s="171">
        <f t="shared" ref="L203:L211" si="61">+J203-K203</f>
        <v>304.65689368903901</v>
      </c>
      <c r="M203" s="172">
        <f t="shared" si="48"/>
        <v>24.477801599156123</v>
      </c>
      <c r="N203" s="173">
        <f t="shared" si="49"/>
        <v>329.13469528819513</v>
      </c>
      <c r="O203" s="172">
        <v>0</v>
      </c>
      <c r="P203" s="172">
        <v>0</v>
      </c>
      <c r="Q203" s="172">
        <v>0</v>
      </c>
      <c r="R203" s="173">
        <f t="shared" si="50"/>
        <v>329.13469528819513</v>
      </c>
    </row>
    <row r="204" spans="1:18" x14ac:dyDescent="0.25">
      <c r="A204" s="130">
        <v>5</v>
      </c>
      <c r="B204" s="165">
        <f t="shared" si="45"/>
        <v>45413</v>
      </c>
      <c r="C204" s="185">
        <f t="shared" si="58"/>
        <v>45448</v>
      </c>
      <c r="D204" s="185">
        <f t="shared" si="58"/>
        <v>45467</v>
      </c>
      <c r="E204" s="52" t="s">
        <v>17</v>
      </c>
      <c r="F204" s="130">
        <v>9</v>
      </c>
      <c r="G204" s="167">
        <v>106</v>
      </c>
      <c r="H204" s="168">
        <f t="shared" si="46"/>
        <v>1.9866500085128156</v>
      </c>
      <c r="I204" s="168">
        <f t="shared" si="57"/>
        <v>5.063992369008159</v>
      </c>
      <c r="J204" s="169">
        <f t="shared" si="47"/>
        <v>536.78319111486485</v>
      </c>
      <c r="K204" s="170">
        <f t="shared" si="60"/>
        <v>210.58490090235844</v>
      </c>
      <c r="L204" s="171">
        <f t="shared" si="61"/>
        <v>326.19829021250644</v>
      </c>
      <c r="M204" s="172">
        <f t="shared" si="48"/>
        <v>26.208555247581305</v>
      </c>
      <c r="N204" s="173">
        <f t="shared" si="49"/>
        <v>352.40684546008777</v>
      </c>
      <c r="O204" s="172">
        <v>0</v>
      </c>
      <c r="P204" s="172">
        <v>0</v>
      </c>
      <c r="Q204" s="172">
        <v>0</v>
      </c>
      <c r="R204" s="173">
        <f t="shared" si="50"/>
        <v>352.40684546008777</v>
      </c>
    </row>
    <row r="205" spans="1:18" x14ac:dyDescent="0.25">
      <c r="A205" s="130">
        <v>6</v>
      </c>
      <c r="B205" s="165">
        <f t="shared" si="45"/>
        <v>45444</v>
      </c>
      <c r="C205" s="185">
        <f t="shared" si="58"/>
        <v>45476</v>
      </c>
      <c r="D205" s="185">
        <f t="shared" si="58"/>
        <v>45497</v>
      </c>
      <c r="E205" s="52" t="s">
        <v>17</v>
      </c>
      <c r="F205" s="130">
        <v>9</v>
      </c>
      <c r="G205" s="167">
        <v>120</v>
      </c>
      <c r="H205" s="168">
        <f t="shared" si="46"/>
        <v>1.9866500085128156</v>
      </c>
      <c r="I205" s="168">
        <f t="shared" si="57"/>
        <v>5.063992369008159</v>
      </c>
      <c r="J205" s="169">
        <f t="shared" si="47"/>
        <v>607.67908428097905</v>
      </c>
      <c r="K205" s="170">
        <f t="shared" si="60"/>
        <v>238.39800102153788</v>
      </c>
      <c r="L205" s="175">
        <f t="shared" si="61"/>
        <v>369.28108325944117</v>
      </c>
      <c r="M205" s="172">
        <f t="shared" si="48"/>
        <v>29.670062544431666</v>
      </c>
      <c r="N205" s="173">
        <f t="shared" si="49"/>
        <v>398.95114580387286</v>
      </c>
      <c r="O205" s="172">
        <v>0</v>
      </c>
      <c r="P205" s="172">
        <v>0</v>
      </c>
      <c r="Q205" s="172">
        <v>0</v>
      </c>
      <c r="R205" s="173">
        <f t="shared" si="50"/>
        <v>398.95114580387286</v>
      </c>
    </row>
    <row r="206" spans="1:18" x14ac:dyDescent="0.25">
      <c r="A206" s="93">
        <v>7</v>
      </c>
      <c r="B206" s="165">
        <f t="shared" si="45"/>
        <v>45474</v>
      </c>
      <c r="C206" s="185">
        <f t="shared" si="58"/>
        <v>45509</v>
      </c>
      <c r="D206" s="185">
        <f t="shared" si="58"/>
        <v>45530</v>
      </c>
      <c r="E206" s="52" t="s">
        <v>17</v>
      </c>
      <c r="F206" s="130">
        <v>9</v>
      </c>
      <c r="G206" s="167">
        <v>117</v>
      </c>
      <c r="H206" s="168">
        <f t="shared" si="46"/>
        <v>1.9866500085128156</v>
      </c>
      <c r="I206" s="168">
        <f t="shared" si="57"/>
        <v>5.063992369008159</v>
      </c>
      <c r="J206" s="169">
        <f t="shared" si="47"/>
        <v>592.48710717395466</v>
      </c>
      <c r="K206" s="176">
        <f t="shared" si="60"/>
        <v>232.43805099599942</v>
      </c>
      <c r="L206" s="175">
        <f t="shared" si="61"/>
        <v>360.04905617795521</v>
      </c>
      <c r="M206" s="172">
        <f t="shared" si="48"/>
        <v>28.928310980820875</v>
      </c>
      <c r="N206" s="173">
        <f t="shared" si="49"/>
        <v>388.97736715877608</v>
      </c>
      <c r="O206" s="172">
        <v>0</v>
      </c>
      <c r="P206" s="172">
        <v>0</v>
      </c>
      <c r="Q206" s="172">
        <v>0</v>
      </c>
      <c r="R206" s="173">
        <f t="shared" si="50"/>
        <v>388.97736715877608</v>
      </c>
    </row>
    <row r="207" spans="1:18" x14ac:dyDescent="0.25">
      <c r="A207" s="130">
        <v>8</v>
      </c>
      <c r="B207" s="165">
        <f t="shared" si="45"/>
        <v>45505</v>
      </c>
      <c r="C207" s="185">
        <f t="shared" si="58"/>
        <v>45539</v>
      </c>
      <c r="D207" s="185">
        <f t="shared" si="58"/>
        <v>45559</v>
      </c>
      <c r="E207" s="52" t="s">
        <v>17</v>
      </c>
      <c r="F207" s="130">
        <v>9</v>
      </c>
      <c r="G207" s="167">
        <v>118</v>
      </c>
      <c r="H207" s="168">
        <f t="shared" si="46"/>
        <v>1.9866500085128156</v>
      </c>
      <c r="I207" s="168">
        <f t="shared" si="57"/>
        <v>5.063992369008159</v>
      </c>
      <c r="J207" s="169">
        <f t="shared" si="47"/>
        <v>597.55109954296279</v>
      </c>
      <c r="K207" s="176">
        <f t="shared" si="60"/>
        <v>234.42470100451223</v>
      </c>
      <c r="L207" s="175">
        <f t="shared" si="61"/>
        <v>363.12639853845053</v>
      </c>
      <c r="M207" s="172">
        <f t="shared" si="48"/>
        <v>29.175561502024472</v>
      </c>
      <c r="N207" s="173">
        <f t="shared" si="49"/>
        <v>392.30196004047502</v>
      </c>
      <c r="O207" s="172">
        <v>0</v>
      </c>
      <c r="P207" s="172">
        <v>0</v>
      </c>
      <c r="Q207" s="172">
        <v>0</v>
      </c>
      <c r="R207" s="173">
        <f t="shared" si="50"/>
        <v>392.30196004047502</v>
      </c>
    </row>
    <row r="208" spans="1:18" x14ac:dyDescent="0.25">
      <c r="A208" s="130">
        <v>9</v>
      </c>
      <c r="B208" s="165">
        <f t="shared" si="45"/>
        <v>45536</v>
      </c>
      <c r="C208" s="185">
        <f t="shared" si="58"/>
        <v>45568</v>
      </c>
      <c r="D208" s="185">
        <f t="shared" si="58"/>
        <v>45589</v>
      </c>
      <c r="E208" s="52" t="s">
        <v>17</v>
      </c>
      <c r="F208" s="130">
        <v>9</v>
      </c>
      <c r="G208" s="167">
        <v>117</v>
      </c>
      <c r="H208" s="168">
        <f t="shared" si="46"/>
        <v>1.9866500085128156</v>
      </c>
      <c r="I208" s="168">
        <f t="shared" si="57"/>
        <v>5.063992369008159</v>
      </c>
      <c r="J208" s="169">
        <f t="shared" si="47"/>
        <v>592.48710717395466</v>
      </c>
      <c r="K208" s="176">
        <f t="shared" si="60"/>
        <v>232.43805099599942</v>
      </c>
      <c r="L208" s="175">
        <f t="shared" si="61"/>
        <v>360.04905617795521</v>
      </c>
      <c r="M208" s="172">
        <f t="shared" si="48"/>
        <v>28.928310980820875</v>
      </c>
      <c r="N208" s="173">
        <f t="shared" si="49"/>
        <v>388.97736715877608</v>
      </c>
      <c r="O208" s="172">
        <v>0</v>
      </c>
      <c r="P208" s="172">
        <v>0</v>
      </c>
      <c r="Q208" s="172">
        <v>0</v>
      </c>
      <c r="R208" s="173">
        <f t="shared" si="50"/>
        <v>388.97736715877608</v>
      </c>
    </row>
    <row r="209" spans="1:18" x14ac:dyDescent="0.25">
      <c r="A209" s="93">
        <v>10</v>
      </c>
      <c r="B209" s="165">
        <f t="shared" si="45"/>
        <v>45566</v>
      </c>
      <c r="C209" s="185">
        <f t="shared" si="58"/>
        <v>45601</v>
      </c>
      <c r="D209" s="185">
        <f t="shared" si="58"/>
        <v>45621</v>
      </c>
      <c r="E209" s="52" t="s">
        <v>17</v>
      </c>
      <c r="F209" s="130">
        <v>9</v>
      </c>
      <c r="G209" s="167">
        <v>107</v>
      </c>
      <c r="H209" s="168">
        <f t="shared" si="46"/>
        <v>1.9866500085128156</v>
      </c>
      <c r="I209" s="168">
        <f t="shared" si="57"/>
        <v>5.063992369008159</v>
      </c>
      <c r="J209" s="169">
        <f t="shared" si="47"/>
        <v>541.84718348387298</v>
      </c>
      <c r="K209" s="176">
        <f t="shared" si="60"/>
        <v>212.57155091087128</v>
      </c>
      <c r="L209" s="175">
        <f t="shared" si="61"/>
        <v>329.2756325730017</v>
      </c>
      <c r="M209" s="172">
        <f t="shared" si="48"/>
        <v>26.455805768784902</v>
      </c>
      <c r="N209" s="173">
        <f t="shared" si="49"/>
        <v>355.7314383417866</v>
      </c>
      <c r="O209" s="172">
        <v>0</v>
      </c>
      <c r="P209" s="172">
        <v>0</v>
      </c>
      <c r="Q209" s="172">
        <v>0</v>
      </c>
      <c r="R209" s="173">
        <f t="shared" si="50"/>
        <v>355.7314383417866</v>
      </c>
    </row>
    <row r="210" spans="1:18" x14ac:dyDescent="0.25">
      <c r="A210" s="130">
        <v>11</v>
      </c>
      <c r="B210" s="165">
        <f t="shared" si="45"/>
        <v>45597</v>
      </c>
      <c r="C210" s="185">
        <f t="shared" si="58"/>
        <v>45630</v>
      </c>
      <c r="D210" s="185">
        <f t="shared" si="58"/>
        <v>45650</v>
      </c>
      <c r="E210" s="52" t="s">
        <v>17</v>
      </c>
      <c r="F210" s="130">
        <v>9</v>
      </c>
      <c r="G210" s="167">
        <v>91</v>
      </c>
      <c r="H210" s="168">
        <f t="shared" si="46"/>
        <v>1.9866500085128156</v>
      </c>
      <c r="I210" s="168">
        <f t="shared" si="57"/>
        <v>5.063992369008159</v>
      </c>
      <c r="J210" s="169">
        <f t="shared" si="47"/>
        <v>460.82330557974245</v>
      </c>
      <c r="K210" s="176">
        <f>+$G210*H210</f>
        <v>180.78515077466622</v>
      </c>
      <c r="L210" s="175">
        <f t="shared" si="61"/>
        <v>280.03815480507626</v>
      </c>
      <c r="M210" s="172">
        <f t="shared" si="48"/>
        <v>22.499797429527348</v>
      </c>
      <c r="N210" s="173">
        <f t="shared" si="49"/>
        <v>302.53795223460361</v>
      </c>
      <c r="O210" s="172">
        <v>0</v>
      </c>
      <c r="P210" s="172">
        <v>0</v>
      </c>
      <c r="Q210" s="172">
        <v>0</v>
      </c>
      <c r="R210" s="173">
        <f t="shared" si="50"/>
        <v>302.53795223460361</v>
      </c>
    </row>
    <row r="211" spans="1:18" s="189" customFormat="1" x14ac:dyDescent="0.25">
      <c r="A211" s="130">
        <v>12</v>
      </c>
      <c r="B211" s="187">
        <f t="shared" si="45"/>
        <v>45627</v>
      </c>
      <c r="C211" s="190">
        <f t="shared" si="58"/>
        <v>45660</v>
      </c>
      <c r="D211" s="190">
        <f t="shared" si="58"/>
        <v>45681</v>
      </c>
      <c r="E211" s="188" t="s">
        <v>17</v>
      </c>
      <c r="F211" s="141">
        <v>9</v>
      </c>
      <c r="G211" s="167">
        <v>102</v>
      </c>
      <c r="H211" s="177">
        <f t="shared" si="46"/>
        <v>1.9866500085128156</v>
      </c>
      <c r="I211" s="177">
        <f t="shared" si="57"/>
        <v>5.063992369008159</v>
      </c>
      <c r="J211" s="178">
        <f t="shared" si="47"/>
        <v>516.5272216388322</v>
      </c>
      <c r="K211" s="179">
        <f>+$G211*H211</f>
        <v>202.6383008683072</v>
      </c>
      <c r="L211" s="180">
        <f t="shared" si="61"/>
        <v>313.88892077052503</v>
      </c>
      <c r="M211" s="178">
        <f t="shared" si="48"/>
        <v>25.219553162766914</v>
      </c>
      <c r="N211" s="173">
        <f t="shared" si="49"/>
        <v>339.10847393329198</v>
      </c>
      <c r="O211" s="172">
        <v>0</v>
      </c>
      <c r="P211" s="172">
        <v>0</v>
      </c>
      <c r="Q211" s="172">
        <v>0</v>
      </c>
      <c r="R211" s="173">
        <f t="shared" si="50"/>
        <v>339.10847393329198</v>
      </c>
    </row>
    <row r="212" spans="1:18" x14ac:dyDescent="0.25">
      <c r="G212" s="195">
        <f>SUM(G20:G211)</f>
        <v>101851</v>
      </c>
      <c r="H212" s="49"/>
      <c r="I212" s="49"/>
      <c r="J212" s="49">
        <f>SUM(J20:J211)</f>
        <v>515772.68677584972</v>
      </c>
      <c r="K212" s="49">
        <f>SUM(K20:K211)</f>
        <v>202342.29001703893</v>
      </c>
      <c r="L212" s="49">
        <f>SUM(L20:L211)</f>
        <v>313430.39675881097</v>
      </c>
      <c r="M212" s="49">
        <f>SUM(M20:M211)</f>
        <v>25182.712835107599</v>
      </c>
      <c r="N212" s="49"/>
      <c r="O212" s="49"/>
      <c r="P212" s="49">
        <f>SUM(P20:P211)</f>
        <v>0</v>
      </c>
      <c r="Q212" s="49"/>
      <c r="R212" s="196">
        <f>SUM(R20:R211)</f>
        <v>338613.10959391872</v>
      </c>
    </row>
    <row r="213" spans="1:18" x14ac:dyDescent="0.25">
      <c r="P213" s="49"/>
      <c r="Q213" s="49"/>
    </row>
    <row r="220" spans="1:18" x14ac:dyDescent="0.25">
      <c r="D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</sheetData>
  <mergeCells count="4">
    <mergeCell ref="G2:H2"/>
    <mergeCell ref="G3:H3"/>
    <mergeCell ref="G7:H7"/>
    <mergeCell ref="G8:H8"/>
  </mergeCells>
  <phoneticPr fontId="0" type="noConversion"/>
  <pageMargins left="0.5" right="0.5" top="1.05" bottom="1" header="0.31" footer="0.5"/>
  <pageSetup scale="46" fitToHeight="0" orientation="landscape" cellComments="asDisplayed" r:id="rId1"/>
  <headerFooter alignWithMargins="0">
    <oddHeader>&amp;R&amp;F  &amp;A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06342d-ce85-4729-8251-347f0ba4f840">
      <Terms xmlns="http://schemas.microsoft.com/office/infopath/2007/PartnerControls"/>
    </lcf76f155ced4ddcb4097134ff3c332f>
    <TaxCatchAll xmlns="b6888f76-1100-40b0-929b-1efe904442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9C77599AAFD4B8FFD850D55630F3C" ma:contentTypeVersion="11" ma:contentTypeDescription="Create a new document." ma:contentTypeScope="" ma:versionID="ad751a9f435e1866f9f8a73a34278f13">
  <xsd:schema xmlns:xsd="http://www.w3.org/2001/XMLSchema" xmlns:xs="http://www.w3.org/2001/XMLSchema" xmlns:p="http://schemas.microsoft.com/office/2006/metadata/properties" xmlns:ns2="6a06342d-ce85-4729-8251-347f0ba4f840" xmlns:ns3="b6888f76-1100-40b0-929b-1efe9044426d" targetNamespace="http://schemas.microsoft.com/office/2006/metadata/properties" ma:root="true" ma:fieldsID="e425485e64401a05f4c6dac9240526dc" ns2:_="" ns3:_="">
    <xsd:import namespace="6a06342d-ce85-4729-8251-347f0ba4f840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6342d-ce85-4729-8251-347f0ba4f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Tc3MDQwPC9Vc2VyTmFtZT48RGF0ZVRpbWU+NC80LzIwMjIgMzoxMjozNCBQTTwvRGF0ZVRpbWU+PExhYmVsU3RyaW5nPkFFUCBJbnRlcm5hbDwvTGFiZWxTdHJpbmc+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+PC9zaXNsPjxVc2VyTmFtZT5DT1JQXHMxNzcwNDA8L1VzZXJOYW1lPjxEYXRlVGltZT41LzIzLzIwMjIgNTozNDozMSBQTTwvRGF0ZVRpbWU+PExhYmVsU3RyaW5nPkFFUCBJbnRlcm5hbDwvTGFiZWxTdHJpbmc+PC9pdGVtPjwvbGFiZWxIaXN0b3J5Pg==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E300A703-2789-4A03-BA83-DDCEA9EBA07D}">
  <ds:schemaRefs>
    <ds:schemaRef ds:uri="http://schemas.microsoft.com/office/2006/metadata/properties"/>
    <ds:schemaRef ds:uri="http://schemas.microsoft.com/office/infopath/2007/PartnerControls"/>
    <ds:schemaRef ds:uri="6a06342d-ce85-4729-8251-347f0ba4f840"/>
    <ds:schemaRef ds:uri="b6888f76-1100-40b0-929b-1efe9044426d"/>
  </ds:schemaRefs>
</ds:datastoreItem>
</file>

<file path=customXml/itemProps2.xml><?xml version="1.0" encoding="utf-8"?>
<ds:datastoreItem xmlns:ds="http://schemas.openxmlformats.org/officeDocument/2006/customXml" ds:itemID="{CF7029C1-239C-4BC4-8EC7-CB2A258DF9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264F88-B928-40B4-AEDB-1670B5897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06342d-ce85-4729-8251-347f0ba4f840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BB09F57-0463-4388-ACA3-8D53A088A480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2AFD8B9C-EFCC-4C57-A5D4-C2C10A7CE17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Instructions</vt:lpstr>
      <vt:lpstr>Summary</vt:lpstr>
      <vt:lpstr>Pivot</vt:lpstr>
      <vt:lpstr>Transactions</vt:lpstr>
      <vt:lpstr>Transactions!AS1_1999</vt:lpstr>
      <vt:lpstr>Instructions!Print_Area</vt:lpstr>
      <vt:lpstr>Summary!Print_Area</vt:lpstr>
      <vt:lpstr>Transactions!Print_Area</vt:lpstr>
      <vt:lpstr>Pivot!Print_Titles</vt:lpstr>
      <vt:lpstr>Transactions!Print_Titles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Williamson</dc:creator>
  <cp:keywords/>
  <cp:lastModifiedBy>Allyson L Keaton</cp:lastModifiedBy>
  <cp:lastPrinted>2025-05-27T13:19:35Z</cp:lastPrinted>
  <dcterms:created xsi:type="dcterms:W3CDTF">2009-09-04T18:19:13Z</dcterms:created>
  <dcterms:modified xsi:type="dcterms:W3CDTF">2025-05-27T13:20:08Z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cfa33df9-0e91-4da4-976b-7a0481d29165</vt:lpwstr>
  </property>
  <property fmtid="{D5CDD505-2E9C-101B-9397-08002B2CF9AE}" pid="3" name="bjSaver">
    <vt:lpwstr>clRxCTTKA7z930TtRLwKph96GxWYXtbn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LabelHistoryID">
    <vt:lpwstr>{4BB09F57-0463-4388-ACA3-8D53A088A480}</vt:lpwstr>
  </property>
  <property fmtid="{D5CDD505-2E9C-101B-9397-08002B2CF9AE}" pid="11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2" name="bjDocumentLabelXML-0">
    <vt:lpwstr>ames.com/2008/01/sie/internal/label"&gt;&lt;element uid="50c31824-0780-4910-87d1-eaaffd182d42" value="" /&gt;&lt;/sisl&gt;</vt:lpwstr>
  </property>
  <property fmtid="{D5CDD505-2E9C-101B-9397-08002B2CF9AE}" pid="13" name="ContentTypeId">
    <vt:lpwstr>0x0101002649C77599AAFD4B8FFD850D55630F3C</vt:lpwstr>
  </property>
  <property fmtid="{D5CDD505-2E9C-101B-9397-08002B2CF9AE}" pid="14" name="MediaServiceImageTags">
    <vt:lpwstr/>
  </property>
</Properties>
</file>